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drawings/drawing1.xml" ContentType="application/vnd.openxmlformats-officedocument.drawing+xml"/>
  <Override PartName="/xl/charts/chart1.xml" ContentType="application/vnd.openxmlformats-officedocument.drawingml.chart+xml"/>
  <Override PartName="/xl/worksheets/sheet2.xml" ContentType="application/vnd.openxmlformats-officedocument.spreadsheetml.worksheet+xml"/>
  <Override PartName="/xl/worksheets/sheet3.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77.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6.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7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68.xml" ContentType="application/vnd.openxmlformats-officedocument.spreadsheetml.worksheet+xml"/>
  <Override PartName="/xl/worksheets/sheet67.xml" ContentType="application/vnd.openxmlformats-officedocument.spreadsheetml.worksheet+xml"/>
  <Override PartName="/xl/worksheets/sheet66.xml" ContentType="application/vnd.openxmlformats-officedocument.spreadsheetml.worksheet+xml"/>
  <Override PartName="/xl/worksheets/sheet65.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6.xml" ContentType="application/vnd.openxmlformats-officedocument.spreadsheetml.worksheet+xml"/>
  <Override PartName="/xl/worksheets/sheet75.xml" ContentType="application/vnd.openxmlformats-officedocument.spreadsheetml.worksheet+xml"/>
  <Override PartName="/xl/worksheets/sheet74.xml" ContentType="application/vnd.openxmlformats-officedocument.spreadsheetml.worksheet+xml"/>
  <Override PartName="/xl/worksheets/sheet73.xml" ContentType="application/vnd.openxmlformats-officedocument.spreadsheetml.worksheet+xml"/>
  <Override PartName="/xl/worksheets/sheet64.xml" ContentType="application/vnd.openxmlformats-officedocument.spreadsheetml.worksheet+xml"/>
  <Override PartName="/xl/worksheets/sheet63.xml" ContentType="application/vnd.openxmlformats-officedocument.spreadsheetml.worksheet+xml"/>
  <Override PartName="/xl/worksheets/sheet62.xml" ContentType="application/vnd.openxmlformats-officedocument.spreadsheetml.worksheet+xml"/>
  <Override PartName="/xl/worksheets/sheet54.xml" ContentType="application/vnd.openxmlformats-officedocument.spreadsheetml.worksheet+xml"/>
  <Override PartName="/xl/worksheets/sheet53.xml" ContentType="application/vnd.openxmlformats-officedocument.spreadsheetml.worksheet+xml"/>
  <Override PartName="/xl/worksheets/sheet52.xml" ContentType="application/vnd.openxmlformats-officedocument.spreadsheetml.worksheet+xml"/>
  <Override PartName="/xl/worksheets/sheet51.xml" ContentType="application/vnd.openxmlformats-officedocument.spreadsheetml.worksheet+xml"/>
  <Override PartName="/xl/worksheets/sheet50.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1.xml" ContentType="application/vnd.openxmlformats-officedocument.spreadsheetml.worksheet+xml"/>
  <Override PartName="/xl/worksheets/sheet60.xml" ContentType="application/vnd.openxmlformats-officedocument.spreadsheetml.worksheet+xml"/>
  <Override PartName="/xl/worksheets/sheet59.xml" ContentType="application/vnd.openxmlformats-officedocument.spreadsheetml.worksheet+xml"/>
  <Override PartName="/xl/worksheets/sheet58.xml" ContentType="application/vnd.openxmlformats-officedocument.spreadsheetml.worksheet+xml"/>
  <Override PartName="/xl/worksheets/sheet19.xml" ContentType="application/vnd.openxmlformats-officedocument.spreadsheetml.worksheet+xml"/>
  <Override PartName="/xl/worksheets/sheet25.xml" ContentType="application/vnd.openxmlformats-officedocument.spreadsheetml.worksheet+xml"/>
  <Override PartName="/xl/worksheets/sheet17.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worksheets/sheet18.xml" ContentType="application/vnd.openxmlformats-officedocument.spreadsheetml.worksheet+xml"/>
  <Override PartName="/xl/worksheets/sheet12.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1.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comments9.xml" ContentType="application/vnd.openxmlformats-officedocument.spreadsheetml.comments+xml"/>
  <Override PartName="/xl/externalLinks/externalLink17.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comments1.xml" ContentType="application/vnd.openxmlformats-officedocument.spreadsheetml.comments+xml"/>
  <Override PartName="/xl/externalLinks/externalLink11.xml" ContentType="application/vnd.openxmlformats-officedocument.spreadsheetml.externalLink+xml"/>
  <Override PartName="/xl/externalLinks/externalLink1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comments2.xml" ContentType="application/vnd.openxmlformats-officedocument.spreadsheetml.comments+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comments7.xml" ContentType="application/vnd.openxmlformats-officedocument.spreadsheetml.comments+xml"/>
  <Override PartName="/xl/comments6.xml" ContentType="application/vnd.openxmlformats-officedocument.spreadsheetml.comments+xml"/>
  <Override PartName="/xl/externalLinks/externalLink6.xml" ContentType="application/vnd.openxmlformats-officedocument.spreadsheetml.externalLink+xml"/>
  <Override PartName="/xl/comments8.xml" ContentType="application/vnd.openxmlformats-officedocument.spreadsheetml.comment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comments5.xml" ContentType="application/vnd.openxmlformats-officedocument.spreadsheetml.comments+xml"/>
  <Override PartName="/xl/comments4.xml" ContentType="application/vnd.openxmlformats-officedocument.spreadsheetml.comments+xml"/>
  <Override PartName="/xl/externalLinks/externalLink10.xml" ContentType="application/vnd.openxmlformats-officedocument.spreadsheetml.externalLink+xml"/>
  <Override PartName="/xl/comments3.xml" ContentType="application/vnd.openxmlformats-officedocument.spreadsheetml.comments+xml"/>
  <Override PartName="/xl/externalLinks/externalLink9.xml" ContentType="application/vnd.openxmlformats-officedocument.spreadsheetml.externalLink+xml"/>
  <Override PartName="/xl/externalLinks/externalLink16.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backupFile="1" codeName="ThisWorkbook"/>
  <workbookProtection workbookPassword="E6B6" lockStructure="1"/>
  <bookViews>
    <workbookView xWindow="-45" yWindow="150" windowWidth="15480" windowHeight="7755" tabRatio="781" firstSheet="1" activeTab="1"/>
  </bookViews>
  <sheets>
    <sheet name="Assignments" sheetId="95" state="hidden" r:id="rId1"/>
    <sheet name="Exhibit No._(CTM-2), Pg. 1" sheetId="100" r:id="rId2"/>
    <sheet name="Exhibit No._(CTM-2), Pg. 1 (D)" sheetId="94" state="hidden" r:id="rId3"/>
    <sheet name="Gas Assignments" sheetId="96" state="hidden" r:id="rId4"/>
    <sheet name="Compare GRCs" sheetId="24" state="hidden" r:id="rId5"/>
    <sheet name="MJS" sheetId="23" state="hidden" r:id="rId6"/>
    <sheet name="Exhibit No._(CTM-2), Pg. 2-6" sheetId="20" r:id="rId7"/>
    <sheet name="Exhibit No._(CTM-2), Pg. 7-9" sheetId="21" r:id="rId8"/>
    <sheet name="Exhibit No._(CTM-2), Pg. 10-30" sheetId="1" r:id="rId9"/>
    <sheet name="Exhibit No._(CTM-2), Pg. 31a-b" sheetId="98" r:id="rId10"/>
    <sheet name="Exhibit No._(CTM-2), Pg. 32-34" sheetId="22" r:id="rId11"/>
    <sheet name="Exhibit No._(CTM-2), Unit Cost" sheetId="7" state="hidden" r:id="rId12"/>
    <sheet name="UG-101644 - Revenue" sheetId="17" state="hidden" r:id="rId13"/>
    <sheet name="UG-101644 - Revenue Exhibit" sheetId="18" state="hidden" r:id="rId14"/>
    <sheet name="JKP-10" sheetId="19" state="hidden" r:id="rId15"/>
    <sheet name="3.05" sheetId="55" state="hidden" r:id="rId16"/>
    <sheet name="3.05 - Joint Meter Customers" sheetId="56" state="hidden" r:id="rId17"/>
    <sheet name="3.05 - E &amp; G RB" sheetId="57" state="hidden" r:id="rId18"/>
    <sheet name="3.05 - 2010 IS" sheetId="58" state="hidden" r:id="rId19"/>
    <sheet name="3.05 - FERC Pg 354 &amp; 355" sheetId="59" state="hidden" r:id="rId20"/>
    <sheet name="3.05 - SAP DL Download" sheetId="60" state="hidden" r:id="rId21"/>
    <sheet name="3.05 - DLReconBBS" sheetId="61" state="hidden" r:id="rId22"/>
    <sheet name="3.05 - SAP DL" sheetId="62" state="hidden" r:id="rId23"/>
    <sheet name="3.05 - GL DL Rep-2010" sheetId="63" state="hidden" r:id="rId24"/>
    <sheet name="3.05 - Electric" sheetId="64" state="hidden" r:id="rId25"/>
    <sheet name="3.05 - Electric Rtrmt" sheetId="65" state="hidden" r:id="rId26"/>
    <sheet name="3.05 - Gas" sheetId="66" state="hidden" r:id="rId27"/>
    <sheet name="3.05 - Gas Rtrmt" sheetId="67" state="hidden" r:id="rId28"/>
    <sheet name="3.05E - Customer Count Pg 6a" sheetId="68" state="hidden" r:id="rId29"/>
    <sheet name="3.05G - Customer Count Pg6b" sheetId="69" state="hidden" r:id="rId30"/>
    <sheet name="5.02G" sheetId="74" state="hidden" r:id="rId31"/>
    <sheet name="5.02G - DEPN Transfers" sheetId="75" state="hidden" r:id="rId32"/>
    <sheet name="5.02G - Accum DEPN" sheetId="76" state="hidden" r:id="rId33"/>
    <sheet name="5.03G" sheetId="70" state="hidden" r:id="rId34"/>
    <sheet name="5.03G - Breakdown" sheetId="71" state="hidden" r:id="rId35"/>
    <sheet name="5.03G - Data (HC)" sheetId="97" state="hidden" r:id="rId36"/>
    <sheet name="5.03G - Cost Savings Analysis" sheetId="72" state="hidden" r:id="rId37"/>
    <sheet name="5.03G - 2010" sheetId="73" state="hidden" r:id="rId38"/>
    <sheet name="6.02G" sheetId="77" state="hidden" r:id="rId39"/>
    <sheet name="6.02G - Revenue" sheetId="78" state="hidden" r:id="rId40"/>
    <sheet name="6.03G" sheetId="80" state="hidden" r:id="rId41"/>
    <sheet name="6.03G - LowInc Rev 12ME 12-2010" sheetId="81" state="hidden" r:id="rId42"/>
    <sheet name="6.03G - LoInBilled 12ME 12-2010" sheetId="83" state="hidden" r:id="rId43"/>
    <sheet name="6.03G - LowIncExp 12ME 12-2010" sheetId="84" state="hidden" r:id="rId44"/>
    <sheet name="6.03G - ConsvRev 12ME 12-210" sheetId="85" state="hidden" r:id="rId45"/>
    <sheet name="6.03G - 12ME 12-31-2010 SOG " sheetId="86" state="hidden" r:id="rId46"/>
    <sheet name="6.03G - IS Gas 12ME 12-2010" sheetId="87" state="hidden" r:id="rId47"/>
    <sheet name="6.03G - Cons Expense Dec 2010" sheetId="88" state="hidden" r:id="rId48"/>
    <sheet name="6.03G - PGA Amort Dec 2010" sheetId="89" state="hidden" r:id="rId49"/>
    <sheet name="6.03G - MuniTax Rev 12-2010" sheetId="90" state="hidden" r:id="rId50"/>
    <sheet name="6.03G - MuniTax Exp 12-2010" sheetId="91" state="hidden" r:id="rId51"/>
    <sheet name="6.03G - PGA REV 6-2010" sheetId="93" state="hidden" r:id="rId52"/>
    <sheet name="6.09G" sheetId="44" state="hidden" r:id="rId53"/>
    <sheet name="6.09G - 3-YR AVG" sheetId="45" state="hidden" r:id="rId54"/>
    <sheet name="6.09G - Writeoffs" sheetId="46" state="hidden" r:id="rId55"/>
    <sheet name="6.09G - 12ME 8-2010" sheetId="50" state="hidden" r:id="rId56"/>
    <sheet name="6.09G - 12ME 8-2009" sheetId="51" state="hidden" r:id="rId57"/>
    <sheet name="6.09G - 12ME 8-2008" sheetId="52" state="hidden" r:id="rId58"/>
    <sheet name="6.09G - 12ME 8-2007" sheetId="53" state="hidden" r:id="rId59"/>
    <sheet name="6.09G - 12ME 8-2006" sheetId="54" state="hidden" r:id="rId60"/>
    <sheet name="6.09G - BS Acct-Gas" sheetId="47" state="hidden" r:id="rId61"/>
    <sheet name="6.09G - Muni Tax Other Ops" sheetId="49" state="hidden" r:id="rId62"/>
    <sheet name="6.09G - 12ME 12-2010" sheetId="48" state="hidden" r:id="rId63"/>
    <sheet name="6.12G" sheetId="39" state="hidden" r:id="rId64"/>
    <sheet name="6.12G - UTC Annual Filing Fee" sheetId="40" state="hidden" r:id="rId65"/>
    <sheet name="6.12G - UTC Paid Annual Fee '10" sheetId="41" state="hidden" r:id="rId66"/>
    <sheet name="6.12G - Excise Taxes '10" sheetId="42" state="hidden" r:id="rId67"/>
    <sheet name="6.14G" sheetId="33" state="hidden" r:id="rId68"/>
    <sheet name="6.14G - Decrease in Interest" sheetId="34" state="hidden" r:id="rId69"/>
    <sheet name="6.14G - 2010 Rates" sheetId="35" state="hidden" r:id="rId70"/>
    <sheet name="6.14G - 2011 Rates" sheetId="36" state="hidden" r:id="rId71"/>
    <sheet name="6.14G - SAP" sheetId="37" state="hidden" r:id="rId72"/>
    <sheet name="6.14G - Balance Calculation" sheetId="38" state="hidden" r:id="rId73"/>
    <sheet name="6.16G" sheetId="27" state="hidden" r:id="rId74"/>
    <sheet name="6.16G - Rate Year" sheetId="28" state="hidden" r:id="rId75"/>
    <sheet name="6.16G - Charged to IS" sheetId="29" state="hidden" r:id="rId76"/>
    <sheet name="6.16G - Acct 18700052" sheetId="30" state="hidden" r:id="rId77"/>
    <sheet name="6.16G - Acct 25600092" sheetId="31" state="hidden" r:id="rId78"/>
  </sheets>
  <externalReferences>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s>
  <definedNames>
    <definedName name="\A" localSheetId="1">'[1]Jun 99'!#REF!</definedName>
    <definedName name="\A" localSheetId="2">'[1]Jun 99'!#REF!</definedName>
    <definedName name="\A" localSheetId="9">'[1]Jun 99'!#REF!</definedName>
    <definedName name="\A">'[1]Jun 99'!#REF!</definedName>
    <definedName name="\P" localSheetId="1">#REF!</definedName>
    <definedName name="\P" localSheetId="2">#REF!</definedName>
    <definedName name="\P" localSheetId="9">#REF!</definedName>
    <definedName name="\P">#REF!</definedName>
    <definedName name="\Q" localSheetId="1">#REF!</definedName>
    <definedName name="\Q" localSheetId="2">#REF!</definedName>
    <definedName name="\Q" localSheetId="9">#REF!</definedName>
    <definedName name="\Q">#REF!</definedName>
    <definedName name="\R" localSheetId="1">#REF!</definedName>
    <definedName name="\R" localSheetId="2">#REF!</definedName>
    <definedName name="\R" localSheetId="9">#REF!</definedName>
    <definedName name="\R">#REF!</definedName>
    <definedName name="\S" localSheetId="1">#REF!</definedName>
    <definedName name="\S" localSheetId="2">#REF!</definedName>
    <definedName name="\S" localSheetId="9">#REF!</definedName>
    <definedName name="\S">#REF!</definedName>
    <definedName name="\T" localSheetId="1">#REF!</definedName>
    <definedName name="\T" localSheetId="2">#REF!</definedName>
    <definedName name="\T" localSheetId="9">#REF!</definedName>
    <definedName name="\T">#REF!</definedName>
    <definedName name="\U" localSheetId="1">#REF!</definedName>
    <definedName name="\U" localSheetId="2">#REF!</definedName>
    <definedName name="\U" localSheetId="9">#REF!</definedName>
    <definedName name="\U">#REF!</definedName>
    <definedName name="____________________six6" hidden="1">{#N/A,#N/A,FALSE,"CRPT";#N/A,#N/A,FALSE,"TREND";#N/A,#N/A,FALSE,"%Curve"}</definedName>
    <definedName name="___________________six6" localSheetId="1" hidden="1">{#N/A,#N/A,FALSE,"CRPT";#N/A,#N/A,FALSE,"TREND";#N/A,#N/A,FALSE,"%Curve"}</definedName>
    <definedName name="___________________six6" localSheetId="2" hidden="1">{#N/A,#N/A,FALSE,"CRPT";#N/A,#N/A,FALSE,"TREND";#N/A,#N/A,FALSE,"%Curve"}</definedName>
    <definedName name="___________________six6" hidden="1">{#N/A,#N/A,FALSE,"CRPT";#N/A,#N/A,FALSE,"TREND";#N/A,#N/A,FALSE,"%Curve"}</definedName>
    <definedName name="__________________six6" localSheetId="1" hidden="1">{#N/A,#N/A,FALSE,"CRPT";#N/A,#N/A,FALSE,"TREND";#N/A,#N/A,FALSE,"%Curve"}</definedName>
    <definedName name="__________________six6" localSheetId="2" hidden="1">{#N/A,#N/A,FALSE,"CRPT";#N/A,#N/A,FALSE,"TREND";#N/A,#N/A,FALSE,"%Curve"}</definedName>
    <definedName name="__________________six6" hidden="1">{#N/A,#N/A,FALSE,"CRPT";#N/A,#N/A,FALSE,"TREND";#N/A,#N/A,FALSE,"%Curve"}</definedName>
    <definedName name="_________________six6" localSheetId="1" hidden="1">{#N/A,#N/A,FALSE,"CRPT";#N/A,#N/A,FALSE,"TREND";#N/A,#N/A,FALSE,"%Curve"}</definedName>
    <definedName name="_________________six6" localSheetId="2" hidden="1">{#N/A,#N/A,FALSE,"CRPT";#N/A,#N/A,FALSE,"TREND";#N/A,#N/A,FALSE,"%Curve"}</definedName>
    <definedName name="_________________six6" hidden="1">{#N/A,#N/A,FALSE,"CRPT";#N/A,#N/A,FALSE,"TREND";#N/A,#N/A,FALSE,"%Curve"}</definedName>
    <definedName name="________________six6" localSheetId="1" hidden="1">{#N/A,#N/A,FALSE,"CRPT";#N/A,#N/A,FALSE,"TREND";#N/A,#N/A,FALSE,"%Curve"}</definedName>
    <definedName name="________________six6" localSheetId="2" hidden="1">{#N/A,#N/A,FALSE,"CRPT";#N/A,#N/A,FALSE,"TREND";#N/A,#N/A,FALSE,"%Curve"}</definedName>
    <definedName name="________________six6" hidden="1">{#N/A,#N/A,FALSE,"CRPT";#N/A,#N/A,FALSE,"TREND";#N/A,#N/A,FALSE,"%Curve"}</definedName>
    <definedName name="_______________six6" localSheetId="1" hidden="1">{#N/A,#N/A,FALSE,"CRPT";#N/A,#N/A,FALSE,"TREND";#N/A,#N/A,FALSE,"%Curve"}</definedName>
    <definedName name="_______________six6" localSheetId="2" hidden="1">{#N/A,#N/A,FALSE,"CRPT";#N/A,#N/A,FALSE,"TREND";#N/A,#N/A,FALSE,"%Curve"}</definedName>
    <definedName name="_______________six6" hidden="1">{#N/A,#N/A,FALSE,"CRPT";#N/A,#N/A,FALSE,"TREND";#N/A,#N/A,FALSE,"%Curve"}</definedName>
    <definedName name="______________six6" localSheetId="1" hidden="1">{#N/A,#N/A,FALSE,"CRPT";#N/A,#N/A,FALSE,"TREND";#N/A,#N/A,FALSE,"%Curve"}</definedName>
    <definedName name="______________six6" localSheetId="2" hidden="1">{#N/A,#N/A,FALSE,"CRPT";#N/A,#N/A,FALSE,"TREND";#N/A,#N/A,FALSE,"%Curve"}</definedName>
    <definedName name="______________six6" hidden="1">{#N/A,#N/A,FALSE,"CRPT";#N/A,#N/A,FALSE,"TREND";#N/A,#N/A,FALSE,"%Curve"}</definedName>
    <definedName name="_____________six6" localSheetId="1" hidden="1">{#N/A,#N/A,FALSE,"CRPT";#N/A,#N/A,FALSE,"TREND";#N/A,#N/A,FALSE,"%Curve"}</definedName>
    <definedName name="_____________six6" localSheetId="2" hidden="1">{#N/A,#N/A,FALSE,"CRPT";#N/A,#N/A,FALSE,"TREND";#N/A,#N/A,FALSE,"%Curve"}</definedName>
    <definedName name="_____________six6" hidden="1">{#N/A,#N/A,FALSE,"CRPT";#N/A,#N/A,FALSE,"TREND";#N/A,#N/A,FALSE,"%Curve"}</definedName>
    <definedName name="____________six6" localSheetId="1" hidden="1">{#N/A,#N/A,FALSE,"CRPT";#N/A,#N/A,FALSE,"TREND";#N/A,#N/A,FALSE,"%Curve"}</definedName>
    <definedName name="____________six6" localSheetId="2" hidden="1">{#N/A,#N/A,FALSE,"CRPT";#N/A,#N/A,FALSE,"TREND";#N/A,#N/A,FALSE,"%Curve"}</definedName>
    <definedName name="____________six6" hidden="1">{#N/A,#N/A,FALSE,"CRPT";#N/A,#N/A,FALSE,"TREND";#N/A,#N/A,FALSE,"%Curve"}</definedName>
    <definedName name="___________six6" localSheetId="1" hidden="1">{#N/A,#N/A,FALSE,"CRPT";#N/A,#N/A,FALSE,"TREND";#N/A,#N/A,FALSE,"%Curve"}</definedName>
    <definedName name="___________six6" localSheetId="2" hidden="1">{#N/A,#N/A,FALSE,"CRPT";#N/A,#N/A,FALSE,"TREND";#N/A,#N/A,FALSE,"%Curve"}</definedName>
    <definedName name="___________six6" hidden="1">{#N/A,#N/A,FALSE,"CRPT";#N/A,#N/A,FALSE,"TREND";#N/A,#N/A,FALSE,"%Curve"}</definedName>
    <definedName name="__________six6" localSheetId="1" hidden="1">{#N/A,#N/A,FALSE,"CRPT";#N/A,#N/A,FALSE,"TREND";#N/A,#N/A,FALSE,"%Curve"}</definedName>
    <definedName name="__________six6" localSheetId="2" hidden="1">{#N/A,#N/A,FALSE,"CRPT";#N/A,#N/A,FALSE,"TREND";#N/A,#N/A,FALSE,"%Curve"}</definedName>
    <definedName name="__________six6" hidden="1">{#N/A,#N/A,FALSE,"CRPT";#N/A,#N/A,FALSE,"TREND";#N/A,#N/A,FALSE,"%Curve"}</definedName>
    <definedName name="_________six6" localSheetId="1" hidden="1">{#N/A,#N/A,FALSE,"CRPT";#N/A,#N/A,FALSE,"TREND";#N/A,#N/A,FALSE,"%Curve"}</definedName>
    <definedName name="_________six6" localSheetId="2" hidden="1">{#N/A,#N/A,FALSE,"CRPT";#N/A,#N/A,FALSE,"TREND";#N/A,#N/A,FALSE,"%Curve"}</definedName>
    <definedName name="_________six6" hidden="1">{#N/A,#N/A,FALSE,"CRPT";#N/A,#N/A,FALSE,"TREND";#N/A,#N/A,FALSE,"%Curve"}</definedName>
    <definedName name="________six6" localSheetId="1" hidden="1">{#N/A,#N/A,FALSE,"CRPT";#N/A,#N/A,FALSE,"TREND";#N/A,#N/A,FALSE,"%Curve"}</definedName>
    <definedName name="________six6" localSheetId="2" hidden="1">{#N/A,#N/A,FALSE,"CRPT";#N/A,#N/A,FALSE,"TREND";#N/A,#N/A,FALSE,"%Curve"}</definedName>
    <definedName name="________six6" hidden="1">{#N/A,#N/A,FALSE,"CRPT";#N/A,#N/A,FALSE,"TREND";#N/A,#N/A,FALSE,"%Curve"}</definedName>
    <definedName name="_______six6" localSheetId="1" hidden="1">{#N/A,#N/A,FALSE,"CRPT";#N/A,#N/A,FALSE,"TREND";#N/A,#N/A,FALSE,"%Curve"}</definedName>
    <definedName name="_______six6" localSheetId="2" hidden="1">{#N/A,#N/A,FALSE,"CRPT";#N/A,#N/A,FALSE,"TREND";#N/A,#N/A,FALSE,"%Curve"}</definedName>
    <definedName name="_______six6" hidden="1">{#N/A,#N/A,FALSE,"CRPT";#N/A,#N/A,FALSE,"TREND";#N/A,#N/A,FALSE,"%Curve"}</definedName>
    <definedName name="______six6" localSheetId="1" hidden="1">{#N/A,#N/A,FALSE,"CRPT";#N/A,#N/A,FALSE,"TREND";#N/A,#N/A,FALSE,"%Curve"}</definedName>
    <definedName name="______six6" localSheetId="2" hidden="1">{#N/A,#N/A,FALSE,"CRPT";#N/A,#N/A,FALSE,"TREND";#N/A,#N/A,FALSE,"%Curve"}</definedName>
    <definedName name="______six6" hidden="1">{#N/A,#N/A,FALSE,"CRPT";#N/A,#N/A,FALSE,"TREND";#N/A,#N/A,FALSE,"%Curve"}</definedName>
    <definedName name="_____six6" localSheetId="1" hidden="1">{#N/A,#N/A,FALSE,"CRPT";#N/A,#N/A,FALSE,"TREND";#N/A,#N/A,FALSE,"%Curve"}</definedName>
    <definedName name="_____six6" localSheetId="2" hidden="1">{#N/A,#N/A,FALSE,"CRPT";#N/A,#N/A,FALSE,"TREND";#N/A,#N/A,FALSE,"%Curve"}</definedName>
    <definedName name="_____six6" hidden="1">{#N/A,#N/A,FALSE,"CRPT";#N/A,#N/A,FALSE,"TREND";#N/A,#N/A,FALSE,"%Curve"}</definedName>
    <definedName name="____six6" localSheetId="1" hidden="1">{#N/A,#N/A,FALSE,"CRPT";#N/A,#N/A,FALSE,"TREND";#N/A,#N/A,FALSE,"%Curve"}</definedName>
    <definedName name="____six6" localSheetId="2" hidden="1">{#N/A,#N/A,FALSE,"CRPT";#N/A,#N/A,FALSE,"TREND";#N/A,#N/A,FALSE,"%Curve"}</definedName>
    <definedName name="____six6" hidden="1">{#N/A,#N/A,FALSE,"CRPT";#N/A,#N/A,FALSE,"TREND";#N/A,#N/A,FALSE,"%Curve"}</definedName>
    <definedName name="___six6" localSheetId="1" hidden="1">{#N/A,#N/A,FALSE,"CRPT";#N/A,#N/A,FALSE,"TREND";#N/A,#N/A,FALSE,"%Curve"}</definedName>
    <definedName name="___six6" localSheetId="2" hidden="1">{#N/A,#N/A,FALSE,"CRPT";#N/A,#N/A,FALSE,"TREND";#N/A,#N/A,FALSE,"%Curve"}</definedName>
    <definedName name="___six6" hidden="1">{#N/A,#N/A,FALSE,"CRPT";#N/A,#N/A,FALSE,"TREND";#N/A,#N/A,FALSE,"%Curve"}</definedName>
    <definedName name="__123Graph_D" localSheetId="4" hidden="1">#REF!</definedName>
    <definedName name="__123Graph_D" localSheetId="1" hidden="1">#REF!</definedName>
    <definedName name="__123Graph_D" localSheetId="9" hidden="1">#REF!</definedName>
    <definedName name="__123Graph_D" hidden="1">#REF!</definedName>
    <definedName name="__123Graph_ECURRENT" localSheetId="45" hidden="1">[2]ConsolidatingPL!#REF!</definedName>
    <definedName name="__123Graph_ECURRENT" localSheetId="51" hidden="1">[2]ConsolidatingPL!#REF!</definedName>
    <definedName name="__123Graph_ECURRENT" localSheetId="52" hidden="1">[2]ConsolidatingPL!#REF!</definedName>
    <definedName name="__123Graph_ECURRENT" localSheetId="53" hidden="1">[2]ConsolidatingPL!#REF!</definedName>
    <definedName name="__123Graph_ECURRENT" localSheetId="54" hidden="1">[2]ConsolidatingPL!#REF!</definedName>
    <definedName name="__123Graph_ECURRENT" localSheetId="4" hidden="1">[2]ConsolidatingPL!#REF!</definedName>
    <definedName name="__123Graph_ECURRENT" hidden="1">#N/A</definedName>
    <definedName name="__Apr05" localSheetId="1">[3]BS!#REF!</definedName>
    <definedName name="__Apr05" localSheetId="9">[3]BS!#REF!</definedName>
    <definedName name="__Apr05">[3]BS!#REF!</definedName>
    <definedName name="__Aug05" localSheetId="1">[3]BS!#REF!</definedName>
    <definedName name="__Aug05" localSheetId="9">[3]BS!#REF!</definedName>
    <definedName name="__Aug05">[3]BS!#REF!</definedName>
    <definedName name="__Feb05" localSheetId="1">[3]BS!#REF!</definedName>
    <definedName name="__Feb05" localSheetId="9">[3]BS!#REF!</definedName>
    <definedName name="__Feb05">[3]BS!#REF!</definedName>
    <definedName name="__Jan05" localSheetId="1">[3]BS!#REF!</definedName>
    <definedName name="__Jan05" localSheetId="9">[3]BS!#REF!</definedName>
    <definedName name="__Jan05">[3]BS!#REF!</definedName>
    <definedName name="__Jul05" localSheetId="1">[3]BS!#REF!</definedName>
    <definedName name="__Jul05" localSheetId="9">[3]BS!#REF!</definedName>
    <definedName name="__Jul05">[3]BS!#REF!</definedName>
    <definedName name="__Jun05" localSheetId="1">[3]BS!#REF!</definedName>
    <definedName name="__Jun05" localSheetId="9">[3]BS!#REF!</definedName>
    <definedName name="__Jun05">[3]BS!#REF!</definedName>
    <definedName name="__Jun09">" BS!$AI$7:$AI$1643"</definedName>
    <definedName name="__Mar05" localSheetId="1">[3]BS!#REF!</definedName>
    <definedName name="__Mar05" localSheetId="9">[3]BS!#REF!</definedName>
    <definedName name="__Mar05">[3]BS!#REF!</definedName>
    <definedName name="__May05" localSheetId="1">[3]BS!#REF!</definedName>
    <definedName name="__May05" localSheetId="9">[3]BS!#REF!</definedName>
    <definedName name="__May05">[3]BS!#REF!</definedName>
    <definedName name="__Sep05" localSheetId="1">[3]BS!#REF!</definedName>
    <definedName name="__Sep05" localSheetId="9">[3]BS!#REF!</definedName>
    <definedName name="__Sep05">[3]BS!#REF!</definedName>
    <definedName name="__six6" localSheetId="1" hidden="1">{#N/A,#N/A,FALSE,"CRPT";#N/A,#N/A,FALSE,"TREND";#N/A,#N/A,FALSE,"%Curve"}</definedName>
    <definedName name="__six6" localSheetId="2" hidden="1">{#N/A,#N/A,FALSE,"CRPT";#N/A,#N/A,FALSE,"TREND";#N/A,#N/A,FALSE,"%Curve"}</definedName>
    <definedName name="__six6" hidden="1">{#N/A,#N/A,FALSE,"CRPT";#N/A,#N/A,FALSE,"TREND";#N/A,#N/A,FALSE,"%Curve"}</definedName>
    <definedName name="__www1" hidden="1">{#N/A,#N/A,FALSE,"schA"}</definedName>
    <definedName name="_1_94_12_94" localSheetId="1">[4]DT_A_DOL93!#REF!</definedName>
    <definedName name="_1_94_12_94" localSheetId="9">[4]DT_A_DOL93!#REF!</definedName>
    <definedName name="_1_94_12_94">[4]DT_A_DOL93!#REF!</definedName>
    <definedName name="_1_95_12_95" localSheetId="1">[4]DT_A_DOL93!#REF!</definedName>
    <definedName name="_1_95_12_95" localSheetId="9">[4]DT_A_DOL93!#REF!</definedName>
    <definedName name="_1_95_12_95">[4]DT_A_DOL93!#REF!</definedName>
    <definedName name="_1_96_12_96" localSheetId="1">[4]DT_A_DOL93!#REF!</definedName>
    <definedName name="_1_96_12_96" localSheetId="9">[4]DT_A_DOL93!#REF!</definedName>
    <definedName name="_1_96_12_96">[4]DT_A_DOL93!#REF!</definedName>
    <definedName name="_1_97_12_97" localSheetId="1">[4]DT_A_DOL93!#REF!</definedName>
    <definedName name="_1_97_12_97" localSheetId="9">[4]DT_A_DOL93!#REF!</definedName>
    <definedName name="_1_97_12_97">[4]DT_A_DOL93!#REF!</definedName>
    <definedName name="_1_98_12_98" localSheetId="1">[4]DT_A_DOL93!#REF!</definedName>
    <definedName name="_1_98_12_98" localSheetId="9">[4]DT_A_DOL93!#REF!</definedName>
    <definedName name="_1_98_12_98">[4]DT_A_DOL93!#REF!</definedName>
    <definedName name="_6" hidden="1">{#N/A,#N/A,FALSE,"CRPT";#N/A,#N/A,FALSE,"TREND";#N/A,#N/A,FALSE,"%Curve"}</definedName>
    <definedName name="_Apr04">[5]BS!$U$7:$U$3582</definedName>
    <definedName name="_Apr09" xml:space="preserve"> [6]BS!$U$7:$U$1726</definedName>
    <definedName name="_Aug04">[5]BS!$Y$7:$Y$3582</definedName>
    <definedName name="_Aug09" xml:space="preserve"> [6]BS!$Y$7:$Y$1726</definedName>
    <definedName name="_d1" localSheetId="1" hidden="1">#REF!</definedName>
    <definedName name="_d1" localSheetId="9" hidden="1">#REF!</definedName>
    <definedName name="_d1" hidden="1">#REF!</definedName>
    <definedName name="_DAT1" localSheetId="1">#REF!</definedName>
    <definedName name="_DAT1" localSheetId="9">#REF!</definedName>
    <definedName name="_DAT1">#REF!</definedName>
    <definedName name="_DAT10" localSheetId="1">#REF!</definedName>
    <definedName name="_DAT10" localSheetId="9">#REF!</definedName>
    <definedName name="_DAT10">#REF!</definedName>
    <definedName name="_DAT11" localSheetId="1">#REF!</definedName>
    <definedName name="_DAT11" localSheetId="9">#REF!</definedName>
    <definedName name="_DAT11">#REF!</definedName>
    <definedName name="_DAT12" localSheetId="1">#REF!</definedName>
    <definedName name="_DAT12" localSheetId="9">#REF!</definedName>
    <definedName name="_DAT12">#REF!</definedName>
    <definedName name="_DAT13" localSheetId="1">#REF!</definedName>
    <definedName name="_DAT13" localSheetId="9">#REF!</definedName>
    <definedName name="_DAT13">#REF!</definedName>
    <definedName name="_DAT2" localSheetId="1">#REF!</definedName>
    <definedName name="_DAT2" localSheetId="9">#REF!</definedName>
    <definedName name="_DAT2">#REF!</definedName>
    <definedName name="_DAT3" localSheetId="1">#REF!</definedName>
    <definedName name="_DAT3" localSheetId="9">#REF!</definedName>
    <definedName name="_DAT3">#REF!</definedName>
    <definedName name="_DAT4" localSheetId="1">#REF!</definedName>
    <definedName name="_DAT4" localSheetId="9">#REF!</definedName>
    <definedName name="_DAT4">#REF!</definedName>
    <definedName name="_DAT5" localSheetId="1">#REF!</definedName>
    <definedName name="_DAT5" localSheetId="9">#REF!</definedName>
    <definedName name="_DAT5">#REF!</definedName>
    <definedName name="_DAT6" localSheetId="1">#REF!</definedName>
    <definedName name="_DAT6" localSheetId="9">#REF!</definedName>
    <definedName name="_DAT6">#REF!</definedName>
    <definedName name="_DAT7" localSheetId="1">#REF!</definedName>
    <definedName name="_DAT7" localSheetId="9">#REF!</definedName>
    <definedName name="_DAT7">#REF!</definedName>
    <definedName name="_DAT8" localSheetId="1">#REF!</definedName>
    <definedName name="_DAT8" localSheetId="9">#REF!</definedName>
    <definedName name="_DAT8">#REF!</definedName>
    <definedName name="_DAT9" localSheetId="1">#REF!</definedName>
    <definedName name="_DAT9" localSheetId="9">#REF!</definedName>
    <definedName name="_DAT9">#REF!</definedName>
    <definedName name="_Dec03">[7]BS!$T$7:$T$3582</definedName>
    <definedName name="_Dec04">[5]BS!$AC$7:$AC$3580</definedName>
    <definedName name="_Dec08" xml:space="preserve"> [6]BS!$Q$7:$Q$1726</definedName>
    <definedName name="_Div02">'[8]Alloc factors'!$D$12</definedName>
    <definedName name="_div10" localSheetId="1">'[9]WP 1-2'!#REF!</definedName>
    <definedName name="_div10" localSheetId="2">'[9]WP 1-2'!#REF!</definedName>
    <definedName name="_div10" localSheetId="9">'[9]WP 1-2'!#REF!</definedName>
    <definedName name="_div10">'[9]WP 1-2'!#REF!</definedName>
    <definedName name="_DIV12">'[10]Alloc factors'!$D$13</definedName>
    <definedName name="_div21" localSheetId="1">'[9]WP 1-2'!#REF!</definedName>
    <definedName name="_div21" localSheetId="2">'[9]WP 1-2'!#REF!</definedName>
    <definedName name="_div21" localSheetId="9">'[9]WP 1-2'!#REF!</definedName>
    <definedName name="_div21">'[9]WP 1-2'!#REF!</definedName>
    <definedName name="_End" localSheetId="1">[3]BS!#REF!</definedName>
    <definedName name="_End" localSheetId="9">[3]BS!#REF!</definedName>
    <definedName name="_End">[3]BS!#REF!</definedName>
    <definedName name="_EXH1" localSheetId="1">#REF!</definedName>
    <definedName name="_EXH1" localSheetId="2">#REF!</definedName>
    <definedName name="_EXH1" localSheetId="9">#REF!</definedName>
    <definedName name="_EXH1">#REF!</definedName>
    <definedName name="_EXH6" localSheetId="1">#REF!</definedName>
    <definedName name="_EXH6" localSheetId="2">#REF!</definedName>
    <definedName name="_EXH6" localSheetId="9">#REF!</definedName>
    <definedName name="_EXH6">#REF!</definedName>
    <definedName name="_Feb04">[5]BS!$S$7:$S$3582</definedName>
    <definedName name="_FEB09" xml:space="preserve"> [6]BS!$S$7:$S$1726</definedName>
    <definedName name="_FEDERAL_INCOME_TAX">'[11]MJS-14'!$N$21</definedName>
    <definedName name="_Fill" localSheetId="4" hidden="1">#REF!</definedName>
    <definedName name="_Fill" localSheetId="1" hidden="1">#REF!</definedName>
    <definedName name="_Fill" localSheetId="9" hidden="1">#REF!</definedName>
    <definedName name="_Fill" localSheetId="7" hidden="1">#REF!</definedName>
    <definedName name="_Fill" hidden="1">#REF!</definedName>
    <definedName name="_Filter" localSheetId="1">#REF!</definedName>
    <definedName name="_Filter" localSheetId="9">#REF!</definedName>
    <definedName name="_Filter">#REF!</definedName>
    <definedName name="_xlnm._FilterDatabase" localSheetId="66" hidden="1">'6.12G - Excise Taxes ''10'!$F$1:$F$103</definedName>
    <definedName name="_Jan04">[5]BS!$R$7:$R$3582</definedName>
    <definedName name="_Jul04">[5]BS!$X$7:$X$3582</definedName>
    <definedName name="_Jul09" xml:space="preserve"> [6]BS!$X$7:$X$1726</definedName>
    <definedName name="_Jun04">[5]BS!$W$7:$W$3582</definedName>
    <definedName name="_Jun09" xml:space="preserve"> [6]BS!$W$7:$W$1726</definedName>
    <definedName name="_Key1" localSheetId="4" hidden="1">#REF!</definedName>
    <definedName name="_Key1" localSheetId="1" hidden="1">#REF!</definedName>
    <definedName name="_Key1" localSheetId="2" hidden="1">#REF!</definedName>
    <definedName name="_Key1" localSheetId="9" hidden="1">#REF!</definedName>
    <definedName name="_Key1" hidden="1">#REF!</definedName>
    <definedName name="_Key2" localSheetId="4" hidden="1">#REF!</definedName>
    <definedName name="_Key2" localSheetId="1" hidden="1">#REF!</definedName>
    <definedName name="_Key2" localSheetId="9" hidden="1">#REF!</definedName>
    <definedName name="_Key2" hidden="1">#REF!</definedName>
    <definedName name="_Mar04">[5]BS!$T$7:$T$3582</definedName>
    <definedName name="_May04">[5]BS!$V$7:$V$3582</definedName>
    <definedName name="_May09" xml:space="preserve"> [6]BS!$V$7:$V$1726</definedName>
    <definedName name="_Nov03">[7]BS!$S$7:$S$3582</definedName>
    <definedName name="_Nov04">[5]BS!$AB$7:$AB$3582</definedName>
    <definedName name="_Oct03">[7]BS!$R$7:$R$3582</definedName>
    <definedName name="_Oct04">[5]BS!$AA$7:$AA$3582</definedName>
    <definedName name="_Oct09" xml:space="preserve"> [6]BS!$AA$7:$AA$1726</definedName>
    <definedName name="_Order1" localSheetId="14" hidden="1">0</definedName>
    <definedName name="_Order1" hidden="1">255</definedName>
    <definedName name="_Order2" localSheetId="14" hidden="1">0</definedName>
    <definedName name="_Order2" hidden="1">255</definedName>
    <definedName name="_Sep03">[7]BS!$Q$7:$Q$3582</definedName>
    <definedName name="_Sep04">[5]BS!$Z$7:$Z$3582</definedName>
    <definedName name="_six6" localSheetId="1" hidden="1">{#N/A,#N/A,FALSE,"CRPT";#N/A,#N/A,FALSE,"TREND";#N/A,#N/A,FALSE,"%Curve"}</definedName>
    <definedName name="_six6" localSheetId="2" hidden="1">{#N/A,#N/A,FALSE,"CRPT";#N/A,#N/A,FALSE,"TREND";#N/A,#N/A,FALSE,"%Curve"}</definedName>
    <definedName name="_six6" hidden="1">{#N/A,#N/A,FALSE,"CRPT";#N/A,#N/A,FALSE,"TREND";#N/A,#N/A,FALSE,"%Curve"}</definedName>
    <definedName name="_Sort" localSheetId="4" hidden="1">#REF!</definedName>
    <definedName name="_Sort" localSheetId="1" hidden="1">#REF!</definedName>
    <definedName name="_Sort" localSheetId="2" hidden="1">#REF!</definedName>
    <definedName name="_Sort" localSheetId="9" hidden="1">#REF!</definedName>
    <definedName name="_Sort" hidden="1">#REF!</definedName>
    <definedName name="_swe80">[12]Input!$E$29</definedName>
    <definedName name="_ucg80">[12]Input!$E$31</definedName>
    <definedName name="_www1" hidden="1">{#N/A,#N/A,FALSE,"schA"}</definedName>
    <definedName name="a" localSheetId="1" hidden="1">{#N/A,#N/A,FALSE,"Coversheet";#N/A,#N/A,FALSE,"QA"}</definedName>
    <definedName name="a" localSheetId="2" hidden="1">{#N/A,#N/A,FALSE,"Coversheet";#N/A,#N/A,FALSE,"QA"}</definedName>
    <definedName name="a" hidden="1">{#N/A,#N/A,FALSE,"Coversheet";#N/A,#N/A,FALSE,"QA"}</definedName>
    <definedName name="AAA" localSheetId="1">#REF!</definedName>
    <definedName name="AAA" localSheetId="2">#REF!</definedName>
    <definedName name="AAA" localSheetId="9">#REF!</definedName>
    <definedName name="AAA">#REF!</definedName>
    <definedName name="abc" hidden="1">{#N/A,#N/A,FALSE,"Coversheet";#N/A,#N/A,FALSE,"QA"}</definedName>
    <definedName name="AccessDatabase" hidden="1">"I:\COMTREL\FINICLE\TradeSummary.mdb"</definedName>
    <definedName name="Acq1Plant">'[13]Acquisition Inputs'!$C$8</definedName>
    <definedName name="Acq2Plant">'[13]Acquisition Inputs'!$C$70</definedName>
    <definedName name="Adj_AC_8" localSheetId="1">[14]Cover!#REF!</definedName>
    <definedName name="Adj_AC_8" localSheetId="9">[14]Cover!#REF!</definedName>
    <definedName name="Adj_AC_8">[14]Cover!#REF!</definedName>
    <definedName name="Adj_Amt_8" localSheetId="1">[14]Cover!#REF!</definedName>
    <definedName name="Adj_Amt_8" localSheetId="9">[14]Cover!#REF!</definedName>
    <definedName name="Adj_Amt_8">[14]Cover!#REF!</definedName>
    <definedName name="Adj_Typ_8" localSheetId="1">[14]Cover!#REF!</definedName>
    <definedName name="Adj_Typ_8" localSheetId="9">[14]Cover!#REF!</definedName>
    <definedName name="Adj_Typ_8">[14]Cover!#REF!</definedName>
    <definedName name="apeek" localSheetId="1">#REF!</definedName>
    <definedName name="apeek" localSheetId="9">#REF!</definedName>
    <definedName name="apeek">#REF!</definedName>
    <definedName name="Apr03AMA" localSheetId="1">'[15]BS C&amp;L'!#REF!</definedName>
    <definedName name="Apr03AMA" localSheetId="9">'[15]BS C&amp;L'!#REF!</definedName>
    <definedName name="Apr03AMA">'[15]BS C&amp;L'!#REF!</definedName>
    <definedName name="Apr04AMA">[5]BS!$AG$7:$AG$3582</definedName>
    <definedName name="Apr05AMA" localSheetId="1">[3]BS!#REF!</definedName>
    <definedName name="Apr05AMA" localSheetId="9">[3]BS!#REF!</definedName>
    <definedName name="Apr05AMA">[3]BS!#REF!</definedName>
    <definedName name="APR09AMA">[6]BS!$AN$7:$AN$1725</definedName>
    <definedName name="Apr10AMA">[6]BS!$AZ$7:$AZ$1726</definedName>
    <definedName name="AS2DocOpenMode" hidden="1">"AS2DocumentEdit"</definedName>
    <definedName name="atmos" localSheetId="1">#REF!</definedName>
    <definedName name="atmos" localSheetId="2">#REF!</definedName>
    <definedName name="atmos" localSheetId="9">#REF!</definedName>
    <definedName name="atmos">#REF!</definedName>
    <definedName name="Aug03AMA" localSheetId="1">'[15]BS C&amp;L'!#REF!</definedName>
    <definedName name="Aug03AMA" localSheetId="9">'[15]BS C&amp;L'!#REF!</definedName>
    <definedName name="Aug03AMA">'[15]BS C&amp;L'!#REF!</definedName>
    <definedName name="Aug04AMA">[5]BS!$AK$7:$AK$3582</definedName>
    <definedName name="Aug05AMA" localSheetId="1">[3]BS!#REF!</definedName>
    <definedName name="Aug05AMA" localSheetId="9">[3]BS!#REF!</definedName>
    <definedName name="Aug05AMA">[3]BS!#REF!</definedName>
    <definedName name="Aug09AMA">[6]BS!$AR$7:$AR$1726</definedName>
    <definedName name="Aurora_Prices">"Monthly Price Summary'!$C$4:$H$63"</definedName>
    <definedName name="AVG_RESIDUAL_PROFORMA">'[16]DATA INPUT'!$D$43</definedName>
    <definedName name="b" localSheetId="46" hidden="1">{#N/A,#N/A,FALSE,"Coversheet";#N/A,#N/A,FALSE,"QA"}</definedName>
    <definedName name="b" localSheetId="52" hidden="1">{#N/A,#N/A,FALSE,"Coversheet";#N/A,#N/A,FALSE,"QA"}</definedName>
    <definedName name="b" localSheetId="62" hidden="1">{#N/A,#N/A,FALSE,"Coversheet";#N/A,#N/A,FALSE,"QA"}</definedName>
    <definedName name="b" localSheetId="53" hidden="1">{#N/A,#N/A,FALSE,"Coversheet";#N/A,#N/A,FALSE,"QA"}</definedName>
    <definedName name="b" localSheetId="60" hidden="1">{#N/A,#N/A,FALSE,"Coversheet";#N/A,#N/A,FALSE,"QA"}</definedName>
    <definedName name="b" localSheetId="1" hidden="1">{#N/A,#N/A,FALSE,"Coversheet";#N/A,#N/A,FALSE,"QA"}</definedName>
    <definedName name="b" localSheetId="2" hidden="1">{#N/A,#N/A,FALSE,"Coversheet";#N/A,#N/A,FALSE,"QA"}</definedName>
    <definedName name="b" localSheetId="11" hidden="1">{#N/A,#N/A,FALSE,"Coversheet";#N/A,#N/A,FALSE,"QA"}</definedName>
    <definedName name="b" hidden="1">{#N/A,#N/A,FALSE,"Coversheet";#N/A,#N/A,FALSE,"QA"}</definedName>
    <definedName name="BADDEBT" localSheetId="1">[17]model!#REF!</definedName>
    <definedName name="BADDEBT" localSheetId="9">[17]model!#REF!</definedName>
    <definedName name="BADDEBT">[17]model!#REF!</definedName>
    <definedName name="BBB" localSheetId="1">#REF!</definedName>
    <definedName name="BBB" localSheetId="2">#REF!</definedName>
    <definedName name="BBB" localSheetId="9">#REF!</definedName>
    <definedName name="BBB">#REF!</definedName>
    <definedName name="BD" localSheetId="1">#REF!</definedName>
    <definedName name="BD" localSheetId="9">#REF!</definedName>
    <definedName name="BD">#REF!</definedName>
    <definedName name="Beg_Unb_KWHs" localSheetId="1">#REF!</definedName>
    <definedName name="Beg_Unb_KWHs" localSheetId="9">#REF!</definedName>
    <definedName name="Beg_Unb_KWHs">#REF!</definedName>
    <definedName name="BEP" localSheetId="1">#REF!</definedName>
    <definedName name="BEP" localSheetId="9">#REF!</definedName>
    <definedName name="BEP">#REF!</definedName>
    <definedName name="BEx0017DGUEDPCFJUPUZOOLJCS2B" localSheetId="56" hidden="1">#REF!</definedName>
    <definedName name="BEx0017DGUEDPCFJUPUZOOLJCS2B" localSheetId="55" hidden="1">#REF!</definedName>
    <definedName name="BEx0017DGUEDPCFJUPUZOOLJCS2B" localSheetId="4" hidden="1">#REF!</definedName>
    <definedName name="BEx0017DGUEDPCFJUPUZOOLJCS2B" localSheetId="1" hidden="1">#REF!</definedName>
    <definedName name="BEx0017DGUEDPCFJUPUZOOLJCS2B" localSheetId="9" hidden="1">#REF!</definedName>
    <definedName name="BEx0017DGUEDPCFJUPUZOOLJCS2B" hidden="1">#REF!</definedName>
    <definedName name="BEx001CNWHJ5RULCSFM36ZCGJ1UH" localSheetId="56" hidden="1">#REF!</definedName>
    <definedName name="BEx001CNWHJ5RULCSFM36ZCGJ1UH" localSheetId="55" hidden="1">#REF!</definedName>
    <definedName name="BEx001CNWHJ5RULCSFM36ZCGJ1UH" localSheetId="4" hidden="1">#REF!</definedName>
    <definedName name="BEx001CNWHJ5RULCSFM36ZCGJ1UH" localSheetId="1" hidden="1">#REF!</definedName>
    <definedName name="BEx001CNWHJ5RULCSFM36ZCGJ1UH" localSheetId="9" hidden="1">#REF!</definedName>
    <definedName name="BEx001CNWHJ5RULCSFM36ZCGJ1UH" hidden="1">#REF!</definedName>
    <definedName name="BEx004791UAJIJSN57OT7YBLNP82" localSheetId="56" hidden="1">#REF!</definedName>
    <definedName name="BEx004791UAJIJSN57OT7YBLNP82" localSheetId="55" hidden="1">#REF!</definedName>
    <definedName name="BEx004791UAJIJSN57OT7YBLNP82" localSheetId="4" hidden="1">#REF!</definedName>
    <definedName name="BEx004791UAJIJSN57OT7YBLNP82" localSheetId="1" hidden="1">#REF!</definedName>
    <definedName name="BEx004791UAJIJSN57OT7YBLNP82" localSheetId="9" hidden="1">#REF!</definedName>
    <definedName name="BEx004791UAJIJSN57OT7YBLNP82" hidden="1">#REF!</definedName>
    <definedName name="BEx008P2NVFDLBHL7IZ5WTMVOQ1F" localSheetId="56" hidden="1">#REF!</definedName>
    <definedName name="BEx008P2NVFDLBHL7IZ5WTMVOQ1F" localSheetId="55" hidden="1">#REF!</definedName>
    <definedName name="BEx008P2NVFDLBHL7IZ5WTMVOQ1F" localSheetId="4" hidden="1">#REF!</definedName>
    <definedName name="BEx008P2NVFDLBHL7IZ5WTMVOQ1F" localSheetId="1" hidden="1">#REF!</definedName>
    <definedName name="BEx008P2NVFDLBHL7IZ5WTMVOQ1F" localSheetId="9" hidden="1">#REF!</definedName>
    <definedName name="BEx008P2NVFDLBHL7IZ5WTMVOQ1F" hidden="1">#REF!</definedName>
    <definedName name="BEx009G00IN0JUIAQ4WE9NHTMQE2" localSheetId="56" hidden="1">#REF!</definedName>
    <definedName name="BEx009G00IN0JUIAQ4WE9NHTMQE2" localSheetId="55" hidden="1">#REF!</definedName>
    <definedName name="BEx009G00IN0JUIAQ4WE9NHTMQE2" localSheetId="4" hidden="1">#REF!</definedName>
    <definedName name="BEx009G00IN0JUIAQ4WE9NHTMQE2" localSheetId="1" hidden="1">#REF!</definedName>
    <definedName name="BEx009G00IN0JUIAQ4WE9NHTMQE2" localSheetId="9" hidden="1">#REF!</definedName>
    <definedName name="BEx009G00IN0JUIAQ4WE9NHTMQE2" hidden="1">#REF!</definedName>
    <definedName name="BEx00DXTY2JDVGWQKV8H7FG4SV30" localSheetId="56" hidden="1">#REF!</definedName>
    <definedName name="BEx00DXTY2JDVGWQKV8H7FG4SV30" localSheetId="55" hidden="1">#REF!</definedName>
    <definedName name="BEx00DXTY2JDVGWQKV8H7FG4SV30" localSheetId="4" hidden="1">#REF!</definedName>
    <definedName name="BEx00DXTY2JDVGWQKV8H7FG4SV30" localSheetId="1" hidden="1">#REF!</definedName>
    <definedName name="BEx00DXTY2JDVGWQKV8H7FG4SV30" localSheetId="9" hidden="1">#REF!</definedName>
    <definedName name="BEx00DXTY2JDVGWQKV8H7FG4SV30" hidden="1">#REF!</definedName>
    <definedName name="BEx00GHLTYRH5N2S6P78YW1CD30N" localSheetId="56" hidden="1">#REF!</definedName>
    <definedName name="BEx00GHLTYRH5N2S6P78YW1CD30N" localSheetId="55" hidden="1">#REF!</definedName>
    <definedName name="BEx00GHLTYRH5N2S6P78YW1CD30N" localSheetId="4" hidden="1">#REF!</definedName>
    <definedName name="BEx00GHLTYRH5N2S6P78YW1CD30N" localSheetId="1" hidden="1">#REF!</definedName>
    <definedName name="BEx00GHLTYRH5N2S6P78YW1CD30N" localSheetId="9" hidden="1">#REF!</definedName>
    <definedName name="BEx00GHLTYRH5N2S6P78YW1CD30N" hidden="1">#REF!</definedName>
    <definedName name="BEx00JC31DY11L45SEU4B10BIN6W" localSheetId="56" hidden="1">#REF!</definedName>
    <definedName name="BEx00JC31DY11L45SEU4B10BIN6W" localSheetId="55" hidden="1">#REF!</definedName>
    <definedName name="BEx00JC31DY11L45SEU4B10BIN6W" localSheetId="4" hidden="1">#REF!</definedName>
    <definedName name="BEx00JC31DY11L45SEU4B10BIN6W" localSheetId="1" hidden="1">#REF!</definedName>
    <definedName name="BEx00JC31DY11L45SEU4B10BIN6W" localSheetId="9" hidden="1">#REF!</definedName>
    <definedName name="BEx00JC31DY11L45SEU4B10BIN6W" hidden="1">#REF!</definedName>
    <definedName name="BEx00KZHZBHP3TDV1YMX4B19B95O" localSheetId="56" hidden="1">#REF!</definedName>
    <definedName name="BEx00KZHZBHP3TDV1YMX4B19B95O" localSheetId="55" hidden="1">#REF!</definedName>
    <definedName name="BEx00KZHZBHP3TDV1YMX4B19B95O" localSheetId="4" hidden="1">#REF!</definedName>
    <definedName name="BEx00KZHZBHP3TDV1YMX4B19B95O" localSheetId="1" hidden="1">#REF!</definedName>
    <definedName name="BEx00KZHZBHP3TDV1YMX4B19B95O" localSheetId="9" hidden="1">#REF!</definedName>
    <definedName name="BEx00KZHZBHP3TDV1YMX4B19B95O" hidden="1">#REF!</definedName>
    <definedName name="BEx00P11V7HA4MS6XYY3P4BPVXML" localSheetId="56" hidden="1">#REF!</definedName>
    <definedName name="BEx00P11V7HA4MS6XYY3P4BPVXML" localSheetId="55" hidden="1">#REF!</definedName>
    <definedName name="BEx00P11V7HA4MS6XYY3P4BPVXML" localSheetId="4" hidden="1">#REF!</definedName>
    <definedName name="BEx00P11V7HA4MS6XYY3P4BPVXML" localSheetId="1" hidden="1">#REF!</definedName>
    <definedName name="BEx00P11V7HA4MS6XYY3P4BPVXML" localSheetId="9" hidden="1">#REF!</definedName>
    <definedName name="BEx00P11V7HA4MS6XYY3P4BPVXML" hidden="1">#REF!</definedName>
    <definedName name="BEx00PBV7V99V7M3LDYUTF31MUFJ" localSheetId="56" hidden="1">#REF!</definedName>
    <definedName name="BEx00PBV7V99V7M3LDYUTF31MUFJ" localSheetId="55" hidden="1">#REF!</definedName>
    <definedName name="BEx00PBV7V99V7M3LDYUTF31MUFJ" localSheetId="4" hidden="1">#REF!</definedName>
    <definedName name="BEx00PBV7V99V7M3LDYUTF31MUFJ" localSheetId="1" hidden="1">#REF!</definedName>
    <definedName name="BEx00PBV7V99V7M3LDYUTF31MUFJ" localSheetId="9" hidden="1">#REF!</definedName>
    <definedName name="BEx00PBV7V99V7M3LDYUTF31MUFJ" hidden="1">#REF!</definedName>
    <definedName name="BEx00SMIQJ55EVB7T24CORX0JWQO" localSheetId="56" hidden="1">#REF!</definedName>
    <definedName name="BEx00SMIQJ55EVB7T24CORX0JWQO" localSheetId="55" hidden="1">#REF!</definedName>
    <definedName name="BEx00SMIQJ55EVB7T24CORX0JWQO" localSheetId="4" hidden="1">#REF!</definedName>
    <definedName name="BEx00SMIQJ55EVB7T24CORX0JWQO" localSheetId="1" hidden="1">#REF!</definedName>
    <definedName name="BEx00SMIQJ55EVB7T24CORX0JWQO" localSheetId="9" hidden="1">#REF!</definedName>
    <definedName name="BEx00SMIQJ55EVB7T24CORX0JWQO" hidden="1">#REF!</definedName>
    <definedName name="BEx010V7DB7O7Z9NHSX27HZK4H76" localSheetId="56" hidden="1">#REF!</definedName>
    <definedName name="BEx010V7DB7O7Z9NHSX27HZK4H76" localSheetId="55" hidden="1">#REF!</definedName>
    <definedName name="BEx010V7DB7O7Z9NHSX27HZK4H76" localSheetId="4" hidden="1">#REF!</definedName>
    <definedName name="BEx010V7DB7O7Z9NHSX27HZK4H76" localSheetId="1" hidden="1">#REF!</definedName>
    <definedName name="BEx010V7DB7O7Z9NHSX27HZK4H76" localSheetId="9" hidden="1">#REF!</definedName>
    <definedName name="BEx010V7DB7O7Z9NHSX27HZK4H76" hidden="1">#REF!</definedName>
    <definedName name="BEx012IKS6YVHG9KTG2FAKRSMYLU" localSheetId="56" hidden="1">#REF!</definedName>
    <definedName name="BEx012IKS6YVHG9KTG2FAKRSMYLU" localSheetId="55" hidden="1">#REF!</definedName>
    <definedName name="BEx012IKS6YVHG9KTG2FAKRSMYLU" localSheetId="4" hidden="1">#REF!</definedName>
    <definedName name="BEx012IKS6YVHG9KTG2FAKRSMYLU" localSheetId="1" hidden="1">#REF!</definedName>
    <definedName name="BEx012IKS6YVHG9KTG2FAKRSMYLU" localSheetId="9" hidden="1">#REF!</definedName>
    <definedName name="BEx012IKS6YVHG9KTG2FAKRSMYLU" hidden="1">#REF!</definedName>
    <definedName name="BEx01HY6E3GJ66ABU5ABN26V6Q13" localSheetId="56" hidden="1">#REF!</definedName>
    <definedName name="BEx01HY6E3GJ66ABU5ABN26V6Q13" localSheetId="55" hidden="1">#REF!</definedName>
    <definedName name="BEx01HY6E3GJ66ABU5ABN26V6Q13" localSheetId="4" hidden="1">#REF!</definedName>
    <definedName name="BEx01HY6E3GJ66ABU5ABN26V6Q13" localSheetId="1" hidden="1">#REF!</definedName>
    <definedName name="BEx01HY6E3GJ66ABU5ABN26V6Q13" localSheetId="9" hidden="1">#REF!</definedName>
    <definedName name="BEx01HY6E3GJ66ABU5ABN26V6Q13" hidden="1">#REF!</definedName>
    <definedName name="BEx01PW5YQKEGAR8JDDI5OARYXDF" localSheetId="56" hidden="1">#REF!</definedName>
    <definedName name="BEx01PW5YQKEGAR8JDDI5OARYXDF" localSheetId="55" hidden="1">#REF!</definedName>
    <definedName name="BEx01PW5YQKEGAR8JDDI5OARYXDF" localSheetId="4" hidden="1">#REF!</definedName>
    <definedName name="BEx01PW5YQKEGAR8JDDI5OARYXDF" localSheetId="1" hidden="1">#REF!</definedName>
    <definedName name="BEx01PW5YQKEGAR8JDDI5OARYXDF" localSheetId="9" hidden="1">#REF!</definedName>
    <definedName name="BEx01PW5YQKEGAR8JDDI5OARYXDF" hidden="1">#REF!</definedName>
    <definedName name="BEx01QCB2ERCAYYOFDP3OQRWUU60" localSheetId="56" hidden="1">#REF!</definedName>
    <definedName name="BEx01QCB2ERCAYYOFDP3OQRWUU60" localSheetId="55" hidden="1">#REF!</definedName>
    <definedName name="BEx01QCB2ERCAYYOFDP3OQRWUU60" localSheetId="4" hidden="1">#REF!</definedName>
    <definedName name="BEx01QCB2ERCAYYOFDP3OQRWUU60" localSheetId="1" hidden="1">#REF!</definedName>
    <definedName name="BEx01QCB2ERCAYYOFDP3OQRWUU60" localSheetId="9" hidden="1">#REF!</definedName>
    <definedName name="BEx01QCB2ERCAYYOFDP3OQRWUU60" hidden="1">#REF!</definedName>
    <definedName name="BEx01U37NQSMTGJRU8EGTJORBJ6H" localSheetId="56" hidden="1">#REF!</definedName>
    <definedName name="BEx01U37NQSMTGJRU8EGTJORBJ6H" localSheetId="55" hidden="1">#REF!</definedName>
    <definedName name="BEx01U37NQSMTGJRU8EGTJORBJ6H" localSheetId="4" hidden="1">#REF!</definedName>
    <definedName name="BEx01U37NQSMTGJRU8EGTJORBJ6H" localSheetId="1" hidden="1">#REF!</definedName>
    <definedName name="BEx01U37NQSMTGJRU8EGTJORBJ6H" localSheetId="9" hidden="1">#REF!</definedName>
    <definedName name="BEx01U37NQSMTGJRU8EGTJORBJ6H" hidden="1">#REF!</definedName>
    <definedName name="BEx01XJ94SHJ1YQ7ORPW0RQGKI2H" localSheetId="56" hidden="1">#REF!</definedName>
    <definedName name="BEx01XJ94SHJ1YQ7ORPW0RQGKI2H" localSheetId="55" hidden="1">#REF!</definedName>
    <definedName name="BEx01XJ94SHJ1YQ7ORPW0RQGKI2H" localSheetId="4" hidden="1">#REF!</definedName>
    <definedName name="BEx01XJ94SHJ1YQ7ORPW0RQGKI2H" localSheetId="1" hidden="1">#REF!</definedName>
    <definedName name="BEx01XJ94SHJ1YQ7ORPW0RQGKI2H" localSheetId="9" hidden="1">#REF!</definedName>
    <definedName name="BEx01XJ94SHJ1YQ7ORPW0RQGKI2H" hidden="1">#REF!</definedName>
    <definedName name="BEx028BOZCS2MQO9MODVS6F7NCA3" localSheetId="56" hidden="1">#REF!</definedName>
    <definedName name="BEx028BOZCS2MQO9MODVS6F7NCA3" localSheetId="55" hidden="1">#REF!</definedName>
    <definedName name="BEx028BOZCS2MQO9MODVS6F7NCA3" localSheetId="4" hidden="1">#REF!</definedName>
    <definedName name="BEx028BOZCS2MQO9MODVS6F7NCA3" localSheetId="1" hidden="1">#REF!</definedName>
    <definedName name="BEx028BOZCS2MQO9MODVS6F7NCA3" localSheetId="9" hidden="1">#REF!</definedName>
    <definedName name="BEx028BOZCS2MQO9MODVS6F7NCA3" hidden="1">#REF!</definedName>
    <definedName name="BEx02DPUYNH76938V8GVORY8LRY1" localSheetId="56" hidden="1">#REF!</definedName>
    <definedName name="BEx02DPUYNH76938V8GVORY8LRY1" localSheetId="55" hidden="1">#REF!</definedName>
    <definedName name="BEx02DPUYNH76938V8GVORY8LRY1" localSheetId="4" hidden="1">#REF!</definedName>
    <definedName name="BEx02DPUYNH76938V8GVORY8LRY1" localSheetId="1" hidden="1">#REF!</definedName>
    <definedName name="BEx02DPUYNH76938V8GVORY8LRY1" localSheetId="9" hidden="1">#REF!</definedName>
    <definedName name="BEx02DPUYNH76938V8GVORY8LRY1" hidden="1">#REF!</definedName>
    <definedName name="BEx02PEP6DY4K1JGB0HHS3B6QOGZ" localSheetId="56" hidden="1">#REF!</definedName>
    <definedName name="BEx02PEP6DY4K1JGB0HHS3B6QOGZ" localSheetId="55" hidden="1">#REF!</definedName>
    <definedName name="BEx02PEP6DY4K1JGB0HHS3B6QOGZ" localSheetId="4" hidden="1">#REF!</definedName>
    <definedName name="BEx02PEP6DY4K1JGB0HHS3B6QOGZ" localSheetId="1" hidden="1">#REF!</definedName>
    <definedName name="BEx02PEP6DY4K1JGB0HHS3B6QOGZ" localSheetId="9" hidden="1">#REF!</definedName>
    <definedName name="BEx02PEP6DY4K1JGB0HHS3B6QOGZ" hidden="1">#REF!</definedName>
    <definedName name="BEx02Q08R9G839Q4RFGG9026C7PX" localSheetId="56" hidden="1">#REF!</definedName>
    <definedName name="BEx02Q08R9G839Q4RFGG9026C7PX" localSheetId="55" hidden="1">#REF!</definedName>
    <definedName name="BEx02Q08R9G839Q4RFGG9026C7PX" localSheetId="4" hidden="1">#REF!</definedName>
    <definedName name="BEx02Q08R9G839Q4RFGG9026C7PX" localSheetId="1" hidden="1">#REF!</definedName>
    <definedName name="BEx02Q08R9G839Q4RFGG9026C7PX" localSheetId="9" hidden="1">#REF!</definedName>
    <definedName name="BEx02Q08R9G839Q4RFGG9026C7PX" hidden="1">#REF!</definedName>
    <definedName name="BEx02SEL3Z1QWGAHXDPUA9WLTTPS" localSheetId="56" hidden="1">#REF!</definedName>
    <definedName name="BEx02SEL3Z1QWGAHXDPUA9WLTTPS" localSheetId="55" hidden="1">#REF!</definedName>
    <definedName name="BEx02SEL3Z1QWGAHXDPUA9WLTTPS" localSheetId="4" hidden="1">#REF!</definedName>
    <definedName name="BEx02SEL3Z1QWGAHXDPUA9WLTTPS" localSheetId="1" hidden="1">#REF!</definedName>
    <definedName name="BEx02SEL3Z1QWGAHXDPUA9WLTTPS" localSheetId="9" hidden="1">#REF!</definedName>
    <definedName name="BEx02SEL3Z1QWGAHXDPUA9WLTTPS" hidden="1">#REF!</definedName>
    <definedName name="BEx02Y3KJZH5BGDM9QEZ1PVVI114" localSheetId="56" hidden="1">#REF!</definedName>
    <definedName name="BEx02Y3KJZH5BGDM9QEZ1PVVI114" localSheetId="55" hidden="1">#REF!</definedName>
    <definedName name="BEx02Y3KJZH5BGDM9QEZ1PVVI114" localSheetId="4" hidden="1">#REF!</definedName>
    <definedName name="BEx02Y3KJZH5BGDM9QEZ1PVVI114" localSheetId="1" hidden="1">#REF!</definedName>
    <definedName name="BEx02Y3KJZH5BGDM9QEZ1PVVI114" localSheetId="9" hidden="1">#REF!</definedName>
    <definedName name="BEx02Y3KJZH5BGDM9QEZ1PVVI114" hidden="1">#REF!</definedName>
    <definedName name="BEx0313GRLLASDTVPW5DHTXHE74M" localSheetId="56" hidden="1">#REF!</definedName>
    <definedName name="BEx0313GRLLASDTVPW5DHTXHE74M" localSheetId="55" hidden="1">#REF!</definedName>
    <definedName name="BEx0313GRLLASDTVPW5DHTXHE74M" localSheetId="4" hidden="1">#REF!</definedName>
    <definedName name="BEx0313GRLLASDTVPW5DHTXHE74M" localSheetId="1" hidden="1">#REF!</definedName>
    <definedName name="BEx0313GRLLASDTVPW5DHTXHE74M" localSheetId="9" hidden="1">#REF!</definedName>
    <definedName name="BEx0313GRLLASDTVPW5DHTXHE74M" hidden="1">#REF!</definedName>
    <definedName name="BEx1F0SOZ3H5XUHXD7O01TCR8T6J" localSheetId="56" hidden="1">#REF!</definedName>
    <definedName name="BEx1F0SOZ3H5XUHXD7O01TCR8T6J" localSheetId="55" hidden="1">#REF!</definedName>
    <definedName name="BEx1F0SOZ3H5XUHXD7O01TCR8T6J" localSheetId="4" hidden="1">#REF!</definedName>
    <definedName name="BEx1F0SOZ3H5XUHXD7O01TCR8T6J" localSheetId="1" hidden="1">#REF!</definedName>
    <definedName name="BEx1F0SOZ3H5XUHXD7O01TCR8T6J" localSheetId="9" hidden="1">#REF!</definedName>
    <definedName name="BEx1F0SOZ3H5XUHXD7O01TCR8T6J" hidden="1">#REF!</definedName>
    <definedName name="BEx1F9HL824UCNCVZ2U62J4KZCX8" localSheetId="56" hidden="1">#REF!</definedName>
    <definedName name="BEx1F9HL824UCNCVZ2U62J4KZCX8" localSheetId="55" hidden="1">#REF!</definedName>
    <definedName name="BEx1F9HL824UCNCVZ2U62J4KZCX8" localSheetId="4" hidden="1">#REF!</definedName>
    <definedName name="BEx1F9HL824UCNCVZ2U62J4KZCX8" localSheetId="1" hidden="1">#REF!</definedName>
    <definedName name="BEx1F9HL824UCNCVZ2U62J4KZCX8" localSheetId="9" hidden="1">#REF!</definedName>
    <definedName name="BEx1F9HL824UCNCVZ2U62J4KZCX8" hidden="1">#REF!</definedName>
    <definedName name="BEx1FEVSJKTI1Q1Z874QZVFSJSVA" localSheetId="56" hidden="1">#REF!</definedName>
    <definedName name="BEx1FEVSJKTI1Q1Z874QZVFSJSVA" localSheetId="55" hidden="1">#REF!</definedName>
    <definedName name="BEx1FEVSJKTI1Q1Z874QZVFSJSVA" localSheetId="4" hidden="1">#REF!</definedName>
    <definedName name="BEx1FEVSJKTI1Q1Z874QZVFSJSVA" localSheetId="1" hidden="1">#REF!</definedName>
    <definedName name="BEx1FEVSJKTI1Q1Z874QZVFSJSVA" localSheetId="9" hidden="1">#REF!</definedName>
    <definedName name="BEx1FEVSJKTI1Q1Z874QZVFSJSVA" hidden="1">#REF!</definedName>
    <definedName name="BEx1FGDRUHHLI1GBHELT4PK0LY4V" localSheetId="56" hidden="1">#REF!</definedName>
    <definedName name="BEx1FGDRUHHLI1GBHELT4PK0LY4V" localSheetId="55" hidden="1">#REF!</definedName>
    <definedName name="BEx1FGDRUHHLI1GBHELT4PK0LY4V" localSheetId="4" hidden="1">#REF!</definedName>
    <definedName name="BEx1FGDRUHHLI1GBHELT4PK0LY4V" localSheetId="1" hidden="1">#REF!</definedName>
    <definedName name="BEx1FGDRUHHLI1GBHELT4PK0LY4V" localSheetId="9" hidden="1">#REF!</definedName>
    <definedName name="BEx1FGDRUHHLI1GBHELT4PK0LY4V" hidden="1">#REF!</definedName>
    <definedName name="BEx1FJZ7GKO99IYTP6GGGF7EUL3Z" localSheetId="56" hidden="1">#REF!</definedName>
    <definedName name="BEx1FJZ7GKO99IYTP6GGGF7EUL3Z" localSheetId="55" hidden="1">#REF!</definedName>
    <definedName name="BEx1FJZ7GKO99IYTP6GGGF7EUL3Z" localSheetId="4" hidden="1">#REF!</definedName>
    <definedName name="BEx1FJZ7GKO99IYTP6GGGF7EUL3Z" localSheetId="1" hidden="1">#REF!</definedName>
    <definedName name="BEx1FJZ7GKO99IYTP6GGGF7EUL3Z" localSheetId="9" hidden="1">#REF!</definedName>
    <definedName name="BEx1FJZ7GKO99IYTP6GGGF7EUL3Z" hidden="1">#REF!</definedName>
    <definedName name="BEx1FPDH0YKYQXDHUTFIQLIF34J8" localSheetId="56" hidden="1">#REF!</definedName>
    <definedName name="BEx1FPDH0YKYQXDHUTFIQLIF34J8" localSheetId="55" hidden="1">#REF!</definedName>
    <definedName name="BEx1FPDH0YKYQXDHUTFIQLIF34J8" localSheetId="4" hidden="1">#REF!</definedName>
    <definedName name="BEx1FPDH0YKYQXDHUTFIQLIF34J8" localSheetId="1" hidden="1">#REF!</definedName>
    <definedName name="BEx1FPDH0YKYQXDHUTFIQLIF34J8" localSheetId="9" hidden="1">#REF!</definedName>
    <definedName name="BEx1FPDH0YKYQXDHUTFIQLIF34J8" hidden="1">#REF!</definedName>
    <definedName name="BEx1FQ9SZAGL2HEKRB046EOQDWOX" localSheetId="56" hidden="1">#REF!</definedName>
    <definedName name="BEx1FQ9SZAGL2HEKRB046EOQDWOX" localSheetId="55" hidden="1">#REF!</definedName>
    <definedName name="BEx1FQ9SZAGL2HEKRB046EOQDWOX" localSheetId="4" hidden="1">#REF!</definedName>
    <definedName name="BEx1FQ9SZAGL2HEKRB046EOQDWOX" localSheetId="1" hidden="1">#REF!</definedName>
    <definedName name="BEx1FQ9SZAGL2HEKRB046EOQDWOX" localSheetId="9" hidden="1">#REF!</definedName>
    <definedName name="BEx1FQ9SZAGL2HEKRB046EOQDWOX" hidden="1">#REF!</definedName>
    <definedName name="BEx1FZV2CM77TBH1R6YYV9P06KA2" localSheetId="56" hidden="1">#REF!</definedName>
    <definedName name="BEx1FZV2CM77TBH1R6YYV9P06KA2" localSheetId="55" hidden="1">#REF!</definedName>
    <definedName name="BEx1FZV2CM77TBH1R6YYV9P06KA2" localSheetId="4" hidden="1">#REF!</definedName>
    <definedName name="BEx1FZV2CM77TBH1R6YYV9P06KA2" localSheetId="1" hidden="1">#REF!</definedName>
    <definedName name="BEx1FZV2CM77TBH1R6YYV9P06KA2" localSheetId="9" hidden="1">#REF!</definedName>
    <definedName name="BEx1FZV2CM77TBH1R6YYV9P06KA2" hidden="1">#REF!</definedName>
    <definedName name="BEx1G59AY8195JTUM6P18VXUFJ3E" localSheetId="56" hidden="1">#REF!</definedName>
    <definedName name="BEx1G59AY8195JTUM6P18VXUFJ3E" localSheetId="55" hidden="1">#REF!</definedName>
    <definedName name="BEx1G59AY8195JTUM6P18VXUFJ3E" localSheetId="4" hidden="1">#REF!</definedName>
    <definedName name="BEx1G59AY8195JTUM6P18VXUFJ3E" localSheetId="1" hidden="1">#REF!</definedName>
    <definedName name="BEx1G59AY8195JTUM6P18VXUFJ3E" localSheetId="9" hidden="1">#REF!</definedName>
    <definedName name="BEx1G59AY8195JTUM6P18VXUFJ3E" hidden="1">#REF!</definedName>
    <definedName name="BEx1GKUDMCV60BOZT0SENCT0MD8L" localSheetId="56" hidden="1">#REF!</definedName>
    <definedName name="BEx1GKUDMCV60BOZT0SENCT0MD8L" localSheetId="55" hidden="1">#REF!</definedName>
    <definedName name="BEx1GKUDMCV60BOZT0SENCT0MD8L" localSheetId="4" hidden="1">#REF!</definedName>
    <definedName name="BEx1GKUDMCV60BOZT0SENCT0MD8L" localSheetId="1" hidden="1">#REF!</definedName>
    <definedName name="BEx1GKUDMCV60BOZT0SENCT0MD8L" localSheetId="9" hidden="1">#REF!</definedName>
    <definedName name="BEx1GKUDMCV60BOZT0SENCT0MD8L" hidden="1">#REF!</definedName>
    <definedName name="BEx1GUVQ5L0JCX3E4SROI4WBYVTO" localSheetId="56" hidden="1">#REF!</definedName>
    <definedName name="BEx1GUVQ5L0JCX3E4SROI4WBYVTO" localSheetId="55" hidden="1">#REF!</definedName>
    <definedName name="BEx1GUVQ5L0JCX3E4SROI4WBYVTO" localSheetId="4" hidden="1">#REF!</definedName>
    <definedName name="BEx1GUVQ5L0JCX3E4SROI4WBYVTO" localSheetId="1" hidden="1">#REF!</definedName>
    <definedName name="BEx1GUVQ5L0JCX3E4SROI4WBYVTO" localSheetId="9" hidden="1">#REF!</definedName>
    <definedName name="BEx1GUVQ5L0JCX3E4SROI4WBYVTO" hidden="1">#REF!</definedName>
    <definedName name="BEx1GVMRHFXUP6XYYY9NR12PV5TF" localSheetId="56" hidden="1">#REF!</definedName>
    <definedName name="BEx1GVMRHFXUP6XYYY9NR12PV5TF" localSheetId="55" hidden="1">#REF!</definedName>
    <definedName name="BEx1GVMRHFXUP6XYYY9NR12PV5TF" localSheetId="4" hidden="1">#REF!</definedName>
    <definedName name="BEx1GVMRHFXUP6XYYY9NR12PV5TF" localSheetId="1" hidden="1">#REF!</definedName>
    <definedName name="BEx1GVMRHFXUP6XYYY9NR12PV5TF" localSheetId="9" hidden="1">#REF!</definedName>
    <definedName name="BEx1GVMRHFXUP6XYYY9NR12PV5TF" hidden="1">#REF!</definedName>
    <definedName name="BEx1H6KIT7BHUH6MDDWC935V9N47" localSheetId="56" hidden="1">#REF!</definedName>
    <definedName name="BEx1H6KIT7BHUH6MDDWC935V9N47" localSheetId="55" hidden="1">#REF!</definedName>
    <definedName name="BEx1H6KIT7BHUH6MDDWC935V9N47" localSheetId="4" hidden="1">#REF!</definedName>
    <definedName name="BEx1H6KIT7BHUH6MDDWC935V9N47" localSheetId="1" hidden="1">#REF!</definedName>
    <definedName name="BEx1H6KIT7BHUH6MDDWC935V9N47" localSheetId="9" hidden="1">#REF!</definedName>
    <definedName name="BEx1H6KIT7BHUH6MDDWC935V9N47" hidden="1">#REF!</definedName>
    <definedName name="BEx1HA60AI3STEJQZAQ0RA3Q3AZV" localSheetId="56" hidden="1">#REF!</definedName>
    <definedName name="BEx1HA60AI3STEJQZAQ0RA3Q3AZV" localSheetId="55" hidden="1">#REF!</definedName>
    <definedName name="BEx1HA60AI3STEJQZAQ0RA3Q3AZV" localSheetId="4" hidden="1">#REF!</definedName>
    <definedName name="BEx1HA60AI3STEJQZAQ0RA3Q3AZV" localSheetId="1" hidden="1">#REF!</definedName>
    <definedName name="BEx1HA60AI3STEJQZAQ0RA3Q3AZV" localSheetId="9" hidden="1">#REF!</definedName>
    <definedName name="BEx1HA60AI3STEJQZAQ0RA3Q3AZV" hidden="1">#REF!</definedName>
    <definedName name="BEx1HB2DBVO5N6V2WX7BEHUFYTFU" localSheetId="56" hidden="1">#REF!</definedName>
    <definedName name="BEx1HB2DBVO5N6V2WX7BEHUFYTFU" localSheetId="55" hidden="1">#REF!</definedName>
    <definedName name="BEx1HB2DBVO5N6V2WX7BEHUFYTFU" localSheetId="4" hidden="1">#REF!</definedName>
    <definedName name="BEx1HB2DBVO5N6V2WX7BEHUFYTFU" localSheetId="1" hidden="1">#REF!</definedName>
    <definedName name="BEx1HB2DBVO5N6V2WX7BEHUFYTFU" localSheetId="9" hidden="1">#REF!</definedName>
    <definedName name="BEx1HB2DBVO5N6V2WX7BEHUFYTFU" hidden="1">#REF!</definedName>
    <definedName name="BEx1HDGOOJ3SKHYMWUZJ1P0RQZ9N" localSheetId="56" hidden="1">#REF!</definedName>
    <definedName name="BEx1HDGOOJ3SKHYMWUZJ1P0RQZ9N" localSheetId="55" hidden="1">#REF!</definedName>
    <definedName name="BEx1HDGOOJ3SKHYMWUZJ1P0RQZ9N" localSheetId="4" hidden="1">#REF!</definedName>
    <definedName name="BEx1HDGOOJ3SKHYMWUZJ1P0RQZ9N" localSheetId="1" hidden="1">#REF!</definedName>
    <definedName name="BEx1HDGOOJ3SKHYMWUZJ1P0RQZ9N" localSheetId="9" hidden="1">#REF!</definedName>
    <definedName name="BEx1HDGOOJ3SKHYMWUZJ1P0RQZ9N" hidden="1">#REF!</definedName>
    <definedName name="BEx1HDM5ZXSJG6JQEMSFV52PZ10V" localSheetId="56" hidden="1">#REF!</definedName>
    <definedName name="BEx1HDM5ZXSJG6JQEMSFV52PZ10V" localSheetId="55" hidden="1">#REF!</definedName>
    <definedName name="BEx1HDM5ZXSJG6JQEMSFV52PZ10V" localSheetId="4" hidden="1">#REF!</definedName>
    <definedName name="BEx1HDM5ZXSJG6JQEMSFV52PZ10V" localSheetId="1" hidden="1">#REF!</definedName>
    <definedName name="BEx1HDM5ZXSJG6JQEMSFV52PZ10V" localSheetId="9" hidden="1">#REF!</definedName>
    <definedName name="BEx1HDM5ZXSJG6JQEMSFV52PZ10V" hidden="1">#REF!</definedName>
    <definedName name="BEx1HETBBZVN5F43LKOFMC4QB0CR" localSheetId="56" hidden="1">#REF!</definedName>
    <definedName name="BEx1HETBBZVN5F43LKOFMC4QB0CR" localSheetId="55" hidden="1">#REF!</definedName>
    <definedName name="BEx1HETBBZVN5F43LKOFMC4QB0CR" localSheetId="4" hidden="1">#REF!</definedName>
    <definedName name="BEx1HETBBZVN5F43LKOFMC4QB0CR" localSheetId="1" hidden="1">#REF!</definedName>
    <definedName name="BEx1HETBBZVN5F43LKOFMC4QB0CR" localSheetId="9" hidden="1">#REF!</definedName>
    <definedName name="BEx1HETBBZVN5F43LKOFMC4QB0CR" hidden="1">#REF!</definedName>
    <definedName name="BEx1HGWNWPLNXICOTP90TKQVVE4E" localSheetId="56" hidden="1">#REF!</definedName>
    <definedName name="BEx1HGWNWPLNXICOTP90TKQVVE4E" localSheetId="55" hidden="1">#REF!</definedName>
    <definedName name="BEx1HGWNWPLNXICOTP90TKQVVE4E" localSheetId="4" hidden="1">#REF!</definedName>
    <definedName name="BEx1HGWNWPLNXICOTP90TKQVVE4E" localSheetId="1" hidden="1">#REF!</definedName>
    <definedName name="BEx1HGWNWPLNXICOTP90TKQVVE4E" localSheetId="9" hidden="1">#REF!</definedName>
    <definedName name="BEx1HGWNWPLNXICOTP90TKQVVE4E" hidden="1">#REF!</definedName>
    <definedName name="BEx1HIPLJZABY0EMUOTZN0EQMDPU" localSheetId="56" hidden="1">#REF!</definedName>
    <definedName name="BEx1HIPLJZABY0EMUOTZN0EQMDPU" localSheetId="55" hidden="1">#REF!</definedName>
    <definedName name="BEx1HIPLJZABY0EMUOTZN0EQMDPU" localSheetId="4" hidden="1">#REF!</definedName>
    <definedName name="BEx1HIPLJZABY0EMUOTZN0EQMDPU" localSheetId="1" hidden="1">#REF!</definedName>
    <definedName name="BEx1HIPLJZABY0EMUOTZN0EQMDPU" localSheetId="9" hidden="1">#REF!</definedName>
    <definedName name="BEx1HIPLJZABY0EMUOTZN0EQMDPU" hidden="1">#REF!</definedName>
    <definedName name="BEx1HO94JIRX219MPWMB5E5XZ04X" localSheetId="56" hidden="1">#REF!</definedName>
    <definedName name="BEx1HO94JIRX219MPWMB5E5XZ04X" localSheetId="55" hidden="1">#REF!</definedName>
    <definedName name="BEx1HO94JIRX219MPWMB5E5XZ04X" localSheetId="4" hidden="1">#REF!</definedName>
    <definedName name="BEx1HO94JIRX219MPWMB5E5XZ04X" localSheetId="1" hidden="1">#REF!</definedName>
    <definedName name="BEx1HO94JIRX219MPWMB5E5XZ04X" localSheetId="9" hidden="1">#REF!</definedName>
    <definedName name="BEx1HO94JIRX219MPWMB5E5XZ04X" hidden="1">#REF!</definedName>
    <definedName name="BEx1HQNF6KHM21E3XLW0NMSSEI9S" localSheetId="56" hidden="1">#REF!</definedName>
    <definedName name="BEx1HQNF6KHM21E3XLW0NMSSEI9S" localSheetId="55" hidden="1">#REF!</definedName>
    <definedName name="BEx1HQNF6KHM21E3XLW0NMSSEI9S" localSheetId="4" hidden="1">#REF!</definedName>
    <definedName name="BEx1HQNF6KHM21E3XLW0NMSSEI9S" localSheetId="1" hidden="1">#REF!</definedName>
    <definedName name="BEx1HQNF6KHM21E3XLW0NMSSEI9S" localSheetId="9" hidden="1">#REF!</definedName>
    <definedName name="BEx1HQNF6KHM21E3XLW0NMSSEI9S" hidden="1">#REF!</definedName>
    <definedName name="BEx1HSLNWIW4S97ZBYY7I7M5YVH4" localSheetId="56" hidden="1">#REF!</definedName>
    <definedName name="BEx1HSLNWIW4S97ZBYY7I7M5YVH4" localSheetId="55" hidden="1">#REF!</definedName>
    <definedName name="BEx1HSLNWIW4S97ZBYY7I7M5YVH4" localSheetId="4" hidden="1">#REF!</definedName>
    <definedName name="BEx1HSLNWIW4S97ZBYY7I7M5YVH4" localSheetId="1" hidden="1">#REF!</definedName>
    <definedName name="BEx1HSLNWIW4S97ZBYY7I7M5YVH4" localSheetId="9" hidden="1">#REF!</definedName>
    <definedName name="BEx1HSLNWIW4S97ZBYY7I7M5YVH4" hidden="1">#REF!</definedName>
    <definedName name="BEx1HZCBBWLB2BTNOXP319ZDEVOJ" localSheetId="56" hidden="1">#REF!</definedName>
    <definedName name="BEx1HZCBBWLB2BTNOXP319ZDEVOJ" localSheetId="55" hidden="1">#REF!</definedName>
    <definedName name="BEx1HZCBBWLB2BTNOXP319ZDEVOJ" localSheetId="4" hidden="1">#REF!</definedName>
    <definedName name="BEx1HZCBBWLB2BTNOXP319ZDEVOJ" localSheetId="1" hidden="1">#REF!</definedName>
    <definedName name="BEx1HZCBBWLB2BTNOXP319ZDEVOJ" localSheetId="9" hidden="1">#REF!</definedName>
    <definedName name="BEx1HZCBBWLB2BTNOXP319ZDEVOJ" hidden="1">#REF!</definedName>
    <definedName name="BEx1I4QKTILCKZUSOJCVZN7SNHL5" localSheetId="56" hidden="1">#REF!</definedName>
    <definedName name="BEx1I4QKTILCKZUSOJCVZN7SNHL5" localSheetId="55" hidden="1">#REF!</definedName>
    <definedName name="BEx1I4QKTILCKZUSOJCVZN7SNHL5" localSheetId="4" hidden="1">#REF!</definedName>
    <definedName name="BEx1I4QKTILCKZUSOJCVZN7SNHL5" localSheetId="1" hidden="1">#REF!</definedName>
    <definedName name="BEx1I4QKTILCKZUSOJCVZN7SNHL5" localSheetId="9" hidden="1">#REF!</definedName>
    <definedName name="BEx1I4QKTILCKZUSOJCVZN7SNHL5" hidden="1">#REF!</definedName>
    <definedName name="BEx1IE0ZP7RIFM9FI24S9I6AAJ14" localSheetId="56" hidden="1">#REF!</definedName>
    <definedName name="BEx1IE0ZP7RIFM9FI24S9I6AAJ14" localSheetId="55" hidden="1">#REF!</definedName>
    <definedName name="BEx1IE0ZP7RIFM9FI24S9I6AAJ14" localSheetId="4" hidden="1">#REF!</definedName>
    <definedName name="BEx1IE0ZP7RIFM9FI24S9I6AAJ14" localSheetId="1" hidden="1">#REF!</definedName>
    <definedName name="BEx1IE0ZP7RIFM9FI24S9I6AAJ14" localSheetId="9" hidden="1">#REF!</definedName>
    <definedName name="BEx1IE0ZP7RIFM9FI24S9I6AAJ14" hidden="1">#REF!</definedName>
    <definedName name="BEx1IGQ5B697MNDOE06MVSR0H58E" localSheetId="56" hidden="1">#REF!</definedName>
    <definedName name="BEx1IGQ5B697MNDOE06MVSR0H58E" localSheetId="55" hidden="1">#REF!</definedName>
    <definedName name="BEx1IGQ5B697MNDOE06MVSR0H58E" localSheetId="4" hidden="1">#REF!</definedName>
    <definedName name="BEx1IGQ5B697MNDOE06MVSR0H58E" localSheetId="1" hidden="1">#REF!</definedName>
    <definedName name="BEx1IGQ5B697MNDOE06MVSR0H58E" localSheetId="9" hidden="1">#REF!</definedName>
    <definedName name="BEx1IGQ5B697MNDOE06MVSR0H58E" hidden="1">#REF!</definedName>
    <definedName name="BEx1IKRPW8MLB9Y485M1TL2IT9SH" localSheetId="56" hidden="1">#REF!</definedName>
    <definedName name="BEx1IKRPW8MLB9Y485M1TL2IT9SH" localSheetId="55" hidden="1">#REF!</definedName>
    <definedName name="BEx1IKRPW8MLB9Y485M1TL2IT9SH" localSheetId="4" hidden="1">#REF!</definedName>
    <definedName name="BEx1IKRPW8MLB9Y485M1TL2IT9SH" localSheetId="1" hidden="1">#REF!</definedName>
    <definedName name="BEx1IKRPW8MLB9Y485M1TL2IT9SH" localSheetId="9" hidden="1">#REF!</definedName>
    <definedName name="BEx1IKRPW8MLB9Y485M1TL2IT9SH" hidden="1">#REF!</definedName>
    <definedName name="BEx1IPKCFCT3TL9MSO1LSYJ2VJ2X" localSheetId="56" hidden="1">#REF!</definedName>
    <definedName name="BEx1IPKCFCT3TL9MSO1LSYJ2VJ2X" localSheetId="55" hidden="1">#REF!</definedName>
    <definedName name="BEx1IPKCFCT3TL9MSO1LSYJ2VJ2X" localSheetId="4" hidden="1">#REF!</definedName>
    <definedName name="BEx1IPKCFCT3TL9MSO1LSYJ2VJ2X" localSheetId="1" hidden="1">#REF!</definedName>
    <definedName name="BEx1IPKCFCT3TL9MSO1LSYJ2VJ2X" localSheetId="9" hidden="1">#REF!</definedName>
    <definedName name="BEx1IPKCFCT3TL9MSO1LSYJ2VJ2X" hidden="1">#REF!</definedName>
    <definedName name="BEx1IW5PQTTMD62XZ287XF2O3FBQ" localSheetId="56" hidden="1">#REF!</definedName>
    <definedName name="BEx1IW5PQTTMD62XZ287XF2O3FBQ" localSheetId="55" hidden="1">#REF!</definedName>
    <definedName name="BEx1IW5PQTTMD62XZ287XF2O3FBQ" localSheetId="4" hidden="1">#REF!</definedName>
    <definedName name="BEx1IW5PQTTMD62XZ287XF2O3FBQ" localSheetId="1" hidden="1">#REF!</definedName>
    <definedName name="BEx1IW5PQTTMD62XZ287XF2O3FBQ" localSheetId="9" hidden="1">#REF!</definedName>
    <definedName name="BEx1IW5PQTTMD62XZ287XF2O3FBQ" hidden="1">#REF!</definedName>
    <definedName name="BEx1J0CSSHDJGBJUHVOEMCF2P4DL" localSheetId="56" hidden="1">#REF!</definedName>
    <definedName name="BEx1J0CSSHDJGBJUHVOEMCF2P4DL" localSheetId="55" hidden="1">#REF!</definedName>
    <definedName name="BEx1J0CSSHDJGBJUHVOEMCF2P4DL" localSheetId="4" hidden="1">#REF!</definedName>
    <definedName name="BEx1J0CSSHDJGBJUHVOEMCF2P4DL" localSheetId="1" hidden="1">#REF!</definedName>
    <definedName name="BEx1J0CSSHDJGBJUHVOEMCF2P4DL" localSheetId="9" hidden="1">#REF!</definedName>
    <definedName name="BEx1J0CSSHDJGBJUHVOEMCF2P4DL" hidden="1">#REF!</definedName>
    <definedName name="BEx1J0NL6D3ILC18B48AL0VNEN9A" localSheetId="56" hidden="1">#REF!</definedName>
    <definedName name="BEx1J0NL6D3ILC18B48AL0VNEN9A" localSheetId="55" hidden="1">#REF!</definedName>
    <definedName name="BEx1J0NL6D3ILC18B48AL0VNEN9A" localSheetId="4" hidden="1">#REF!</definedName>
    <definedName name="BEx1J0NL6D3ILC18B48AL0VNEN9A" localSheetId="1" hidden="1">#REF!</definedName>
    <definedName name="BEx1J0NL6D3ILC18B48AL0VNEN9A" localSheetId="9" hidden="1">#REF!</definedName>
    <definedName name="BEx1J0NL6D3ILC18B48AL0VNEN9A" hidden="1">#REF!</definedName>
    <definedName name="BEx1J7E8VCGLPYU82QXVUG5N3ZAI" localSheetId="56" hidden="1">#REF!</definedName>
    <definedName name="BEx1J7E8VCGLPYU82QXVUG5N3ZAI" localSheetId="55" hidden="1">#REF!</definedName>
    <definedName name="BEx1J7E8VCGLPYU82QXVUG5N3ZAI" localSheetId="4" hidden="1">#REF!</definedName>
    <definedName name="BEx1J7E8VCGLPYU82QXVUG5N3ZAI" localSheetId="1" hidden="1">#REF!</definedName>
    <definedName name="BEx1J7E8VCGLPYU82QXVUG5N3ZAI" localSheetId="9" hidden="1">#REF!</definedName>
    <definedName name="BEx1J7E8VCGLPYU82QXVUG5N3ZAI" hidden="1">#REF!</definedName>
    <definedName name="BEx1JGE2YQWH8S25USOY08XVGO0D" localSheetId="56" hidden="1">#REF!</definedName>
    <definedName name="BEx1JGE2YQWH8S25USOY08XVGO0D" localSheetId="55" hidden="1">#REF!</definedName>
    <definedName name="BEx1JGE2YQWH8S25USOY08XVGO0D" localSheetId="4" hidden="1">#REF!</definedName>
    <definedName name="BEx1JGE2YQWH8S25USOY08XVGO0D" localSheetId="1" hidden="1">#REF!</definedName>
    <definedName name="BEx1JGE2YQWH8S25USOY08XVGO0D" localSheetId="9" hidden="1">#REF!</definedName>
    <definedName name="BEx1JGE2YQWH8S25USOY08XVGO0D" hidden="1">#REF!</definedName>
    <definedName name="BEx1JJJC9T1W7HY4V7HP1S1W4JO1" localSheetId="56" hidden="1">#REF!</definedName>
    <definedName name="BEx1JJJC9T1W7HY4V7HP1S1W4JO1" localSheetId="55" hidden="1">#REF!</definedName>
    <definedName name="BEx1JJJC9T1W7HY4V7HP1S1W4JO1" localSheetId="4" hidden="1">#REF!</definedName>
    <definedName name="BEx1JJJC9T1W7HY4V7HP1S1W4JO1" localSheetId="1" hidden="1">#REF!</definedName>
    <definedName name="BEx1JJJC9T1W7HY4V7HP1S1W4JO1" localSheetId="9" hidden="1">#REF!</definedName>
    <definedName name="BEx1JJJC9T1W7HY4V7HP1S1W4JO1" hidden="1">#REF!</definedName>
    <definedName name="BEx1JKKZSJ7DI4PTFVI9VVFMB1X2" localSheetId="56" hidden="1">#REF!</definedName>
    <definedName name="BEx1JKKZSJ7DI4PTFVI9VVFMB1X2" localSheetId="55" hidden="1">#REF!</definedName>
    <definedName name="BEx1JKKZSJ7DI4PTFVI9VVFMB1X2" localSheetId="4" hidden="1">#REF!</definedName>
    <definedName name="BEx1JKKZSJ7DI4PTFVI9VVFMB1X2" localSheetId="1" hidden="1">#REF!</definedName>
    <definedName name="BEx1JKKZSJ7DI4PTFVI9VVFMB1X2" localSheetId="9" hidden="1">#REF!</definedName>
    <definedName name="BEx1JKKZSJ7DI4PTFVI9VVFMB1X2" hidden="1">#REF!</definedName>
    <definedName name="BEx1JUBQFRVMASSFK4B3V0AD7YP9" localSheetId="56" hidden="1">#REF!</definedName>
    <definedName name="BEx1JUBQFRVMASSFK4B3V0AD7YP9" localSheetId="55" hidden="1">#REF!</definedName>
    <definedName name="BEx1JUBQFRVMASSFK4B3V0AD7YP9" localSheetId="4" hidden="1">#REF!</definedName>
    <definedName name="BEx1JUBQFRVMASSFK4B3V0AD7YP9" localSheetId="1" hidden="1">#REF!</definedName>
    <definedName name="BEx1JUBQFRVMASSFK4B3V0AD7YP9" localSheetId="9" hidden="1">#REF!</definedName>
    <definedName name="BEx1JUBQFRVMASSFK4B3V0AD7YP9" hidden="1">#REF!</definedName>
    <definedName name="BEx1JVTOATZGRJFXGXPJJLC4DOBE" localSheetId="56" hidden="1">#REF!</definedName>
    <definedName name="BEx1JVTOATZGRJFXGXPJJLC4DOBE" localSheetId="55" hidden="1">#REF!</definedName>
    <definedName name="BEx1JVTOATZGRJFXGXPJJLC4DOBE" localSheetId="4" hidden="1">#REF!</definedName>
    <definedName name="BEx1JVTOATZGRJFXGXPJJLC4DOBE" localSheetId="1" hidden="1">#REF!</definedName>
    <definedName name="BEx1JVTOATZGRJFXGXPJJLC4DOBE" localSheetId="9" hidden="1">#REF!</definedName>
    <definedName name="BEx1JVTOATZGRJFXGXPJJLC4DOBE" hidden="1">#REF!</definedName>
    <definedName name="BEx1JXBM5W4YRWNQ0P95QQS6JWD6" localSheetId="56" hidden="1">#REF!</definedName>
    <definedName name="BEx1JXBM5W4YRWNQ0P95QQS6JWD6" localSheetId="55" hidden="1">#REF!</definedName>
    <definedName name="BEx1JXBM5W4YRWNQ0P95QQS6JWD6" localSheetId="4" hidden="1">#REF!</definedName>
    <definedName name="BEx1JXBM5W4YRWNQ0P95QQS6JWD6" localSheetId="1" hidden="1">#REF!</definedName>
    <definedName name="BEx1JXBM5W4YRWNQ0P95QQS6JWD6" localSheetId="9" hidden="1">#REF!</definedName>
    <definedName name="BEx1JXBM5W4YRWNQ0P95QQS6JWD6" hidden="1">#REF!</definedName>
    <definedName name="BEx1KGY9QEHZ9QSARMQUTQKRK4UX" localSheetId="56" hidden="1">#REF!</definedName>
    <definedName name="BEx1KGY9QEHZ9QSARMQUTQKRK4UX" localSheetId="55" hidden="1">#REF!</definedName>
    <definedName name="BEx1KGY9QEHZ9QSARMQUTQKRK4UX" localSheetId="4" hidden="1">#REF!</definedName>
    <definedName name="BEx1KGY9QEHZ9QSARMQUTQKRK4UX" localSheetId="1" hidden="1">#REF!</definedName>
    <definedName name="BEx1KGY9QEHZ9QSARMQUTQKRK4UX" localSheetId="9" hidden="1">#REF!</definedName>
    <definedName name="BEx1KGY9QEHZ9QSARMQUTQKRK4UX" hidden="1">#REF!</definedName>
    <definedName name="BEx1KIWH5MOLR00SBECT39NS3AJ1" localSheetId="56" hidden="1">#REF!</definedName>
    <definedName name="BEx1KIWH5MOLR00SBECT39NS3AJ1" localSheetId="55" hidden="1">#REF!</definedName>
    <definedName name="BEx1KIWH5MOLR00SBECT39NS3AJ1" localSheetId="4" hidden="1">#REF!</definedName>
    <definedName name="BEx1KIWH5MOLR00SBECT39NS3AJ1" localSheetId="1" hidden="1">#REF!</definedName>
    <definedName name="BEx1KIWH5MOLR00SBECT39NS3AJ1" localSheetId="9" hidden="1">#REF!</definedName>
    <definedName name="BEx1KIWH5MOLR00SBECT39NS3AJ1" hidden="1">#REF!</definedName>
    <definedName name="BEx1KKP1ELIF2UII2FWVGL7M1X7J" localSheetId="56" hidden="1">#REF!</definedName>
    <definedName name="BEx1KKP1ELIF2UII2FWVGL7M1X7J" localSheetId="55" hidden="1">#REF!</definedName>
    <definedName name="BEx1KKP1ELIF2UII2FWVGL7M1X7J" localSheetId="4" hidden="1">#REF!</definedName>
    <definedName name="BEx1KKP1ELIF2UII2FWVGL7M1X7J" localSheetId="1" hidden="1">#REF!</definedName>
    <definedName name="BEx1KKP1ELIF2UII2FWVGL7M1X7J" localSheetId="9" hidden="1">#REF!</definedName>
    <definedName name="BEx1KKP1ELIF2UII2FWVGL7M1X7J" hidden="1">#REF!</definedName>
    <definedName name="BEx1KQJKIAPZKE9YDYH5HKXX52FM" localSheetId="56" hidden="1">#REF!</definedName>
    <definedName name="BEx1KQJKIAPZKE9YDYH5HKXX52FM" localSheetId="55" hidden="1">#REF!</definedName>
    <definedName name="BEx1KQJKIAPZKE9YDYH5HKXX52FM" localSheetId="4" hidden="1">#REF!</definedName>
    <definedName name="BEx1KQJKIAPZKE9YDYH5HKXX52FM" localSheetId="1" hidden="1">#REF!</definedName>
    <definedName name="BEx1KQJKIAPZKE9YDYH5HKXX52FM" localSheetId="9" hidden="1">#REF!</definedName>
    <definedName name="BEx1KQJKIAPZKE9YDYH5HKXX52FM" hidden="1">#REF!</definedName>
    <definedName name="BEx1KUVWMB0QCWA3RBE4CADFVRIS" localSheetId="56" hidden="1">#REF!</definedName>
    <definedName name="BEx1KUVWMB0QCWA3RBE4CADFVRIS" localSheetId="55" hidden="1">#REF!</definedName>
    <definedName name="BEx1KUVWMB0QCWA3RBE4CADFVRIS" localSheetId="4" hidden="1">#REF!</definedName>
    <definedName name="BEx1KUVWMB0QCWA3RBE4CADFVRIS" localSheetId="1" hidden="1">#REF!</definedName>
    <definedName name="BEx1KUVWMB0QCWA3RBE4CADFVRIS" localSheetId="9" hidden="1">#REF!</definedName>
    <definedName name="BEx1KUVWMB0QCWA3RBE4CADFVRIS" hidden="1">#REF!</definedName>
    <definedName name="BEx1L0AAH7PV8PPQQDBP5AI4TLYP" localSheetId="56" hidden="1">#REF!</definedName>
    <definedName name="BEx1L0AAH7PV8PPQQDBP5AI4TLYP" localSheetId="55" hidden="1">#REF!</definedName>
    <definedName name="BEx1L0AAH7PV8PPQQDBP5AI4TLYP" localSheetId="4" hidden="1">#REF!</definedName>
    <definedName name="BEx1L0AAH7PV8PPQQDBP5AI4TLYP" localSheetId="1" hidden="1">#REF!</definedName>
    <definedName name="BEx1L0AAH7PV8PPQQDBP5AI4TLYP" localSheetId="9" hidden="1">#REF!</definedName>
    <definedName name="BEx1L0AAH7PV8PPQQDBP5AI4TLYP" hidden="1">#REF!</definedName>
    <definedName name="BEx1L2OG1SDFK2TPXELJ77YP4NI2" localSheetId="56" hidden="1">#REF!</definedName>
    <definedName name="BEx1L2OG1SDFK2TPXELJ77YP4NI2" localSheetId="55" hidden="1">#REF!</definedName>
    <definedName name="BEx1L2OG1SDFK2TPXELJ77YP4NI2" localSheetId="4" hidden="1">#REF!</definedName>
    <definedName name="BEx1L2OG1SDFK2TPXELJ77YP4NI2" localSheetId="1" hidden="1">#REF!</definedName>
    <definedName name="BEx1L2OG1SDFK2TPXELJ77YP4NI2" localSheetId="9" hidden="1">#REF!</definedName>
    <definedName name="BEx1L2OG1SDFK2TPXELJ77YP4NI2" hidden="1">#REF!</definedName>
    <definedName name="BEx1L6Q60MWRDJB4L20LK0XPA0Z2" localSheetId="56" hidden="1">#REF!</definedName>
    <definedName name="BEx1L6Q60MWRDJB4L20LK0XPA0Z2" localSheetId="55" hidden="1">#REF!</definedName>
    <definedName name="BEx1L6Q60MWRDJB4L20LK0XPA0Z2" localSheetId="4" hidden="1">#REF!</definedName>
    <definedName name="BEx1L6Q60MWRDJB4L20LK0XPA0Z2" localSheetId="1" hidden="1">#REF!</definedName>
    <definedName name="BEx1L6Q60MWRDJB4L20LK0XPA0Z2" localSheetId="9" hidden="1">#REF!</definedName>
    <definedName name="BEx1L6Q60MWRDJB4L20LK0XPA0Z2" hidden="1">#REF!</definedName>
    <definedName name="BEx1L7BSEFOLQDNZWMLUNBRO08T4" localSheetId="56" hidden="1">#REF!</definedName>
    <definedName name="BEx1L7BSEFOLQDNZWMLUNBRO08T4" localSheetId="55" hidden="1">#REF!</definedName>
    <definedName name="BEx1L7BSEFOLQDNZWMLUNBRO08T4" localSheetId="4" hidden="1">#REF!</definedName>
    <definedName name="BEx1L7BSEFOLQDNZWMLUNBRO08T4" localSheetId="1" hidden="1">#REF!</definedName>
    <definedName name="BEx1L7BSEFOLQDNZWMLUNBRO08T4" localSheetId="9" hidden="1">#REF!</definedName>
    <definedName name="BEx1L7BSEFOLQDNZWMLUNBRO08T4" hidden="1">#REF!</definedName>
    <definedName name="BEx1LD63FP2Z4BR9TKSHOZW9KKZ5" localSheetId="56" hidden="1">#REF!</definedName>
    <definedName name="BEx1LD63FP2Z4BR9TKSHOZW9KKZ5" localSheetId="55" hidden="1">#REF!</definedName>
    <definedName name="BEx1LD63FP2Z4BR9TKSHOZW9KKZ5" localSheetId="4" hidden="1">#REF!</definedName>
    <definedName name="BEx1LD63FP2Z4BR9TKSHOZW9KKZ5" localSheetId="1" hidden="1">#REF!</definedName>
    <definedName name="BEx1LD63FP2Z4BR9TKSHOZW9KKZ5" localSheetId="9" hidden="1">#REF!</definedName>
    <definedName name="BEx1LD63FP2Z4BR9TKSHOZW9KKZ5" hidden="1">#REF!</definedName>
    <definedName name="BEx1LDMB9RW982DUILM2WPT5VWQ3" localSheetId="56" hidden="1">#REF!</definedName>
    <definedName name="BEx1LDMB9RW982DUILM2WPT5VWQ3" localSheetId="55" hidden="1">#REF!</definedName>
    <definedName name="BEx1LDMB9RW982DUILM2WPT5VWQ3" localSheetId="4" hidden="1">#REF!</definedName>
    <definedName name="BEx1LDMB9RW982DUILM2WPT5VWQ3" localSheetId="1" hidden="1">#REF!</definedName>
    <definedName name="BEx1LDMB9RW982DUILM2WPT5VWQ3" localSheetId="9" hidden="1">#REF!</definedName>
    <definedName name="BEx1LDMB9RW982DUILM2WPT5VWQ3" hidden="1">#REF!</definedName>
    <definedName name="BEx1LFF2UQ13XL4X1I2WBD73NZ21" localSheetId="56" hidden="1">#REF!</definedName>
    <definedName name="BEx1LFF2UQ13XL4X1I2WBD73NZ21" localSheetId="55" hidden="1">#REF!</definedName>
    <definedName name="BEx1LFF2UQ13XL4X1I2WBD73NZ21" localSheetId="4" hidden="1">#REF!</definedName>
    <definedName name="BEx1LFF2UQ13XL4X1I2WBD73NZ21" localSheetId="1" hidden="1">#REF!</definedName>
    <definedName name="BEx1LFF2UQ13XL4X1I2WBD73NZ21" localSheetId="9" hidden="1">#REF!</definedName>
    <definedName name="BEx1LFF2UQ13XL4X1I2WBD73NZ21" hidden="1">#REF!</definedName>
    <definedName name="BEx1LKTB33LO23ACTADIVRY7ZNFC" localSheetId="56" hidden="1">#REF!</definedName>
    <definedName name="BEx1LKTB33LO23ACTADIVRY7ZNFC" localSheetId="55" hidden="1">#REF!</definedName>
    <definedName name="BEx1LKTB33LO23ACTADIVRY7ZNFC" localSheetId="4" hidden="1">#REF!</definedName>
    <definedName name="BEx1LKTB33LO23ACTADIVRY7ZNFC" localSheetId="1" hidden="1">#REF!</definedName>
    <definedName name="BEx1LKTB33LO23ACTADIVRY7ZNFC" localSheetId="9" hidden="1">#REF!</definedName>
    <definedName name="BEx1LKTB33LO23ACTADIVRY7ZNFC" hidden="1">#REF!</definedName>
    <definedName name="BEx1LQNKVZAXGSEPDAM8AWU2FHHJ" localSheetId="56" hidden="1">#REF!</definedName>
    <definedName name="BEx1LQNKVZAXGSEPDAM8AWU2FHHJ" localSheetId="55" hidden="1">#REF!</definedName>
    <definedName name="BEx1LQNKVZAXGSEPDAM8AWU2FHHJ" localSheetId="4" hidden="1">#REF!</definedName>
    <definedName name="BEx1LQNKVZAXGSEPDAM8AWU2FHHJ" localSheetId="1" hidden="1">#REF!</definedName>
    <definedName name="BEx1LQNKVZAXGSEPDAM8AWU2FHHJ" localSheetId="9" hidden="1">#REF!</definedName>
    <definedName name="BEx1LQNKVZAXGSEPDAM8AWU2FHHJ" hidden="1">#REF!</definedName>
    <definedName name="BEx1LRPGDQCOEMW8YT80J1XCDCIV" localSheetId="56" hidden="1">#REF!</definedName>
    <definedName name="BEx1LRPGDQCOEMW8YT80J1XCDCIV" localSheetId="55" hidden="1">#REF!</definedName>
    <definedName name="BEx1LRPGDQCOEMW8YT80J1XCDCIV" localSheetId="4" hidden="1">#REF!</definedName>
    <definedName name="BEx1LRPGDQCOEMW8YT80J1XCDCIV" localSheetId="1" hidden="1">#REF!</definedName>
    <definedName name="BEx1LRPGDQCOEMW8YT80J1XCDCIV" localSheetId="9" hidden="1">#REF!</definedName>
    <definedName name="BEx1LRPGDQCOEMW8YT80J1XCDCIV" hidden="1">#REF!</definedName>
    <definedName name="BEx1LRUSJW4JG54X07QWD9R27WV9" localSheetId="56" hidden="1">#REF!</definedName>
    <definedName name="BEx1LRUSJW4JG54X07QWD9R27WV9" localSheetId="55" hidden="1">#REF!</definedName>
    <definedName name="BEx1LRUSJW4JG54X07QWD9R27WV9" localSheetId="4" hidden="1">#REF!</definedName>
    <definedName name="BEx1LRUSJW4JG54X07QWD9R27WV9" localSheetId="1" hidden="1">#REF!</definedName>
    <definedName name="BEx1LRUSJW4JG54X07QWD9R27WV9" localSheetId="9" hidden="1">#REF!</definedName>
    <definedName name="BEx1LRUSJW4JG54X07QWD9R27WV9" hidden="1">#REF!</definedName>
    <definedName name="BEx1M1WBK5T0LP1AK2JYV6W87ID6" localSheetId="56" hidden="1">#REF!</definedName>
    <definedName name="BEx1M1WBK5T0LP1AK2JYV6W87ID6" localSheetId="55" hidden="1">#REF!</definedName>
    <definedName name="BEx1M1WBK5T0LP1AK2JYV6W87ID6" localSheetId="4" hidden="1">#REF!</definedName>
    <definedName name="BEx1M1WBK5T0LP1AK2JYV6W87ID6" localSheetId="1" hidden="1">#REF!</definedName>
    <definedName name="BEx1M1WBK5T0LP1AK2JYV6W87ID6" localSheetId="9" hidden="1">#REF!</definedName>
    <definedName name="BEx1M1WBK5T0LP1AK2JYV6W87ID6" hidden="1">#REF!</definedName>
    <definedName name="BEx1M51HHDYGIT8PON7U8ICL2S95" localSheetId="56" hidden="1">#REF!</definedName>
    <definedName name="BEx1M51HHDYGIT8PON7U8ICL2S95" localSheetId="55" hidden="1">#REF!</definedName>
    <definedName name="BEx1M51HHDYGIT8PON7U8ICL2S95" localSheetId="4" hidden="1">#REF!</definedName>
    <definedName name="BEx1M51HHDYGIT8PON7U8ICL2S95" localSheetId="1" hidden="1">#REF!</definedName>
    <definedName name="BEx1M51HHDYGIT8PON7U8ICL2S95" localSheetId="9" hidden="1">#REF!</definedName>
    <definedName name="BEx1M51HHDYGIT8PON7U8ICL2S95" hidden="1">#REF!</definedName>
    <definedName name="BEx1MP4FWKV0QYXE13PX9JSNA270" localSheetId="56" hidden="1">#REF!</definedName>
    <definedName name="BEx1MP4FWKV0QYXE13PX9JSNA270" localSheetId="55" hidden="1">#REF!</definedName>
    <definedName name="BEx1MP4FWKV0QYXE13PX9JSNA270" localSheetId="4" hidden="1">#REF!</definedName>
    <definedName name="BEx1MP4FWKV0QYXE13PX9JSNA270" localSheetId="1" hidden="1">#REF!</definedName>
    <definedName name="BEx1MP4FWKV0QYXE13PX9JSNA270" localSheetId="9" hidden="1">#REF!</definedName>
    <definedName name="BEx1MP4FWKV0QYXE13PX9JSNA270" hidden="1">#REF!</definedName>
    <definedName name="BEx1MSV791FSS4CZQKG04NHT3F79" localSheetId="56" hidden="1">#REF!</definedName>
    <definedName name="BEx1MSV791FSS4CZQKG04NHT3F79" localSheetId="55" hidden="1">#REF!</definedName>
    <definedName name="BEx1MSV791FSS4CZQKG04NHT3F79" localSheetId="4" hidden="1">#REF!</definedName>
    <definedName name="BEx1MSV791FSS4CZQKG04NHT3F79" localSheetId="1" hidden="1">#REF!</definedName>
    <definedName name="BEx1MSV791FSS4CZQKG04NHT3F79" localSheetId="9" hidden="1">#REF!</definedName>
    <definedName name="BEx1MSV791FSS4CZQKG04NHT3F79" hidden="1">#REF!</definedName>
    <definedName name="BEx1MTRKKVCHOZ0YGID6HZ49LJTO" localSheetId="56" hidden="1">#REF!</definedName>
    <definedName name="BEx1MTRKKVCHOZ0YGID6HZ49LJTO" localSheetId="55" hidden="1">#REF!</definedName>
    <definedName name="BEx1MTRKKVCHOZ0YGID6HZ49LJTO" localSheetId="4" hidden="1">#REF!</definedName>
    <definedName name="BEx1MTRKKVCHOZ0YGID6HZ49LJTO" localSheetId="1" hidden="1">#REF!</definedName>
    <definedName name="BEx1MTRKKVCHOZ0YGID6HZ49LJTO" localSheetId="9" hidden="1">#REF!</definedName>
    <definedName name="BEx1MTRKKVCHOZ0YGID6HZ49LJTO" hidden="1">#REF!</definedName>
    <definedName name="BEx1N3CUJ3UX61X38ZAJVPEN4KMC" localSheetId="56" hidden="1">#REF!</definedName>
    <definedName name="BEx1N3CUJ3UX61X38ZAJVPEN4KMC" localSheetId="55" hidden="1">#REF!</definedName>
    <definedName name="BEx1N3CUJ3UX61X38ZAJVPEN4KMC" localSheetId="4" hidden="1">#REF!</definedName>
    <definedName name="BEx1N3CUJ3UX61X38ZAJVPEN4KMC" localSheetId="1" hidden="1">#REF!</definedName>
    <definedName name="BEx1N3CUJ3UX61X38ZAJVPEN4KMC" localSheetId="9" hidden="1">#REF!</definedName>
    <definedName name="BEx1N3CUJ3UX61X38ZAJVPEN4KMC" hidden="1">#REF!</definedName>
    <definedName name="BEx1N5R5IJ3CG6CL344F5KWPINEO" localSheetId="56" hidden="1">#REF!</definedName>
    <definedName name="BEx1N5R5IJ3CG6CL344F5KWPINEO" localSheetId="55" hidden="1">#REF!</definedName>
    <definedName name="BEx1N5R5IJ3CG6CL344F5KWPINEO" localSheetId="4" hidden="1">#REF!</definedName>
    <definedName name="BEx1N5R5IJ3CG6CL344F5KWPINEO" localSheetId="1" hidden="1">#REF!</definedName>
    <definedName name="BEx1N5R5IJ3CG6CL344F5KWPINEO" localSheetId="9" hidden="1">#REF!</definedName>
    <definedName name="BEx1N5R5IJ3CG6CL344F5KWPINEO" hidden="1">#REF!</definedName>
    <definedName name="BEx1NFCFVPBS7XURQ8Y0BZEGPBVP" localSheetId="56" hidden="1">#REF!</definedName>
    <definedName name="BEx1NFCFVPBS7XURQ8Y0BZEGPBVP" localSheetId="55" hidden="1">#REF!</definedName>
    <definedName name="BEx1NFCFVPBS7XURQ8Y0BZEGPBVP" localSheetId="4" hidden="1">#REF!</definedName>
    <definedName name="BEx1NFCFVPBS7XURQ8Y0BZEGPBVP" localSheetId="1" hidden="1">#REF!</definedName>
    <definedName name="BEx1NFCFVPBS7XURQ8Y0BZEGPBVP" localSheetId="9" hidden="1">#REF!</definedName>
    <definedName name="BEx1NFCFVPBS7XURQ8Y0BZEGPBVP" hidden="1">#REF!</definedName>
    <definedName name="BEx1NM34KQTO1LDNSAFD1L82UZFG" localSheetId="56" hidden="1">#REF!</definedName>
    <definedName name="BEx1NM34KQTO1LDNSAFD1L82UZFG" localSheetId="55" hidden="1">#REF!</definedName>
    <definedName name="BEx1NM34KQTO1LDNSAFD1L82UZFG" localSheetId="4" hidden="1">#REF!</definedName>
    <definedName name="BEx1NM34KQTO1LDNSAFD1L82UZFG" localSheetId="1" hidden="1">#REF!</definedName>
    <definedName name="BEx1NM34KQTO1LDNSAFD1L82UZFG" localSheetId="9" hidden="1">#REF!</definedName>
    <definedName name="BEx1NM34KQTO1LDNSAFD1L82UZFG" hidden="1">#REF!</definedName>
    <definedName name="BEx1NO6TXZVOGCUWCCRTXRXWW0XL" localSheetId="56" hidden="1">#REF!</definedName>
    <definedName name="BEx1NO6TXZVOGCUWCCRTXRXWW0XL" localSheetId="55" hidden="1">#REF!</definedName>
    <definedName name="BEx1NO6TXZVOGCUWCCRTXRXWW0XL" localSheetId="4" hidden="1">#REF!</definedName>
    <definedName name="BEx1NO6TXZVOGCUWCCRTXRXWW0XL" localSheetId="1" hidden="1">#REF!</definedName>
    <definedName name="BEx1NO6TXZVOGCUWCCRTXRXWW0XL" localSheetId="9" hidden="1">#REF!</definedName>
    <definedName name="BEx1NO6TXZVOGCUWCCRTXRXWW0XL" hidden="1">#REF!</definedName>
    <definedName name="BEx1NS8EU5P9FQV3S0WRTXI5L361" localSheetId="56" hidden="1">#REF!</definedName>
    <definedName name="BEx1NS8EU5P9FQV3S0WRTXI5L361" localSheetId="55" hidden="1">#REF!</definedName>
    <definedName name="BEx1NS8EU5P9FQV3S0WRTXI5L361" localSheetId="4" hidden="1">#REF!</definedName>
    <definedName name="BEx1NS8EU5P9FQV3S0WRTXI5L361" localSheetId="1" hidden="1">#REF!</definedName>
    <definedName name="BEx1NS8EU5P9FQV3S0WRTXI5L361" localSheetId="9" hidden="1">#REF!</definedName>
    <definedName name="BEx1NS8EU5P9FQV3S0WRTXI5L361" hidden="1">#REF!</definedName>
    <definedName name="BEx1NUBX5VUYZFKQH69FN6BTLWCR" localSheetId="56" hidden="1">#REF!</definedName>
    <definedName name="BEx1NUBX5VUYZFKQH69FN6BTLWCR" localSheetId="55" hidden="1">#REF!</definedName>
    <definedName name="BEx1NUBX5VUYZFKQH69FN6BTLWCR" localSheetId="4" hidden="1">#REF!</definedName>
    <definedName name="BEx1NUBX5VUYZFKQH69FN6BTLWCR" localSheetId="1" hidden="1">#REF!</definedName>
    <definedName name="BEx1NUBX5VUYZFKQH69FN6BTLWCR" localSheetId="9" hidden="1">#REF!</definedName>
    <definedName name="BEx1NUBX5VUYZFKQH69FN6BTLWCR" hidden="1">#REF!</definedName>
    <definedName name="BEx1NZ4K1L8UON80Y2A4RASKWGNP" localSheetId="56" hidden="1">#REF!</definedName>
    <definedName name="BEx1NZ4K1L8UON80Y2A4RASKWGNP" localSheetId="55" hidden="1">#REF!</definedName>
    <definedName name="BEx1NZ4K1L8UON80Y2A4RASKWGNP" localSheetId="4" hidden="1">#REF!</definedName>
    <definedName name="BEx1NZ4K1L8UON80Y2A4RASKWGNP" localSheetId="1" hidden="1">#REF!</definedName>
    <definedName name="BEx1NZ4K1L8UON80Y2A4RASKWGNP" localSheetId="9" hidden="1">#REF!</definedName>
    <definedName name="BEx1NZ4K1L8UON80Y2A4RASKWGNP" hidden="1">#REF!</definedName>
    <definedName name="BEx1O24FB2CPATAGE3T7L1NBQQO1" localSheetId="56" hidden="1">#REF!</definedName>
    <definedName name="BEx1O24FB2CPATAGE3T7L1NBQQO1" localSheetId="55" hidden="1">#REF!</definedName>
    <definedName name="BEx1O24FB2CPATAGE3T7L1NBQQO1" localSheetId="4" hidden="1">#REF!</definedName>
    <definedName name="BEx1O24FB2CPATAGE3T7L1NBQQO1" localSheetId="1" hidden="1">#REF!</definedName>
    <definedName name="BEx1O24FB2CPATAGE3T7L1NBQQO1" localSheetId="9" hidden="1">#REF!</definedName>
    <definedName name="BEx1O24FB2CPATAGE3T7L1NBQQO1" hidden="1">#REF!</definedName>
    <definedName name="BEx1OLAZ915OGYWP0QP1QQWDLCRX" localSheetId="56" hidden="1">#REF!</definedName>
    <definedName name="BEx1OLAZ915OGYWP0QP1QQWDLCRX" localSheetId="55" hidden="1">#REF!</definedName>
    <definedName name="BEx1OLAZ915OGYWP0QP1QQWDLCRX" localSheetId="4" hidden="1">#REF!</definedName>
    <definedName name="BEx1OLAZ915OGYWP0QP1QQWDLCRX" localSheetId="1" hidden="1">#REF!</definedName>
    <definedName name="BEx1OLAZ915OGYWP0QP1QQWDLCRX" localSheetId="9" hidden="1">#REF!</definedName>
    <definedName name="BEx1OLAZ915OGYWP0QP1QQWDLCRX" hidden="1">#REF!</definedName>
    <definedName name="BEx1OO5ER042IS6IC4TLDI75JNVH" localSheetId="56" hidden="1">#REF!</definedName>
    <definedName name="BEx1OO5ER042IS6IC4TLDI75JNVH" localSheetId="55" hidden="1">#REF!</definedName>
    <definedName name="BEx1OO5ER042IS6IC4TLDI75JNVH" localSheetId="4" hidden="1">#REF!</definedName>
    <definedName name="BEx1OO5ER042IS6IC4TLDI75JNVH" localSheetId="1" hidden="1">#REF!</definedName>
    <definedName name="BEx1OO5ER042IS6IC4TLDI75JNVH" localSheetId="9" hidden="1">#REF!</definedName>
    <definedName name="BEx1OO5ER042IS6IC4TLDI75JNVH" hidden="1">#REF!</definedName>
    <definedName name="BEx1OTE54CBSUT8FWKRALEDCUWN4" localSheetId="56" hidden="1">#REF!</definedName>
    <definedName name="BEx1OTE54CBSUT8FWKRALEDCUWN4" localSheetId="55" hidden="1">#REF!</definedName>
    <definedName name="BEx1OTE54CBSUT8FWKRALEDCUWN4" localSheetId="4" hidden="1">#REF!</definedName>
    <definedName name="BEx1OTE54CBSUT8FWKRALEDCUWN4" localSheetId="1" hidden="1">#REF!</definedName>
    <definedName name="BEx1OTE54CBSUT8FWKRALEDCUWN4" localSheetId="9" hidden="1">#REF!</definedName>
    <definedName name="BEx1OTE54CBSUT8FWKRALEDCUWN4" hidden="1">#REF!</definedName>
    <definedName name="BEx1OVSMPADTX95QUOX34KZQ8EDY" localSheetId="56" hidden="1">#REF!</definedName>
    <definedName name="BEx1OVSMPADTX95QUOX34KZQ8EDY" localSheetId="55" hidden="1">#REF!</definedName>
    <definedName name="BEx1OVSMPADTX95QUOX34KZQ8EDY" localSheetId="4" hidden="1">#REF!</definedName>
    <definedName name="BEx1OVSMPADTX95QUOX34KZQ8EDY" localSheetId="1" hidden="1">#REF!</definedName>
    <definedName name="BEx1OVSMPADTX95QUOX34KZQ8EDY" localSheetId="9" hidden="1">#REF!</definedName>
    <definedName name="BEx1OVSMPADTX95QUOX34KZQ8EDY" hidden="1">#REF!</definedName>
    <definedName name="BEx1OWJJ0DP4628GCVVRQ9X0DRHQ" localSheetId="56" hidden="1">#REF!</definedName>
    <definedName name="BEx1OWJJ0DP4628GCVVRQ9X0DRHQ" localSheetId="55" hidden="1">#REF!</definedName>
    <definedName name="BEx1OWJJ0DP4628GCVVRQ9X0DRHQ" localSheetId="4" hidden="1">#REF!</definedName>
    <definedName name="BEx1OWJJ0DP4628GCVVRQ9X0DRHQ" localSheetId="1" hidden="1">#REF!</definedName>
    <definedName name="BEx1OWJJ0DP4628GCVVRQ9X0DRHQ" localSheetId="9" hidden="1">#REF!</definedName>
    <definedName name="BEx1OWJJ0DP4628GCVVRQ9X0DRHQ" hidden="1">#REF!</definedName>
    <definedName name="BEx1OX544IO9FQJI7YYQGZCEHB3O" localSheetId="56" hidden="1">#REF!</definedName>
    <definedName name="BEx1OX544IO9FQJI7YYQGZCEHB3O" localSheetId="55" hidden="1">#REF!</definedName>
    <definedName name="BEx1OX544IO9FQJI7YYQGZCEHB3O" localSheetId="4" hidden="1">#REF!</definedName>
    <definedName name="BEx1OX544IO9FQJI7YYQGZCEHB3O" localSheetId="1" hidden="1">#REF!</definedName>
    <definedName name="BEx1OX544IO9FQJI7YYQGZCEHB3O" localSheetId="9" hidden="1">#REF!</definedName>
    <definedName name="BEx1OX544IO9FQJI7YYQGZCEHB3O" hidden="1">#REF!</definedName>
    <definedName name="BEx1OY6SVEUT2EQ26P7EKEND342G" localSheetId="56" hidden="1">#REF!</definedName>
    <definedName name="BEx1OY6SVEUT2EQ26P7EKEND342G" localSheetId="55" hidden="1">#REF!</definedName>
    <definedName name="BEx1OY6SVEUT2EQ26P7EKEND342G" localSheetId="4" hidden="1">#REF!</definedName>
    <definedName name="BEx1OY6SVEUT2EQ26P7EKEND342G" localSheetId="1" hidden="1">#REF!</definedName>
    <definedName name="BEx1OY6SVEUT2EQ26P7EKEND342G" localSheetId="9" hidden="1">#REF!</definedName>
    <definedName name="BEx1OY6SVEUT2EQ26P7EKEND342G" hidden="1">#REF!</definedName>
    <definedName name="BEx1OYN1LPIPI12O9G6F7QAOS9T4" localSheetId="56" hidden="1">#REF!</definedName>
    <definedName name="BEx1OYN1LPIPI12O9G6F7QAOS9T4" localSheetId="55" hidden="1">#REF!</definedName>
    <definedName name="BEx1OYN1LPIPI12O9G6F7QAOS9T4" localSheetId="4" hidden="1">#REF!</definedName>
    <definedName name="BEx1OYN1LPIPI12O9G6F7QAOS9T4" localSheetId="1" hidden="1">#REF!</definedName>
    <definedName name="BEx1OYN1LPIPI12O9G6F7QAOS9T4" localSheetId="9" hidden="1">#REF!</definedName>
    <definedName name="BEx1OYN1LPIPI12O9G6F7QAOS9T4" hidden="1">#REF!</definedName>
    <definedName name="BEx1P1HHKJA799O3YZXQAX6KFH58" localSheetId="56" hidden="1">#REF!</definedName>
    <definedName name="BEx1P1HHKJA799O3YZXQAX6KFH58" localSheetId="55" hidden="1">#REF!</definedName>
    <definedName name="BEx1P1HHKJA799O3YZXQAX6KFH58" localSheetId="4" hidden="1">#REF!</definedName>
    <definedName name="BEx1P1HHKJA799O3YZXQAX6KFH58" localSheetId="1" hidden="1">#REF!</definedName>
    <definedName name="BEx1P1HHKJA799O3YZXQAX6KFH58" localSheetId="9" hidden="1">#REF!</definedName>
    <definedName name="BEx1P1HHKJA799O3YZXQAX6KFH58" hidden="1">#REF!</definedName>
    <definedName name="BEx1P34W467WGPOXPK292QFJIPHJ" localSheetId="56" hidden="1">#REF!</definedName>
    <definedName name="BEx1P34W467WGPOXPK292QFJIPHJ" localSheetId="55" hidden="1">#REF!</definedName>
    <definedName name="BEx1P34W467WGPOXPK292QFJIPHJ" localSheetId="4" hidden="1">#REF!</definedName>
    <definedName name="BEx1P34W467WGPOXPK292QFJIPHJ" localSheetId="1" hidden="1">#REF!</definedName>
    <definedName name="BEx1P34W467WGPOXPK292QFJIPHJ" localSheetId="9" hidden="1">#REF!</definedName>
    <definedName name="BEx1P34W467WGPOXPK292QFJIPHJ" hidden="1">#REF!</definedName>
    <definedName name="BEx1P76FRYAB1BWA5RJS4KOB3G9I" localSheetId="56" hidden="1">#REF!</definedName>
    <definedName name="BEx1P76FRYAB1BWA5RJS4KOB3G9I" localSheetId="55" hidden="1">#REF!</definedName>
    <definedName name="BEx1P76FRYAB1BWA5RJS4KOB3G9I" localSheetId="4" hidden="1">#REF!</definedName>
    <definedName name="BEx1P76FRYAB1BWA5RJS4KOB3G9I" localSheetId="1" hidden="1">#REF!</definedName>
    <definedName name="BEx1P76FRYAB1BWA5RJS4KOB3G9I" localSheetId="9" hidden="1">#REF!</definedName>
    <definedName name="BEx1P76FRYAB1BWA5RJS4KOB3G9I" hidden="1">#REF!</definedName>
    <definedName name="BEx1P7S1J4TKGVJ43C2Q2R3M9WRB" localSheetId="56" hidden="1">#REF!</definedName>
    <definedName name="BEx1P7S1J4TKGVJ43C2Q2R3M9WRB" localSheetId="55" hidden="1">#REF!</definedName>
    <definedName name="BEx1P7S1J4TKGVJ43C2Q2R3M9WRB" localSheetId="4" hidden="1">#REF!</definedName>
    <definedName name="BEx1P7S1J4TKGVJ43C2Q2R3M9WRB" localSheetId="1" hidden="1">#REF!</definedName>
    <definedName name="BEx1P7S1J4TKGVJ43C2Q2R3M9WRB" localSheetId="9" hidden="1">#REF!</definedName>
    <definedName name="BEx1P7S1J4TKGVJ43C2Q2R3M9WRB" hidden="1">#REF!</definedName>
    <definedName name="BEx1P8OF6WY3IH8SO71KQOU83V3Y" localSheetId="56" hidden="1">#REF!</definedName>
    <definedName name="BEx1P8OF6WY3IH8SO71KQOU83V3Y" localSheetId="55" hidden="1">#REF!</definedName>
    <definedName name="BEx1P8OF6WY3IH8SO71KQOU83V3Y" localSheetId="4" hidden="1">#REF!</definedName>
    <definedName name="BEx1P8OF6WY3IH8SO71KQOU83V3Y" localSheetId="1" hidden="1">#REF!</definedName>
    <definedName name="BEx1P8OF6WY3IH8SO71KQOU83V3Y" localSheetId="9" hidden="1">#REF!</definedName>
    <definedName name="BEx1P8OF6WY3IH8SO71KQOU83V3Y" hidden="1">#REF!</definedName>
    <definedName name="BEx1PA11BLPVZM8RC5BL46WX8YB5" localSheetId="56" hidden="1">#REF!</definedName>
    <definedName name="BEx1PA11BLPVZM8RC5BL46WX8YB5" localSheetId="55" hidden="1">#REF!</definedName>
    <definedName name="BEx1PA11BLPVZM8RC5BL46WX8YB5" localSheetId="4" hidden="1">#REF!</definedName>
    <definedName name="BEx1PA11BLPVZM8RC5BL46WX8YB5" localSheetId="1" hidden="1">#REF!</definedName>
    <definedName name="BEx1PA11BLPVZM8RC5BL46WX8YB5" localSheetId="9" hidden="1">#REF!</definedName>
    <definedName name="BEx1PA11BLPVZM8RC5BL46WX8YB5" hidden="1">#REF!</definedName>
    <definedName name="BEx1PAMMMZTO2BTR6YLZ9ASMPS4N" localSheetId="56" hidden="1">#REF!</definedName>
    <definedName name="BEx1PAMMMZTO2BTR6YLZ9ASMPS4N" localSheetId="55" hidden="1">#REF!</definedName>
    <definedName name="BEx1PAMMMZTO2BTR6YLZ9ASMPS4N" localSheetId="4" hidden="1">#REF!</definedName>
    <definedName name="BEx1PAMMMZTO2BTR6YLZ9ASMPS4N" localSheetId="1" hidden="1">#REF!</definedName>
    <definedName name="BEx1PAMMMZTO2BTR6YLZ9ASMPS4N" localSheetId="9" hidden="1">#REF!</definedName>
    <definedName name="BEx1PAMMMZTO2BTR6YLZ9ASMPS4N" hidden="1">#REF!</definedName>
    <definedName name="BEx1PBZ4BEFIPGMQXT9T8S4PZ2IM" localSheetId="56" hidden="1">#REF!</definedName>
    <definedName name="BEx1PBZ4BEFIPGMQXT9T8S4PZ2IM" localSheetId="55" hidden="1">#REF!</definedName>
    <definedName name="BEx1PBZ4BEFIPGMQXT9T8S4PZ2IM" localSheetId="4" hidden="1">#REF!</definedName>
    <definedName name="BEx1PBZ4BEFIPGMQXT9T8S4PZ2IM" localSheetId="1" hidden="1">#REF!</definedName>
    <definedName name="BEx1PBZ4BEFIPGMQXT9T8S4PZ2IM" localSheetId="9" hidden="1">#REF!</definedName>
    <definedName name="BEx1PBZ4BEFIPGMQXT9T8S4PZ2IM" hidden="1">#REF!</definedName>
    <definedName name="BEx1PJMAAUI73DAR3XUON2UMXTBS" localSheetId="56" hidden="1">#REF!</definedName>
    <definedName name="BEx1PJMAAUI73DAR3XUON2UMXTBS" localSheetId="55" hidden="1">#REF!</definedName>
    <definedName name="BEx1PJMAAUI73DAR3XUON2UMXTBS" localSheetId="4" hidden="1">#REF!</definedName>
    <definedName name="BEx1PJMAAUI73DAR3XUON2UMXTBS" localSheetId="1" hidden="1">#REF!</definedName>
    <definedName name="BEx1PJMAAUI73DAR3XUON2UMXTBS" localSheetId="9" hidden="1">#REF!</definedName>
    <definedName name="BEx1PJMAAUI73DAR3XUON2UMXTBS" hidden="1">#REF!</definedName>
    <definedName name="BEx1PLF2CFSXBZPVI6CJ534EIJDN" localSheetId="56" hidden="1">#REF!</definedName>
    <definedName name="BEx1PLF2CFSXBZPVI6CJ534EIJDN" localSheetId="55" hidden="1">#REF!</definedName>
    <definedName name="BEx1PLF2CFSXBZPVI6CJ534EIJDN" localSheetId="4" hidden="1">#REF!</definedName>
    <definedName name="BEx1PLF2CFSXBZPVI6CJ534EIJDN" localSheetId="1" hidden="1">#REF!</definedName>
    <definedName name="BEx1PLF2CFSXBZPVI6CJ534EIJDN" localSheetId="9" hidden="1">#REF!</definedName>
    <definedName name="BEx1PLF2CFSXBZPVI6CJ534EIJDN" hidden="1">#REF!</definedName>
    <definedName name="BEx1PMWZB2DO6EM9BKLUICZJ65HD" localSheetId="56" hidden="1">#REF!</definedName>
    <definedName name="BEx1PMWZB2DO6EM9BKLUICZJ65HD" localSheetId="55" hidden="1">#REF!</definedName>
    <definedName name="BEx1PMWZB2DO6EM9BKLUICZJ65HD" localSheetId="4" hidden="1">#REF!</definedName>
    <definedName name="BEx1PMWZB2DO6EM9BKLUICZJ65HD" localSheetId="1" hidden="1">#REF!</definedName>
    <definedName name="BEx1PMWZB2DO6EM9BKLUICZJ65HD" localSheetId="9" hidden="1">#REF!</definedName>
    <definedName name="BEx1PMWZB2DO6EM9BKLUICZJ65HD" hidden="1">#REF!</definedName>
    <definedName name="BEx1PU3X6U0EVLY9569KVBPAH7XU" localSheetId="56" hidden="1">#REF!</definedName>
    <definedName name="BEx1PU3X6U0EVLY9569KVBPAH7XU" localSheetId="55" hidden="1">#REF!</definedName>
    <definedName name="BEx1PU3X6U0EVLY9569KVBPAH7XU" localSheetId="4" hidden="1">#REF!</definedName>
    <definedName name="BEx1PU3X6U0EVLY9569KVBPAH7XU" localSheetId="1" hidden="1">#REF!</definedName>
    <definedName name="BEx1PU3X6U0EVLY9569KVBPAH7XU" localSheetId="9" hidden="1">#REF!</definedName>
    <definedName name="BEx1PU3X6U0EVLY9569KVBPAH7XU" hidden="1">#REF!</definedName>
    <definedName name="BEx1Q9OV5AOW28OUGRFCD3ZFVWC3" localSheetId="56" hidden="1">#REF!</definedName>
    <definedName name="BEx1Q9OV5AOW28OUGRFCD3ZFVWC3" localSheetId="55" hidden="1">#REF!</definedName>
    <definedName name="BEx1Q9OV5AOW28OUGRFCD3ZFVWC3" localSheetId="4" hidden="1">#REF!</definedName>
    <definedName name="BEx1Q9OV5AOW28OUGRFCD3ZFVWC3" localSheetId="1" hidden="1">#REF!</definedName>
    <definedName name="BEx1Q9OV5AOW28OUGRFCD3ZFVWC3" localSheetId="9" hidden="1">#REF!</definedName>
    <definedName name="BEx1Q9OV5AOW28OUGRFCD3ZFVWC3" hidden="1">#REF!</definedName>
    <definedName name="BEx1QA54J2A4I7IBQR19BTY28ZMR" localSheetId="56" hidden="1">#REF!</definedName>
    <definedName name="BEx1QA54J2A4I7IBQR19BTY28ZMR" localSheetId="55" hidden="1">#REF!</definedName>
    <definedName name="BEx1QA54J2A4I7IBQR19BTY28ZMR" localSheetId="4" hidden="1">#REF!</definedName>
    <definedName name="BEx1QA54J2A4I7IBQR19BTY28ZMR" localSheetId="1" hidden="1">#REF!</definedName>
    <definedName name="BEx1QA54J2A4I7IBQR19BTY28ZMR" localSheetId="9" hidden="1">#REF!</definedName>
    <definedName name="BEx1QA54J2A4I7IBQR19BTY28ZMR" hidden="1">#REF!</definedName>
    <definedName name="BEx1QD50TNYYZ6YO943BWHPB9UD9" localSheetId="56" hidden="1">#REF!</definedName>
    <definedName name="BEx1QD50TNYYZ6YO943BWHPB9UD9" localSheetId="55" hidden="1">#REF!</definedName>
    <definedName name="BEx1QD50TNYYZ6YO943BWHPB9UD9" localSheetId="4" hidden="1">#REF!</definedName>
    <definedName name="BEx1QD50TNYYZ6YO943BWHPB9UD9" localSheetId="1" hidden="1">#REF!</definedName>
    <definedName name="BEx1QD50TNYYZ6YO943BWHPB9UD9" localSheetId="9" hidden="1">#REF!</definedName>
    <definedName name="BEx1QD50TNYYZ6YO943BWHPB9UD9" hidden="1">#REF!</definedName>
    <definedName name="BEx1QMQAHG3KQUK59DVM68SWKZIZ" localSheetId="56" hidden="1">#REF!</definedName>
    <definedName name="BEx1QMQAHG3KQUK59DVM68SWKZIZ" localSheetId="55" hidden="1">#REF!</definedName>
    <definedName name="BEx1QMQAHG3KQUK59DVM68SWKZIZ" localSheetId="4" hidden="1">#REF!</definedName>
    <definedName name="BEx1QMQAHG3KQUK59DVM68SWKZIZ" localSheetId="1" hidden="1">#REF!</definedName>
    <definedName name="BEx1QMQAHG3KQUK59DVM68SWKZIZ" localSheetId="9" hidden="1">#REF!</definedName>
    <definedName name="BEx1QMQAHG3KQUK59DVM68SWKZIZ" hidden="1">#REF!</definedName>
    <definedName name="BEx1R9YFKJCMSEST8OVCAO5E47FO" localSheetId="56" hidden="1">#REF!</definedName>
    <definedName name="BEx1R9YFKJCMSEST8OVCAO5E47FO" localSheetId="55" hidden="1">#REF!</definedName>
    <definedName name="BEx1R9YFKJCMSEST8OVCAO5E47FO" localSheetId="4" hidden="1">#REF!</definedName>
    <definedName name="BEx1R9YFKJCMSEST8OVCAO5E47FO" localSheetId="1" hidden="1">#REF!</definedName>
    <definedName name="BEx1R9YFKJCMSEST8OVCAO5E47FO" localSheetId="9" hidden="1">#REF!</definedName>
    <definedName name="BEx1R9YFKJCMSEST8OVCAO5E47FO" hidden="1">#REF!</definedName>
    <definedName name="BEx1RBGC06B3T52OIC0EQ1KGVP1I" localSheetId="56" hidden="1">#REF!</definedName>
    <definedName name="BEx1RBGC06B3T52OIC0EQ1KGVP1I" localSheetId="55" hidden="1">#REF!</definedName>
    <definedName name="BEx1RBGC06B3T52OIC0EQ1KGVP1I" localSheetId="4" hidden="1">#REF!</definedName>
    <definedName name="BEx1RBGC06B3T52OIC0EQ1KGVP1I" localSheetId="1" hidden="1">#REF!</definedName>
    <definedName name="BEx1RBGC06B3T52OIC0EQ1KGVP1I" localSheetId="9" hidden="1">#REF!</definedName>
    <definedName name="BEx1RBGC06B3T52OIC0EQ1KGVP1I" hidden="1">#REF!</definedName>
    <definedName name="BEx1RRC7X4NI1CU4EO5XYE2GVARJ" localSheetId="56" hidden="1">#REF!</definedName>
    <definedName name="BEx1RRC7X4NI1CU4EO5XYE2GVARJ" localSheetId="55" hidden="1">#REF!</definedName>
    <definedName name="BEx1RRC7X4NI1CU4EO5XYE2GVARJ" localSheetId="4" hidden="1">#REF!</definedName>
    <definedName name="BEx1RRC7X4NI1CU4EO5XYE2GVARJ" localSheetId="1" hidden="1">#REF!</definedName>
    <definedName name="BEx1RRC7X4NI1CU4EO5XYE2GVARJ" localSheetId="9" hidden="1">#REF!</definedName>
    <definedName name="BEx1RRC7X4NI1CU4EO5XYE2GVARJ" hidden="1">#REF!</definedName>
    <definedName name="BEx1RZA1NCGT832L7EMR7GMF588W" localSheetId="56" hidden="1">#REF!</definedName>
    <definedName name="BEx1RZA1NCGT832L7EMR7GMF588W" localSheetId="55" hidden="1">#REF!</definedName>
    <definedName name="BEx1RZA1NCGT832L7EMR7GMF588W" localSheetId="4" hidden="1">#REF!</definedName>
    <definedName name="BEx1RZA1NCGT832L7EMR7GMF588W" localSheetId="1" hidden="1">#REF!</definedName>
    <definedName name="BEx1RZA1NCGT832L7EMR7GMF588W" localSheetId="9" hidden="1">#REF!</definedName>
    <definedName name="BEx1RZA1NCGT832L7EMR7GMF588W" hidden="1">#REF!</definedName>
    <definedName name="BEx1S0XGIPUSZQUCSGWSK10GKW7Y" localSheetId="56" hidden="1">#REF!</definedName>
    <definedName name="BEx1S0XGIPUSZQUCSGWSK10GKW7Y" localSheetId="55" hidden="1">#REF!</definedName>
    <definedName name="BEx1S0XGIPUSZQUCSGWSK10GKW7Y" localSheetId="4" hidden="1">#REF!</definedName>
    <definedName name="BEx1S0XGIPUSZQUCSGWSK10GKW7Y" localSheetId="1" hidden="1">#REF!</definedName>
    <definedName name="BEx1S0XGIPUSZQUCSGWSK10GKW7Y" localSheetId="9" hidden="1">#REF!</definedName>
    <definedName name="BEx1S0XGIPUSZQUCSGWSK10GKW7Y" hidden="1">#REF!</definedName>
    <definedName name="BEx1S5VFNKIXHTTCWSV60UC50EZ8" localSheetId="56" hidden="1">#REF!</definedName>
    <definedName name="BEx1S5VFNKIXHTTCWSV60UC50EZ8" localSheetId="55" hidden="1">#REF!</definedName>
    <definedName name="BEx1S5VFNKIXHTTCWSV60UC50EZ8" localSheetId="4" hidden="1">#REF!</definedName>
    <definedName name="BEx1S5VFNKIXHTTCWSV60UC50EZ8" localSheetId="1" hidden="1">#REF!</definedName>
    <definedName name="BEx1S5VFNKIXHTTCWSV60UC50EZ8" localSheetId="9" hidden="1">#REF!</definedName>
    <definedName name="BEx1S5VFNKIXHTTCWSV60UC50EZ8" hidden="1">#REF!</definedName>
    <definedName name="BEx1SK3U02H0RGKEYXW7ZMCEOF3V" localSheetId="56" hidden="1">#REF!</definedName>
    <definedName name="BEx1SK3U02H0RGKEYXW7ZMCEOF3V" localSheetId="55" hidden="1">#REF!</definedName>
    <definedName name="BEx1SK3U02H0RGKEYXW7ZMCEOF3V" localSheetId="4" hidden="1">#REF!</definedName>
    <definedName name="BEx1SK3U02H0RGKEYXW7ZMCEOF3V" localSheetId="1" hidden="1">#REF!</definedName>
    <definedName name="BEx1SK3U02H0RGKEYXW7ZMCEOF3V" localSheetId="9" hidden="1">#REF!</definedName>
    <definedName name="BEx1SK3U02H0RGKEYXW7ZMCEOF3V" hidden="1">#REF!</definedName>
    <definedName name="BEx1SSNEZINBJT29QVS62VS1THT4" localSheetId="56" hidden="1">#REF!</definedName>
    <definedName name="BEx1SSNEZINBJT29QVS62VS1THT4" localSheetId="55" hidden="1">#REF!</definedName>
    <definedName name="BEx1SSNEZINBJT29QVS62VS1THT4" localSheetId="4" hidden="1">#REF!</definedName>
    <definedName name="BEx1SSNEZINBJT29QVS62VS1THT4" localSheetId="1" hidden="1">#REF!</definedName>
    <definedName name="BEx1SSNEZINBJT29QVS62VS1THT4" localSheetId="9" hidden="1">#REF!</definedName>
    <definedName name="BEx1SSNEZINBJT29QVS62VS1THT4" hidden="1">#REF!</definedName>
    <definedName name="BEx1SVNCHNANBJIDIQVB8AFK4HAN" localSheetId="56" hidden="1">#REF!</definedName>
    <definedName name="BEx1SVNCHNANBJIDIQVB8AFK4HAN" localSheetId="55" hidden="1">#REF!</definedName>
    <definedName name="BEx1SVNCHNANBJIDIQVB8AFK4HAN" localSheetId="4" hidden="1">#REF!</definedName>
    <definedName name="BEx1SVNCHNANBJIDIQVB8AFK4HAN" localSheetId="1" hidden="1">#REF!</definedName>
    <definedName name="BEx1SVNCHNANBJIDIQVB8AFK4HAN" localSheetId="9" hidden="1">#REF!</definedName>
    <definedName name="BEx1SVNCHNANBJIDIQVB8AFK4HAN" hidden="1">#REF!</definedName>
    <definedName name="BEx1SY74DYVEPAQ9TGGGXKJA025O" localSheetId="56" hidden="1">#REF!</definedName>
    <definedName name="BEx1SY74DYVEPAQ9TGGGXKJA025O" localSheetId="55" hidden="1">#REF!</definedName>
    <definedName name="BEx1SY74DYVEPAQ9TGGGXKJA025O" localSheetId="4" hidden="1">#REF!</definedName>
    <definedName name="BEx1SY74DYVEPAQ9TGGGXKJA025O" localSheetId="1" hidden="1">#REF!</definedName>
    <definedName name="BEx1SY74DYVEPAQ9TGGGXKJA025O" localSheetId="9" hidden="1">#REF!</definedName>
    <definedName name="BEx1SY74DYVEPAQ9TGGGXKJA025O" hidden="1">#REF!</definedName>
    <definedName name="BEx1TJ0WLS9O7KNSGIPWTYHDYI1D" localSheetId="56" hidden="1">#REF!</definedName>
    <definedName name="BEx1TJ0WLS9O7KNSGIPWTYHDYI1D" localSheetId="55" hidden="1">#REF!</definedName>
    <definedName name="BEx1TJ0WLS9O7KNSGIPWTYHDYI1D" localSheetId="4" hidden="1">#REF!</definedName>
    <definedName name="BEx1TJ0WLS9O7KNSGIPWTYHDYI1D" localSheetId="1" hidden="1">#REF!</definedName>
    <definedName name="BEx1TJ0WLS9O7KNSGIPWTYHDYI1D" localSheetId="9" hidden="1">#REF!</definedName>
    <definedName name="BEx1TJ0WLS9O7KNSGIPWTYHDYI1D" hidden="1">#REF!</definedName>
    <definedName name="BEx1TUPQAYGAI13ZC7FU1FJXFAPM" localSheetId="56" hidden="1">#REF!</definedName>
    <definedName name="BEx1TUPQAYGAI13ZC7FU1FJXFAPM" localSheetId="55" hidden="1">#REF!</definedName>
    <definedName name="BEx1TUPQAYGAI13ZC7FU1FJXFAPM" localSheetId="4" hidden="1">#REF!</definedName>
    <definedName name="BEx1TUPQAYGAI13ZC7FU1FJXFAPM" localSheetId="1" hidden="1">#REF!</definedName>
    <definedName name="BEx1TUPQAYGAI13ZC7FU1FJXFAPM" localSheetId="9" hidden="1">#REF!</definedName>
    <definedName name="BEx1TUPQAYGAI13ZC7FU1FJXFAPM" hidden="1">#REF!</definedName>
    <definedName name="BEx1TY0F9W7EOF31FZXITWEYBSRT" localSheetId="56" hidden="1">#REF!</definedName>
    <definedName name="BEx1TY0F9W7EOF31FZXITWEYBSRT" localSheetId="55" hidden="1">#REF!</definedName>
    <definedName name="BEx1TY0F9W7EOF31FZXITWEYBSRT" localSheetId="4" hidden="1">#REF!</definedName>
    <definedName name="BEx1TY0F9W7EOF31FZXITWEYBSRT" localSheetId="1" hidden="1">#REF!</definedName>
    <definedName name="BEx1TY0F9W7EOF31FZXITWEYBSRT" localSheetId="9" hidden="1">#REF!</definedName>
    <definedName name="BEx1TY0F9W7EOF31FZXITWEYBSRT" hidden="1">#REF!</definedName>
    <definedName name="BEx1U7WFO8OZKB1EBF4H386JW91L" localSheetId="56" hidden="1">#REF!</definedName>
    <definedName name="BEx1U7WFO8OZKB1EBF4H386JW91L" localSheetId="55" hidden="1">#REF!</definedName>
    <definedName name="BEx1U7WFO8OZKB1EBF4H386JW91L" localSheetId="4" hidden="1">#REF!</definedName>
    <definedName name="BEx1U7WFO8OZKB1EBF4H386JW91L" localSheetId="1" hidden="1">#REF!</definedName>
    <definedName name="BEx1U7WFO8OZKB1EBF4H386JW91L" localSheetId="9" hidden="1">#REF!</definedName>
    <definedName name="BEx1U7WFO8OZKB1EBF4H386JW91L" hidden="1">#REF!</definedName>
    <definedName name="BEx1U87938YR9N6HYI24KVBKLOS3" localSheetId="56" hidden="1">#REF!</definedName>
    <definedName name="BEx1U87938YR9N6HYI24KVBKLOS3" localSheetId="55" hidden="1">#REF!</definedName>
    <definedName name="BEx1U87938YR9N6HYI24KVBKLOS3" localSheetId="4" hidden="1">#REF!</definedName>
    <definedName name="BEx1U87938YR9N6HYI24KVBKLOS3" localSheetId="1" hidden="1">#REF!</definedName>
    <definedName name="BEx1U87938YR9N6HYI24KVBKLOS3" localSheetId="9" hidden="1">#REF!</definedName>
    <definedName name="BEx1U87938YR9N6HYI24KVBKLOS3" hidden="1">#REF!</definedName>
    <definedName name="BEx1U9P6VQWSVRICLZR9DYRMN61U" localSheetId="56" hidden="1">#REF!</definedName>
    <definedName name="BEx1U9P6VQWSVRICLZR9DYRMN61U" localSheetId="55" hidden="1">#REF!</definedName>
    <definedName name="BEx1U9P6VQWSVRICLZR9DYRMN61U" localSheetId="4" hidden="1">#REF!</definedName>
    <definedName name="BEx1U9P6VQWSVRICLZR9DYRMN61U" localSheetId="1" hidden="1">#REF!</definedName>
    <definedName name="BEx1U9P6VQWSVRICLZR9DYRMN61U" localSheetId="9" hidden="1">#REF!</definedName>
    <definedName name="BEx1U9P6VQWSVRICLZR9DYRMN61U" hidden="1">#REF!</definedName>
    <definedName name="BEx1UESH4KDWHYESQU2IE55RS3LI" localSheetId="56" hidden="1">#REF!</definedName>
    <definedName name="BEx1UESH4KDWHYESQU2IE55RS3LI" localSheetId="55" hidden="1">#REF!</definedName>
    <definedName name="BEx1UESH4KDWHYESQU2IE55RS3LI" localSheetId="4" hidden="1">#REF!</definedName>
    <definedName name="BEx1UESH4KDWHYESQU2IE55RS3LI" localSheetId="1" hidden="1">#REF!</definedName>
    <definedName name="BEx1UESH4KDWHYESQU2IE55RS3LI" localSheetId="9" hidden="1">#REF!</definedName>
    <definedName name="BEx1UESH4KDWHYESQU2IE55RS3LI" hidden="1">#REF!</definedName>
    <definedName name="BEx1UI8N9KTCPSOJ7RDW0T8UEBNP" localSheetId="56" hidden="1">#REF!</definedName>
    <definedName name="BEx1UI8N9KTCPSOJ7RDW0T8UEBNP" localSheetId="55" hidden="1">#REF!</definedName>
    <definedName name="BEx1UI8N9KTCPSOJ7RDW0T8UEBNP" localSheetId="4" hidden="1">#REF!</definedName>
    <definedName name="BEx1UI8N9KTCPSOJ7RDW0T8UEBNP" localSheetId="1" hidden="1">#REF!</definedName>
    <definedName name="BEx1UI8N9KTCPSOJ7RDW0T8UEBNP" localSheetId="9" hidden="1">#REF!</definedName>
    <definedName name="BEx1UI8N9KTCPSOJ7RDW0T8UEBNP" hidden="1">#REF!</definedName>
    <definedName name="BEx1UML0HHJFHA5TBOYQ24I3RV1W" localSheetId="56" hidden="1">#REF!</definedName>
    <definedName name="BEx1UML0HHJFHA5TBOYQ24I3RV1W" localSheetId="55" hidden="1">#REF!</definedName>
    <definedName name="BEx1UML0HHJFHA5TBOYQ24I3RV1W" localSheetId="4" hidden="1">#REF!</definedName>
    <definedName name="BEx1UML0HHJFHA5TBOYQ24I3RV1W" localSheetId="1" hidden="1">#REF!</definedName>
    <definedName name="BEx1UML0HHJFHA5TBOYQ24I3RV1W" localSheetId="9" hidden="1">#REF!</definedName>
    <definedName name="BEx1UML0HHJFHA5TBOYQ24I3RV1W" hidden="1">#REF!</definedName>
    <definedName name="BEx1UO8ENOJNYCNX5Z95TBIJ3MKP" localSheetId="56" hidden="1">#REF!</definedName>
    <definedName name="BEx1UO8ENOJNYCNX5Z95TBIJ3MKP" localSheetId="55" hidden="1">#REF!</definedName>
    <definedName name="BEx1UO8ENOJNYCNX5Z95TBIJ3MKP" localSheetId="4" hidden="1">#REF!</definedName>
    <definedName name="BEx1UO8ENOJNYCNX5Z95TBIJ3MKP" localSheetId="1" hidden="1">#REF!</definedName>
    <definedName name="BEx1UO8ENOJNYCNX5Z95TBIJ3MKP" localSheetId="9" hidden="1">#REF!</definedName>
    <definedName name="BEx1UO8ENOJNYCNX5Z95TBIJ3MKP" hidden="1">#REF!</definedName>
    <definedName name="BEx1UUDIQPZ23XQ79GUL0RAWRSCK" localSheetId="56" hidden="1">#REF!</definedName>
    <definedName name="BEx1UUDIQPZ23XQ79GUL0RAWRSCK" localSheetId="55" hidden="1">#REF!</definedName>
    <definedName name="BEx1UUDIQPZ23XQ79GUL0RAWRSCK" localSheetId="4" hidden="1">#REF!</definedName>
    <definedName name="BEx1UUDIQPZ23XQ79GUL0RAWRSCK" localSheetId="1" hidden="1">#REF!</definedName>
    <definedName name="BEx1UUDIQPZ23XQ79GUL0RAWRSCK" localSheetId="9" hidden="1">#REF!</definedName>
    <definedName name="BEx1UUDIQPZ23XQ79GUL0RAWRSCK" hidden="1">#REF!</definedName>
    <definedName name="BEx1V67SEV778NVW68J8W5SND1J7" localSheetId="56" hidden="1">#REF!</definedName>
    <definedName name="BEx1V67SEV778NVW68J8W5SND1J7" localSheetId="55" hidden="1">#REF!</definedName>
    <definedName name="BEx1V67SEV778NVW68J8W5SND1J7" localSheetId="4" hidden="1">#REF!</definedName>
    <definedName name="BEx1V67SEV778NVW68J8W5SND1J7" localSheetId="1" hidden="1">#REF!</definedName>
    <definedName name="BEx1V67SEV778NVW68J8W5SND1J7" localSheetId="9" hidden="1">#REF!</definedName>
    <definedName name="BEx1V67SEV778NVW68J8W5SND1J7" hidden="1">#REF!</definedName>
    <definedName name="BEx1VIY9SQLRESD11CC4PHYT0XSG" localSheetId="56" hidden="1">#REF!</definedName>
    <definedName name="BEx1VIY9SQLRESD11CC4PHYT0XSG" localSheetId="55" hidden="1">#REF!</definedName>
    <definedName name="BEx1VIY9SQLRESD11CC4PHYT0XSG" localSheetId="4" hidden="1">#REF!</definedName>
    <definedName name="BEx1VIY9SQLRESD11CC4PHYT0XSG" localSheetId="1" hidden="1">#REF!</definedName>
    <definedName name="BEx1VIY9SQLRESD11CC4PHYT0XSG" localSheetId="9" hidden="1">#REF!</definedName>
    <definedName name="BEx1VIY9SQLRESD11CC4PHYT0XSG" hidden="1">#REF!</definedName>
    <definedName name="BEx1W3170EJU6QEJR4F8E2ULUU2U" localSheetId="56" hidden="1">#REF!</definedName>
    <definedName name="BEx1W3170EJU6QEJR4F8E2ULUU2U" localSheetId="55" hidden="1">#REF!</definedName>
    <definedName name="BEx1W3170EJU6QEJR4F8E2ULUU2U" localSheetId="4" hidden="1">#REF!</definedName>
    <definedName name="BEx1W3170EJU6QEJR4F8E2ULUU2U" localSheetId="1" hidden="1">#REF!</definedName>
    <definedName name="BEx1W3170EJU6QEJR4F8E2ULUU2U" localSheetId="9" hidden="1">#REF!</definedName>
    <definedName name="BEx1W3170EJU6QEJR4F8E2ULUU2U" hidden="1">#REF!</definedName>
    <definedName name="BEx1WC67EH10SC38QWX3WEA5KH3A" localSheetId="56" hidden="1">#REF!</definedName>
    <definedName name="BEx1WC67EH10SC38QWX3WEA5KH3A" localSheetId="55" hidden="1">#REF!</definedName>
    <definedName name="BEx1WC67EH10SC38QWX3WEA5KH3A" localSheetId="4" hidden="1">#REF!</definedName>
    <definedName name="BEx1WC67EH10SC38QWX3WEA5KH3A" localSheetId="1" hidden="1">#REF!</definedName>
    <definedName name="BEx1WC67EH10SC38QWX3WEA5KH3A" localSheetId="9" hidden="1">#REF!</definedName>
    <definedName name="BEx1WC67EH10SC38QWX3WEA5KH3A" hidden="1">#REF!</definedName>
    <definedName name="BEx1WDTMC6W73PJPTY0JYLKOA883" localSheetId="56" hidden="1">#REF!</definedName>
    <definedName name="BEx1WDTMC6W73PJPTY0JYLKOA883" localSheetId="55" hidden="1">#REF!</definedName>
    <definedName name="BEx1WDTMC6W73PJPTY0JYLKOA883" localSheetId="4" hidden="1">#REF!</definedName>
    <definedName name="BEx1WDTMC6W73PJPTY0JYLKOA883" localSheetId="1" hidden="1">#REF!</definedName>
    <definedName name="BEx1WDTMC6W73PJPTY0JYLKOA883" localSheetId="9" hidden="1">#REF!</definedName>
    <definedName name="BEx1WDTMC6W73PJPTY0JYLKOA883" hidden="1">#REF!</definedName>
    <definedName name="BEx1WGYTKZZIPM1577W5FEYKFH3V" localSheetId="56" hidden="1">#REF!</definedName>
    <definedName name="BEx1WGYTKZZIPM1577W5FEYKFH3V" localSheetId="55" hidden="1">#REF!</definedName>
    <definedName name="BEx1WGYTKZZIPM1577W5FEYKFH3V" localSheetId="4" hidden="1">#REF!</definedName>
    <definedName name="BEx1WGYTKZZIPM1577W5FEYKFH3V" localSheetId="1" hidden="1">#REF!</definedName>
    <definedName name="BEx1WGYTKZZIPM1577W5FEYKFH3V" localSheetId="9" hidden="1">#REF!</definedName>
    <definedName name="BEx1WGYTKZZIPM1577W5FEYKFH3V" hidden="1">#REF!</definedName>
    <definedName name="BEx1WHPURIV3D3PTJJ359H1OP7ZV" localSheetId="56" hidden="1">#REF!</definedName>
    <definedName name="BEx1WHPURIV3D3PTJJ359H1OP7ZV" localSheetId="55" hidden="1">#REF!</definedName>
    <definedName name="BEx1WHPURIV3D3PTJJ359H1OP7ZV" localSheetId="4" hidden="1">#REF!</definedName>
    <definedName name="BEx1WHPURIV3D3PTJJ359H1OP7ZV" localSheetId="1" hidden="1">#REF!</definedName>
    <definedName name="BEx1WHPURIV3D3PTJJ359H1OP7ZV" localSheetId="9" hidden="1">#REF!</definedName>
    <definedName name="BEx1WHPURIV3D3PTJJ359H1OP7ZV" hidden="1">#REF!</definedName>
    <definedName name="BEx1WLBBR45RLDQX9FCLJWUUQX5R" localSheetId="56" hidden="1">#REF!</definedName>
    <definedName name="BEx1WLBBR45RLDQX9FCLJWUUQX5R" localSheetId="55" hidden="1">#REF!</definedName>
    <definedName name="BEx1WLBBR45RLDQX9FCLJWUUQX5R" localSheetId="4" hidden="1">#REF!</definedName>
    <definedName name="BEx1WLBBR45RLDQX9FCLJWUUQX5R" localSheetId="1" hidden="1">#REF!</definedName>
    <definedName name="BEx1WLBBR45RLDQX9FCLJWUUQX5R" localSheetId="9" hidden="1">#REF!</definedName>
    <definedName name="BEx1WLBBR45RLDQX9FCLJWUUQX5R" hidden="1">#REF!</definedName>
    <definedName name="BEx1WLWY2CR1WRD694JJSWSDFAIR" localSheetId="56" hidden="1">#REF!</definedName>
    <definedName name="BEx1WLWY2CR1WRD694JJSWSDFAIR" localSheetId="55" hidden="1">#REF!</definedName>
    <definedName name="BEx1WLWY2CR1WRD694JJSWSDFAIR" localSheetId="4" hidden="1">#REF!</definedName>
    <definedName name="BEx1WLWY2CR1WRD694JJSWSDFAIR" localSheetId="1" hidden="1">#REF!</definedName>
    <definedName name="BEx1WLWY2CR1WRD694JJSWSDFAIR" localSheetId="9" hidden="1">#REF!</definedName>
    <definedName name="BEx1WLWY2CR1WRD694JJSWSDFAIR" hidden="1">#REF!</definedName>
    <definedName name="BEx1WMD1LWPWRIK6GGAJRJAHJM8I" localSheetId="56" hidden="1">#REF!</definedName>
    <definedName name="BEx1WMD1LWPWRIK6GGAJRJAHJM8I" localSheetId="55" hidden="1">#REF!</definedName>
    <definedName name="BEx1WMD1LWPWRIK6GGAJRJAHJM8I" localSheetId="4" hidden="1">#REF!</definedName>
    <definedName name="BEx1WMD1LWPWRIK6GGAJRJAHJM8I" localSheetId="1" hidden="1">#REF!</definedName>
    <definedName name="BEx1WMD1LWPWRIK6GGAJRJAHJM8I" localSheetId="9" hidden="1">#REF!</definedName>
    <definedName name="BEx1WMD1LWPWRIK6GGAJRJAHJM8I" hidden="1">#REF!</definedName>
    <definedName name="BEx1WR0D41MR174LBF3P9E3K0J51" localSheetId="56" hidden="1">#REF!</definedName>
    <definedName name="BEx1WR0D41MR174LBF3P9E3K0J51" localSheetId="55" hidden="1">#REF!</definedName>
    <definedName name="BEx1WR0D41MR174LBF3P9E3K0J51" localSheetId="4" hidden="1">#REF!</definedName>
    <definedName name="BEx1WR0D41MR174LBF3P9E3K0J51" localSheetId="1" hidden="1">#REF!</definedName>
    <definedName name="BEx1WR0D41MR174LBF3P9E3K0J51" localSheetId="9" hidden="1">#REF!</definedName>
    <definedName name="BEx1WR0D41MR174LBF3P9E3K0J51" hidden="1">#REF!</definedName>
    <definedName name="BEx1WT3VU2F7OSUQZHBIV4KTTFJ4" localSheetId="56" hidden="1">#REF!</definedName>
    <definedName name="BEx1WT3VU2F7OSUQZHBIV4KTTFJ4" localSheetId="55" hidden="1">#REF!</definedName>
    <definedName name="BEx1WT3VU2F7OSUQZHBIV4KTTFJ4" localSheetId="4" hidden="1">#REF!</definedName>
    <definedName name="BEx1WT3VU2F7OSUQZHBIV4KTTFJ4" localSheetId="1" hidden="1">#REF!</definedName>
    <definedName name="BEx1WT3VU2F7OSUQZHBIV4KTTFJ4" localSheetId="9" hidden="1">#REF!</definedName>
    <definedName name="BEx1WT3VU2F7OSUQZHBIV4KTTFJ4" hidden="1">#REF!</definedName>
    <definedName name="BEx1WUB1FAS5PHU33TJ60SUHR618" localSheetId="56" hidden="1">#REF!</definedName>
    <definedName name="BEx1WUB1FAS5PHU33TJ60SUHR618" localSheetId="55" hidden="1">#REF!</definedName>
    <definedName name="BEx1WUB1FAS5PHU33TJ60SUHR618" localSheetId="4" hidden="1">#REF!</definedName>
    <definedName name="BEx1WUB1FAS5PHU33TJ60SUHR618" localSheetId="1" hidden="1">#REF!</definedName>
    <definedName name="BEx1WUB1FAS5PHU33TJ60SUHR618" localSheetId="9" hidden="1">#REF!</definedName>
    <definedName name="BEx1WUB1FAS5PHU33TJ60SUHR618" hidden="1">#REF!</definedName>
    <definedName name="BEx1WX04G0INSPPG9NTNR3DYR6PZ" localSheetId="56" hidden="1">#REF!</definedName>
    <definedName name="BEx1WX04G0INSPPG9NTNR3DYR6PZ" localSheetId="55" hidden="1">#REF!</definedName>
    <definedName name="BEx1WX04G0INSPPG9NTNR3DYR6PZ" localSheetId="4" hidden="1">#REF!</definedName>
    <definedName name="BEx1WX04G0INSPPG9NTNR3DYR6PZ" localSheetId="1" hidden="1">#REF!</definedName>
    <definedName name="BEx1WX04G0INSPPG9NTNR3DYR6PZ" localSheetId="9" hidden="1">#REF!</definedName>
    <definedName name="BEx1WX04G0INSPPG9NTNR3DYR6PZ" hidden="1">#REF!</definedName>
    <definedName name="BEx1X3LHU9DPG01VWX2IF65TRATF" localSheetId="56" hidden="1">#REF!</definedName>
    <definedName name="BEx1X3LHU9DPG01VWX2IF65TRATF" localSheetId="55" hidden="1">#REF!</definedName>
    <definedName name="BEx1X3LHU9DPG01VWX2IF65TRATF" localSheetId="4" hidden="1">#REF!</definedName>
    <definedName name="BEx1X3LHU9DPG01VWX2IF65TRATF" localSheetId="1" hidden="1">#REF!</definedName>
    <definedName name="BEx1X3LHU9DPG01VWX2IF65TRATF" localSheetId="9" hidden="1">#REF!</definedName>
    <definedName name="BEx1X3LHU9DPG01VWX2IF65TRATF" hidden="1">#REF!</definedName>
    <definedName name="BEx1XFL3ISYW3FU1DQ3US0DYA8NQ" localSheetId="56" hidden="1">#REF!</definedName>
    <definedName name="BEx1XFL3ISYW3FU1DQ3US0DYA8NQ" localSheetId="55" hidden="1">#REF!</definedName>
    <definedName name="BEx1XFL3ISYW3FU1DQ3US0DYA8NQ" localSheetId="4" hidden="1">#REF!</definedName>
    <definedName name="BEx1XFL3ISYW3FU1DQ3US0DYA8NQ" localSheetId="1" hidden="1">#REF!</definedName>
    <definedName name="BEx1XFL3ISYW3FU1DQ3US0DYA8NQ" localSheetId="9" hidden="1">#REF!</definedName>
    <definedName name="BEx1XFL3ISYW3FU1DQ3US0DYA8NQ" hidden="1">#REF!</definedName>
    <definedName name="BEx1XK8AAMO0AH0Z1OUKW30CA7EQ" localSheetId="56" hidden="1">#REF!</definedName>
    <definedName name="BEx1XK8AAMO0AH0Z1OUKW30CA7EQ" localSheetId="55" hidden="1">#REF!</definedName>
    <definedName name="BEx1XK8AAMO0AH0Z1OUKW30CA7EQ" localSheetId="4" hidden="1">#REF!</definedName>
    <definedName name="BEx1XK8AAMO0AH0Z1OUKW30CA7EQ" localSheetId="1" hidden="1">#REF!</definedName>
    <definedName name="BEx1XK8AAMO0AH0Z1OUKW30CA7EQ" localSheetId="9" hidden="1">#REF!</definedName>
    <definedName name="BEx1XK8AAMO0AH0Z1OUKW30CA7EQ" hidden="1">#REF!</definedName>
    <definedName name="BEx1XL4MZ7C80495GHQRWOBS16PQ" localSheetId="56" hidden="1">#REF!</definedName>
    <definedName name="BEx1XL4MZ7C80495GHQRWOBS16PQ" localSheetId="55" hidden="1">#REF!</definedName>
    <definedName name="BEx1XL4MZ7C80495GHQRWOBS16PQ" localSheetId="4" hidden="1">#REF!</definedName>
    <definedName name="BEx1XL4MZ7C80495GHQRWOBS16PQ" localSheetId="1" hidden="1">#REF!</definedName>
    <definedName name="BEx1XL4MZ7C80495GHQRWOBS16PQ" localSheetId="9" hidden="1">#REF!</definedName>
    <definedName name="BEx1XL4MZ7C80495GHQRWOBS16PQ" hidden="1">#REF!</definedName>
    <definedName name="BEx1Y2IGS2K95E1M51PEF9KJZ0KB" localSheetId="56" hidden="1">#REF!</definedName>
    <definedName name="BEx1Y2IGS2K95E1M51PEF9KJZ0KB" localSheetId="55" hidden="1">#REF!</definedName>
    <definedName name="BEx1Y2IGS2K95E1M51PEF9KJZ0KB" localSheetId="4" hidden="1">#REF!</definedName>
    <definedName name="BEx1Y2IGS2K95E1M51PEF9KJZ0KB" localSheetId="1" hidden="1">#REF!</definedName>
    <definedName name="BEx1Y2IGS2K95E1M51PEF9KJZ0KB" localSheetId="9" hidden="1">#REF!</definedName>
    <definedName name="BEx1Y2IGS2K95E1M51PEF9KJZ0KB" hidden="1">#REF!</definedName>
    <definedName name="BEx1Y3PKK83X2FN9SAALFHOWKMRQ" localSheetId="56" hidden="1">#REF!</definedName>
    <definedName name="BEx1Y3PKK83X2FN9SAALFHOWKMRQ" localSheetId="55" hidden="1">#REF!</definedName>
    <definedName name="BEx1Y3PKK83X2FN9SAALFHOWKMRQ" localSheetId="4" hidden="1">#REF!</definedName>
    <definedName name="BEx1Y3PKK83X2FN9SAALFHOWKMRQ" localSheetId="1" hidden="1">#REF!</definedName>
    <definedName name="BEx1Y3PKK83X2FN9SAALFHOWKMRQ" localSheetId="9" hidden="1">#REF!</definedName>
    <definedName name="BEx1Y3PKK83X2FN9SAALFHOWKMRQ" hidden="1">#REF!</definedName>
    <definedName name="BEx1YL3DJ7Y4AZ01ERCOGW0FJ26T" localSheetId="56" hidden="1">#REF!</definedName>
    <definedName name="BEx1YL3DJ7Y4AZ01ERCOGW0FJ26T" localSheetId="55" hidden="1">#REF!</definedName>
    <definedName name="BEx1YL3DJ7Y4AZ01ERCOGW0FJ26T" localSheetId="4" hidden="1">#REF!</definedName>
    <definedName name="BEx1YL3DJ7Y4AZ01ERCOGW0FJ26T" localSheetId="1" hidden="1">#REF!</definedName>
    <definedName name="BEx1YL3DJ7Y4AZ01ERCOGW0FJ26T" localSheetId="9" hidden="1">#REF!</definedName>
    <definedName name="BEx1YL3DJ7Y4AZ01ERCOGW0FJ26T" hidden="1">#REF!</definedName>
    <definedName name="BEx1Z2RYHSVD1H37817SN93VMURZ" localSheetId="56" hidden="1">#REF!</definedName>
    <definedName name="BEx1Z2RYHSVD1H37817SN93VMURZ" localSheetId="55" hidden="1">#REF!</definedName>
    <definedName name="BEx1Z2RYHSVD1H37817SN93VMURZ" localSheetId="4" hidden="1">#REF!</definedName>
    <definedName name="BEx1Z2RYHSVD1H37817SN93VMURZ" localSheetId="1" hidden="1">#REF!</definedName>
    <definedName name="BEx1Z2RYHSVD1H37817SN93VMURZ" localSheetId="9" hidden="1">#REF!</definedName>
    <definedName name="BEx1Z2RYHSVD1H37817SN93VMURZ" hidden="1">#REF!</definedName>
    <definedName name="BEx3AMAKWI6458B67VKZO56MCNJW" localSheetId="56" hidden="1">#REF!</definedName>
    <definedName name="BEx3AMAKWI6458B67VKZO56MCNJW" localSheetId="55" hidden="1">#REF!</definedName>
    <definedName name="BEx3AMAKWI6458B67VKZO56MCNJW" localSheetId="4" hidden="1">#REF!</definedName>
    <definedName name="BEx3AMAKWI6458B67VKZO56MCNJW" localSheetId="1" hidden="1">#REF!</definedName>
    <definedName name="BEx3AMAKWI6458B67VKZO56MCNJW" localSheetId="9" hidden="1">#REF!</definedName>
    <definedName name="BEx3AMAKWI6458B67VKZO56MCNJW" hidden="1">#REF!</definedName>
    <definedName name="BEx3AOOVM42G82TNF53W0EKXLUSI" localSheetId="56" hidden="1">#REF!</definedName>
    <definedName name="BEx3AOOVM42G82TNF53W0EKXLUSI" localSheetId="55" hidden="1">#REF!</definedName>
    <definedName name="BEx3AOOVM42G82TNF53W0EKXLUSI" localSheetId="4" hidden="1">#REF!</definedName>
    <definedName name="BEx3AOOVM42G82TNF53W0EKXLUSI" localSheetId="1" hidden="1">#REF!</definedName>
    <definedName name="BEx3AOOVM42G82TNF53W0EKXLUSI" localSheetId="9" hidden="1">#REF!</definedName>
    <definedName name="BEx3AOOVM42G82TNF53W0EKXLUSI" hidden="1">#REF!</definedName>
    <definedName name="BEx3AZH9W4SUFCAHNDOQ728R9V4L" localSheetId="56" hidden="1">#REF!</definedName>
    <definedName name="BEx3AZH9W4SUFCAHNDOQ728R9V4L" localSheetId="55" hidden="1">#REF!</definedName>
    <definedName name="BEx3AZH9W4SUFCAHNDOQ728R9V4L" localSheetId="4" hidden="1">#REF!</definedName>
    <definedName name="BEx3AZH9W4SUFCAHNDOQ728R9V4L" localSheetId="1" hidden="1">#REF!</definedName>
    <definedName name="BEx3AZH9W4SUFCAHNDOQ728R9V4L" localSheetId="9" hidden="1">#REF!</definedName>
    <definedName name="BEx3AZH9W4SUFCAHNDOQ728R9V4L" hidden="1">#REF!</definedName>
    <definedName name="BEx3BNR9ES4KY7Q1DK83KC5NDGL8" localSheetId="56" hidden="1">#REF!</definedName>
    <definedName name="BEx3BNR9ES4KY7Q1DK83KC5NDGL8" localSheetId="55" hidden="1">#REF!</definedName>
    <definedName name="BEx3BNR9ES4KY7Q1DK83KC5NDGL8" localSheetId="4" hidden="1">#REF!</definedName>
    <definedName name="BEx3BNR9ES4KY7Q1DK83KC5NDGL8" localSheetId="1" hidden="1">#REF!</definedName>
    <definedName name="BEx3BNR9ES4KY7Q1DK83KC5NDGL8" localSheetId="9" hidden="1">#REF!</definedName>
    <definedName name="BEx3BNR9ES4KY7Q1DK83KC5NDGL8" hidden="1">#REF!</definedName>
    <definedName name="BEx3BQR5VZXNQ4H949ORM8ESU3B3" localSheetId="56" hidden="1">#REF!</definedName>
    <definedName name="BEx3BQR5VZXNQ4H949ORM8ESU3B3" localSheetId="55" hidden="1">#REF!</definedName>
    <definedName name="BEx3BQR5VZXNQ4H949ORM8ESU3B3" localSheetId="4" hidden="1">#REF!</definedName>
    <definedName name="BEx3BQR5VZXNQ4H949ORM8ESU3B3" localSheetId="1" hidden="1">#REF!</definedName>
    <definedName name="BEx3BQR5VZXNQ4H949ORM8ESU3B3" localSheetId="9" hidden="1">#REF!</definedName>
    <definedName name="BEx3BQR5VZXNQ4H949ORM8ESU3B3" hidden="1">#REF!</definedName>
    <definedName name="BEx3BTLL3ASJN134DLEQTQM70VZM" localSheetId="56" hidden="1">#REF!</definedName>
    <definedName name="BEx3BTLL3ASJN134DLEQTQM70VZM" localSheetId="55" hidden="1">#REF!</definedName>
    <definedName name="BEx3BTLL3ASJN134DLEQTQM70VZM" localSheetId="4" hidden="1">#REF!</definedName>
    <definedName name="BEx3BTLL3ASJN134DLEQTQM70VZM" localSheetId="1" hidden="1">#REF!</definedName>
    <definedName name="BEx3BTLL3ASJN134DLEQTQM70VZM" localSheetId="9" hidden="1">#REF!</definedName>
    <definedName name="BEx3BTLL3ASJN134DLEQTQM70VZM" hidden="1">#REF!</definedName>
    <definedName name="BEx3BW5CTV0DJU5AQS3ZQFK2VLF3" localSheetId="56" hidden="1">#REF!</definedName>
    <definedName name="BEx3BW5CTV0DJU5AQS3ZQFK2VLF3" localSheetId="55" hidden="1">#REF!</definedName>
    <definedName name="BEx3BW5CTV0DJU5AQS3ZQFK2VLF3" localSheetId="4" hidden="1">#REF!</definedName>
    <definedName name="BEx3BW5CTV0DJU5AQS3ZQFK2VLF3" localSheetId="1" hidden="1">#REF!</definedName>
    <definedName name="BEx3BW5CTV0DJU5AQS3ZQFK2VLF3" localSheetId="9" hidden="1">#REF!</definedName>
    <definedName name="BEx3BW5CTV0DJU5AQS3ZQFK2VLF3" hidden="1">#REF!</definedName>
    <definedName name="BEx3BYP0FG369M7G3JEFLMMXAKTS" localSheetId="56" hidden="1">#REF!</definedName>
    <definedName name="BEx3BYP0FG369M7G3JEFLMMXAKTS" localSheetId="55" hidden="1">#REF!</definedName>
    <definedName name="BEx3BYP0FG369M7G3JEFLMMXAKTS" localSheetId="4" hidden="1">#REF!</definedName>
    <definedName name="BEx3BYP0FG369M7G3JEFLMMXAKTS" localSheetId="1" hidden="1">#REF!</definedName>
    <definedName name="BEx3BYP0FG369M7G3JEFLMMXAKTS" localSheetId="9" hidden="1">#REF!</definedName>
    <definedName name="BEx3BYP0FG369M7G3JEFLMMXAKTS" hidden="1">#REF!</definedName>
    <definedName name="BEx3C2QR0WUD19QSVO8EMIPNQJKH" localSheetId="56" hidden="1">#REF!</definedName>
    <definedName name="BEx3C2QR0WUD19QSVO8EMIPNQJKH" localSheetId="55" hidden="1">#REF!</definedName>
    <definedName name="BEx3C2QR0WUD19QSVO8EMIPNQJKH" localSheetId="4" hidden="1">#REF!</definedName>
    <definedName name="BEx3C2QR0WUD19QSVO8EMIPNQJKH" localSheetId="1" hidden="1">#REF!</definedName>
    <definedName name="BEx3C2QR0WUD19QSVO8EMIPNQJKH" localSheetId="9" hidden="1">#REF!</definedName>
    <definedName name="BEx3C2QR0WUD19QSVO8EMIPNQJKH" hidden="1">#REF!</definedName>
    <definedName name="BEx3CKFCCPZZ6ROLAT5C1DZNIC1U" localSheetId="56" hidden="1">#REF!</definedName>
    <definedName name="BEx3CKFCCPZZ6ROLAT5C1DZNIC1U" localSheetId="55" hidden="1">#REF!</definedName>
    <definedName name="BEx3CKFCCPZZ6ROLAT5C1DZNIC1U" localSheetId="4" hidden="1">#REF!</definedName>
    <definedName name="BEx3CKFCCPZZ6ROLAT5C1DZNIC1U" localSheetId="1" hidden="1">#REF!</definedName>
    <definedName name="BEx3CKFCCPZZ6ROLAT5C1DZNIC1U" localSheetId="9" hidden="1">#REF!</definedName>
    <definedName name="BEx3CKFCCPZZ6ROLAT5C1DZNIC1U" hidden="1">#REF!</definedName>
    <definedName name="BEx3CO0SVO4WLH0DO43DCHYDTH1P" localSheetId="56" hidden="1">#REF!</definedName>
    <definedName name="BEx3CO0SVO4WLH0DO43DCHYDTH1P" localSheetId="55" hidden="1">#REF!</definedName>
    <definedName name="BEx3CO0SVO4WLH0DO43DCHYDTH1P" localSheetId="4" hidden="1">#REF!</definedName>
    <definedName name="BEx3CO0SVO4WLH0DO43DCHYDTH1P" localSheetId="1" hidden="1">#REF!</definedName>
    <definedName name="BEx3CO0SVO4WLH0DO43DCHYDTH1P" localSheetId="9" hidden="1">#REF!</definedName>
    <definedName name="BEx3CO0SVO4WLH0DO43DCHYDTH1P" hidden="1">#REF!</definedName>
    <definedName name="BEx3CPDAEBC12450MVHX6S78ILBS" localSheetId="56" hidden="1">#REF!</definedName>
    <definedName name="BEx3CPDAEBC12450MVHX6S78ILBS" localSheetId="55" hidden="1">#REF!</definedName>
    <definedName name="BEx3CPDAEBC12450MVHX6S78ILBS" localSheetId="4" hidden="1">#REF!</definedName>
    <definedName name="BEx3CPDAEBC12450MVHX6S78ILBS" localSheetId="1" hidden="1">#REF!</definedName>
    <definedName name="BEx3CPDAEBC12450MVHX6S78ILBS" localSheetId="9" hidden="1">#REF!</definedName>
    <definedName name="BEx3CPDAEBC12450MVHX6S78ILBS" hidden="1">#REF!</definedName>
    <definedName name="BEx3CQ9OQ7E1YH93NADGWWEH0HD5" localSheetId="56" hidden="1">#REF!</definedName>
    <definedName name="BEx3CQ9OQ7E1YH93NADGWWEH0HD5" localSheetId="55" hidden="1">#REF!</definedName>
    <definedName name="BEx3CQ9OQ7E1YH93NADGWWEH0HD5" localSheetId="4" hidden="1">#REF!</definedName>
    <definedName name="BEx3CQ9OQ7E1YH93NADGWWEH0HD5" localSheetId="1" hidden="1">#REF!</definedName>
    <definedName name="BEx3CQ9OQ7E1YH93NADGWWEH0HD5" localSheetId="9" hidden="1">#REF!</definedName>
    <definedName name="BEx3CQ9OQ7E1YH93NADGWWEH0HD5" hidden="1">#REF!</definedName>
    <definedName name="BEx3D9G6QTSPF9UYI4X0XY0VE896" localSheetId="56" hidden="1">#REF!</definedName>
    <definedName name="BEx3D9G6QTSPF9UYI4X0XY0VE896" localSheetId="55" hidden="1">#REF!</definedName>
    <definedName name="BEx3D9G6QTSPF9UYI4X0XY0VE896" localSheetId="4" hidden="1">#REF!</definedName>
    <definedName name="BEx3D9G6QTSPF9UYI4X0XY0VE896" localSheetId="1" hidden="1">#REF!</definedName>
    <definedName name="BEx3D9G6QTSPF9UYI4X0XY0VE896" localSheetId="9" hidden="1">#REF!</definedName>
    <definedName name="BEx3D9G6QTSPF9UYI4X0XY0VE896" hidden="1">#REF!</definedName>
    <definedName name="BEx3DCQU9PBRXIMLO62KS5RLH447" localSheetId="56" hidden="1">#REF!</definedName>
    <definedName name="BEx3DCQU9PBRXIMLO62KS5RLH447" localSheetId="55" hidden="1">#REF!</definedName>
    <definedName name="BEx3DCQU9PBRXIMLO62KS5RLH447" localSheetId="4" hidden="1">#REF!</definedName>
    <definedName name="BEx3DCQU9PBRXIMLO62KS5RLH447" localSheetId="1" hidden="1">#REF!</definedName>
    <definedName name="BEx3DCQU9PBRXIMLO62KS5RLH447" localSheetId="9" hidden="1">#REF!</definedName>
    <definedName name="BEx3DCQU9PBRXIMLO62KS5RLH447" hidden="1">#REF!</definedName>
    <definedName name="BEx3DQ8EH7C7L4XQAOL3NRRVRRT3" localSheetId="56" hidden="1">#REF!</definedName>
    <definedName name="BEx3DQ8EH7C7L4XQAOL3NRRVRRT3" localSheetId="55" hidden="1">#REF!</definedName>
    <definedName name="BEx3DQ8EH7C7L4XQAOL3NRRVRRT3" localSheetId="4" hidden="1">#REF!</definedName>
    <definedName name="BEx3DQ8EH7C7L4XQAOL3NRRVRRT3" localSheetId="1" hidden="1">#REF!</definedName>
    <definedName name="BEx3DQ8EH7C7L4XQAOL3NRRVRRT3" localSheetId="9" hidden="1">#REF!</definedName>
    <definedName name="BEx3DQ8EH7C7L4XQAOL3NRRVRRT3" hidden="1">#REF!</definedName>
    <definedName name="BEx3EF99FD6QNNCNOKDEE67JHTUJ" localSheetId="56" hidden="1">#REF!</definedName>
    <definedName name="BEx3EF99FD6QNNCNOKDEE67JHTUJ" localSheetId="55" hidden="1">#REF!</definedName>
    <definedName name="BEx3EF99FD6QNNCNOKDEE67JHTUJ" localSheetId="4" hidden="1">#REF!</definedName>
    <definedName name="BEx3EF99FD6QNNCNOKDEE67JHTUJ" localSheetId="1" hidden="1">#REF!</definedName>
    <definedName name="BEx3EF99FD6QNNCNOKDEE67JHTUJ" localSheetId="9" hidden="1">#REF!</definedName>
    <definedName name="BEx3EF99FD6QNNCNOKDEE67JHTUJ" hidden="1">#REF!</definedName>
    <definedName name="BEx3EGLXG4AU8GXIFP26DZ61E6EP" localSheetId="56" hidden="1">#REF!</definedName>
    <definedName name="BEx3EGLXG4AU8GXIFP26DZ61E6EP" localSheetId="55" hidden="1">#REF!</definedName>
    <definedName name="BEx3EGLXG4AU8GXIFP26DZ61E6EP" localSheetId="4" hidden="1">#REF!</definedName>
    <definedName name="BEx3EGLXG4AU8GXIFP26DZ61E6EP" localSheetId="1" hidden="1">#REF!</definedName>
    <definedName name="BEx3EGLXG4AU8GXIFP26DZ61E6EP" localSheetId="9" hidden="1">#REF!</definedName>
    <definedName name="BEx3EGLXG4AU8GXIFP26DZ61E6EP" hidden="1">#REF!</definedName>
    <definedName name="BEx3EHCSERZ2O2OAG8Y95UPG2IY9" localSheetId="56" hidden="1">#REF!</definedName>
    <definedName name="BEx3EHCSERZ2O2OAG8Y95UPG2IY9" localSheetId="55" hidden="1">#REF!</definedName>
    <definedName name="BEx3EHCSERZ2O2OAG8Y95UPG2IY9" localSheetId="4" hidden="1">#REF!</definedName>
    <definedName name="BEx3EHCSERZ2O2OAG8Y95UPG2IY9" localSheetId="1" hidden="1">#REF!</definedName>
    <definedName name="BEx3EHCSERZ2O2OAG8Y95UPG2IY9" localSheetId="9" hidden="1">#REF!</definedName>
    <definedName name="BEx3EHCSERZ2O2OAG8Y95UPG2IY9" hidden="1">#REF!</definedName>
    <definedName name="BEx3EJR3TCJDYS7ZXNDS5N9KTGIK" localSheetId="56" hidden="1">#REF!</definedName>
    <definedName name="BEx3EJR3TCJDYS7ZXNDS5N9KTGIK" localSheetId="55" hidden="1">#REF!</definedName>
    <definedName name="BEx3EJR3TCJDYS7ZXNDS5N9KTGIK" localSheetId="4" hidden="1">#REF!</definedName>
    <definedName name="BEx3EJR3TCJDYS7ZXNDS5N9KTGIK" localSheetId="1" hidden="1">#REF!</definedName>
    <definedName name="BEx3EJR3TCJDYS7ZXNDS5N9KTGIK" localSheetId="9" hidden="1">#REF!</definedName>
    <definedName name="BEx3EJR3TCJDYS7ZXNDS5N9KTGIK" hidden="1">#REF!</definedName>
    <definedName name="BEx3ELJTTBS6P05CNISMGOJOA60V" localSheetId="56" hidden="1">#REF!</definedName>
    <definedName name="BEx3ELJTTBS6P05CNISMGOJOA60V" localSheetId="55" hidden="1">#REF!</definedName>
    <definedName name="BEx3ELJTTBS6P05CNISMGOJOA60V" localSheetId="4" hidden="1">#REF!</definedName>
    <definedName name="BEx3ELJTTBS6P05CNISMGOJOA60V" localSheetId="1" hidden="1">#REF!</definedName>
    <definedName name="BEx3ELJTTBS6P05CNISMGOJOA60V" localSheetId="9" hidden="1">#REF!</definedName>
    <definedName name="BEx3ELJTTBS6P05CNISMGOJOA60V" hidden="1">#REF!</definedName>
    <definedName name="BEx3EQSLJBDDJRHNX19PBFCKNY2I" localSheetId="56" hidden="1">#REF!</definedName>
    <definedName name="BEx3EQSLJBDDJRHNX19PBFCKNY2I" localSheetId="55" hidden="1">#REF!</definedName>
    <definedName name="BEx3EQSLJBDDJRHNX19PBFCKNY2I" localSheetId="4" hidden="1">#REF!</definedName>
    <definedName name="BEx3EQSLJBDDJRHNX19PBFCKNY2I" localSheetId="1" hidden="1">#REF!</definedName>
    <definedName name="BEx3EQSLJBDDJRHNX19PBFCKNY2I" localSheetId="9" hidden="1">#REF!</definedName>
    <definedName name="BEx3EQSLJBDDJRHNX19PBFCKNY2I" hidden="1">#REF!</definedName>
    <definedName name="BEx3EUUAX947Q5N6MY6W0KSNY78Y" localSheetId="56" hidden="1">#REF!</definedName>
    <definedName name="BEx3EUUAX947Q5N6MY6W0KSNY78Y" localSheetId="55" hidden="1">#REF!</definedName>
    <definedName name="BEx3EUUAX947Q5N6MY6W0KSNY78Y" localSheetId="4" hidden="1">#REF!</definedName>
    <definedName name="BEx3EUUAX947Q5N6MY6W0KSNY78Y" localSheetId="1" hidden="1">#REF!</definedName>
    <definedName name="BEx3EUUAX947Q5N6MY6W0KSNY78Y" localSheetId="9" hidden="1">#REF!</definedName>
    <definedName name="BEx3EUUAX947Q5N6MY6W0KSNY78Y" hidden="1">#REF!</definedName>
    <definedName name="BEx3F3OJYKFH63TY4TBS69H5CI8M" localSheetId="56" hidden="1">#REF!</definedName>
    <definedName name="BEx3F3OJYKFH63TY4TBS69H5CI8M" localSheetId="55" hidden="1">#REF!</definedName>
    <definedName name="BEx3F3OJYKFH63TY4TBS69H5CI8M" localSheetId="4" hidden="1">#REF!</definedName>
    <definedName name="BEx3F3OJYKFH63TY4TBS69H5CI8M" localSheetId="1" hidden="1">#REF!</definedName>
    <definedName name="BEx3F3OJYKFH63TY4TBS69H5CI8M" localSheetId="9" hidden="1">#REF!</definedName>
    <definedName name="BEx3F3OJYKFH63TY4TBS69H5CI8M" hidden="1">#REF!</definedName>
    <definedName name="BEx3FHMD1P5XBCH23ZKIFO6ZTCNB" localSheetId="56" hidden="1">#REF!</definedName>
    <definedName name="BEx3FHMD1P5XBCH23ZKIFO6ZTCNB" localSheetId="55" hidden="1">#REF!</definedName>
    <definedName name="BEx3FHMD1P5XBCH23ZKIFO6ZTCNB" localSheetId="4" hidden="1">#REF!</definedName>
    <definedName name="BEx3FHMD1P5XBCH23ZKIFO6ZTCNB" localSheetId="1" hidden="1">#REF!</definedName>
    <definedName name="BEx3FHMD1P5XBCH23ZKIFO6ZTCNB" localSheetId="9" hidden="1">#REF!</definedName>
    <definedName name="BEx3FHMD1P5XBCH23ZKIFO6ZTCNB" hidden="1">#REF!</definedName>
    <definedName name="BEx3FI2G3YYIACQHXNXEA15M8ZK5" localSheetId="56" hidden="1">#REF!</definedName>
    <definedName name="BEx3FI2G3YYIACQHXNXEA15M8ZK5" localSheetId="55" hidden="1">#REF!</definedName>
    <definedName name="BEx3FI2G3YYIACQHXNXEA15M8ZK5" localSheetId="4" hidden="1">#REF!</definedName>
    <definedName name="BEx3FI2G3YYIACQHXNXEA15M8ZK5" localSheetId="1" hidden="1">#REF!</definedName>
    <definedName name="BEx3FI2G3YYIACQHXNXEA15M8ZK5" localSheetId="9" hidden="1">#REF!</definedName>
    <definedName name="BEx3FI2G3YYIACQHXNXEA15M8ZK5" hidden="1">#REF!</definedName>
    <definedName name="BEx3FJ9MHSLDK8W91GO85FX1GX57" localSheetId="56" hidden="1">#REF!</definedName>
    <definedName name="BEx3FJ9MHSLDK8W91GO85FX1GX57" localSheetId="55" hidden="1">#REF!</definedName>
    <definedName name="BEx3FJ9MHSLDK8W91GO85FX1GX57" localSheetId="4" hidden="1">#REF!</definedName>
    <definedName name="BEx3FJ9MHSLDK8W91GO85FX1GX57" localSheetId="1" hidden="1">#REF!</definedName>
    <definedName name="BEx3FJ9MHSLDK8W91GO85FX1GX57" localSheetId="9" hidden="1">#REF!</definedName>
    <definedName name="BEx3FJ9MHSLDK8W91GO85FX1GX57" hidden="1">#REF!</definedName>
    <definedName name="BEx3FR251HFU7A33PU01SJUENL2B" localSheetId="56" hidden="1">#REF!</definedName>
    <definedName name="BEx3FR251HFU7A33PU01SJUENL2B" localSheetId="55" hidden="1">#REF!</definedName>
    <definedName name="BEx3FR251HFU7A33PU01SJUENL2B" localSheetId="4" hidden="1">#REF!</definedName>
    <definedName name="BEx3FR251HFU7A33PU01SJUENL2B" localSheetId="1" hidden="1">#REF!</definedName>
    <definedName name="BEx3FR251HFU7A33PU01SJUENL2B" localSheetId="9" hidden="1">#REF!</definedName>
    <definedName name="BEx3FR251HFU7A33PU01SJUENL2B" hidden="1">#REF!</definedName>
    <definedName name="BEx3FX7EJL47JSLSWP3EOC265WAE" localSheetId="56" hidden="1">#REF!</definedName>
    <definedName name="BEx3FX7EJL47JSLSWP3EOC265WAE" localSheetId="55" hidden="1">#REF!</definedName>
    <definedName name="BEx3FX7EJL47JSLSWP3EOC265WAE" localSheetId="4" hidden="1">#REF!</definedName>
    <definedName name="BEx3FX7EJL47JSLSWP3EOC265WAE" localSheetId="1" hidden="1">#REF!</definedName>
    <definedName name="BEx3FX7EJL47JSLSWP3EOC265WAE" localSheetId="9" hidden="1">#REF!</definedName>
    <definedName name="BEx3FX7EJL47JSLSWP3EOC265WAE" hidden="1">#REF!</definedName>
    <definedName name="BEx3G201R8NLJ6FIHO2QS0SW9QVV" localSheetId="56" hidden="1">#REF!</definedName>
    <definedName name="BEx3G201R8NLJ6FIHO2QS0SW9QVV" localSheetId="55" hidden="1">#REF!</definedName>
    <definedName name="BEx3G201R8NLJ6FIHO2QS0SW9QVV" localSheetId="4" hidden="1">#REF!</definedName>
    <definedName name="BEx3G201R8NLJ6FIHO2QS0SW9QVV" localSheetId="1" hidden="1">#REF!</definedName>
    <definedName name="BEx3G201R8NLJ6FIHO2QS0SW9QVV" localSheetId="9" hidden="1">#REF!</definedName>
    <definedName name="BEx3G201R8NLJ6FIHO2QS0SW9QVV" hidden="1">#REF!</definedName>
    <definedName name="BEx3G2LL2II66XY5YCDPG4JE13A3" localSheetId="56" hidden="1">#REF!</definedName>
    <definedName name="BEx3G2LL2II66XY5YCDPG4JE13A3" localSheetId="55" hidden="1">#REF!</definedName>
    <definedName name="BEx3G2LL2II66XY5YCDPG4JE13A3" localSheetId="4" hidden="1">#REF!</definedName>
    <definedName name="BEx3G2LL2II66XY5YCDPG4JE13A3" localSheetId="1" hidden="1">#REF!</definedName>
    <definedName name="BEx3G2LL2II66XY5YCDPG4JE13A3" localSheetId="9" hidden="1">#REF!</definedName>
    <definedName name="BEx3G2LL2II66XY5YCDPG4JE13A3" hidden="1">#REF!</definedName>
    <definedName name="BEx3G2WA0DTYY9D8AGHHOBTPE2B2" localSheetId="56" hidden="1">#REF!</definedName>
    <definedName name="BEx3G2WA0DTYY9D8AGHHOBTPE2B2" localSheetId="55" hidden="1">#REF!</definedName>
    <definedName name="BEx3G2WA0DTYY9D8AGHHOBTPE2B2" localSheetId="4" hidden="1">#REF!</definedName>
    <definedName name="BEx3G2WA0DTYY9D8AGHHOBTPE2B2" localSheetId="1" hidden="1">#REF!</definedName>
    <definedName name="BEx3G2WA0DTYY9D8AGHHOBTPE2B2" localSheetId="9" hidden="1">#REF!</definedName>
    <definedName name="BEx3G2WA0DTYY9D8AGHHOBTPE2B2" hidden="1">#REF!</definedName>
    <definedName name="BEx3GCXR6IAS0B6WJ03GJVH7CO52" localSheetId="56" hidden="1">#REF!</definedName>
    <definedName name="BEx3GCXR6IAS0B6WJ03GJVH7CO52" localSheetId="55" hidden="1">#REF!</definedName>
    <definedName name="BEx3GCXR6IAS0B6WJ03GJVH7CO52" localSheetId="4" hidden="1">#REF!</definedName>
    <definedName name="BEx3GCXR6IAS0B6WJ03GJVH7CO52" localSheetId="1" hidden="1">#REF!</definedName>
    <definedName name="BEx3GCXR6IAS0B6WJ03GJVH7CO52" localSheetId="9" hidden="1">#REF!</definedName>
    <definedName name="BEx3GCXR6IAS0B6WJ03GJVH7CO52" hidden="1">#REF!</definedName>
    <definedName name="BEx3GEVV18SEQDI1JGY7EN6D1GT1" localSheetId="56" hidden="1">#REF!</definedName>
    <definedName name="BEx3GEVV18SEQDI1JGY7EN6D1GT1" localSheetId="55" hidden="1">#REF!</definedName>
    <definedName name="BEx3GEVV18SEQDI1JGY7EN6D1GT1" localSheetId="4" hidden="1">#REF!</definedName>
    <definedName name="BEx3GEVV18SEQDI1JGY7EN6D1GT1" localSheetId="1" hidden="1">#REF!</definedName>
    <definedName name="BEx3GEVV18SEQDI1JGY7EN6D1GT1" localSheetId="9" hidden="1">#REF!</definedName>
    <definedName name="BEx3GEVV18SEQDI1JGY7EN6D1GT1" hidden="1">#REF!</definedName>
    <definedName name="BEx3GKFH64MKQX61S7DYTZ15JCPY" localSheetId="56" hidden="1">#REF!</definedName>
    <definedName name="BEx3GKFH64MKQX61S7DYTZ15JCPY" localSheetId="55" hidden="1">#REF!</definedName>
    <definedName name="BEx3GKFH64MKQX61S7DYTZ15JCPY" localSheetId="4" hidden="1">#REF!</definedName>
    <definedName name="BEx3GKFH64MKQX61S7DYTZ15JCPY" localSheetId="1" hidden="1">#REF!</definedName>
    <definedName name="BEx3GKFH64MKQX61S7DYTZ15JCPY" localSheetId="9" hidden="1">#REF!</definedName>
    <definedName name="BEx3GKFH64MKQX61S7DYTZ15JCPY" hidden="1">#REF!</definedName>
    <definedName name="BEx3GMJ1Y6UU02DLRL0QXCEKDA6C" localSheetId="56" hidden="1">#REF!</definedName>
    <definedName name="BEx3GMJ1Y6UU02DLRL0QXCEKDA6C" localSheetId="55" hidden="1">#REF!</definedName>
    <definedName name="BEx3GMJ1Y6UU02DLRL0QXCEKDA6C" localSheetId="4" hidden="1">#REF!</definedName>
    <definedName name="BEx3GMJ1Y6UU02DLRL0QXCEKDA6C" localSheetId="1" hidden="1">#REF!</definedName>
    <definedName name="BEx3GMJ1Y6UU02DLRL0QXCEKDA6C" localSheetId="9" hidden="1">#REF!</definedName>
    <definedName name="BEx3GMJ1Y6UU02DLRL0QXCEKDA6C" hidden="1">#REF!</definedName>
    <definedName name="BEx3GN4LY0135CBDIN1TU2UEODGF" localSheetId="56" hidden="1">#REF!</definedName>
    <definedName name="BEx3GN4LY0135CBDIN1TU2UEODGF" localSheetId="55" hidden="1">#REF!</definedName>
    <definedName name="BEx3GN4LY0135CBDIN1TU2UEODGF" localSheetId="4" hidden="1">#REF!</definedName>
    <definedName name="BEx3GN4LY0135CBDIN1TU2UEODGF" localSheetId="1" hidden="1">#REF!</definedName>
    <definedName name="BEx3GN4LY0135CBDIN1TU2UEODGF" localSheetId="9" hidden="1">#REF!</definedName>
    <definedName name="BEx3GN4LY0135CBDIN1TU2UEODGF" hidden="1">#REF!</definedName>
    <definedName name="BEx3GPDH2AH4QKT4OOSN563XUHBD" localSheetId="56" hidden="1">#REF!</definedName>
    <definedName name="BEx3GPDH2AH4QKT4OOSN563XUHBD" localSheetId="55" hidden="1">#REF!</definedName>
    <definedName name="BEx3GPDH2AH4QKT4OOSN563XUHBD" localSheetId="4" hidden="1">#REF!</definedName>
    <definedName name="BEx3GPDH2AH4QKT4OOSN563XUHBD" localSheetId="1" hidden="1">#REF!</definedName>
    <definedName name="BEx3GPDH2AH4QKT4OOSN563XUHBD" localSheetId="9" hidden="1">#REF!</definedName>
    <definedName name="BEx3GPDH2AH4QKT4OOSN563XUHBD" hidden="1">#REF!</definedName>
    <definedName name="BEx3GRGZOH1A62SHC133FKNN9K23" localSheetId="56" hidden="1">#REF!</definedName>
    <definedName name="BEx3GRGZOH1A62SHC133FKNN9K23" localSheetId="55" hidden="1">#REF!</definedName>
    <definedName name="BEx3GRGZOH1A62SHC133FKNN9K23" localSheetId="4" hidden="1">#REF!</definedName>
    <definedName name="BEx3GRGZOH1A62SHC133FKNN9K23" localSheetId="1" hidden="1">#REF!</definedName>
    <definedName name="BEx3GRGZOH1A62SHC133FKNN9K23" localSheetId="9" hidden="1">#REF!</definedName>
    <definedName name="BEx3GRGZOH1A62SHC133FKNN9K23" hidden="1">#REF!</definedName>
    <definedName name="BEx3GS2LABKJSRV8GPZLJZVX7NMJ" localSheetId="56" hidden="1">#REF!</definedName>
    <definedName name="BEx3GS2LABKJSRV8GPZLJZVX7NMJ" localSheetId="55" hidden="1">#REF!</definedName>
    <definedName name="BEx3GS2LABKJSRV8GPZLJZVX7NMJ" localSheetId="4" hidden="1">#REF!</definedName>
    <definedName name="BEx3GS2LABKJSRV8GPZLJZVX7NMJ" localSheetId="1" hidden="1">#REF!</definedName>
    <definedName name="BEx3GS2LABKJSRV8GPZLJZVX7NMJ" localSheetId="9" hidden="1">#REF!</definedName>
    <definedName name="BEx3GS2LABKJSRV8GPZLJZVX7NMJ" hidden="1">#REF!</definedName>
    <definedName name="BEx3H05W7OEBR6W6YJKGD6W5M3I1" localSheetId="56" hidden="1">#REF!</definedName>
    <definedName name="BEx3H05W7OEBR6W6YJKGD6W5M3I1" localSheetId="55" hidden="1">#REF!</definedName>
    <definedName name="BEx3H05W7OEBR6W6YJKGD6W5M3I1" localSheetId="4" hidden="1">#REF!</definedName>
    <definedName name="BEx3H05W7OEBR6W6YJKGD6W5M3I1" localSheetId="1" hidden="1">#REF!</definedName>
    <definedName name="BEx3H05W7OEBR6W6YJKGD6W5M3I1" localSheetId="9" hidden="1">#REF!</definedName>
    <definedName name="BEx3H05W7OEBR6W6YJKGD6W5M3I1" hidden="1">#REF!</definedName>
    <definedName name="BEx3H244GCME7ZDNAXG6ZSJ64ZRE" localSheetId="56" hidden="1">#REF!</definedName>
    <definedName name="BEx3H244GCME7ZDNAXG6ZSJ64ZRE" localSheetId="55" hidden="1">#REF!</definedName>
    <definedName name="BEx3H244GCME7ZDNAXG6ZSJ64ZRE" localSheetId="4" hidden="1">#REF!</definedName>
    <definedName name="BEx3H244GCME7ZDNAXG6ZSJ64ZRE" localSheetId="1" hidden="1">#REF!</definedName>
    <definedName name="BEx3H244GCME7ZDNAXG6ZSJ64ZRE" localSheetId="9" hidden="1">#REF!</definedName>
    <definedName name="BEx3H244GCME7ZDNAXG6ZSJ64ZRE" hidden="1">#REF!</definedName>
    <definedName name="BEx3H5UX2GZFZZT657YR76RHW5I6" localSheetId="56" hidden="1">#REF!</definedName>
    <definedName name="BEx3H5UX2GZFZZT657YR76RHW5I6" localSheetId="55" hidden="1">#REF!</definedName>
    <definedName name="BEx3H5UX2GZFZZT657YR76RHW5I6" localSheetId="4" hidden="1">#REF!</definedName>
    <definedName name="BEx3H5UX2GZFZZT657YR76RHW5I6" localSheetId="1" hidden="1">#REF!</definedName>
    <definedName name="BEx3H5UX2GZFZZT657YR76RHW5I6" localSheetId="9" hidden="1">#REF!</definedName>
    <definedName name="BEx3H5UX2GZFZZT657YR76RHW5I6" hidden="1">#REF!</definedName>
    <definedName name="BEx3HACPKDZVUOS9WBDCCFJB46DK" localSheetId="56" hidden="1">#REF!</definedName>
    <definedName name="BEx3HACPKDZVUOS9WBDCCFJB46DK" localSheetId="55" hidden="1">#REF!</definedName>
    <definedName name="BEx3HACPKDZVUOS9WBDCCFJB46DK" localSheetId="4" hidden="1">#REF!</definedName>
    <definedName name="BEx3HACPKDZVUOS9WBDCCFJB46DK" localSheetId="1" hidden="1">#REF!</definedName>
    <definedName name="BEx3HACPKDZVUOS9WBDCCFJB46DK" localSheetId="9" hidden="1">#REF!</definedName>
    <definedName name="BEx3HACPKDZVUOS9WBDCCFJB46DK" hidden="1">#REF!</definedName>
    <definedName name="BEx3HMSEFOP6DBM4R97XA6B7NFG6" localSheetId="56" hidden="1">#REF!</definedName>
    <definedName name="BEx3HMSEFOP6DBM4R97XA6B7NFG6" localSheetId="55" hidden="1">#REF!</definedName>
    <definedName name="BEx3HMSEFOP6DBM4R97XA6B7NFG6" localSheetId="4" hidden="1">#REF!</definedName>
    <definedName name="BEx3HMSEFOP6DBM4R97XA6B7NFG6" localSheetId="1" hidden="1">#REF!</definedName>
    <definedName name="BEx3HMSEFOP6DBM4R97XA6B7NFG6" localSheetId="9" hidden="1">#REF!</definedName>
    <definedName name="BEx3HMSEFOP6DBM4R97XA6B7NFG6" hidden="1">#REF!</definedName>
    <definedName name="BEx3HWJ5SQSD2CVCQNR183X44FR8" localSheetId="56" hidden="1">#REF!</definedName>
    <definedName name="BEx3HWJ5SQSD2CVCQNR183X44FR8" localSheetId="55" hidden="1">#REF!</definedName>
    <definedName name="BEx3HWJ5SQSD2CVCQNR183X44FR8" localSheetId="4" hidden="1">#REF!</definedName>
    <definedName name="BEx3HWJ5SQSD2CVCQNR183X44FR8" localSheetId="1" hidden="1">#REF!</definedName>
    <definedName name="BEx3HWJ5SQSD2CVCQNR183X44FR8" localSheetId="9" hidden="1">#REF!</definedName>
    <definedName name="BEx3HWJ5SQSD2CVCQNR183X44FR8" hidden="1">#REF!</definedName>
    <definedName name="BEx3I09YVXO0G4X7KGSA4WGORM35" localSheetId="56" hidden="1">#REF!</definedName>
    <definedName name="BEx3I09YVXO0G4X7KGSA4WGORM35" localSheetId="55" hidden="1">#REF!</definedName>
    <definedName name="BEx3I09YVXO0G4X7KGSA4WGORM35" localSheetId="4" hidden="1">#REF!</definedName>
    <definedName name="BEx3I09YVXO0G4X7KGSA4WGORM35" localSheetId="1" hidden="1">#REF!</definedName>
    <definedName name="BEx3I09YVXO0G4X7KGSA4WGORM35" localSheetId="9" hidden="1">#REF!</definedName>
    <definedName name="BEx3I09YVXO0G4X7KGSA4WGORM35" hidden="1">#REF!</definedName>
    <definedName name="BEx3I3KN8WAL54AYYACGCUM43J9W" localSheetId="56" hidden="1">#REF!</definedName>
    <definedName name="BEx3I3KN8WAL54AYYACGCUM43J9W" localSheetId="55" hidden="1">#REF!</definedName>
    <definedName name="BEx3I3KN8WAL54AYYACGCUM43J9W" localSheetId="4" hidden="1">#REF!</definedName>
    <definedName name="BEx3I3KN8WAL54AYYACGCUM43J9W" localSheetId="1" hidden="1">#REF!</definedName>
    <definedName name="BEx3I3KN8WAL54AYYACGCUM43J9W" localSheetId="9" hidden="1">#REF!</definedName>
    <definedName name="BEx3I3KN8WAL54AYYACGCUM43J9W" hidden="1">#REF!</definedName>
    <definedName name="BEx3ICF1GY8HQEBIU9S43PDJ90BX" localSheetId="56" hidden="1">#REF!</definedName>
    <definedName name="BEx3ICF1GY8HQEBIU9S43PDJ90BX" localSheetId="55" hidden="1">#REF!</definedName>
    <definedName name="BEx3ICF1GY8HQEBIU9S43PDJ90BX" localSheetId="4" hidden="1">#REF!</definedName>
    <definedName name="BEx3ICF1GY8HQEBIU9S43PDJ90BX" localSheetId="1" hidden="1">#REF!</definedName>
    <definedName name="BEx3ICF1GY8HQEBIU9S43PDJ90BX" localSheetId="9" hidden="1">#REF!</definedName>
    <definedName name="BEx3ICF1GY8HQEBIU9S43PDJ90BX" hidden="1">#REF!</definedName>
    <definedName name="BEx3IYAH2DEBFWO8F94H4MXE3RLY" localSheetId="56" hidden="1">#REF!</definedName>
    <definedName name="BEx3IYAH2DEBFWO8F94H4MXE3RLY" localSheetId="55" hidden="1">#REF!</definedName>
    <definedName name="BEx3IYAH2DEBFWO8F94H4MXE3RLY" localSheetId="4" hidden="1">#REF!</definedName>
    <definedName name="BEx3IYAH2DEBFWO8F94H4MXE3RLY" localSheetId="1" hidden="1">#REF!</definedName>
    <definedName name="BEx3IYAH2DEBFWO8F94H4MXE3RLY" localSheetId="9" hidden="1">#REF!</definedName>
    <definedName name="BEx3IYAH2DEBFWO8F94H4MXE3RLY" hidden="1">#REF!</definedName>
    <definedName name="BEx3IZSG3932LSWHR5YV78IVRPCK" localSheetId="56" hidden="1">#REF!</definedName>
    <definedName name="BEx3IZSG3932LSWHR5YV78IVRPCK" localSheetId="55" hidden="1">#REF!</definedName>
    <definedName name="BEx3IZSG3932LSWHR5YV78IVRPCK" localSheetId="4" hidden="1">#REF!</definedName>
    <definedName name="BEx3IZSG3932LSWHR5YV78IVRPCK" localSheetId="1" hidden="1">#REF!</definedName>
    <definedName name="BEx3IZSG3932LSWHR5YV78IVRPCK" localSheetId="9" hidden="1">#REF!</definedName>
    <definedName name="BEx3IZSG3932LSWHR5YV78IVRPCK" hidden="1">#REF!</definedName>
    <definedName name="BEx3IZXXSYEW50379N2EAFWO8DZV" localSheetId="56" hidden="1">#REF!</definedName>
    <definedName name="BEx3IZXXSYEW50379N2EAFWO8DZV" localSheetId="55" hidden="1">#REF!</definedName>
    <definedName name="BEx3IZXXSYEW50379N2EAFWO8DZV" localSheetId="4" hidden="1">#REF!</definedName>
    <definedName name="BEx3IZXXSYEW50379N2EAFWO8DZV" localSheetId="1" hidden="1">#REF!</definedName>
    <definedName name="BEx3IZXXSYEW50379N2EAFWO8DZV" localSheetId="9" hidden="1">#REF!</definedName>
    <definedName name="BEx3IZXXSYEW50379N2EAFWO8DZV" hidden="1">#REF!</definedName>
    <definedName name="BEx3J1VZVGTKT4ATPO9O5JCSFTTR" localSheetId="56" hidden="1">#REF!</definedName>
    <definedName name="BEx3J1VZVGTKT4ATPO9O5JCSFTTR" localSheetId="55" hidden="1">#REF!</definedName>
    <definedName name="BEx3J1VZVGTKT4ATPO9O5JCSFTTR" localSheetId="4" hidden="1">#REF!</definedName>
    <definedName name="BEx3J1VZVGTKT4ATPO9O5JCSFTTR" localSheetId="1" hidden="1">#REF!</definedName>
    <definedName name="BEx3J1VZVGTKT4ATPO9O5JCSFTTR" localSheetId="9" hidden="1">#REF!</definedName>
    <definedName name="BEx3J1VZVGTKT4ATPO9O5JCSFTTR" hidden="1">#REF!</definedName>
    <definedName name="BEx3JC2TY7JNAAC3L7QHVPQXLGQ8" localSheetId="56" hidden="1">#REF!</definedName>
    <definedName name="BEx3JC2TY7JNAAC3L7QHVPQXLGQ8" localSheetId="55" hidden="1">#REF!</definedName>
    <definedName name="BEx3JC2TY7JNAAC3L7QHVPQXLGQ8" localSheetId="4" hidden="1">#REF!</definedName>
    <definedName name="BEx3JC2TY7JNAAC3L7QHVPQXLGQ8" localSheetId="1" hidden="1">#REF!</definedName>
    <definedName name="BEx3JC2TY7JNAAC3L7QHVPQXLGQ8" localSheetId="9" hidden="1">#REF!</definedName>
    <definedName name="BEx3JC2TY7JNAAC3L7QHVPQXLGQ8" hidden="1">#REF!</definedName>
    <definedName name="BEx3JMF5D7ODCJ7THAJTC1GFSG95" localSheetId="56" hidden="1">#REF!</definedName>
    <definedName name="BEx3JMF5D7ODCJ7THAJTC1GFSG95" localSheetId="55" hidden="1">#REF!</definedName>
    <definedName name="BEx3JMF5D7ODCJ7THAJTC1GFSG95" localSheetId="4" hidden="1">#REF!</definedName>
    <definedName name="BEx3JMF5D7ODCJ7THAJTC1GFSG95" localSheetId="1" hidden="1">#REF!</definedName>
    <definedName name="BEx3JMF5D7ODCJ7THAJTC1GFSG95" localSheetId="9" hidden="1">#REF!</definedName>
    <definedName name="BEx3JMF5D7ODCJ7THAJTC1GFSG95" hidden="1">#REF!</definedName>
    <definedName name="BEx3JX23SYDIGOGM4Y0CQFBW8ZBV" localSheetId="56" hidden="1">#REF!</definedName>
    <definedName name="BEx3JX23SYDIGOGM4Y0CQFBW8ZBV" localSheetId="55" hidden="1">#REF!</definedName>
    <definedName name="BEx3JX23SYDIGOGM4Y0CQFBW8ZBV" localSheetId="4" hidden="1">#REF!</definedName>
    <definedName name="BEx3JX23SYDIGOGM4Y0CQFBW8ZBV" localSheetId="1" hidden="1">#REF!</definedName>
    <definedName name="BEx3JX23SYDIGOGM4Y0CQFBW8ZBV" localSheetId="9" hidden="1">#REF!</definedName>
    <definedName name="BEx3JX23SYDIGOGM4Y0CQFBW8ZBV" hidden="1">#REF!</definedName>
    <definedName name="BEx3JXCXCVBZJGV5VEG9MJEI01AL" localSheetId="56" hidden="1">#REF!</definedName>
    <definedName name="BEx3JXCXCVBZJGV5VEG9MJEI01AL" localSheetId="55" hidden="1">#REF!</definedName>
    <definedName name="BEx3JXCXCVBZJGV5VEG9MJEI01AL" localSheetId="4" hidden="1">#REF!</definedName>
    <definedName name="BEx3JXCXCVBZJGV5VEG9MJEI01AL" localSheetId="1" hidden="1">#REF!</definedName>
    <definedName name="BEx3JXCXCVBZJGV5VEG9MJEI01AL" localSheetId="9" hidden="1">#REF!</definedName>
    <definedName name="BEx3JXCXCVBZJGV5VEG9MJEI01AL" hidden="1">#REF!</definedName>
    <definedName name="BEx3JYK2N7X59TPJSKYZ77ENY8SS" localSheetId="56" hidden="1">#REF!</definedName>
    <definedName name="BEx3JYK2N7X59TPJSKYZ77ENY8SS" localSheetId="55" hidden="1">#REF!</definedName>
    <definedName name="BEx3JYK2N7X59TPJSKYZ77ENY8SS" localSheetId="4" hidden="1">#REF!</definedName>
    <definedName name="BEx3JYK2N7X59TPJSKYZ77ENY8SS" localSheetId="1" hidden="1">#REF!</definedName>
    <definedName name="BEx3JYK2N7X59TPJSKYZ77ENY8SS" localSheetId="9" hidden="1">#REF!</definedName>
    <definedName name="BEx3JYK2N7X59TPJSKYZ77ENY8SS" hidden="1">#REF!</definedName>
    <definedName name="BEx3K13PSDK50JLCLD0GX8L4TWAH" localSheetId="56" hidden="1">#REF!</definedName>
    <definedName name="BEx3K13PSDK50JLCLD0GX8L4TWAH" localSheetId="55" hidden="1">#REF!</definedName>
    <definedName name="BEx3K13PSDK50JLCLD0GX8L4TWAH" localSheetId="4" hidden="1">#REF!</definedName>
    <definedName name="BEx3K13PSDK50JLCLD0GX8L4TWAH" localSheetId="1" hidden="1">#REF!</definedName>
    <definedName name="BEx3K13PSDK50JLCLD0GX8L4TWAH" localSheetId="9" hidden="1">#REF!</definedName>
    <definedName name="BEx3K13PSDK50JLCLD0GX8L4TWAH" hidden="1">#REF!</definedName>
    <definedName name="BEx3K4EII7GU1CG0BN7UL15M6J8Z" localSheetId="56" hidden="1">#REF!</definedName>
    <definedName name="BEx3K4EII7GU1CG0BN7UL15M6J8Z" localSheetId="55" hidden="1">#REF!</definedName>
    <definedName name="BEx3K4EII7GU1CG0BN7UL15M6J8Z" localSheetId="4" hidden="1">#REF!</definedName>
    <definedName name="BEx3K4EII7GU1CG0BN7UL15M6J8Z" localSheetId="1" hidden="1">#REF!</definedName>
    <definedName name="BEx3K4EII7GU1CG0BN7UL15M6J8Z" localSheetId="9" hidden="1">#REF!</definedName>
    <definedName name="BEx3K4EII7GU1CG0BN7UL15M6J8Z" hidden="1">#REF!</definedName>
    <definedName name="BEx3K4ZXQUQ2KYZF74B84SO48XMW" localSheetId="56" hidden="1">#REF!</definedName>
    <definedName name="BEx3K4ZXQUQ2KYZF74B84SO48XMW" localSheetId="55" hidden="1">#REF!</definedName>
    <definedName name="BEx3K4ZXQUQ2KYZF74B84SO48XMW" localSheetId="4" hidden="1">#REF!</definedName>
    <definedName name="BEx3K4ZXQUQ2KYZF74B84SO48XMW" localSheetId="1" hidden="1">#REF!</definedName>
    <definedName name="BEx3K4ZXQUQ2KYZF74B84SO48XMW" localSheetId="9" hidden="1">#REF!</definedName>
    <definedName name="BEx3K4ZXQUQ2KYZF74B84SO48XMW" hidden="1">#REF!</definedName>
    <definedName name="BEx3KEFXUCVNVPH7KSEGAZYX13B5" localSheetId="56" hidden="1">#REF!</definedName>
    <definedName name="BEx3KEFXUCVNVPH7KSEGAZYX13B5" localSheetId="55" hidden="1">#REF!</definedName>
    <definedName name="BEx3KEFXUCVNVPH7KSEGAZYX13B5" localSheetId="4" hidden="1">#REF!</definedName>
    <definedName name="BEx3KEFXUCVNVPH7KSEGAZYX13B5" localSheetId="1" hidden="1">#REF!</definedName>
    <definedName name="BEx3KEFXUCVNVPH7KSEGAZYX13B5" localSheetId="9" hidden="1">#REF!</definedName>
    <definedName name="BEx3KEFXUCVNVPH7KSEGAZYX13B5" hidden="1">#REF!</definedName>
    <definedName name="BEx3KFXUAF6YXAA47B7Q6X9B3VGB" localSheetId="56" hidden="1">#REF!</definedName>
    <definedName name="BEx3KFXUAF6YXAA47B7Q6X9B3VGB" localSheetId="55" hidden="1">#REF!</definedName>
    <definedName name="BEx3KFXUAF6YXAA47B7Q6X9B3VGB" localSheetId="4" hidden="1">#REF!</definedName>
    <definedName name="BEx3KFXUAF6YXAA47B7Q6X9B3VGB" localSheetId="1" hidden="1">#REF!</definedName>
    <definedName name="BEx3KFXUAF6YXAA47B7Q6X9B3VGB" localSheetId="9" hidden="1">#REF!</definedName>
    <definedName name="BEx3KFXUAF6YXAA47B7Q6X9B3VGB" hidden="1">#REF!</definedName>
    <definedName name="BEx3KIXQYOGMPK4WJJAVBRX4NR28" localSheetId="56" hidden="1">#REF!</definedName>
    <definedName name="BEx3KIXQYOGMPK4WJJAVBRX4NR28" localSheetId="55" hidden="1">#REF!</definedName>
    <definedName name="BEx3KIXQYOGMPK4WJJAVBRX4NR28" localSheetId="4" hidden="1">#REF!</definedName>
    <definedName name="BEx3KIXQYOGMPK4WJJAVBRX4NR28" localSheetId="1" hidden="1">#REF!</definedName>
    <definedName name="BEx3KIXQYOGMPK4WJJAVBRX4NR28" localSheetId="9" hidden="1">#REF!</definedName>
    <definedName name="BEx3KIXQYOGMPK4WJJAVBRX4NR28" hidden="1">#REF!</definedName>
    <definedName name="BEx3KJOMVOSFZVJUL3GKCNP6DQDS" localSheetId="56" hidden="1">#REF!</definedName>
    <definedName name="BEx3KJOMVOSFZVJUL3GKCNP6DQDS" localSheetId="55" hidden="1">#REF!</definedName>
    <definedName name="BEx3KJOMVOSFZVJUL3GKCNP6DQDS" localSheetId="4" hidden="1">#REF!</definedName>
    <definedName name="BEx3KJOMVOSFZVJUL3GKCNP6DQDS" localSheetId="1" hidden="1">#REF!</definedName>
    <definedName name="BEx3KJOMVOSFZVJUL3GKCNP6DQDS" localSheetId="9" hidden="1">#REF!</definedName>
    <definedName name="BEx3KJOMVOSFZVJUL3GKCNP6DQDS" hidden="1">#REF!</definedName>
    <definedName name="BEx3KP2VRBMORK0QEAZUYCXL3DHJ" localSheetId="56" hidden="1">#REF!</definedName>
    <definedName name="BEx3KP2VRBMORK0QEAZUYCXL3DHJ" localSheetId="55" hidden="1">#REF!</definedName>
    <definedName name="BEx3KP2VRBMORK0QEAZUYCXL3DHJ" localSheetId="4" hidden="1">#REF!</definedName>
    <definedName name="BEx3KP2VRBMORK0QEAZUYCXL3DHJ" localSheetId="1" hidden="1">#REF!</definedName>
    <definedName name="BEx3KP2VRBMORK0QEAZUYCXL3DHJ" localSheetId="9" hidden="1">#REF!</definedName>
    <definedName name="BEx3KP2VRBMORK0QEAZUYCXL3DHJ" hidden="1">#REF!</definedName>
    <definedName name="BEx3L4IN3LI4C26SITKTGAH27CDU" localSheetId="56" hidden="1">#REF!</definedName>
    <definedName name="BEx3L4IN3LI4C26SITKTGAH27CDU" localSheetId="55" hidden="1">#REF!</definedName>
    <definedName name="BEx3L4IN3LI4C26SITKTGAH27CDU" localSheetId="4" hidden="1">#REF!</definedName>
    <definedName name="BEx3L4IN3LI4C26SITKTGAH27CDU" localSheetId="1" hidden="1">#REF!</definedName>
    <definedName name="BEx3L4IN3LI4C26SITKTGAH27CDU" localSheetId="9" hidden="1">#REF!</definedName>
    <definedName name="BEx3L4IN3LI4C26SITKTGAH27CDU" hidden="1">#REF!</definedName>
    <definedName name="BEx3L4YQ0J7ZU0M5QM6YIPCEYC9K" localSheetId="56" hidden="1">#REF!</definedName>
    <definedName name="BEx3L4YQ0J7ZU0M5QM6YIPCEYC9K" localSheetId="55" hidden="1">#REF!</definedName>
    <definedName name="BEx3L4YQ0J7ZU0M5QM6YIPCEYC9K" localSheetId="4" hidden="1">#REF!</definedName>
    <definedName name="BEx3L4YQ0J7ZU0M5QM6YIPCEYC9K" localSheetId="1" hidden="1">#REF!</definedName>
    <definedName name="BEx3L4YQ0J7ZU0M5QM6YIPCEYC9K" localSheetId="9" hidden="1">#REF!</definedName>
    <definedName name="BEx3L4YQ0J7ZU0M5QM6YIPCEYC9K" hidden="1">#REF!</definedName>
    <definedName name="BEx3L60DJOR7NQN42G7YSAODP1EX" localSheetId="56" hidden="1">#REF!</definedName>
    <definedName name="BEx3L60DJOR7NQN42G7YSAODP1EX" localSheetId="55" hidden="1">#REF!</definedName>
    <definedName name="BEx3L60DJOR7NQN42G7YSAODP1EX" localSheetId="4" hidden="1">#REF!</definedName>
    <definedName name="BEx3L60DJOR7NQN42G7YSAODP1EX" localSheetId="1" hidden="1">#REF!</definedName>
    <definedName name="BEx3L60DJOR7NQN42G7YSAODP1EX" localSheetId="9" hidden="1">#REF!</definedName>
    <definedName name="BEx3L60DJOR7NQN42G7YSAODP1EX" hidden="1">#REF!</definedName>
    <definedName name="BEx3L7D0PI38HWZ7VADU16C9E33D" localSheetId="56" hidden="1">#REF!</definedName>
    <definedName name="BEx3L7D0PI38HWZ7VADU16C9E33D" localSheetId="55" hidden="1">#REF!</definedName>
    <definedName name="BEx3L7D0PI38HWZ7VADU16C9E33D" localSheetId="4" hidden="1">#REF!</definedName>
    <definedName name="BEx3L7D0PI38HWZ7VADU16C9E33D" localSheetId="1" hidden="1">#REF!</definedName>
    <definedName name="BEx3L7D0PI38HWZ7VADU16C9E33D" localSheetId="9" hidden="1">#REF!</definedName>
    <definedName name="BEx3L7D0PI38HWZ7VADU16C9E33D" hidden="1">#REF!</definedName>
    <definedName name="BEx3LM1PR4Y7KINKMTMKR984GX8Q" localSheetId="56" hidden="1">#REF!</definedName>
    <definedName name="BEx3LM1PR4Y7KINKMTMKR984GX8Q" localSheetId="55" hidden="1">#REF!</definedName>
    <definedName name="BEx3LM1PR4Y7KINKMTMKR984GX8Q" localSheetId="4" hidden="1">#REF!</definedName>
    <definedName name="BEx3LM1PR4Y7KINKMTMKR984GX8Q" localSheetId="1" hidden="1">#REF!</definedName>
    <definedName name="BEx3LM1PR4Y7KINKMTMKR984GX8Q" localSheetId="9" hidden="1">#REF!</definedName>
    <definedName name="BEx3LM1PR4Y7KINKMTMKR984GX8Q" hidden="1">#REF!</definedName>
    <definedName name="BEx3LM1PWWC9WH0R5TX5K06V559U" localSheetId="56" hidden="1">#REF!</definedName>
    <definedName name="BEx3LM1PWWC9WH0R5TX5K06V559U" localSheetId="55" hidden="1">#REF!</definedName>
    <definedName name="BEx3LM1PWWC9WH0R5TX5K06V559U" localSheetId="4" hidden="1">#REF!</definedName>
    <definedName name="BEx3LM1PWWC9WH0R5TX5K06V559U" localSheetId="1" hidden="1">#REF!</definedName>
    <definedName name="BEx3LM1PWWC9WH0R5TX5K06V559U" localSheetId="9" hidden="1">#REF!</definedName>
    <definedName name="BEx3LM1PWWC9WH0R5TX5K06V559U" hidden="1">#REF!</definedName>
    <definedName name="BEx3LPCEZ1C0XEKNCM3YT09JWCUO" localSheetId="56" hidden="1">#REF!</definedName>
    <definedName name="BEx3LPCEZ1C0XEKNCM3YT09JWCUO" localSheetId="55" hidden="1">#REF!</definedName>
    <definedName name="BEx3LPCEZ1C0XEKNCM3YT09JWCUO" localSheetId="4" hidden="1">#REF!</definedName>
    <definedName name="BEx3LPCEZ1C0XEKNCM3YT09JWCUO" localSheetId="1" hidden="1">#REF!</definedName>
    <definedName name="BEx3LPCEZ1C0XEKNCM3YT09JWCUO" localSheetId="9" hidden="1">#REF!</definedName>
    <definedName name="BEx3LPCEZ1C0XEKNCM3YT09JWCUO" hidden="1">#REF!</definedName>
    <definedName name="BEx3LSXW33WR1ECIMRYUPFBJXGGH" localSheetId="56" hidden="1">#REF!</definedName>
    <definedName name="BEx3LSXW33WR1ECIMRYUPFBJXGGH" localSheetId="55" hidden="1">#REF!</definedName>
    <definedName name="BEx3LSXW33WR1ECIMRYUPFBJXGGH" localSheetId="4" hidden="1">#REF!</definedName>
    <definedName name="BEx3LSXW33WR1ECIMRYUPFBJXGGH" localSheetId="1" hidden="1">#REF!</definedName>
    <definedName name="BEx3LSXW33WR1ECIMRYUPFBJXGGH" localSheetId="9" hidden="1">#REF!</definedName>
    <definedName name="BEx3LSXW33WR1ECIMRYUPFBJXGGH" hidden="1">#REF!</definedName>
    <definedName name="BEx3M1MR1K1NQD03H74BFWOK4MWQ" localSheetId="56" hidden="1">#REF!</definedName>
    <definedName name="BEx3M1MR1K1NQD03H74BFWOK4MWQ" localSheetId="55" hidden="1">#REF!</definedName>
    <definedName name="BEx3M1MR1K1NQD03H74BFWOK4MWQ" localSheetId="4" hidden="1">#REF!</definedName>
    <definedName name="BEx3M1MR1K1NQD03H74BFWOK4MWQ" localSheetId="1" hidden="1">#REF!</definedName>
    <definedName name="BEx3M1MR1K1NQD03H74BFWOK4MWQ" localSheetId="9" hidden="1">#REF!</definedName>
    <definedName name="BEx3M1MR1K1NQD03H74BFWOK4MWQ" hidden="1">#REF!</definedName>
    <definedName name="BEx3M4H77MYUKOOD31H9F80NMVK8" localSheetId="56" hidden="1">#REF!</definedName>
    <definedName name="BEx3M4H77MYUKOOD31H9F80NMVK8" localSheetId="55" hidden="1">#REF!</definedName>
    <definedName name="BEx3M4H77MYUKOOD31H9F80NMVK8" localSheetId="4" hidden="1">#REF!</definedName>
    <definedName name="BEx3M4H77MYUKOOD31H9F80NMVK8" localSheetId="1" hidden="1">#REF!</definedName>
    <definedName name="BEx3M4H77MYUKOOD31H9F80NMVK8" localSheetId="9" hidden="1">#REF!</definedName>
    <definedName name="BEx3M4H77MYUKOOD31H9F80NMVK8" hidden="1">#REF!</definedName>
    <definedName name="BEx3M9VFX329PZWYC4DMZ6P3W9R2" localSheetId="56" hidden="1">#REF!</definedName>
    <definedName name="BEx3M9VFX329PZWYC4DMZ6P3W9R2" localSheetId="55" hidden="1">#REF!</definedName>
    <definedName name="BEx3M9VFX329PZWYC4DMZ6P3W9R2" localSheetId="4" hidden="1">#REF!</definedName>
    <definedName name="BEx3M9VFX329PZWYC4DMZ6P3W9R2" localSheetId="1" hidden="1">#REF!</definedName>
    <definedName name="BEx3M9VFX329PZWYC4DMZ6P3W9R2" localSheetId="9" hidden="1">#REF!</definedName>
    <definedName name="BEx3M9VFX329PZWYC4DMZ6P3W9R2" hidden="1">#REF!</definedName>
    <definedName name="BEx3MCQ0VEBV0CZXDS505L38EQ8N" localSheetId="56" hidden="1">#REF!</definedName>
    <definedName name="BEx3MCQ0VEBV0CZXDS505L38EQ8N" localSheetId="55" hidden="1">#REF!</definedName>
    <definedName name="BEx3MCQ0VEBV0CZXDS505L38EQ8N" localSheetId="4" hidden="1">#REF!</definedName>
    <definedName name="BEx3MCQ0VEBV0CZXDS505L38EQ8N" localSheetId="1" hidden="1">#REF!</definedName>
    <definedName name="BEx3MCQ0VEBV0CZXDS505L38EQ8N" localSheetId="9" hidden="1">#REF!</definedName>
    <definedName name="BEx3MCQ0VEBV0CZXDS505L38EQ8N" hidden="1">#REF!</definedName>
    <definedName name="BEx3MEYV5LQY0BAL7V3CFAFVOM3T" localSheetId="56" hidden="1">#REF!</definedName>
    <definedName name="BEx3MEYV5LQY0BAL7V3CFAFVOM3T" localSheetId="55" hidden="1">#REF!</definedName>
    <definedName name="BEx3MEYV5LQY0BAL7V3CFAFVOM3T" localSheetId="4" hidden="1">#REF!</definedName>
    <definedName name="BEx3MEYV5LQY0BAL7V3CFAFVOM3T" localSheetId="1" hidden="1">#REF!</definedName>
    <definedName name="BEx3MEYV5LQY0BAL7V3CFAFVOM3T" localSheetId="9" hidden="1">#REF!</definedName>
    <definedName name="BEx3MEYV5LQY0BAL7V3CFAFVOM3T" hidden="1">#REF!</definedName>
    <definedName name="BEx3MF9LX8G8DXGARRYNTDH542WG" localSheetId="56" hidden="1">#REF!</definedName>
    <definedName name="BEx3MF9LX8G8DXGARRYNTDH542WG" localSheetId="55" hidden="1">#REF!</definedName>
    <definedName name="BEx3MF9LX8G8DXGARRYNTDH542WG" localSheetId="4" hidden="1">#REF!</definedName>
    <definedName name="BEx3MF9LX8G8DXGARRYNTDH542WG" localSheetId="1" hidden="1">#REF!</definedName>
    <definedName name="BEx3MF9LX8G8DXGARRYNTDH542WG" localSheetId="9" hidden="1">#REF!</definedName>
    <definedName name="BEx3MF9LX8G8DXGARRYNTDH542WG" hidden="1">#REF!</definedName>
    <definedName name="BEx3MREOFWJQEYMCMBL7ZE06NBN6" localSheetId="56" hidden="1">#REF!</definedName>
    <definedName name="BEx3MREOFWJQEYMCMBL7ZE06NBN6" localSheetId="55" hidden="1">#REF!</definedName>
    <definedName name="BEx3MREOFWJQEYMCMBL7ZE06NBN6" localSheetId="4" hidden="1">#REF!</definedName>
    <definedName name="BEx3MREOFWJQEYMCMBL7ZE06NBN6" localSheetId="1" hidden="1">#REF!</definedName>
    <definedName name="BEx3MREOFWJQEYMCMBL7ZE06NBN6" localSheetId="9" hidden="1">#REF!</definedName>
    <definedName name="BEx3MREOFWJQEYMCMBL7ZE06NBN6" hidden="1">#REF!</definedName>
    <definedName name="BEx3MSGD8I6KBFD4XFWYGH3DKUK3" localSheetId="56" hidden="1">#REF!</definedName>
    <definedName name="BEx3MSGD8I6KBFD4XFWYGH3DKUK3" localSheetId="55" hidden="1">#REF!</definedName>
    <definedName name="BEx3MSGD8I6KBFD4XFWYGH3DKUK3" localSheetId="4" hidden="1">#REF!</definedName>
    <definedName name="BEx3MSGD8I6KBFD4XFWYGH3DKUK3" localSheetId="1" hidden="1">#REF!</definedName>
    <definedName name="BEx3MSGD8I6KBFD4XFWYGH3DKUK3" localSheetId="9" hidden="1">#REF!</definedName>
    <definedName name="BEx3MSGD8I6KBFD4XFWYGH3DKUK3" hidden="1">#REF!</definedName>
    <definedName name="BEx3NDQFYEWZAUGWFMGT2R7E7RBT" localSheetId="56" hidden="1">#REF!</definedName>
    <definedName name="BEx3NDQFYEWZAUGWFMGT2R7E7RBT" localSheetId="55" hidden="1">#REF!</definedName>
    <definedName name="BEx3NDQFYEWZAUGWFMGT2R7E7RBT" localSheetId="4" hidden="1">#REF!</definedName>
    <definedName name="BEx3NDQFYEWZAUGWFMGT2R7E7RBT" localSheetId="1" hidden="1">#REF!</definedName>
    <definedName name="BEx3NDQFYEWZAUGWFMGT2R7E7RBT" localSheetId="9" hidden="1">#REF!</definedName>
    <definedName name="BEx3NDQFYEWZAUGWFMGT2R7E7RBT" hidden="1">#REF!</definedName>
    <definedName name="BEx3NGQBX2HEDKOCDX0TX1TGBB3P" localSheetId="56" hidden="1">#REF!</definedName>
    <definedName name="BEx3NGQBX2HEDKOCDX0TX1TGBB3P" localSheetId="55" hidden="1">#REF!</definedName>
    <definedName name="BEx3NGQBX2HEDKOCDX0TX1TGBB3P" localSheetId="4" hidden="1">#REF!</definedName>
    <definedName name="BEx3NGQBX2HEDKOCDX0TX1TGBB3P" localSheetId="1" hidden="1">#REF!</definedName>
    <definedName name="BEx3NGQBX2HEDKOCDX0TX1TGBB3P" localSheetId="9" hidden="1">#REF!</definedName>
    <definedName name="BEx3NGQBX2HEDKOCDX0TX1TGBB3P" hidden="1">#REF!</definedName>
    <definedName name="BEx3NLIZ7PHF2XE59ECZ3MD04ZG1" localSheetId="56" hidden="1">#REF!</definedName>
    <definedName name="BEx3NLIZ7PHF2XE59ECZ3MD04ZG1" localSheetId="55" hidden="1">#REF!</definedName>
    <definedName name="BEx3NLIZ7PHF2XE59ECZ3MD04ZG1" localSheetId="4" hidden="1">#REF!</definedName>
    <definedName name="BEx3NLIZ7PHF2XE59ECZ3MD04ZG1" localSheetId="1" hidden="1">#REF!</definedName>
    <definedName name="BEx3NLIZ7PHF2XE59ECZ3MD04ZG1" localSheetId="9" hidden="1">#REF!</definedName>
    <definedName name="BEx3NLIZ7PHF2XE59ECZ3MD04ZG1" hidden="1">#REF!</definedName>
    <definedName name="BEx3NMQ4BVC94728AUM7CCX7UHTU" localSheetId="56" hidden="1">#REF!</definedName>
    <definedName name="BEx3NMQ4BVC94728AUM7CCX7UHTU" localSheetId="55" hidden="1">#REF!</definedName>
    <definedName name="BEx3NMQ4BVC94728AUM7CCX7UHTU" localSheetId="4" hidden="1">#REF!</definedName>
    <definedName name="BEx3NMQ4BVC94728AUM7CCX7UHTU" localSheetId="1" hidden="1">#REF!</definedName>
    <definedName name="BEx3NMQ4BVC94728AUM7CCX7UHTU" localSheetId="9" hidden="1">#REF!</definedName>
    <definedName name="BEx3NMQ4BVC94728AUM7CCX7UHTU" hidden="1">#REF!</definedName>
    <definedName name="BEx3NR2I4OUFP3Z2QZEDU2PIFIDI" localSheetId="56" hidden="1">#REF!</definedName>
    <definedName name="BEx3NR2I4OUFP3Z2QZEDU2PIFIDI" localSheetId="55" hidden="1">#REF!</definedName>
    <definedName name="BEx3NR2I4OUFP3Z2QZEDU2PIFIDI" localSheetId="4" hidden="1">#REF!</definedName>
    <definedName name="BEx3NR2I4OUFP3Z2QZEDU2PIFIDI" localSheetId="1" hidden="1">#REF!</definedName>
    <definedName name="BEx3NR2I4OUFP3Z2QZEDU2PIFIDI" localSheetId="9" hidden="1">#REF!</definedName>
    <definedName name="BEx3NR2I4OUFP3Z2QZEDU2PIFIDI" hidden="1">#REF!</definedName>
    <definedName name="BEx3O19B8FTTAPVT5DZXQGQXWFR8" localSheetId="56" hidden="1">#REF!</definedName>
    <definedName name="BEx3O19B8FTTAPVT5DZXQGQXWFR8" localSheetId="55" hidden="1">#REF!</definedName>
    <definedName name="BEx3O19B8FTTAPVT5DZXQGQXWFR8" localSheetId="4" hidden="1">#REF!</definedName>
    <definedName name="BEx3O19B8FTTAPVT5DZXQGQXWFR8" localSheetId="1" hidden="1">#REF!</definedName>
    <definedName name="BEx3O19B8FTTAPVT5DZXQGQXWFR8" localSheetId="9" hidden="1">#REF!</definedName>
    <definedName name="BEx3O19B8FTTAPVT5DZXQGQXWFR8" hidden="1">#REF!</definedName>
    <definedName name="BEx3O85IKWARA6NCJOLRBRJFMEWW" localSheetId="45" hidden="1">#REF!</definedName>
    <definedName name="BEx3O85IKWARA6NCJOLRBRJFMEWW" localSheetId="51" hidden="1">#REF!</definedName>
    <definedName name="BEx3O85IKWARA6NCJOLRBRJFMEWW" localSheetId="52" hidden="1">#REF!</definedName>
    <definedName name="BEx3O85IKWARA6NCJOLRBRJFMEWW" localSheetId="56" hidden="1">#REF!</definedName>
    <definedName name="BEx3O85IKWARA6NCJOLRBRJFMEWW" localSheetId="55" hidden="1">#REF!</definedName>
    <definedName name="BEx3O85IKWARA6NCJOLRBRJFMEWW" localSheetId="53" hidden="1">#REF!</definedName>
    <definedName name="BEx3O85IKWARA6NCJOLRBRJFMEWW" localSheetId="54" hidden="1">#REF!</definedName>
    <definedName name="BEx3O85IKWARA6NCJOLRBRJFMEWW" localSheetId="4" hidden="1">#REF!</definedName>
    <definedName name="BEx3O85IKWARA6NCJOLRBRJFMEWW" localSheetId="1" hidden="1">#REF!</definedName>
    <definedName name="BEx3O85IKWARA6NCJOLRBRJFMEWW" localSheetId="9" hidden="1">#REF!</definedName>
    <definedName name="BEx3O85IKWARA6NCJOLRBRJFMEWW" hidden="1">#REF!</definedName>
    <definedName name="BEx3OJZSCGFRW7SVGBFI0X9DNVMM" localSheetId="56" hidden="1">#REF!</definedName>
    <definedName name="BEx3OJZSCGFRW7SVGBFI0X9DNVMM" localSheetId="55" hidden="1">#REF!</definedName>
    <definedName name="BEx3OJZSCGFRW7SVGBFI0X9DNVMM" localSheetId="4" hidden="1">#REF!</definedName>
    <definedName name="BEx3OJZSCGFRW7SVGBFI0X9DNVMM" localSheetId="1" hidden="1">#REF!</definedName>
    <definedName name="BEx3OJZSCGFRW7SVGBFI0X9DNVMM" localSheetId="9" hidden="1">#REF!</definedName>
    <definedName name="BEx3OJZSCGFRW7SVGBFI0X9DNVMM" hidden="1">#REF!</definedName>
    <definedName name="BEx3ORSBUXAF21MKEY90YJV9AY9A" localSheetId="56" hidden="1">#REF!</definedName>
    <definedName name="BEx3ORSBUXAF21MKEY90YJV9AY9A" localSheetId="55" hidden="1">#REF!</definedName>
    <definedName name="BEx3ORSBUXAF21MKEY90YJV9AY9A" localSheetId="4" hidden="1">#REF!</definedName>
    <definedName name="BEx3ORSBUXAF21MKEY90YJV9AY9A" localSheetId="1" hidden="1">#REF!</definedName>
    <definedName name="BEx3ORSBUXAF21MKEY90YJV9AY9A" localSheetId="9" hidden="1">#REF!</definedName>
    <definedName name="BEx3ORSBUXAF21MKEY90YJV9AY9A" hidden="1">#REF!</definedName>
    <definedName name="BEx3OUS0N576NJN078Y1BWUWQK6B" localSheetId="56" hidden="1">#REF!</definedName>
    <definedName name="BEx3OUS0N576NJN078Y1BWUWQK6B" localSheetId="55" hidden="1">#REF!</definedName>
    <definedName name="BEx3OUS0N576NJN078Y1BWUWQK6B" localSheetId="4" hidden="1">#REF!</definedName>
    <definedName name="BEx3OUS0N576NJN078Y1BWUWQK6B" localSheetId="1" hidden="1">#REF!</definedName>
    <definedName name="BEx3OUS0N576NJN078Y1BWUWQK6B" localSheetId="9" hidden="1">#REF!</definedName>
    <definedName name="BEx3OUS0N576NJN078Y1BWUWQK6B" hidden="1">#REF!</definedName>
    <definedName name="BEx3OV8BH6PYNZT7C246LOAU9SVX" localSheetId="56" hidden="1">#REF!</definedName>
    <definedName name="BEx3OV8BH6PYNZT7C246LOAU9SVX" localSheetId="55" hidden="1">#REF!</definedName>
    <definedName name="BEx3OV8BH6PYNZT7C246LOAU9SVX" localSheetId="4" hidden="1">#REF!</definedName>
    <definedName name="BEx3OV8BH6PYNZT7C246LOAU9SVX" localSheetId="1" hidden="1">#REF!</definedName>
    <definedName name="BEx3OV8BH6PYNZT7C246LOAU9SVX" localSheetId="9" hidden="1">#REF!</definedName>
    <definedName name="BEx3OV8BH6PYNZT7C246LOAU9SVX" hidden="1">#REF!</definedName>
    <definedName name="BEx3OXRYJZUEY6E72UJU0PHLMYAR" localSheetId="56" hidden="1">#REF!</definedName>
    <definedName name="BEx3OXRYJZUEY6E72UJU0PHLMYAR" localSheetId="55" hidden="1">#REF!</definedName>
    <definedName name="BEx3OXRYJZUEY6E72UJU0PHLMYAR" localSheetId="4" hidden="1">#REF!</definedName>
    <definedName name="BEx3OXRYJZUEY6E72UJU0PHLMYAR" localSheetId="1" hidden="1">#REF!</definedName>
    <definedName name="BEx3OXRYJZUEY6E72UJU0PHLMYAR" localSheetId="9" hidden="1">#REF!</definedName>
    <definedName name="BEx3OXRYJZUEY6E72UJU0PHLMYAR" hidden="1">#REF!</definedName>
    <definedName name="BEx3P3RP5PYI4BJVYGNU1V7KT5EH" localSheetId="56" hidden="1">#REF!</definedName>
    <definedName name="BEx3P3RP5PYI4BJVYGNU1V7KT5EH" localSheetId="55" hidden="1">#REF!</definedName>
    <definedName name="BEx3P3RP5PYI4BJVYGNU1V7KT5EH" localSheetId="4" hidden="1">#REF!</definedName>
    <definedName name="BEx3P3RP5PYI4BJVYGNU1V7KT5EH" localSheetId="1" hidden="1">#REF!</definedName>
    <definedName name="BEx3P3RP5PYI4BJVYGNU1V7KT5EH" localSheetId="9" hidden="1">#REF!</definedName>
    <definedName name="BEx3P3RP5PYI4BJVYGNU1V7KT5EH" hidden="1">#REF!</definedName>
    <definedName name="BEx3P59TTRSGQY888P5C1O7M2PQT" localSheetId="56" hidden="1">#REF!</definedName>
    <definedName name="BEx3P59TTRSGQY888P5C1O7M2PQT" localSheetId="55" hidden="1">#REF!</definedName>
    <definedName name="BEx3P59TTRSGQY888P5C1O7M2PQT" localSheetId="4" hidden="1">#REF!</definedName>
    <definedName name="BEx3P59TTRSGQY888P5C1O7M2PQT" localSheetId="1" hidden="1">#REF!</definedName>
    <definedName name="BEx3P59TTRSGQY888P5C1O7M2PQT" localSheetId="9" hidden="1">#REF!</definedName>
    <definedName name="BEx3P59TTRSGQY888P5C1O7M2PQT" hidden="1">#REF!</definedName>
    <definedName name="BEx3PDNRRNKD5GOUBUQFXAHIXLD9" localSheetId="56" hidden="1">#REF!</definedName>
    <definedName name="BEx3PDNRRNKD5GOUBUQFXAHIXLD9" localSheetId="55" hidden="1">#REF!</definedName>
    <definedName name="BEx3PDNRRNKD5GOUBUQFXAHIXLD9" localSheetId="4" hidden="1">#REF!</definedName>
    <definedName name="BEx3PDNRRNKD5GOUBUQFXAHIXLD9" localSheetId="1" hidden="1">#REF!</definedName>
    <definedName name="BEx3PDNRRNKD5GOUBUQFXAHIXLD9" localSheetId="9" hidden="1">#REF!</definedName>
    <definedName name="BEx3PDNRRNKD5GOUBUQFXAHIXLD9" hidden="1">#REF!</definedName>
    <definedName name="BEx3PDT8GNPWLLN02IH1XPV90XYK" localSheetId="56" hidden="1">#REF!</definedName>
    <definedName name="BEx3PDT8GNPWLLN02IH1XPV90XYK" localSheetId="55" hidden="1">#REF!</definedName>
    <definedName name="BEx3PDT8GNPWLLN02IH1XPV90XYK" localSheetId="4" hidden="1">#REF!</definedName>
    <definedName name="BEx3PDT8GNPWLLN02IH1XPV90XYK" localSheetId="1" hidden="1">#REF!</definedName>
    <definedName name="BEx3PDT8GNPWLLN02IH1XPV90XYK" localSheetId="9" hidden="1">#REF!</definedName>
    <definedName name="BEx3PDT8GNPWLLN02IH1XPV90XYK" hidden="1">#REF!</definedName>
    <definedName name="BEx3PKEMDW8KZEP11IL927C5O7I2" localSheetId="56" hidden="1">#REF!</definedName>
    <definedName name="BEx3PKEMDW8KZEP11IL927C5O7I2" localSheetId="55" hidden="1">#REF!</definedName>
    <definedName name="BEx3PKEMDW8KZEP11IL927C5O7I2" localSheetId="4" hidden="1">#REF!</definedName>
    <definedName name="BEx3PKEMDW8KZEP11IL927C5O7I2" localSheetId="1" hidden="1">#REF!</definedName>
    <definedName name="BEx3PKEMDW8KZEP11IL927C5O7I2" localSheetId="9" hidden="1">#REF!</definedName>
    <definedName name="BEx3PKEMDW8KZEP11IL927C5O7I2" hidden="1">#REF!</definedName>
    <definedName name="BEx3PKJZ1Z7L9S6KV8KXVS6B2FX4" localSheetId="56" hidden="1">#REF!</definedName>
    <definedName name="BEx3PKJZ1Z7L9S6KV8KXVS6B2FX4" localSheetId="55" hidden="1">#REF!</definedName>
    <definedName name="BEx3PKJZ1Z7L9S6KV8KXVS6B2FX4" localSheetId="4" hidden="1">#REF!</definedName>
    <definedName name="BEx3PKJZ1Z7L9S6KV8KXVS6B2FX4" localSheetId="1" hidden="1">#REF!</definedName>
    <definedName name="BEx3PKJZ1Z7L9S6KV8KXVS6B2FX4" localSheetId="9" hidden="1">#REF!</definedName>
    <definedName name="BEx3PKJZ1Z7L9S6KV8KXVS6B2FX4" hidden="1">#REF!</definedName>
    <definedName name="BEx3PMNG53Z5HY138H99QOMTX8W3" localSheetId="56" hidden="1">#REF!</definedName>
    <definedName name="BEx3PMNG53Z5HY138H99QOMTX8W3" localSheetId="55" hidden="1">#REF!</definedName>
    <definedName name="BEx3PMNG53Z5HY138H99QOMTX8W3" localSheetId="4" hidden="1">#REF!</definedName>
    <definedName name="BEx3PMNG53Z5HY138H99QOMTX8W3" localSheetId="1" hidden="1">#REF!</definedName>
    <definedName name="BEx3PMNG53Z5HY138H99QOMTX8W3" localSheetId="9" hidden="1">#REF!</definedName>
    <definedName name="BEx3PMNG53Z5HY138H99QOMTX8W3" hidden="1">#REF!</definedName>
    <definedName name="BEx3PP1RRSFZ8UC0JC9R91W6LNKW" localSheetId="56" hidden="1">#REF!</definedName>
    <definedName name="BEx3PP1RRSFZ8UC0JC9R91W6LNKW" localSheetId="55" hidden="1">#REF!</definedName>
    <definedName name="BEx3PP1RRSFZ8UC0JC9R91W6LNKW" localSheetId="4" hidden="1">#REF!</definedName>
    <definedName name="BEx3PP1RRSFZ8UC0JC9R91W6LNKW" localSheetId="1" hidden="1">#REF!</definedName>
    <definedName name="BEx3PP1RRSFZ8UC0JC9R91W6LNKW" localSheetId="9" hidden="1">#REF!</definedName>
    <definedName name="BEx3PP1RRSFZ8UC0JC9R91W6LNKW" hidden="1">#REF!</definedName>
    <definedName name="BEx3PRQW017D7T1X732WDV7L1KP8" localSheetId="56" hidden="1">#REF!</definedName>
    <definedName name="BEx3PRQW017D7T1X732WDV7L1KP8" localSheetId="55" hidden="1">#REF!</definedName>
    <definedName name="BEx3PRQW017D7T1X732WDV7L1KP8" localSheetId="4" hidden="1">#REF!</definedName>
    <definedName name="BEx3PRQW017D7T1X732WDV7L1KP8" localSheetId="1" hidden="1">#REF!</definedName>
    <definedName name="BEx3PRQW017D7T1X732WDV7L1KP8" localSheetId="9" hidden="1">#REF!</definedName>
    <definedName name="BEx3PRQW017D7T1X732WDV7L1KP8" hidden="1">#REF!</definedName>
    <definedName name="BEx3PVXYZC8WB9ZJE7OCKUXZ46EA" localSheetId="56" hidden="1">#REF!</definedName>
    <definedName name="BEx3PVXYZC8WB9ZJE7OCKUXZ46EA" localSheetId="55" hidden="1">#REF!</definedName>
    <definedName name="BEx3PVXYZC8WB9ZJE7OCKUXZ46EA" localSheetId="4" hidden="1">#REF!</definedName>
    <definedName name="BEx3PVXYZC8WB9ZJE7OCKUXZ46EA" localSheetId="1" hidden="1">#REF!</definedName>
    <definedName name="BEx3PVXYZC8WB9ZJE7OCKUXZ46EA" localSheetId="9" hidden="1">#REF!</definedName>
    <definedName name="BEx3PVXYZC8WB9ZJE7OCKUXZ46EA" hidden="1">#REF!</definedName>
    <definedName name="BEx3Q0VWPU5EQECK7MQ47TYJ3SWW" localSheetId="56" hidden="1">#REF!</definedName>
    <definedName name="BEx3Q0VWPU5EQECK7MQ47TYJ3SWW" localSheetId="55" hidden="1">#REF!</definedName>
    <definedName name="BEx3Q0VWPU5EQECK7MQ47TYJ3SWW" localSheetId="4" hidden="1">#REF!</definedName>
    <definedName name="BEx3Q0VWPU5EQECK7MQ47TYJ3SWW" localSheetId="1" hidden="1">#REF!</definedName>
    <definedName name="BEx3Q0VWPU5EQECK7MQ47TYJ3SWW" localSheetId="9" hidden="1">#REF!</definedName>
    <definedName name="BEx3Q0VWPU5EQECK7MQ47TYJ3SWW" hidden="1">#REF!</definedName>
    <definedName name="BEx3Q7BZ9PUXK2RLIOFSIS9AHU1B" localSheetId="56" hidden="1">#REF!</definedName>
    <definedName name="BEx3Q7BZ9PUXK2RLIOFSIS9AHU1B" localSheetId="55" hidden="1">#REF!</definedName>
    <definedName name="BEx3Q7BZ9PUXK2RLIOFSIS9AHU1B" localSheetId="4" hidden="1">#REF!</definedName>
    <definedName name="BEx3Q7BZ9PUXK2RLIOFSIS9AHU1B" localSheetId="1" hidden="1">#REF!</definedName>
    <definedName name="BEx3Q7BZ9PUXK2RLIOFSIS9AHU1B" localSheetId="9" hidden="1">#REF!</definedName>
    <definedName name="BEx3Q7BZ9PUXK2RLIOFSIS9AHU1B" hidden="1">#REF!</definedName>
    <definedName name="BEx3Q8J42S9VU6EAN2Y28MR6DF88" localSheetId="56" hidden="1">#REF!</definedName>
    <definedName name="BEx3Q8J42S9VU6EAN2Y28MR6DF88" localSheetId="55" hidden="1">#REF!</definedName>
    <definedName name="BEx3Q8J42S9VU6EAN2Y28MR6DF88" localSheetId="4" hidden="1">#REF!</definedName>
    <definedName name="BEx3Q8J42S9VU6EAN2Y28MR6DF88" localSheetId="1" hidden="1">#REF!</definedName>
    <definedName name="BEx3Q8J42S9VU6EAN2Y28MR6DF88" localSheetId="9" hidden="1">#REF!</definedName>
    <definedName name="BEx3Q8J42S9VU6EAN2Y28MR6DF88" hidden="1">#REF!</definedName>
    <definedName name="BEx3QCFD2TBUF95ZN83Q7JPV97FK" localSheetId="56" hidden="1">#REF!</definedName>
    <definedName name="BEx3QCFD2TBUF95ZN83Q7JPV97FK" localSheetId="55" hidden="1">#REF!</definedName>
    <definedName name="BEx3QCFD2TBUF95ZN83Q7JPV97FK" localSheetId="4" hidden="1">#REF!</definedName>
    <definedName name="BEx3QCFD2TBUF95ZN83Q7JPV97FK" localSheetId="1" hidden="1">#REF!</definedName>
    <definedName name="BEx3QCFD2TBUF95ZN83Q7JPV97FK" localSheetId="9" hidden="1">#REF!</definedName>
    <definedName name="BEx3QCFD2TBUF95ZN83Q7JPV97FK" hidden="1">#REF!</definedName>
    <definedName name="BEx3QEDFOYFY5NBTININ5W4RLD4Q" localSheetId="56" hidden="1">#REF!</definedName>
    <definedName name="BEx3QEDFOYFY5NBTININ5W4RLD4Q" localSheetId="55" hidden="1">#REF!</definedName>
    <definedName name="BEx3QEDFOYFY5NBTININ5W4RLD4Q" localSheetId="4" hidden="1">#REF!</definedName>
    <definedName name="BEx3QEDFOYFY5NBTININ5W4RLD4Q" localSheetId="1" hidden="1">#REF!</definedName>
    <definedName name="BEx3QEDFOYFY5NBTININ5W4RLD4Q" localSheetId="9" hidden="1">#REF!</definedName>
    <definedName name="BEx3QEDFOYFY5NBTININ5W4RLD4Q" hidden="1">#REF!</definedName>
    <definedName name="BEx3QIKJ3U962US1Q564NZDLU8LD" localSheetId="56" hidden="1">#REF!</definedName>
    <definedName name="BEx3QIKJ3U962US1Q564NZDLU8LD" localSheetId="55" hidden="1">#REF!</definedName>
    <definedName name="BEx3QIKJ3U962US1Q564NZDLU8LD" localSheetId="4" hidden="1">#REF!</definedName>
    <definedName name="BEx3QIKJ3U962US1Q564NZDLU8LD" localSheetId="1" hidden="1">#REF!</definedName>
    <definedName name="BEx3QIKJ3U962US1Q564NZDLU8LD" localSheetId="9" hidden="1">#REF!</definedName>
    <definedName name="BEx3QIKJ3U962US1Q564NZDLU8LD" hidden="1">#REF!</definedName>
    <definedName name="BEx3QLF3RHHBNUFLUWEROBZDF1U4" localSheetId="56" hidden="1">#REF!</definedName>
    <definedName name="BEx3QLF3RHHBNUFLUWEROBZDF1U4" localSheetId="55" hidden="1">#REF!</definedName>
    <definedName name="BEx3QLF3RHHBNUFLUWEROBZDF1U4" localSheetId="4" hidden="1">#REF!</definedName>
    <definedName name="BEx3QLF3RHHBNUFLUWEROBZDF1U4" localSheetId="1" hidden="1">#REF!</definedName>
    <definedName name="BEx3QLF3RHHBNUFLUWEROBZDF1U4" localSheetId="9" hidden="1">#REF!</definedName>
    <definedName name="BEx3QLF3RHHBNUFLUWEROBZDF1U4" hidden="1">#REF!</definedName>
    <definedName name="BEx3QR9D45DHW50VQ7Y3Q1AXPOB9" localSheetId="56" hidden="1">#REF!</definedName>
    <definedName name="BEx3QR9D45DHW50VQ7Y3Q1AXPOB9" localSheetId="55" hidden="1">#REF!</definedName>
    <definedName name="BEx3QR9D45DHW50VQ7Y3Q1AXPOB9" localSheetId="4" hidden="1">#REF!</definedName>
    <definedName name="BEx3QR9D45DHW50VQ7Y3Q1AXPOB9" localSheetId="1" hidden="1">#REF!</definedName>
    <definedName name="BEx3QR9D45DHW50VQ7Y3Q1AXPOB9" localSheetId="9" hidden="1">#REF!</definedName>
    <definedName name="BEx3QR9D45DHW50VQ7Y3Q1AXPOB9" hidden="1">#REF!</definedName>
    <definedName name="BEx3QSWT2S5KWG6U2V9711IYDQBM" localSheetId="56" hidden="1">#REF!</definedName>
    <definedName name="BEx3QSWT2S5KWG6U2V9711IYDQBM" localSheetId="55" hidden="1">#REF!</definedName>
    <definedName name="BEx3QSWT2S5KWG6U2V9711IYDQBM" localSheetId="4" hidden="1">#REF!</definedName>
    <definedName name="BEx3QSWT2S5KWG6U2V9711IYDQBM" localSheetId="1" hidden="1">#REF!</definedName>
    <definedName name="BEx3QSWT2S5KWG6U2V9711IYDQBM" localSheetId="9" hidden="1">#REF!</definedName>
    <definedName name="BEx3QSWT2S5KWG6U2V9711IYDQBM" hidden="1">#REF!</definedName>
    <definedName name="BEx3QVGG7Q2X4HZHJAM35A8T3VR7" localSheetId="56" hidden="1">#REF!</definedName>
    <definedName name="BEx3QVGG7Q2X4HZHJAM35A8T3VR7" localSheetId="55" hidden="1">#REF!</definedName>
    <definedName name="BEx3QVGG7Q2X4HZHJAM35A8T3VR7" localSheetId="4" hidden="1">#REF!</definedName>
    <definedName name="BEx3QVGG7Q2X4HZHJAM35A8T3VR7" localSheetId="1" hidden="1">#REF!</definedName>
    <definedName name="BEx3QVGG7Q2X4HZHJAM35A8T3VR7" localSheetId="9" hidden="1">#REF!</definedName>
    <definedName name="BEx3QVGG7Q2X4HZHJAM35A8T3VR7" hidden="1">#REF!</definedName>
    <definedName name="BEx3R0JUB9YN8PHPPQTAMIT1IHWK" localSheetId="56" hidden="1">#REF!</definedName>
    <definedName name="BEx3R0JUB9YN8PHPPQTAMIT1IHWK" localSheetId="55" hidden="1">#REF!</definedName>
    <definedName name="BEx3R0JUB9YN8PHPPQTAMIT1IHWK" localSheetId="4" hidden="1">#REF!</definedName>
    <definedName name="BEx3R0JUB9YN8PHPPQTAMIT1IHWK" localSheetId="1" hidden="1">#REF!</definedName>
    <definedName name="BEx3R0JUB9YN8PHPPQTAMIT1IHWK" localSheetId="9" hidden="1">#REF!</definedName>
    <definedName name="BEx3R0JUB9YN8PHPPQTAMIT1IHWK" hidden="1">#REF!</definedName>
    <definedName name="BEx3R81NFRO7M81VHVKOBFT0QBIL" localSheetId="56" hidden="1">#REF!</definedName>
    <definedName name="BEx3R81NFRO7M81VHVKOBFT0QBIL" localSheetId="55" hidden="1">#REF!</definedName>
    <definedName name="BEx3R81NFRO7M81VHVKOBFT0QBIL" localSheetId="4" hidden="1">#REF!</definedName>
    <definedName name="BEx3R81NFRO7M81VHVKOBFT0QBIL" localSheetId="1" hidden="1">#REF!</definedName>
    <definedName name="BEx3R81NFRO7M81VHVKOBFT0QBIL" localSheetId="9" hidden="1">#REF!</definedName>
    <definedName name="BEx3R81NFRO7M81VHVKOBFT0QBIL" hidden="1">#REF!</definedName>
    <definedName name="BEx3RHC2ZD5UFS6QD4OPFCNNMWH1" localSheetId="56" hidden="1">#REF!</definedName>
    <definedName name="BEx3RHC2ZD5UFS6QD4OPFCNNMWH1" localSheetId="55" hidden="1">#REF!</definedName>
    <definedName name="BEx3RHC2ZD5UFS6QD4OPFCNNMWH1" localSheetId="4" hidden="1">#REF!</definedName>
    <definedName name="BEx3RHC2ZD5UFS6QD4OPFCNNMWH1" localSheetId="1" hidden="1">#REF!</definedName>
    <definedName name="BEx3RHC2ZD5UFS6QD4OPFCNNMWH1" localSheetId="9" hidden="1">#REF!</definedName>
    <definedName name="BEx3RHC2ZD5UFS6QD4OPFCNNMWH1" hidden="1">#REF!</definedName>
    <definedName name="BEx3RQ10QIWBAPHALAA91BUUCM2X" localSheetId="56" hidden="1">#REF!</definedName>
    <definedName name="BEx3RQ10QIWBAPHALAA91BUUCM2X" localSheetId="55" hidden="1">#REF!</definedName>
    <definedName name="BEx3RQ10QIWBAPHALAA91BUUCM2X" localSheetId="4" hidden="1">#REF!</definedName>
    <definedName name="BEx3RQ10QIWBAPHALAA91BUUCM2X" localSheetId="1" hidden="1">#REF!</definedName>
    <definedName name="BEx3RQ10QIWBAPHALAA91BUUCM2X" localSheetId="9" hidden="1">#REF!</definedName>
    <definedName name="BEx3RQ10QIWBAPHALAA91BUUCM2X" hidden="1">#REF!</definedName>
    <definedName name="BEx3RV4E1WT43SZBUN09RTB8EK1O" localSheetId="56" hidden="1">#REF!</definedName>
    <definedName name="BEx3RV4E1WT43SZBUN09RTB8EK1O" localSheetId="55" hidden="1">#REF!</definedName>
    <definedName name="BEx3RV4E1WT43SZBUN09RTB8EK1O" localSheetId="4" hidden="1">#REF!</definedName>
    <definedName name="BEx3RV4E1WT43SZBUN09RTB8EK1O" localSheetId="1" hidden="1">#REF!</definedName>
    <definedName name="BEx3RV4E1WT43SZBUN09RTB8EK1O" localSheetId="9" hidden="1">#REF!</definedName>
    <definedName name="BEx3RV4E1WT43SZBUN09RTB8EK1O" hidden="1">#REF!</definedName>
    <definedName name="BEx3RXYU0QLFXSFTM5EB20GD03W5" localSheetId="56" hidden="1">#REF!</definedName>
    <definedName name="BEx3RXYU0QLFXSFTM5EB20GD03W5" localSheetId="55" hidden="1">#REF!</definedName>
    <definedName name="BEx3RXYU0QLFXSFTM5EB20GD03W5" localSheetId="4" hidden="1">#REF!</definedName>
    <definedName name="BEx3RXYU0QLFXSFTM5EB20GD03W5" localSheetId="1" hidden="1">#REF!</definedName>
    <definedName name="BEx3RXYU0QLFXSFTM5EB20GD03W5" localSheetId="9" hidden="1">#REF!</definedName>
    <definedName name="BEx3RXYU0QLFXSFTM5EB20GD03W5" hidden="1">#REF!</definedName>
    <definedName name="BEx3RYKLC3QQO3XTUN7BEW2AQL98" localSheetId="56" hidden="1">#REF!</definedName>
    <definedName name="BEx3RYKLC3QQO3XTUN7BEW2AQL98" localSheetId="55" hidden="1">#REF!</definedName>
    <definedName name="BEx3RYKLC3QQO3XTUN7BEW2AQL98" localSheetId="4" hidden="1">#REF!</definedName>
    <definedName name="BEx3RYKLC3QQO3XTUN7BEW2AQL98" localSheetId="1" hidden="1">#REF!</definedName>
    <definedName name="BEx3RYKLC3QQO3XTUN7BEW2AQL98" localSheetId="9" hidden="1">#REF!</definedName>
    <definedName name="BEx3RYKLC3QQO3XTUN7BEW2AQL98" hidden="1">#REF!</definedName>
    <definedName name="BEx3S37QNFSKW3DGRH5YVVEZLJI7" localSheetId="56" hidden="1">#REF!</definedName>
    <definedName name="BEx3S37QNFSKW3DGRH5YVVEZLJI7" localSheetId="55" hidden="1">#REF!</definedName>
    <definedName name="BEx3S37QNFSKW3DGRH5YVVEZLJI7" localSheetId="4" hidden="1">#REF!</definedName>
    <definedName name="BEx3S37QNFSKW3DGRH5YVVEZLJI7" localSheetId="1" hidden="1">#REF!</definedName>
    <definedName name="BEx3S37QNFSKW3DGRH5YVVEZLJI7" localSheetId="9" hidden="1">#REF!</definedName>
    <definedName name="BEx3S37QNFSKW3DGRH5YVVEZLJI7" hidden="1">#REF!</definedName>
    <definedName name="BEx3SICJ45BYT6FHBER86PJT25FC" localSheetId="56" hidden="1">#REF!</definedName>
    <definedName name="BEx3SICJ45BYT6FHBER86PJT25FC" localSheetId="55" hidden="1">#REF!</definedName>
    <definedName name="BEx3SICJ45BYT6FHBER86PJT25FC" localSheetId="4" hidden="1">#REF!</definedName>
    <definedName name="BEx3SICJ45BYT6FHBER86PJT25FC" localSheetId="1" hidden="1">#REF!</definedName>
    <definedName name="BEx3SICJ45BYT6FHBER86PJT25FC" localSheetId="9" hidden="1">#REF!</definedName>
    <definedName name="BEx3SICJ45BYT6FHBER86PJT25FC" hidden="1">#REF!</definedName>
    <definedName name="BEx3SMUCMJVGQ2H4EHQI5ZFHEF0P" localSheetId="56" hidden="1">#REF!</definedName>
    <definedName name="BEx3SMUCMJVGQ2H4EHQI5ZFHEF0P" localSheetId="55" hidden="1">#REF!</definedName>
    <definedName name="BEx3SMUCMJVGQ2H4EHQI5ZFHEF0P" localSheetId="4" hidden="1">#REF!</definedName>
    <definedName name="BEx3SMUCMJVGQ2H4EHQI5ZFHEF0P" localSheetId="1" hidden="1">#REF!</definedName>
    <definedName name="BEx3SMUCMJVGQ2H4EHQI5ZFHEF0P" localSheetId="9" hidden="1">#REF!</definedName>
    <definedName name="BEx3SMUCMJVGQ2H4EHQI5ZFHEF0P" hidden="1">#REF!</definedName>
    <definedName name="BEx3SN56F03CPDRDA7LZ763V0N4I" localSheetId="56" hidden="1">#REF!</definedName>
    <definedName name="BEx3SN56F03CPDRDA7LZ763V0N4I" localSheetId="55" hidden="1">#REF!</definedName>
    <definedName name="BEx3SN56F03CPDRDA7LZ763V0N4I" localSheetId="4" hidden="1">#REF!</definedName>
    <definedName name="BEx3SN56F03CPDRDA7LZ763V0N4I" localSheetId="1" hidden="1">#REF!</definedName>
    <definedName name="BEx3SN56F03CPDRDA7LZ763V0N4I" localSheetId="9" hidden="1">#REF!</definedName>
    <definedName name="BEx3SN56F03CPDRDA7LZ763V0N4I" hidden="1">#REF!</definedName>
    <definedName name="BEx3SPE6N1ORXPRCDL3JPZD73Z9F" localSheetId="56" hidden="1">#REF!</definedName>
    <definedName name="BEx3SPE6N1ORXPRCDL3JPZD73Z9F" localSheetId="55" hidden="1">#REF!</definedName>
    <definedName name="BEx3SPE6N1ORXPRCDL3JPZD73Z9F" localSheetId="4" hidden="1">#REF!</definedName>
    <definedName name="BEx3SPE6N1ORXPRCDL3JPZD73Z9F" localSheetId="1" hidden="1">#REF!</definedName>
    <definedName name="BEx3SPE6N1ORXPRCDL3JPZD73Z9F" localSheetId="9" hidden="1">#REF!</definedName>
    <definedName name="BEx3SPE6N1ORXPRCDL3JPZD73Z9F" hidden="1">#REF!</definedName>
    <definedName name="BEx3T29ZTULQE0OMSMWUMZDU9ZZ0" localSheetId="56" hidden="1">#REF!</definedName>
    <definedName name="BEx3T29ZTULQE0OMSMWUMZDU9ZZ0" localSheetId="55" hidden="1">#REF!</definedName>
    <definedName name="BEx3T29ZTULQE0OMSMWUMZDU9ZZ0" localSheetId="4" hidden="1">#REF!</definedName>
    <definedName name="BEx3T29ZTULQE0OMSMWUMZDU9ZZ0" localSheetId="1" hidden="1">#REF!</definedName>
    <definedName name="BEx3T29ZTULQE0OMSMWUMZDU9ZZ0" localSheetId="9" hidden="1">#REF!</definedName>
    <definedName name="BEx3T29ZTULQE0OMSMWUMZDU9ZZ0" hidden="1">#REF!</definedName>
    <definedName name="BEx3T6MJ1QDJ929WMUDVZ0O3UW0Y" localSheetId="56" hidden="1">#REF!</definedName>
    <definedName name="BEx3T6MJ1QDJ929WMUDVZ0O3UW0Y" localSheetId="55" hidden="1">#REF!</definedName>
    <definedName name="BEx3T6MJ1QDJ929WMUDVZ0O3UW0Y" localSheetId="4" hidden="1">#REF!</definedName>
    <definedName name="BEx3T6MJ1QDJ929WMUDVZ0O3UW0Y" localSheetId="1" hidden="1">#REF!</definedName>
    <definedName name="BEx3T6MJ1QDJ929WMUDVZ0O3UW0Y" localSheetId="9" hidden="1">#REF!</definedName>
    <definedName name="BEx3T6MJ1QDJ929WMUDVZ0O3UW0Y" hidden="1">#REF!</definedName>
    <definedName name="BEx3TD7WH1NN1OH0MRS4T8ENRU32" localSheetId="56" hidden="1">#REF!</definedName>
    <definedName name="BEx3TD7WH1NN1OH0MRS4T8ENRU32" localSheetId="55" hidden="1">#REF!</definedName>
    <definedName name="BEx3TD7WH1NN1OH0MRS4T8ENRU32" localSheetId="4" hidden="1">#REF!</definedName>
    <definedName name="BEx3TD7WH1NN1OH0MRS4T8ENRU32" localSheetId="1" hidden="1">#REF!</definedName>
    <definedName name="BEx3TD7WH1NN1OH0MRS4T8ENRU32" localSheetId="9" hidden="1">#REF!</definedName>
    <definedName name="BEx3TD7WH1NN1OH0MRS4T8ENRU32" hidden="1">#REF!</definedName>
    <definedName name="BEx3TPCSI16OAB2L9M9IULQMQ9J9" localSheetId="56" hidden="1">#REF!</definedName>
    <definedName name="BEx3TPCSI16OAB2L9M9IULQMQ9J9" localSheetId="55" hidden="1">#REF!</definedName>
    <definedName name="BEx3TPCSI16OAB2L9M9IULQMQ9J9" localSheetId="4" hidden="1">#REF!</definedName>
    <definedName name="BEx3TPCSI16OAB2L9M9IULQMQ9J9" localSheetId="1" hidden="1">#REF!</definedName>
    <definedName name="BEx3TPCSI16OAB2L9M9IULQMQ9J9" localSheetId="9" hidden="1">#REF!</definedName>
    <definedName name="BEx3TPCSI16OAB2L9M9IULQMQ9J9" hidden="1">#REF!</definedName>
    <definedName name="BEx3TQ3SFJB2WTCV0OXDE56FB46K" localSheetId="56" hidden="1">#REF!</definedName>
    <definedName name="BEx3TQ3SFJB2WTCV0OXDE56FB46K" localSheetId="55" hidden="1">#REF!</definedName>
    <definedName name="BEx3TQ3SFJB2WTCV0OXDE56FB46K" localSheetId="4" hidden="1">#REF!</definedName>
    <definedName name="BEx3TQ3SFJB2WTCV0OXDE56FB46K" localSheetId="1" hidden="1">#REF!</definedName>
    <definedName name="BEx3TQ3SFJB2WTCV0OXDE56FB46K" localSheetId="9" hidden="1">#REF!</definedName>
    <definedName name="BEx3TQ3SFJB2WTCV0OXDE56FB46K" hidden="1">#REF!</definedName>
    <definedName name="BEx3TX59M3456DDBXWFJ8X2TU37A" localSheetId="56" hidden="1">#REF!</definedName>
    <definedName name="BEx3TX59M3456DDBXWFJ8X2TU37A" localSheetId="55" hidden="1">#REF!</definedName>
    <definedName name="BEx3TX59M3456DDBXWFJ8X2TU37A" localSheetId="4" hidden="1">#REF!</definedName>
    <definedName name="BEx3TX59M3456DDBXWFJ8X2TU37A" localSheetId="1" hidden="1">#REF!</definedName>
    <definedName name="BEx3TX59M3456DDBXWFJ8X2TU37A" localSheetId="9" hidden="1">#REF!</definedName>
    <definedName name="BEx3TX59M3456DDBXWFJ8X2TU37A" hidden="1">#REF!</definedName>
    <definedName name="BEx3U2UBY80GPGSTYFGI6F8TPKCV" localSheetId="56" hidden="1">#REF!</definedName>
    <definedName name="BEx3U2UBY80GPGSTYFGI6F8TPKCV" localSheetId="55" hidden="1">#REF!</definedName>
    <definedName name="BEx3U2UBY80GPGSTYFGI6F8TPKCV" localSheetId="4" hidden="1">#REF!</definedName>
    <definedName name="BEx3U2UBY80GPGSTYFGI6F8TPKCV" localSheetId="1" hidden="1">#REF!</definedName>
    <definedName name="BEx3U2UBY80GPGSTYFGI6F8TPKCV" localSheetId="9" hidden="1">#REF!</definedName>
    <definedName name="BEx3U2UBY80GPGSTYFGI6F8TPKCV" hidden="1">#REF!</definedName>
    <definedName name="BEx3U64YUOZ419BAJS2W78UMATAW" localSheetId="56" hidden="1">#REF!</definedName>
    <definedName name="BEx3U64YUOZ419BAJS2W78UMATAW" localSheetId="55" hidden="1">#REF!</definedName>
    <definedName name="BEx3U64YUOZ419BAJS2W78UMATAW" localSheetId="4" hidden="1">#REF!</definedName>
    <definedName name="BEx3U64YUOZ419BAJS2W78UMATAW" localSheetId="1" hidden="1">#REF!</definedName>
    <definedName name="BEx3U64YUOZ419BAJS2W78UMATAW" localSheetId="9" hidden="1">#REF!</definedName>
    <definedName name="BEx3U64YUOZ419BAJS2W78UMATAW" hidden="1">#REF!</definedName>
    <definedName name="BEx3U94WCEA5DKMWBEX1GU0LKYG2" localSheetId="56" hidden="1">#REF!</definedName>
    <definedName name="BEx3U94WCEA5DKMWBEX1GU0LKYG2" localSheetId="55" hidden="1">#REF!</definedName>
    <definedName name="BEx3U94WCEA5DKMWBEX1GU0LKYG2" localSheetId="4" hidden="1">#REF!</definedName>
    <definedName name="BEx3U94WCEA5DKMWBEX1GU0LKYG2" localSheetId="1" hidden="1">#REF!</definedName>
    <definedName name="BEx3U94WCEA5DKMWBEX1GU0LKYG2" localSheetId="9" hidden="1">#REF!</definedName>
    <definedName name="BEx3U94WCEA5DKMWBEX1GU0LKYG2" hidden="1">#REF!</definedName>
    <definedName name="BEx3U9VZ8SQVYS6ZA038J7AP7ZGW" localSheetId="56" hidden="1">#REF!</definedName>
    <definedName name="BEx3U9VZ8SQVYS6ZA038J7AP7ZGW" localSheetId="55" hidden="1">#REF!</definedName>
    <definedName name="BEx3U9VZ8SQVYS6ZA038J7AP7ZGW" localSheetId="4" hidden="1">#REF!</definedName>
    <definedName name="BEx3U9VZ8SQVYS6ZA038J7AP7ZGW" localSheetId="1" hidden="1">#REF!</definedName>
    <definedName name="BEx3U9VZ8SQVYS6ZA038J7AP7ZGW" localSheetId="9" hidden="1">#REF!</definedName>
    <definedName name="BEx3U9VZ8SQVYS6ZA038J7AP7ZGW" hidden="1">#REF!</definedName>
    <definedName name="BEx3UIQ5WRJBGNTFCCLOR4N7B1OQ" localSheetId="56" hidden="1">#REF!</definedName>
    <definedName name="BEx3UIQ5WRJBGNTFCCLOR4N7B1OQ" localSheetId="55" hidden="1">#REF!</definedName>
    <definedName name="BEx3UIQ5WRJBGNTFCCLOR4N7B1OQ" localSheetId="4" hidden="1">#REF!</definedName>
    <definedName name="BEx3UIQ5WRJBGNTFCCLOR4N7B1OQ" localSheetId="1" hidden="1">#REF!</definedName>
    <definedName name="BEx3UIQ5WRJBGNTFCCLOR4N7B1OQ" localSheetId="9" hidden="1">#REF!</definedName>
    <definedName name="BEx3UIQ5WRJBGNTFCCLOR4N7B1OQ" hidden="1">#REF!</definedName>
    <definedName name="BEx3UJMIX2NUSSWGMSI25A5DM4CH" localSheetId="56" hidden="1">#REF!</definedName>
    <definedName name="BEx3UJMIX2NUSSWGMSI25A5DM4CH" localSheetId="55" hidden="1">#REF!</definedName>
    <definedName name="BEx3UJMIX2NUSSWGMSI25A5DM4CH" localSheetId="4" hidden="1">#REF!</definedName>
    <definedName name="BEx3UJMIX2NUSSWGMSI25A5DM4CH" localSheetId="1" hidden="1">#REF!</definedName>
    <definedName name="BEx3UJMIX2NUSSWGMSI25A5DM4CH" localSheetId="9" hidden="1">#REF!</definedName>
    <definedName name="BEx3UJMIX2NUSSWGMSI25A5DM4CH" hidden="1">#REF!</definedName>
    <definedName name="BEx3UKIX0UULWP3BZA8VT2SQ8WI7" localSheetId="56" hidden="1">#REF!</definedName>
    <definedName name="BEx3UKIX0UULWP3BZA8VT2SQ8WI7" localSheetId="55" hidden="1">#REF!</definedName>
    <definedName name="BEx3UKIX0UULWP3BZA8VT2SQ8WI7" localSheetId="4" hidden="1">#REF!</definedName>
    <definedName name="BEx3UKIX0UULWP3BZA8VT2SQ8WI7" localSheetId="1" hidden="1">#REF!</definedName>
    <definedName name="BEx3UKIX0UULWP3BZA8VT2SQ8WI7" localSheetId="9" hidden="1">#REF!</definedName>
    <definedName name="BEx3UKIX0UULWP3BZA8VT2SQ8WI7" hidden="1">#REF!</definedName>
    <definedName name="BEx3UKOCOQG7S1YQ436S997K1KWV" localSheetId="56" hidden="1">#REF!</definedName>
    <definedName name="BEx3UKOCOQG7S1YQ436S997K1KWV" localSheetId="55" hidden="1">#REF!</definedName>
    <definedName name="BEx3UKOCOQG7S1YQ436S997K1KWV" localSheetId="4" hidden="1">#REF!</definedName>
    <definedName name="BEx3UKOCOQG7S1YQ436S997K1KWV" localSheetId="1" hidden="1">#REF!</definedName>
    <definedName name="BEx3UKOCOQG7S1YQ436S997K1KWV" localSheetId="9" hidden="1">#REF!</definedName>
    <definedName name="BEx3UKOCOQG7S1YQ436S997K1KWV" hidden="1">#REF!</definedName>
    <definedName name="BEx3UYM19VIXLA0EU7LB9NHA77PB" localSheetId="56" hidden="1">#REF!</definedName>
    <definedName name="BEx3UYM19VIXLA0EU7LB9NHA77PB" localSheetId="55" hidden="1">#REF!</definedName>
    <definedName name="BEx3UYM19VIXLA0EU7LB9NHA77PB" localSheetId="4" hidden="1">#REF!</definedName>
    <definedName name="BEx3UYM19VIXLA0EU7LB9NHA77PB" localSheetId="1" hidden="1">#REF!</definedName>
    <definedName name="BEx3UYM19VIXLA0EU7LB9NHA77PB" localSheetId="9" hidden="1">#REF!</definedName>
    <definedName name="BEx3UYM19VIXLA0EU7LB9NHA77PB" hidden="1">#REF!</definedName>
    <definedName name="BEx3VML7CG70HPISMVYIUEN3711Q" localSheetId="56" hidden="1">#REF!</definedName>
    <definedName name="BEx3VML7CG70HPISMVYIUEN3711Q" localSheetId="55" hidden="1">#REF!</definedName>
    <definedName name="BEx3VML7CG70HPISMVYIUEN3711Q" localSheetId="4" hidden="1">#REF!</definedName>
    <definedName name="BEx3VML7CG70HPISMVYIUEN3711Q" localSheetId="1" hidden="1">#REF!</definedName>
    <definedName name="BEx3VML7CG70HPISMVYIUEN3711Q" localSheetId="9" hidden="1">#REF!</definedName>
    <definedName name="BEx3VML7CG70HPISMVYIUEN3711Q" hidden="1">#REF!</definedName>
    <definedName name="BEx56ZID5H04P9AIYLP1OASFGV56" localSheetId="56" hidden="1">#REF!</definedName>
    <definedName name="BEx56ZID5H04P9AIYLP1OASFGV56" localSheetId="55" hidden="1">#REF!</definedName>
    <definedName name="BEx56ZID5H04P9AIYLP1OASFGV56" localSheetId="4" hidden="1">#REF!</definedName>
    <definedName name="BEx56ZID5H04P9AIYLP1OASFGV56" localSheetId="1" hidden="1">#REF!</definedName>
    <definedName name="BEx56ZID5H04P9AIYLP1OASFGV56" localSheetId="9" hidden="1">#REF!</definedName>
    <definedName name="BEx56ZID5H04P9AIYLP1OASFGV56" hidden="1">#REF!</definedName>
    <definedName name="BEx57ROM8UIFKV5C1BOZWSQQLESO" localSheetId="56" hidden="1">#REF!</definedName>
    <definedName name="BEx57ROM8UIFKV5C1BOZWSQQLESO" localSheetId="55" hidden="1">#REF!</definedName>
    <definedName name="BEx57ROM8UIFKV5C1BOZWSQQLESO" localSheetId="4" hidden="1">#REF!</definedName>
    <definedName name="BEx57ROM8UIFKV5C1BOZWSQQLESO" localSheetId="1" hidden="1">#REF!</definedName>
    <definedName name="BEx57ROM8UIFKV5C1BOZWSQQLESO" localSheetId="9" hidden="1">#REF!</definedName>
    <definedName name="BEx57ROM8UIFKV5C1BOZWSQQLESO" hidden="1">#REF!</definedName>
    <definedName name="BEx587EYSS57E3PI8DT973HLJM9E" localSheetId="56" hidden="1">#REF!</definedName>
    <definedName name="BEx587EYSS57E3PI8DT973HLJM9E" localSheetId="55" hidden="1">#REF!</definedName>
    <definedName name="BEx587EYSS57E3PI8DT973HLJM9E" localSheetId="4" hidden="1">#REF!</definedName>
    <definedName name="BEx587EYSS57E3PI8DT973HLJM9E" localSheetId="1" hidden="1">#REF!</definedName>
    <definedName name="BEx587EYSS57E3PI8DT973HLJM9E" localSheetId="9" hidden="1">#REF!</definedName>
    <definedName name="BEx587EYSS57E3PI8DT973HLJM9E" hidden="1">#REF!</definedName>
    <definedName name="BEx587KFQ3VKCOCY1SA5F24PQGUI" localSheetId="56" hidden="1">#REF!</definedName>
    <definedName name="BEx587KFQ3VKCOCY1SA5F24PQGUI" localSheetId="55" hidden="1">#REF!</definedName>
    <definedName name="BEx587KFQ3VKCOCY1SA5F24PQGUI" localSheetId="4" hidden="1">#REF!</definedName>
    <definedName name="BEx587KFQ3VKCOCY1SA5F24PQGUI" localSheetId="1" hidden="1">#REF!</definedName>
    <definedName name="BEx587KFQ3VKCOCY1SA5F24PQGUI" localSheetId="9" hidden="1">#REF!</definedName>
    <definedName name="BEx587KFQ3VKCOCY1SA5F24PQGUI" hidden="1">#REF!</definedName>
    <definedName name="BEx58O780PQ05NF0Z1SKKRB3N099" localSheetId="56" hidden="1">#REF!</definedName>
    <definedName name="BEx58O780PQ05NF0Z1SKKRB3N099" localSheetId="55" hidden="1">#REF!</definedName>
    <definedName name="BEx58O780PQ05NF0Z1SKKRB3N099" localSheetId="4" hidden="1">#REF!</definedName>
    <definedName name="BEx58O780PQ05NF0Z1SKKRB3N099" localSheetId="1" hidden="1">#REF!</definedName>
    <definedName name="BEx58O780PQ05NF0Z1SKKRB3N099" localSheetId="9" hidden="1">#REF!</definedName>
    <definedName name="BEx58O780PQ05NF0Z1SKKRB3N099" hidden="1">#REF!</definedName>
    <definedName name="BEx58W57CTL8HFK3U7ZRFYZR6MXE" localSheetId="56" hidden="1">#REF!</definedName>
    <definedName name="BEx58W57CTL8HFK3U7ZRFYZR6MXE" localSheetId="55" hidden="1">#REF!</definedName>
    <definedName name="BEx58W57CTL8HFK3U7ZRFYZR6MXE" localSheetId="4" hidden="1">#REF!</definedName>
    <definedName name="BEx58W57CTL8HFK3U7ZRFYZR6MXE" localSheetId="1" hidden="1">#REF!</definedName>
    <definedName name="BEx58W57CTL8HFK3U7ZRFYZR6MXE" localSheetId="9" hidden="1">#REF!</definedName>
    <definedName name="BEx58W57CTL8HFK3U7ZRFYZR6MXE" hidden="1">#REF!</definedName>
    <definedName name="BEx58XHO7ZULLF2EUD7YIS0MGQJ5" localSheetId="56" hidden="1">#REF!</definedName>
    <definedName name="BEx58XHO7ZULLF2EUD7YIS0MGQJ5" localSheetId="55" hidden="1">#REF!</definedName>
    <definedName name="BEx58XHO7ZULLF2EUD7YIS0MGQJ5" localSheetId="4" hidden="1">#REF!</definedName>
    <definedName name="BEx58XHO7ZULLF2EUD7YIS0MGQJ5" localSheetId="1" hidden="1">#REF!</definedName>
    <definedName name="BEx58XHO7ZULLF2EUD7YIS0MGQJ5" localSheetId="9" hidden="1">#REF!</definedName>
    <definedName name="BEx58XHO7ZULLF2EUD7YIS0MGQJ5" hidden="1">#REF!</definedName>
    <definedName name="BEx58ZAFNTMGBNDH52VUYXLRJO7P" localSheetId="56" hidden="1">#REF!</definedName>
    <definedName name="BEx58ZAFNTMGBNDH52VUYXLRJO7P" localSheetId="55" hidden="1">#REF!</definedName>
    <definedName name="BEx58ZAFNTMGBNDH52VUYXLRJO7P" localSheetId="4" hidden="1">#REF!</definedName>
    <definedName name="BEx58ZAFNTMGBNDH52VUYXLRJO7P" localSheetId="1" hidden="1">#REF!</definedName>
    <definedName name="BEx58ZAFNTMGBNDH52VUYXLRJO7P" localSheetId="9" hidden="1">#REF!</definedName>
    <definedName name="BEx58ZAFNTMGBNDH52VUYXLRJO7P" hidden="1">#REF!</definedName>
    <definedName name="BEx58ZW0HAIGIPEX9CVA1PQQTR6X" localSheetId="56" hidden="1">#REF!</definedName>
    <definedName name="BEx58ZW0HAIGIPEX9CVA1PQQTR6X" localSheetId="55" hidden="1">#REF!</definedName>
    <definedName name="BEx58ZW0HAIGIPEX9CVA1PQQTR6X" localSheetId="4" hidden="1">#REF!</definedName>
    <definedName name="BEx58ZW0HAIGIPEX9CVA1PQQTR6X" localSheetId="1" hidden="1">#REF!</definedName>
    <definedName name="BEx58ZW0HAIGIPEX9CVA1PQQTR6X" localSheetId="9" hidden="1">#REF!</definedName>
    <definedName name="BEx58ZW0HAIGIPEX9CVA1PQQTR6X" hidden="1">#REF!</definedName>
    <definedName name="BEx593SAFVYKW7V61D9COEZJXDA7" localSheetId="56" hidden="1">#REF!</definedName>
    <definedName name="BEx593SAFVYKW7V61D9COEZJXDA7" localSheetId="55" hidden="1">#REF!</definedName>
    <definedName name="BEx593SAFVYKW7V61D9COEZJXDA7" localSheetId="4" hidden="1">#REF!</definedName>
    <definedName name="BEx593SAFVYKW7V61D9COEZJXDA7" localSheetId="1" hidden="1">#REF!</definedName>
    <definedName name="BEx593SAFVYKW7V61D9COEZJXDA7" localSheetId="9" hidden="1">#REF!</definedName>
    <definedName name="BEx593SAFVYKW7V61D9COEZJXDA7" hidden="1">#REF!</definedName>
    <definedName name="BEx59BA1KH3RG6K1LHL7YS2VB79N" localSheetId="56" hidden="1">#REF!</definedName>
    <definedName name="BEx59BA1KH3RG6K1LHL7YS2VB79N" localSheetId="55" hidden="1">#REF!</definedName>
    <definedName name="BEx59BA1KH3RG6K1LHL7YS2VB79N" localSheetId="4" hidden="1">#REF!</definedName>
    <definedName name="BEx59BA1KH3RG6K1LHL7YS2VB79N" localSheetId="1" hidden="1">#REF!</definedName>
    <definedName name="BEx59BA1KH3RG6K1LHL7YS2VB79N" localSheetId="9" hidden="1">#REF!</definedName>
    <definedName name="BEx59BA1KH3RG6K1LHL7YS2VB79N" hidden="1">#REF!</definedName>
    <definedName name="BEx59DDIU0AMFOY94NSP1ULST8JD" localSheetId="56" hidden="1">#REF!</definedName>
    <definedName name="BEx59DDIU0AMFOY94NSP1ULST8JD" localSheetId="55" hidden="1">#REF!</definedName>
    <definedName name="BEx59DDIU0AMFOY94NSP1ULST8JD" localSheetId="4" hidden="1">#REF!</definedName>
    <definedName name="BEx59DDIU0AMFOY94NSP1ULST8JD" localSheetId="1" hidden="1">#REF!</definedName>
    <definedName name="BEx59DDIU0AMFOY94NSP1ULST8JD" localSheetId="9" hidden="1">#REF!</definedName>
    <definedName name="BEx59DDIU0AMFOY94NSP1ULST8JD" hidden="1">#REF!</definedName>
    <definedName name="BEx59E9WABJP2TN71QAIKK79HPK9" localSheetId="56" hidden="1">#REF!</definedName>
    <definedName name="BEx59E9WABJP2TN71QAIKK79HPK9" localSheetId="55" hidden="1">#REF!</definedName>
    <definedName name="BEx59E9WABJP2TN71QAIKK79HPK9" localSheetId="4" hidden="1">#REF!</definedName>
    <definedName name="BEx59E9WABJP2TN71QAIKK79HPK9" localSheetId="1" hidden="1">#REF!</definedName>
    <definedName name="BEx59E9WABJP2TN71QAIKK79HPK9" localSheetId="9" hidden="1">#REF!</definedName>
    <definedName name="BEx59E9WABJP2TN71QAIKK79HPK9" hidden="1">#REF!</definedName>
    <definedName name="BEx59F0T17A80RNLNSZNFX8NAO8Y" localSheetId="56" hidden="1">#REF!</definedName>
    <definedName name="BEx59F0T17A80RNLNSZNFX8NAO8Y" localSheetId="55" hidden="1">#REF!</definedName>
    <definedName name="BEx59F0T17A80RNLNSZNFX8NAO8Y" localSheetId="4" hidden="1">#REF!</definedName>
    <definedName name="BEx59F0T17A80RNLNSZNFX8NAO8Y" localSheetId="1" hidden="1">#REF!</definedName>
    <definedName name="BEx59F0T17A80RNLNSZNFX8NAO8Y" localSheetId="9" hidden="1">#REF!</definedName>
    <definedName name="BEx59F0T17A80RNLNSZNFX8NAO8Y" hidden="1">#REF!</definedName>
    <definedName name="BEx59P7MAPNU129ZTC5H3EH892G1" localSheetId="56" hidden="1">#REF!</definedName>
    <definedName name="BEx59P7MAPNU129ZTC5H3EH892G1" localSheetId="55" hidden="1">#REF!</definedName>
    <definedName name="BEx59P7MAPNU129ZTC5H3EH892G1" localSheetId="4" hidden="1">#REF!</definedName>
    <definedName name="BEx59P7MAPNU129ZTC5H3EH892G1" localSheetId="1" hidden="1">#REF!</definedName>
    <definedName name="BEx59P7MAPNU129ZTC5H3EH892G1" localSheetId="9" hidden="1">#REF!</definedName>
    <definedName name="BEx59P7MAPNU129ZTC5H3EH892G1" hidden="1">#REF!</definedName>
    <definedName name="BEx5A11WZRQSIE089QE119AOX9ZG" localSheetId="56" hidden="1">#REF!</definedName>
    <definedName name="BEx5A11WZRQSIE089QE119AOX9ZG" localSheetId="55" hidden="1">#REF!</definedName>
    <definedName name="BEx5A11WZRQSIE089QE119AOX9ZG" localSheetId="4" hidden="1">#REF!</definedName>
    <definedName name="BEx5A11WZRQSIE089QE119AOX9ZG" localSheetId="1" hidden="1">#REF!</definedName>
    <definedName name="BEx5A11WZRQSIE089QE119AOX9ZG" localSheetId="9" hidden="1">#REF!</definedName>
    <definedName name="BEx5A11WZRQSIE089QE119AOX9ZG" hidden="1">#REF!</definedName>
    <definedName name="BEx5A7CIGCOTHJKHGUBDZG91JGPZ" localSheetId="56" hidden="1">#REF!</definedName>
    <definedName name="BEx5A7CIGCOTHJKHGUBDZG91JGPZ" localSheetId="55" hidden="1">#REF!</definedName>
    <definedName name="BEx5A7CIGCOTHJKHGUBDZG91JGPZ" localSheetId="4" hidden="1">#REF!</definedName>
    <definedName name="BEx5A7CIGCOTHJKHGUBDZG91JGPZ" localSheetId="1" hidden="1">#REF!</definedName>
    <definedName name="BEx5A7CIGCOTHJKHGUBDZG91JGPZ" localSheetId="9" hidden="1">#REF!</definedName>
    <definedName name="BEx5A7CIGCOTHJKHGUBDZG91JGPZ" hidden="1">#REF!</definedName>
    <definedName name="BEx5A8UFLT2SWVSG5COFA9B8P376" localSheetId="56" hidden="1">#REF!</definedName>
    <definedName name="BEx5A8UFLT2SWVSG5COFA9B8P376" localSheetId="55" hidden="1">#REF!</definedName>
    <definedName name="BEx5A8UFLT2SWVSG5COFA9B8P376" localSheetId="4" hidden="1">#REF!</definedName>
    <definedName name="BEx5A8UFLT2SWVSG5COFA9B8P376" localSheetId="1" hidden="1">#REF!</definedName>
    <definedName name="BEx5A8UFLT2SWVSG5COFA9B8P376" localSheetId="9" hidden="1">#REF!</definedName>
    <definedName name="BEx5A8UFLT2SWVSG5COFA9B8P376" hidden="1">#REF!</definedName>
    <definedName name="BEx5ABUBK8WJV1WILGYU9A7CO0KI" localSheetId="56" hidden="1">#REF!</definedName>
    <definedName name="BEx5ABUBK8WJV1WILGYU9A7CO0KI" localSheetId="55" hidden="1">#REF!</definedName>
    <definedName name="BEx5ABUBK8WJV1WILGYU9A7CO0KI" localSheetId="4" hidden="1">#REF!</definedName>
    <definedName name="BEx5ABUBK8WJV1WILGYU9A7CO0KI" localSheetId="1" hidden="1">#REF!</definedName>
    <definedName name="BEx5ABUBK8WJV1WILGYU9A7CO0KI" localSheetId="9" hidden="1">#REF!</definedName>
    <definedName name="BEx5ABUBK8WJV1WILGYU9A7CO0KI" hidden="1">#REF!</definedName>
    <definedName name="BEx5AFFTN3IXIBHDKM0FYC4OFL1S" localSheetId="56" hidden="1">#REF!</definedName>
    <definedName name="BEx5AFFTN3IXIBHDKM0FYC4OFL1S" localSheetId="55" hidden="1">#REF!</definedName>
    <definedName name="BEx5AFFTN3IXIBHDKM0FYC4OFL1S" localSheetId="4" hidden="1">#REF!</definedName>
    <definedName name="BEx5AFFTN3IXIBHDKM0FYC4OFL1S" localSheetId="1" hidden="1">#REF!</definedName>
    <definedName name="BEx5AFFTN3IXIBHDKM0FYC4OFL1S" localSheetId="9" hidden="1">#REF!</definedName>
    <definedName name="BEx5AFFTN3IXIBHDKM0FYC4OFL1S" hidden="1">#REF!</definedName>
    <definedName name="BEx5AOFIO8KVRHIZ1RII337AA8ML" localSheetId="56" hidden="1">#REF!</definedName>
    <definedName name="BEx5AOFIO8KVRHIZ1RII337AA8ML" localSheetId="55" hidden="1">#REF!</definedName>
    <definedName name="BEx5AOFIO8KVRHIZ1RII337AA8ML" localSheetId="4" hidden="1">#REF!</definedName>
    <definedName name="BEx5AOFIO8KVRHIZ1RII337AA8ML" localSheetId="1" hidden="1">#REF!</definedName>
    <definedName name="BEx5AOFIO8KVRHIZ1RII337AA8ML" localSheetId="9" hidden="1">#REF!</definedName>
    <definedName name="BEx5AOFIO8KVRHIZ1RII337AA8ML" hidden="1">#REF!</definedName>
    <definedName name="BEx5APRZ66L5BWHFE8E4YYNEDTI4" localSheetId="56" hidden="1">#REF!</definedName>
    <definedName name="BEx5APRZ66L5BWHFE8E4YYNEDTI4" localSheetId="55" hidden="1">#REF!</definedName>
    <definedName name="BEx5APRZ66L5BWHFE8E4YYNEDTI4" localSheetId="4" hidden="1">#REF!</definedName>
    <definedName name="BEx5APRZ66L5BWHFE8E4YYNEDTI4" localSheetId="1" hidden="1">#REF!</definedName>
    <definedName name="BEx5APRZ66L5BWHFE8E4YYNEDTI4" localSheetId="9" hidden="1">#REF!</definedName>
    <definedName name="BEx5APRZ66L5BWHFE8E4YYNEDTI4" hidden="1">#REF!</definedName>
    <definedName name="BEx5AQJ1Z64KY10P8ZF1JKJUFEGN" localSheetId="56" hidden="1">#REF!</definedName>
    <definedName name="BEx5AQJ1Z64KY10P8ZF1JKJUFEGN" localSheetId="55" hidden="1">#REF!</definedName>
    <definedName name="BEx5AQJ1Z64KY10P8ZF1JKJUFEGN" localSheetId="4" hidden="1">#REF!</definedName>
    <definedName name="BEx5AQJ1Z64KY10P8ZF1JKJUFEGN" localSheetId="1" hidden="1">#REF!</definedName>
    <definedName name="BEx5AQJ1Z64KY10P8ZF1JKJUFEGN" localSheetId="9" hidden="1">#REF!</definedName>
    <definedName name="BEx5AQJ1Z64KY10P8ZF1JKJUFEGN" hidden="1">#REF!</definedName>
    <definedName name="BEx5AY62R0TL82VHXE37SCZCINQC" localSheetId="56" hidden="1">#REF!</definedName>
    <definedName name="BEx5AY62R0TL82VHXE37SCZCINQC" localSheetId="55" hidden="1">#REF!</definedName>
    <definedName name="BEx5AY62R0TL82VHXE37SCZCINQC" localSheetId="4" hidden="1">#REF!</definedName>
    <definedName name="BEx5AY62R0TL82VHXE37SCZCINQC" localSheetId="1" hidden="1">#REF!</definedName>
    <definedName name="BEx5AY62R0TL82VHXE37SCZCINQC" localSheetId="9" hidden="1">#REF!</definedName>
    <definedName name="BEx5AY62R0TL82VHXE37SCZCINQC" hidden="1">#REF!</definedName>
    <definedName name="BEx5B0PV1FCOUSHWQTY94AO0B8P0" localSheetId="56" hidden="1">#REF!</definedName>
    <definedName name="BEx5B0PV1FCOUSHWQTY94AO0B8P0" localSheetId="55" hidden="1">#REF!</definedName>
    <definedName name="BEx5B0PV1FCOUSHWQTY94AO0B8P0" localSheetId="4" hidden="1">#REF!</definedName>
    <definedName name="BEx5B0PV1FCOUSHWQTY94AO0B8P0" localSheetId="1" hidden="1">#REF!</definedName>
    <definedName name="BEx5B0PV1FCOUSHWQTY94AO0B8P0" localSheetId="9" hidden="1">#REF!</definedName>
    <definedName name="BEx5B0PV1FCOUSHWQTY94AO0B8P0" hidden="1">#REF!</definedName>
    <definedName name="BEx5B4RHHX0J1BF2FZKEA0SPP29O" localSheetId="56" hidden="1">#REF!</definedName>
    <definedName name="BEx5B4RHHX0J1BF2FZKEA0SPP29O" localSheetId="55" hidden="1">#REF!</definedName>
    <definedName name="BEx5B4RHHX0J1BF2FZKEA0SPP29O" localSheetId="4" hidden="1">#REF!</definedName>
    <definedName name="BEx5B4RHHX0J1BF2FZKEA0SPP29O" localSheetId="1" hidden="1">#REF!</definedName>
    <definedName name="BEx5B4RHHX0J1BF2FZKEA0SPP29O" localSheetId="9" hidden="1">#REF!</definedName>
    <definedName name="BEx5B4RHHX0J1BF2FZKEA0SPP29O" hidden="1">#REF!</definedName>
    <definedName name="BEx5B5YMSWP0OVI5CIQRP5V18D0C" localSheetId="56" hidden="1">#REF!</definedName>
    <definedName name="BEx5B5YMSWP0OVI5CIQRP5V18D0C" localSheetId="55" hidden="1">#REF!</definedName>
    <definedName name="BEx5B5YMSWP0OVI5CIQRP5V18D0C" localSheetId="4" hidden="1">#REF!</definedName>
    <definedName name="BEx5B5YMSWP0OVI5CIQRP5V18D0C" localSheetId="1" hidden="1">#REF!</definedName>
    <definedName name="BEx5B5YMSWP0OVI5CIQRP5V18D0C" localSheetId="9" hidden="1">#REF!</definedName>
    <definedName name="BEx5B5YMSWP0OVI5CIQRP5V18D0C" hidden="1">#REF!</definedName>
    <definedName name="BEx5B825RW35M5H0UB2IZGGRS4ER" localSheetId="56" hidden="1">#REF!</definedName>
    <definedName name="BEx5B825RW35M5H0UB2IZGGRS4ER" localSheetId="55" hidden="1">#REF!</definedName>
    <definedName name="BEx5B825RW35M5H0UB2IZGGRS4ER" localSheetId="4" hidden="1">#REF!</definedName>
    <definedName name="BEx5B825RW35M5H0UB2IZGGRS4ER" localSheetId="1" hidden="1">#REF!</definedName>
    <definedName name="BEx5B825RW35M5H0UB2IZGGRS4ER" localSheetId="9" hidden="1">#REF!</definedName>
    <definedName name="BEx5B825RW35M5H0UB2IZGGRS4ER" hidden="1">#REF!</definedName>
    <definedName name="BEx5BAWPMY0TL684WDXX6KKJLRCN" localSheetId="56" hidden="1">#REF!</definedName>
    <definedName name="BEx5BAWPMY0TL684WDXX6KKJLRCN" localSheetId="55" hidden="1">#REF!</definedName>
    <definedName name="BEx5BAWPMY0TL684WDXX6KKJLRCN" localSheetId="4" hidden="1">#REF!</definedName>
    <definedName name="BEx5BAWPMY0TL684WDXX6KKJLRCN" localSheetId="1" hidden="1">#REF!</definedName>
    <definedName name="BEx5BAWPMY0TL684WDXX6KKJLRCN" localSheetId="9" hidden="1">#REF!</definedName>
    <definedName name="BEx5BAWPMY0TL684WDXX6KKJLRCN" hidden="1">#REF!</definedName>
    <definedName name="BEx5BBCUOWR6J9MZS2ML5XB0X7MW" localSheetId="56" hidden="1">#REF!</definedName>
    <definedName name="BEx5BBCUOWR6J9MZS2ML5XB0X7MW" localSheetId="55" hidden="1">#REF!</definedName>
    <definedName name="BEx5BBCUOWR6J9MZS2ML5XB0X7MW" localSheetId="4" hidden="1">#REF!</definedName>
    <definedName name="BEx5BBCUOWR6J9MZS2ML5XB0X7MW" localSheetId="1" hidden="1">#REF!</definedName>
    <definedName name="BEx5BBCUOWR6J9MZS2ML5XB0X7MW" localSheetId="9" hidden="1">#REF!</definedName>
    <definedName name="BEx5BBCUOWR6J9MZS2ML5XB0X7MW" hidden="1">#REF!</definedName>
    <definedName name="BEx5BBI61U4Y65GD0ARMTALPP7SJ" localSheetId="56" hidden="1">#REF!</definedName>
    <definedName name="BEx5BBI61U4Y65GD0ARMTALPP7SJ" localSheetId="55" hidden="1">#REF!</definedName>
    <definedName name="BEx5BBI61U4Y65GD0ARMTALPP7SJ" localSheetId="4" hidden="1">#REF!</definedName>
    <definedName name="BEx5BBI61U4Y65GD0ARMTALPP7SJ" localSheetId="1" hidden="1">#REF!</definedName>
    <definedName name="BEx5BBI61U4Y65GD0ARMTALPP7SJ" localSheetId="9" hidden="1">#REF!</definedName>
    <definedName name="BEx5BBI61U4Y65GD0ARMTALPP7SJ" hidden="1">#REF!</definedName>
    <definedName name="BEx5BDR56MEV4IHY6CIH2SVNG1UB" localSheetId="56" hidden="1">#REF!</definedName>
    <definedName name="BEx5BDR56MEV4IHY6CIH2SVNG1UB" localSheetId="55" hidden="1">#REF!</definedName>
    <definedName name="BEx5BDR56MEV4IHY6CIH2SVNG1UB" localSheetId="4" hidden="1">#REF!</definedName>
    <definedName name="BEx5BDR56MEV4IHY6CIH2SVNG1UB" localSheetId="1" hidden="1">#REF!</definedName>
    <definedName name="BEx5BDR56MEV4IHY6CIH2SVNG1UB" localSheetId="9" hidden="1">#REF!</definedName>
    <definedName name="BEx5BDR56MEV4IHY6CIH2SVNG1UB" hidden="1">#REF!</definedName>
    <definedName name="BEx5BESZC5H329SKHGJOHZFILYJJ" localSheetId="56" hidden="1">#REF!</definedName>
    <definedName name="BEx5BESZC5H329SKHGJOHZFILYJJ" localSheetId="55" hidden="1">#REF!</definedName>
    <definedName name="BEx5BESZC5H329SKHGJOHZFILYJJ" localSheetId="4" hidden="1">#REF!</definedName>
    <definedName name="BEx5BESZC5H329SKHGJOHZFILYJJ" localSheetId="1" hidden="1">#REF!</definedName>
    <definedName name="BEx5BESZC5H329SKHGJOHZFILYJJ" localSheetId="9" hidden="1">#REF!</definedName>
    <definedName name="BEx5BESZC5H329SKHGJOHZFILYJJ" hidden="1">#REF!</definedName>
    <definedName name="BEx5BHSQ42B50IU1TEQFUXFX9XQD" localSheetId="56" hidden="1">#REF!</definedName>
    <definedName name="BEx5BHSQ42B50IU1TEQFUXFX9XQD" localSheetId="55" hidden="1">#REF!</definedName>
    <definedName name="BEx5BHSQ42B50IU1TEQFUXFX9XQD" localSheetId="4" hidden="1">#REF!</definedName>
    <definedName name="BEx5BHSQ42B50IU1TEQFUXFX9XQD" localSheetId="1" hidden="1">#REF!</definedName>
    <definedName name="BEx5BHSQ42B50IU1TEQFUXFX9XQD" localSheetId="9" hidden="1">#REF!</definedName>
    <definedName name="BEx5BHSQ42B50IU1TEQFUXFX9XQD" hidden="1">#REF!</definedName>
    <definedName name="BEx5BKSM4UN4C1DM3EYKM79MRC5K" localSheetId="56" hidden="1">#REF!</definedName>
    <definedName name="BEx5BKSM4UN4C1DM3EYKM79MRC5K" localSheetId="55" hidden="1">#REF!</definedName>
    <definedName name="BEx5BKSM4UN4C1DM3EYKM79MRC5K" localSheetId="4" hidden="1">#REF!</definedName>
    <definedName name="BEx5BKSM4UN4C1DM3EYKM79MRC5K" localSheetId="1" hidden="1">#REF!</definedName>
    <definedName name="BEx5BKSM4UN4C1DM3EYKM79MRC5K" localSheetId="9" hidden="1">#REF!</definedName>
    <definedName name="BEx5BKSM4UN4C1DM3EYKM79MRC5K" hidden="1">#REF!</definedName>
    <definedName name="BEx5BNN8NPH9KVOBARB9CDD9WLB6" localSheetId="56" hidden="1">#REF!</definedName>
    <definedName name="BEx5BNN8NPH9KVOBARB9CDD9WLB6" localSheetId="55" hidden="1">#REF!</definedName>
    <definedName name="BEx5BNN8NPH9KVOBARB9CDD9WLB6" localSheetId="4" hidden="1">#REF!</definedName>
    <definedName name="BEx5BNN8NPH9KVOBARB9CDD9WLB6" localSheetId="1" hidden="1">#REF!</definedName>
    <definedName name="BEx5BNN8NPH9KVOBARB9CDD9WLB6" localSheetId="9" hidden="1">#REF!</definedName>
    <definedName name="BEx5BNN8NPH9KVOBARB9CDD9WLB6" hidden="1">#REF!</definedName>
    <definedName name="BEx5BPLEZ8XY6S89R7AZQSKLT4HK" localSheetId="56" hidden="1">#REF!</definedName>
    <definedName name="BEx5BPLEZ8XY6S89R7AZQSKLT4HK" localSheetId="55" hidden="1">#REF!</definedName>
    <definedName name="BEx5BPLEZ8XY6S89R7AZQSKLT4HK" localSheetId="4" hidden="1">#REF!</definedName>
    <definedName name="BEx5BPLEZ8XY6S89R7AZQSKLT4HK" localSheetId="1" hidden="1">#REF!</definedName>
    <definedName name="BEx5BPLEZ8XY6S89R7AZQSKLT4HK" localSheetId="9" hidden="1">#REF!</definedName>
    <definedName name="BEx5BPLEZ8XY6S89R7AZQSKLT4HK" hidden="1">#REF!</definedName>
    <definedName name="BEx5BYFMZ80TDDN2EZO8CF39AIAC" localSheetId="56" hidden="1">#REF!</definedName>
    <definedName name="BEx5BYFMZ80TDDN2EZO8CF39AIAC" localSheetId="55" hidden="1">#REF!</definedName>
    <definedName name="BEx5BYFMZ80TDDN2EZO8CF39AIAC" localSheetId="4" hidden="1">#REF!</definedName>
    <definedName name="BEx5BYFMZ80TDDN2EZO8CF39AIAC" localSheetId="1" hidden="1">#REF!</definedName>
    <definedName name="BEx5BYFMZ80TDDN2EZO8CF39AIAC" localSheetId="9" hidden="1">#REF!</definedName>
    <definedName name="BEx5BYFMZ80TDDN2EZO8CF39AIAC" hidden="1">#REF!</definedName>
    <definedName name="BEx5C2BWFW6SHZBFDEISKGXHZCQW" localSheetId="56" hidden="1">#REF!</definedName>
    <definedName name="BEx5C2BWFW6SHZBFDEISKGXHZCQW" localSheetId="55" hidden="1">#REF!</definedName>
    <definedName name="BEx5C2BWFW6SHZBFDEISKGXHZCQW" localSheetId="4" hidden="1">#REF!</definedName>
    <definedName name="BEx5C2BWFW6SHZBFDEISKGXHZCQW" localSheetId="1" hidden="1">#REF!</definedName>
    <definedName name="BEx5C2BWFW6SHZBFDEISKGXHZCQW" localSheetId="9" hidden="1">#REF!</definedName>
    <definedName name="BEx5C2BWFW6SHZBFDEISKGXHZCQW" hidden="1">#REF!</definedName>
    <definedName name="BEx5C44NK782B81CBGQUDS6Z8MV9" localSheetId="56" hidden="1">#REF!</definedName>
    <definedName name="BEx5C44NK782B81CBGQUDS6Z8MV9" localSheetId="55" hidden="1">#REF!</definedName>
    <definedName name="BEx5C44NK782B81CBGQUDS6Z8MV9" localSheetId="4" hidden="1">#REF!</definedName>
    <definedName name="BEx5C44NK782B81CBGQUDS6Z8MV9" localSheetId="1" hidden="1">#REF!</definedName>
    <definedName name="BEx5C44NK782B81CBGQUDS6Z8MV9" localSheetId="9" hidden="1">#REF!</definedName>
    <definedName name="BEx5C44NK782B81CBGQUDS6Z8MV9" hidden="1">#REF!</definedName>
    <definedName name="BEx5C49ZFH8TO9ZU55729C3F7XG7" localSheetId="56" hidden="1">#REF!</definedName>
    <definedName name="BEx5C49ZFH8TO9ZU55729C3F7XG7" localSheetId="55" hidden="1">#REF!</definedName>
    <definedName name="BEx5C49ZFH8TO9ZU55729C3F7XG7" localSheetId="4" hidden="1">#REF!</definedName>
    <definedName name="BEx5C49ZFH8TO9ZU55729C3F7XG7" localSheetId="1" hidden="1">#REF!</definedName>
    <definedName name="BEx5C49ZFH8TO9ZU55729C3F7XG7" localSheetId="9" hidden="1">#REF!</definedName>
    <definedName name="BEx5C49ZFH8TO9ZU55729C3F7XG7" hidden="1">#REF!</definedName>
    <definedName name="BEx5C8GZQK13G60ZM70P63I5OS0L" localSheetId="56" hidden="1">#REF!</definedName>
    <definedName name="BEx5C8GZQK13G60ZM70P63I5OS0L" localSheetId="55" hidden="1">#REF!</definedName>
    <definedName name="BEx5C8GZQK13G60ZM70P63I5OS0L" localSheetId="4" hidden="1">#REF!</definedName>
    <definedName name="BEx5C8GZQK13G60ZM70P63I5OS0L" localSheetId="1" hidden="1">#REF!</definedName>
    <definedName name="BEx5C8GZQK13G60ZM70P63I5OS0L" localSheetId="9" hidden="1">#REF!</definedName>
    <definedName name="BEx5C8GZQK13G60ZM70P63I5OS0L" hidden="1">#REF!</definedName>
    <definedName name="BEx5CAPTVN2NBT3UOMA1UFAL1C2R" localSheetId="56" hidden="1">#REF!</definedName>
    <definedName name="BEx5CAPTVN2NBT3UOMA1UFAL1C2R" localSheetId="55" hidden="1">#REF!</definedName>
    <definedName name="BEx5CAPTVN2NBT3UOMA1UFAL1C2R" localSheetId="4" hidden="1">#REF!</definedName>
    <definedName name="BEx5CAPTVN2NBT3UOMA1UFAL1C2R" localSheetId="1" hidden="1">#REF!</definedName>
    <definedName name="BEx5CAPTVN2NBT3UOMA1UFAL1C2R" localSheetId="9" hidden="1">#REF!</definedName>
    <definedName name="BEx5CAPTVN2NBT3UOMA1UFAL1C2R" hidden="1">#REF!</definedName>
    <definedName name="BEx5CEM3SYF9XP0ZZVE0GEPCLV3F" localSheetId="56" hidden="1">#REF!</definedName>
    <definedName name="BEx5CEM3SYF9XP0ZZVE0GEPCLV3F" localSheetId="55" hidden="1">#REF!</definedName>
    <definedName name="BEx5CEM3SYF9XP0ZZVE0GEPCLV3F" localSheetId="4" hidden="1">#REF!</definedName>
    <definedName name="BEx5CEM3SYF9XP0ZZVE0GEPCLV3F" localSheetId="1" hidden="1">#REF!</definedName>
    <definedName name="BEx5CEM3SYF9XP0ZZVE0GEPCLV3F" localSheetId="9" hidden="1">#REF!</definedName>
    <definedName name="BEx5CEM3SYF9XP0ZZVE0GEPCLV3F" hidden="1">#REF!</definedName>
    <definedName name="BEx5CFYQ0F1Z6P8SCVJ0I3UPVFE4" localSheetId="56" hidden="1">#REF!</definedName>
    <definedName name="BEx5CFYQ0F1Z6P8SCVJ0I3UPVFE4" localSheetId="55" hidden="1">#REF!</definedName>
    <definedName name="BEx5CFYQ0F1Z6P8SCVJ0I3UPVFE4" localSheetId="4" hidden="1">#REF!</definedName>
    <definedName name="BEx5CFYQ0F1Z6P8SCVJ0I3UPVFE4" localSheetId="1" hidden="1">#REF!</definedName>
    <definedName name="BEx5CFYQ0F1Z6P8SCVJ0I3UPVFE4" localSheetId="9" hidden="1">#REF!</definedName>
    <definedName name="BEx5CFYQ0F1Z6P8SCVJ0I3UPVFE4" hidden="1">#REF!</definedName>
    <definedName name="BEx5CPEKNSJORIPFQC2E1LTRYY8L" localSheetId="56" hidden="1">#REF!</definedName>
    <definedName name="BEx5CPEKNSJORIPFQC2E1LTRYY8L" localSheetId="55" hidden="1">#REF!</definedName>
    <definedName name="BEx5CPEKNSJORIPFQC2E1LTRYY8L" localSheetId="4" hidden="1">#REF!</definedName>
    <definedName name="BEx5CPEKNSJORIPFQC2E1LTRYY8L" localSheetId="1" hidden="1">#REF!</definedName>
    <definedName name="BEx5CPEKNSJORIPFQC2E1LTRYY8L" localSheetId="9" hidden="1">#REF!</definedName>
    <definedName name="BEx5CPEKNSJORIPFQC2E1LTRYY8L" hidden="1">#REF!</definedName>
    <definedName name="BEx5CSUOL05D8PAM2TRDA9VRJT1O" localSheetId="56" hidden="1">#REF!</definedName>
    <definedName name="BEx5CSUOL05D8PAM2TRDA9VRJT1O" localSheetId="55" hidden="1">#REF!</definedName>
    <definedName name="BEx5CSUOL05D8PAM2TRDA9VRJT1O" localSheetId="4" hidden="1">#REF!</definedName>
    <definedName name="BEx5CSUOL05D8PAM2TRDA9VRJT1O" localSheetId="1" hidden="1">#REF!</definedName>
    <definedName name="BEx5CSUOL05D8PAM2TRDA9VRJT1O" localSheetId="9" hidden="1">#REF!</definedName>
    <definedName name="BEx5CSUOL05D8PAM2TRDA9VRJT1O" hidden="1">#REF!</definedName>
    <definedName name="BEx5CUNFOO4YDFJ22HCMI2QKIGKM" localSheetId="56" hidden="1">#REF!</definedName>
    <definedName name="BEx5CUNFOO4YDFJ22HCMI2QKIGKM" localSheetId="55" hidden="1">#REF!</definedName>
    <definedName name="BEx5CUNFOO4YDFJ22HCMI2QKIGKM" localSheetId="4" hidden="1">#REF!</definedName>
    <definedName name="BEx5CUNFOO4YDFJ22HCMI2QKIGKM" localSheetId="1" hidden="1">#REF!</definedName>
    <definedName name="BEx5CUNFOO4YDFJ22HCMI2QKIGKM" localSheetId="9" hidden="1">#REF!</definedName>
    <definedName name="BEx5CUNFOO4YDFJ22HCMI2QKIGKM" hidden="1">#REF!</definedName>
    <definedName name="BEx5D01O3G6BXWXT7MZEVS1F4TE9" localSheetId="56" hidden="1">#REF!</definedName>
    <definedName name="BEx5D01O3G6BXWXT7MZEVS1F4TE9" localSheetId="55" hidden="1">#REF!</definedName>
    <definedName name="BEx5D01O3G6BXWXT7MZEVS1F4TE9" localSheetId="4" hidden="1">#REF!</definedName>
    <definedName name="BEx5D01O3G6BXWXT7MZEVS1F4TE9" localSheetId="1" hidden="1">#REF!</definedName>
    <definedName name="BEx5D01O3G6BXWXT7MZEVS1F4TE9" localSheetId="9" hidden="1">#REF!</definedName>
    <definedName name="BEx5D01O3G6BXWXT7MZEVS1F4TE9" hidden="1">#REF!</definedName>
    <definedName name="BEx5D3HO5XE85AN0NGALZ4K4GE8J" localSheetId="56" hidden="1">#REF!</definedName>
    <definedName name="BEx5D3HO5XE85AN0NGALZ4K4GE8J" localSheetId="55" hidden="1">#REF!</definedName>
    <definedName name="BEx5D3HO5XE85AN0NGALZ4K4GE8J" localSheetId="4" hidden="1">#REF!</definedName>
    <definedName name="BEx5D3HO5XE85AN0NGALZ4K4GE8J" localSheetId="1" hidden="1">#REF!</definedName>
    <definedName name="BEx5D3HO5XE85AN0NGALZ4K4GE8J" localSheetId="9" hidden="1">#REF!</definedName>
    <definedName name="BEx5D3HO5XE85AN0NGALZ4K4GE8J" hidden="1">#REF!</definedName>
    <definedName name="BEx5D8L47OF0WHBPFWXGZINZWUBZ" localSheetId="56" hidden="1">#REF!</definedName>
    <definedName name="BEx5D8L47OF0WHBPFWXGZINZWUBZ" localSheetId="55" hidden="1">#REF!</definedName>
    <definedName name="BEx5D8L47OF0WHBPFWXGZINZWUBZ" localSheetId="4" hidden="1">#REF!</definedName>
    <definedName name="BEx5D8L47OF0WHBPFWXGZINZWUBZ" localSheetId="1" hidden="1">#REF!</definedName>
    <definedName name="BEx5D8L47OF0WHBPFWXGZINZWUBZ" localSheetId="9" hidden="1">#REF!</definedName>
    <definedName name="BEx5D8L47OF0WHBPFWXGZINZWUBZ" hidden="1">#REF!</definedName>
    <definedName name="BEx5DAJAHQ2SKUPCKSCR3PYML67L" localSheetId="56" hidden="1">#REF!</definedName>
    <definedName name="BEx5DAJAHQ2SKUPCKSCR3PYML67L" localSheetId="55" hidden="1">#REF!</definedName>
    <definedName name="BEx5DAJAHQ2SKUPCKSCR3PYML67L" localSheetId="4" hidden="1">#REF!</definedName>
    <definedName name="BEx5DAJAHQ2SKUPCKSCR3PYML67L" localSheetId="1" hidden="1">#REF!</definedName>
    <definedName name="BEx5DAJAHQ2SKUPCKSCR3PYML67L" localSheetId="9" hidden="1">#REF!</definedName>
    <definedName name="BEx5DAJAHQ2SKUPCKSCR3PYML67L" hidden="1">#REF!</definedName>
    <definedName name="BEx5DC18JM1KJCV44PF18E0LNRKA" localSheetId="56" hidden="1">#REF!</definedName>
    <definedName name="BEx5DC18JM1KJCV44PF18E0LNRKA" localSheetId="55" hidden="1">#REF!</definedName>
    <definedName name="BEx5DC18JM1KJCV44PF18E0LNRKA" localSheetId="4" hidden="1">#REF!</definedName>
    <definedName name="BEx5DC18JM1KJCV44PF18E0LNRKA" localSheetId="1" hidden="1">#REF!</definedName>
    <definedName name="BEx5DC18JM1KJCV44PF18E0LNRKA" localSheetId="9" hidden="1">#REF!</definedName>
    <definedName name="BEx5DC18JM1KJCV44PF18E0LNRKA" hidden="1">#REF!</definedName>
    <definedName name="BEx5DFH8EU3RCPUOTFY8S9G8SBCG" localSheetId="56" hidden="1">#REF!</definedName>
    <definedName name="BEx5DFH8EU3RCPUOTFY8S9G8SBCG" localSheetId="55" hidden="1">#REF!</definedName>
    <definedName name="BEx5DFH8EU3RCPUOTFY8S9G8SBCG" localSheetId="4" hidden="1">#REF!</definedName>
    <definedName name="BEx5DFH8EU3RCPUOTFY8S9G8SBCG" localSheetId="1" hidden="1">#REF!</definedName>
    <definedName name="BEx5DFH8EU3RCPUOTFY8S9G8SBCG" localSheetId="9" hidden="1">#REF!</definedName>
    <definedName name="BEx5DFH8EU3RCPUOTFY8S9G8SBCG" hidden="1">#REF!</definedName>
    <definedName name="BEx5DJIZBTNS011R9IIG2OQ2L6ZX" localSheetId="56" hidden="1">#REF!</definedName>
    <definedName name="BEx5DJIZBTNS011R9IIG2OQ2L6ZX" localSheetId="55" hidden="1">#REF!</definedName>
    <definedName name="BEx5DJIZBTNS011R9IIG2OQ2L6ZX" localSheetId="4" hidden="1">#REF!</definedName>
    <definedName name="BEx5DJIZBTNS011R9IIG2OQ2L6ZX" localSheetId="1" hidden="1">#REF!</definedName>
    <definedName name="BEx5DJIZBTNS011R9IIG2OQ2L6ZX" localSheetId="9" hidden="1">#REF!</definedName>
    <definedName name="BEx5DJIZBTNS011R9IIG2OQ2L6ZX" hidden="1">#REF!</definedName>
    <definedName name="BEx5DS2EKWFPC2UWI1W1QESX9QP5" localSheetId="56" hidden="1">#REF!</definedName>
    <definedName name="BEx5DS2EKWFPC2UWI1W1QESX9QP5" localSheetId="55" hidden="1">#REF!</definedName>
    <definedName name="BEx5DS2EKWFPC2UWI1W1QESX9QP5" localSheetId="4" hidden="1">#REF!</definedName>
    <definedName name="BEx5DS2EKWFPC2UWI1W1QESX9QP5" localSheetId="1" hidden="1">#REF!</definedName>
    <definedName name="BEx5DS2EKWFPC2UWI1W1QESX9QP5" localSheetId="9" hidden="1">#REF!</definedName>
    <definedName name="BEx5DS2EKWFPC2UWI1W1QESX9QP5" hidden="1">#REF!</definedName>
    <definedName name="BEx5E123OLO9WQUOIRIDJ967KAGK" localSheetId="56" hidden="1">#REF!</definedName>
    <definedName name="BEx5E123OLO9WQUOIRIDJ967KAGK" localSheetId="55" hidden="1">#REF!</definedName>
    <definedName name="BEx5E123OLO9WQUOIRIDJ967KAGK" localSheetId="4" hidden="1">#REF!</definedName>
    <definedName name="BEx5E123OLO9WQUOIRIDJ967KAGK" localSheetId="1" hidden="1">#REF!</definedName>
    <definedName name="BEx5E123OLO9WQUOIRIDJ967KAGK" localSheetId="9" hidden="1">#REF!</definedName>
    <definedName name="BEx5E123OLO9WQUOIRIDJ967KAGK" hidden="1">#REF!</definedName>
    <definedName name="BEx5E2UU5NES6W779W2OZTZOB4O7" localSheetId="56" hidden="1">#REF!</definedName>
    <definedName name="BEx5E2UU5NES6W779W2OZTZOB4O7" localSheetId="55" hidden="1">#REF!</definedName>
    <definedName name="BEx5E2UU5NES6W779W2OZTZOB4O7" localSheetId="4" hidden="1">#REF!</definedName>
    <definedName name="BEx5E2UU5NES6W779W2OZTZOB4O7" localSheetId="1" hidden="1">#REF!</definedName>
    <definedName name="BEx5E2UU5NES6W779W2OZTZOB4O7" localSheetId="9" hidden="1">#REF!</definedName>
    <definedName name="BEx5E2UU5NES6W779W2OZTZOB4O7" hidden="1">#REF!</definedName>
    <definedName name="BEx5ELFT92WAQN3NW8COIMQHUL91" localSheetId="56" hidden="1">#REF!</definedName>
    <definedName name="BEx5ELFT92WAQN3NW8COIMQHUL91" localSheetId="55" hidden="1">#REF!</definedName>
    <definedName name="BEx5ELFT92WAQN3NW8COIMQHUL91" localSheetId="4" hidden="1">#REF!</definedName>
    <definedName name="BEx5ELFT92WAQN3NW8COIMQHUL91" localSheetId="1" hidden="1">#REF!</definedName>
    <definedName name="BEx5ELFT92WAQN3NW8COIMQHUL91" localSheetId="9" hidden="1">#REF!</definedName>
    <definedName name="BEx5ELFT92WAQN3NW8COIMQHUL91" hidden="1">#REF!</definedName>
    <definedName name="BEx5ELQL9B0VR6UT18KP11DHOTFX" localSheetId="56" hidden="1">#REF!</definedName>
    <definedName name="BEx5ELQL9B0VR6UT18KP11DHOTFX" localSheetId="55" hidden="1">#REF!</definedName>
    <definedName name="BEx5ELQL9B0VR6UT18KP11DHOTFX" localSheetId="4" hidden="1">#REF!</definedName>
    <definedName name="BEx5ELQL9B0VR6UT18KP11DHOTFX" localSheetId="1" hidden="1">#REF!</definedName>
    <definedName name="BEx5ELQL9B0VR6UT18KP11DHOTFX" localSheetId="9" hidden="1">#REF!</definedName>
    <definedName name="BEx5ELQL9B0VR6UT18KP11DHOTFX" hidden="1">#REF!</definedName>
    <definedName name="BEx5ER4TJTFPN7IB1MNEB1ZFR5M6" localSheetId="56" hidden="1">#REF!</definedName>
    <definedName name="BEx5ER4TJTFPN7IB1MNEB1ZFR5M6" localSheetId="55" hidden="1">#REF!</definedName>
    <definedName name="BEx5ER4TJTFPN7IB1MNEB1ZFR5M6" localSheetId="4" hidden="1">#REF!</definedName>
    <definedName name="BEx5ER4TJTFPN7IB1MNEB1ZFR5M6" localSheetId="1" hidden="1">#REF!</definedName>
    <definedName name="BEx5ER4TJTFPN7IB1MNEB1ZFR5M6" localSheetId="9" hidden="1">#REF!</definedName>
    <definedName name="BEx5ER4TJTFPN7IB1MNEB1ZFR5M6" hidden="1">#REF!</definedName>
    <definedName name="BEx5EYXB2LDMI4FLC3QFAOXC0FZ3" localSheetId="56" hidden="1">#REF!</definedName>
    <definedName name="BEx5EYXB2LDMI4FLC3QFAOXC0FZ3" localSheetId="55" hidden="1">#REF!</definedName>
    <definedName name="BEx5EYXB2LDMI4FLC3QFAOXC0FZ3" localSheetId="4" hidden="1">#REF!</definedName>
    <definedName name="BEx5EYXB2LDMI4FLC3QFAOXC0FZ3" localSheetId="1" hidden="1">#REF!</definedName>
    <definedName name="BEx5EYXB2LDMI4FLC3QFAOXC0FZ3" localSheetId="9" hidden="1">#REF!</definedName>
    <definedName name="BEx5EYXB2LDMI4FLC3QFAOXC0FZ3" hidden="1">#REF!</definedName>
    <definedName name="BEx5F6V72QTCK7O39Y59R0EVM6CW" localSheetId="56" hidden="1">#REF!</definedName>
    <definedName name="BEx5F6V72QTCK7O39Y59R0EVM6CW" localSheetId="55" hidden="1">#REF!</definedName>
    <definedName name="BEx5F6V72QTCK7O39Y59R0EVM6CW" localSheetId="4" hidden="1">#REF!</definedName>
    <definedName name="BEx5F6V72QTCK7O39Y59R0EVM6CW" localSheetId="1" hidden="1">#REF!</definedName>
    <definedName name="BEx5F6V72QTCK7O39Y59R0EVM6CW" localSheetId="9" hidden="1">#REF!</definedName>
    <definedName name="BEx5F6V72QTCK7O39Y59R0EVM6CW" hidden="1">#REF!</definedName>
    <definedName name="BEx5FGLQVACD5F5YZG4DGSCHCGO2" localSheetId="56" hidden="1">#REF!</definedName>
    <definedName name="BEx5FGLQVACD5F5YZG4DGSCHCGO2" localSheetId="55" hidden="1">#REF!</definedName>
    <definedName name="BEx5FGLQVACD5F5YZG4DGSCHCGO2" localSheetId="4" hidden="1">#REF!</definedName>
    <definedName name="BEx5FGLQVACD5F5YZG4DGSCHCGO2" localSheetId="1" hidden="1">#REF!</definedName>
    <definedName name="BEx5FGLQVACD5F5YZG4DGSCHCGO2" localSheetId="9" hidden="1">#REF!</definedName>
    <definedName name="BEx5FGLQVACD5F5YZG4DGSCHCGO2" hidden="1">#REF!</definedName>
    <definedName name="BEx5FHCTE8VTJEF7IK189AVLNYSY" localSheetId="56" hidden="1">#REF!</definedName>
    <definedName name="BEx5FHCTE8VTJEF7IK189AVLNYSY" localSheetId="55" hidden="1">#REF!</definedName>
    <definedName name="BEx5FHCTE8VTJEF7IK189AVLNYSY" localSheetId="4" hidden="1">#REF!</definedName>
    <definedName name="BEx5FHCTE8VTJEF7IK189AVLNYSY" localSheetId="1" hidden="1">#REF!</definedName>
    <definedName name="BEx5FHCTE8VTJEF7IK189AVLNYSY" localSheetId="9" hidden="1">#REF!</definedName>
    <definedName name="BEx5FHCTE8VTJEF7IK189AVLNYSY" hidden="1">#REF!</definedName>
    <definedName name="BEx5FLJWHLW3BTZILDPN5NMA449V" localSheetId="56" hidden="1">#REF!</definedName>
    <definedName name="BEx5FLJWHLW3BTZILDPN5NMA449V" localSheetId="55" hidden="1">#REF!</definedName>
    <definedName name="BEx5FLJWHLW3BTZILDPN5NMA449V" localSheetId="4" hidden="1">#REF!</definedName>
    <definedName name="BEx5FLJWHLW3BTZILDPN5NMA449V" localSheetId="1" hidden="1">#REF!</definedName>
    <definedName name="BEx5FLJWHLW3BTZILDPN5NMA449V" localSheetId="9" hidden="1">#REF!</definedName>
    <definedName name="BEx5FLJWHLW3BTZILDPN5NMA449V" hidden="1">#REF!</definedName>
    <definedName name="BEx5FNI2O10YN2SI1NO4X5GP3GTF" localSheetId="56" hidden="1">#REF!</definedName>
    <definedName name="BEx5FNI2O10YN2SI1NO4X5GP3GTF" localSheetId="55" hidden="1">#REF!</definedName>
    <definedName name="BEx5FNI2O10YN2SI1NO4X5GP3GTF" localSheetId="4" hidden="1">#REF!</definedName>
    <definedName name="BEx5FNI2O10YN2SI1NO4X5GP3GTF" localSheetId="1" hidden="1">#REF!</definedName>
    <definedName name="BEx5FNI2O10YN2SI1NO4X5GP3GTF" localSheetId="9" hidden="1">#REF!</definedName>
    <definedName name="BEx5FNI2O10YN2SI1NO4X5GP3GTF" hidden="1">#REF!</definedName>
    <definedName name="BEx5FO8YRFSZCG3L608EHIHIHFY4" localSheetId="56" hidden="1">#REF!</definedName>
    <definedName name="BEx5FO8YRFSZCG3L608EHIHIHFY4" localSheetId="55" hidden="1">#REF!</definedName>
    <definedName name="BEx5FO8YRFSZCG3L608EHIHIHFY4" localSheetId="4" hidden="1">#REF!</definedName>
    <definedName name="BEx5FO8YRFSZCG3L608EHIHIHFY4" localSheetId="1" hidden="1">#REF!</definedName>
    <definedName name="BEx5FO8YRFSZCG3L608EHIHIHFY4" localSheetId="9" hidden="1">#REF!</definedName>
    <definedName name="BEx5FO8YRFSZCG3L608EHIHIHFY4" hidden="1">#REF!</definedName>
    <definedName name="BEx5FQNA6V4CNYSH013K45RI4BCV" localSheetId="56" hidden="1">#REF!</definedName>
    <definedName name="BEx5FQNA6V4CNYSH013K45RI4BCV" localSheetId="55" hidden="1">#REF!</definedName>
    <definedName name="BEx5FQNA6V4CNYSH013K45RI4BCV" localSheetId="4" hidden="1">#REF!</definedName>
    <definedName name="BEx5FQNA6V4CNYSH013K45RI4BCV" localSheetId="1" hidden="1">#REF!</definedName>
    <definedName name="BEx5FQNA6V4CNYSH013K45RI4BCV" localSheetId="9" hidden="1">#REF!</definedName>
    <definedName name="BEx5FQNA6V4CNYSH013K45RI4BCV" hidden="1">#REF!</definedName>
    <definedName name="BEx5FVQPPEU32CPNV9RRQ9MNLLVE" localSheetId="56" hidden="1">#REF!</definedName>
    <definedName name="BEx5FVQPPEU32CPNV9RRQ9MNLLVE" localSheetId="55" hidden="1">#REF!</definedName>
    <definedName name="BEx5FVQPPEU32CPNV9RRQ9MNLLVE" localSheetId="4" hidden="1">#REF!</definedName>
    <definedName name="BEx5FVQPPEU32CPNV9RRQ9MNLLVE" localSheetId="1" hidden="1">#REF!</definedName>
    <definedName name="BEx5FVQPPEU32CPNV9RRQ9MNLLVE" localSheetId="9" hidden="1">#REF!</definedName>
    <definedName name="BEx5FVQPPEU32CPNV9RRQ9MNLLVE" hidden="1">#REF!</definedName>
    <definedName name="BEx5G08KGMG5X2AQKDGPFYG5GH94" localSheetId="56" hidden="1">#REF!</definedName>
    <definedName name="BEx5G08KGMG5X2AQKDGPFYG5GH94" localSheetId="55" hidden="1">#REF!</definedName>
    <definedName name="BEx5G08KGMG5X2AQKDGPFYG5GH94" localSheetId="4" hidden="1">#REF!</definedName>
    <definedName name="BEx5G08KGMG5X2AQKDGPFYG5GH94" localSheetId="1" hidden="1">#REF!</definedName>
    <definedName name="BEx5G08KGMG5X2AQKDGPFYG5GH94" localSheetId="9" hidden="1">#REF!</definedName>
    <definedName name="BEx5G08KGMG5X2AQKDGPFYG5GH94" hidden="1">#REF!</definedName>
    <definedName name="BEx5G1A8TFN4C4QII35U9DKYNIS8" localSheetId="56" hidden="1">#REF!</definedName>
    <definedName name="BEx5G1A8TFN4C4QII35U9DKYNIS8" localSheetId="55" hidden="1">#REF!</definedName>
    <definedName name="BEx5G1A8TFN4C4QII35U9DKYNIS8" localSheetId="4" hidden="1">#REF!</definedName>
    <definedName name="BEx5G1A8TFN4C4QII35U9DKYNIS8" localSheetId="1" hidden="1">#REF!</definedName>
    <definedName name="BEx5G1A8TFN4C4QII35U9DKYNIS8" localSheetId="9" hidden="1">#REF!</definedName>
    <definedName name="BEx5G1A8TFN4C4QII35U9DKYNIS8" hidden="1">#REF!</definedName>
    <definedName name="BEx5G1L0QO91KEPDMV1D8OT4BT73" localSheetId="56" hidden="1">#REF!</definedName>
    <definedName name="BEx5G1L0QO91KEPDMV1D8OT4BT73" localSheetId="55" hidden="1">#REF!</definedName>
    <definedName name="BEx5G1L0QO91KEPDMV1D8OT4BT73" localSheetId="4" hidden="1">#REF!</definedName>
    <definedName name="BEx5G1L0QO91KEPDMV1D8OT4BT73" localSheetId="1" hidden="1">#REF!</definedName>
    <definedName name="BEx5G1L0QO91KEPDMV1D8OT4BT73" localSheetId="9" hidden="1">#REF!</definedName>
    <definedName name="BEx5G1L0QO91KEPDMV1D8OT4BT73" hidden="1">#REF!</definedName>
    <definedName name="BEx5G1QHX69GFUYHUZA5X74MTDMR" localSheetId="56" hidden="1">#REF!</definedName>
    <definedName name="BEx5G1QHX69GFUYHUZA5X74MTDMR" localSheetId="55" hidden="1">#REF!</definedName>
    <definedName name="BEx5G1QHX69GFUYHUZA5X74MTDMR" localSheetId="4" hidden="1">#REF!</definedName>
    <definedName name="BEx5G1QHX69GFUYHUZA5X74MTDMR" localSheetId="1" hidden="1">#REF!</definedName>
    <definedName name="BEx5G1QHX69GFUYHUZA5X74MTDMR" localSheetId="9" hidden="1">#REF!</definedName>
    <definedName name="BEx5G1QHX69GFUYHUZA5X74MTDMR" hidden="1">#REF!</definedName>
    <definedName name="BEx5G5S2C9JRD28ZQMMQLCBHWOHB" localSheetId="56" hidden="1">#REF!</definedName>
    <definedName name="BEx5G5S2C9JRD28ZQMMQLCBHWOHB" localSheetId="55" hidden="1">#REF!</definedName>
    <definedName name="BEx5G5S2C9JRD28ZQMMQLCBHWOHB" localSheetId="4" hidden="1">#REF!</definedName>
    <definedName name="BEx5G5S2C9JRD28ZQMMQLCBHWOHB" localSheetId="1" hidden="1">#REF!</definedName>
    <definedName name="BEx5G5S2C9JRD28ZQMMQLCBHWOHB" localSheetId="9" hidden="1">#REF!</definedName>
    <definedName name="BEx5G5S2C9JRD28ZQMMQLCBHWOHB" hidden="1">#REF!</definedName>
    <definedName name="BEx5G7KU3EGZQSYN2YNML8EW8NDC" localSheetId="56" hidden="1">#REF!</definedName>
    <definedName name="BEx5G7KU3EGZQSYN2YNML8EW8NDC" localSheetId="55" hidden="1">#REF!</definedName>
    <definedName name="BEx5G7KU3EGZQSYN2YNML8EW8NDC" localSheetId="4" hidden="1">#REF!</definedName>
    <definedName name="BEx5G7KU3EGZQSYN2YNML8EW8NDC" localSheetId="1" hidden="1">#REF!</definedName>
    <definedName name="BEx5G7KU3EGZQSYN2YNML8EW8NDC" localSheetId="9" hidden="1">#REF!</definedName>
    <definedName name="BEx5G7KU3EGZQSYN2YNML8EW8NDC" hidden="1">#REF!</definedName>
    <definedName name="BEx5G86DZL1VYUX6KWODAP3WFAWP" localSheetId="56" hidden="1">#REF!</definedName>
    <definedName name="BEx5G86DZL1VYUX6KWODAP3WFAWP" localSheetId="55" hidden="1">#REF!</definedName>
    <definedName name="BEx5G86DZL1VYUX6KWODAP3WFAWP" localSheetId="4" hidden="1">#REF!</definedName>
    <definedName name="BEx5G86DZL1VYUX6KWODAP3WFAWP" localSheetId="1" hidden="1">#REF!</definedName>
    <definedName name="BEx5G86DZL1VYUX6KWODAP3WFAWP" localSheetId="9" hidden="1">#REF!</definedName>
    <definedName name="BEx5G86DZL1VYUX6KWODAP3WFAWP" hidden="1">#REF!</definedName>
    <definedName name="BEx5G8BV2GIOCM3C7IUFK8L04A6M" localSheetId="56" hidden="1">#REF!</definedName>
    <definedName name="BEx5G8BV2GIOCM3C7IUFK8L04A6M" localSheetId="55" hidden="1">#REF!</definedName>
    <definedName name="BEx5G8BV2GIOCM3C7IUFK8L04A6M" localSheetId="4" hidden="1">#REF!</definedName>
    <definedName name="BEx5G8BV2GIOCM3C7IUFK8L04A6M" localSheetId="1" hidden="1">#REF!</definedName>
    <definedName name="BEx5G8BV2GIOCM3C7IUFK8L04A6M" localSheetId="9" hidden="1">#REF!</definedName>
    <definedName name="BEx5G8BV2GIOCM3C7IUFK8L04A6M" hidden="1">#REF!</definedName>
    <definedName name="BEx5GID9MVBUPFFT9M8K8B5MO9NV" localSheetId="56" hidden="1">#REF!</definedName>
    <definedName name="BEx5GID9MVBUPFFT9M8K8B5MO9NV" localSheetId="55" hidden="1">#REF!</definedName>
    <definedName name="BEx5GID9MVBUPFFT9M8K8B5MO9NV" localSheetId="4" hidden="1">#REF!</definedName>
    <definedName name="BEx5GID9MVBUPFFT9M8K8B5MO9NV" localSheetId="1" hidden="1">#REF!</definedName>
    <definedName name="BEx5GID9MVBUPFFT9M8K8B5MO9NV" localSheetId="9" hidden="1">#REF!</definedName>
    <definedName name="BEx5GID9MVBUPFFT9M8K8B5MO9NV" hidden="1">#REF!</definedName>
    <definedName name="BEx5GN0EWA9SCQDPQ7NTUQH82QVK" localSheetId="56" hidden="1">#REF!</definedName>
    <definedName name="BEx5GN0EWA9SCQDPQ7NTUQH82QVK" localSheetId="55" hidden="1">#REF!</definedName>
    <definedName name="BEx5GN0EWA9SCQDPQ7NTUQH82QVK" localSheetId="4" hidden="1">#REF!</definedName>
    <definedName name="BEx5GN0EWA9SCQDPQ7NTUQH82QVK" localSheetId="1" hidden="1">#REF!</definedName>
    <definedName name="BEx5GN0EWA9SCQDPQ7NTUQH82QVK" localSheetId="9" hidden="1">#REF!</definedName>
    <definedName name="BEx5GN0EWA9SCQDPQ7NTUQH82QVK" hidden="1">#REF!</definedName>
    <definedName name="BEx5GNBCU4WZ74I0UXFL9ZG2XSGJ" localSheetId="56" hidden="1">#REF!</definedName>
    <definedName name="BEx5GNBCU4WZ74I0UXFL9ZG2XSGJ" localSheetId="55" hidden="1">#REF!</definedName>
    <definedName name="BEx5GNBCU4WZ74I0UXFL9ZG2XSGJ" localSheetId="4" hidden="1">#REF!</definedName>
    <definedName name="BEx5GNBCU4WZ74I0UXFL9ZG2XSGJ" localSheetId="1" hidden="1">#REF!</definedName>
    <definedName name="BEx5GNBCU4WZ74I0UXFL9ZG2XSGJ" localSheetId="9" hidden="1">#REF!</definedName>
    <definedName name="BEx5GNBCU4WZ74I0UXFL9ZG2XSGJ" hidden="1">#REF!</definedName>
    <definedName name="BEx5GUCTYC7QCWGWU5BTO7Y7HDZX" localSheetId="56" hidden="1">#REF!</definedName>
    <definedName name="BEx5GUCTYC7QCWGWU5BTO7Y7HDZX" localSheetId="55" hidden="1">#REF!</definedName>
    <definedName name="BEx5GUCTYC7QCWGWU5BTO7Y7HDZX" localSheetId="4" hidden="1">#REF!</definedName>
    <definedName name="BEx5GUCTYC7QCWGWU5BTO7Y7HDZX" localSheetId="1" hidden="1">#REF!</definedName>
    <definedName name="BEx5GUCTYC7QCWGWU5BTO7Y7HDZX" localSheetId="9" hidden="1">#REF!</definedName>
    <definedName name="BEx5GUCTYC7QCWGWU5BTO7Y7HDZX" hidden="1">#REF!</definedName>
    <definedName name="BEx5GYUPJULJQ624TEESYFG1NFOH" localSheetId="56" hidden="1">#REF!</definedName>
    <definedName name="BEx5GYUPJULJQ624TEESYFG1NFOH" localSheetId="55" hidden="1">#REF!</definedName>
    <definedName name="BEx5GYUPJULJQ624TEESYFG1NFOH" localSheetId="4" hidden="1">#REF!</definedName>
    <definedName name="BEx5GYUPJULJQ624TEESYFG1NFOH" localSheetId="1" hidden="1">#REF!</definedName>
    <definedName name="BEx5GYUPJULJQ624TEESYFG1NFOH" localSheetId="9" hidden="1">#REF!</definedName>
    <definedName name="BEx5GYUPJULJQ624TEESYFG1NFOH" hidden="1">#REF!</definedName>
    <definedName name="BEx5H0NEE0AIN5E2UHJ9J9ISU9N1" localSheetId="56" hidden="1">#REF!</definedName>
    <definedName name="BEx5H0NEE0AIN5E2UHJ9J9ISU9N1" localSheetId="55" hidden="1">#REF!</definedName>
    <definedName name="BEx5H0NEE0AIN5E2UHJ9J9ISU9N1" localSheetId="4" hidden="1">#REF!</definedName>
    <definedName name="BEx5H0NEE0AIN5E2UHJ9J9ISU9N1" localSheetId="1" hidden="1">#REF!</definedName>
    <definedName name="BEx5H0NEE0AIN5E2UHJ9J9ISU9N1" localSheetId="9" hidden="1">#REF!</definedName>
    <definedName name="BEx5H0NEE0AIN5E2UHJ9J9ISU9N1" hidden="1">#REF!</definedName>
    <definedName name="BEx5H1UJSEUQM2K8QHQXO5THVHSO" localSheetId="56" hidden="1">#REF!</definedName>
    <definedName name="BEx5H1UJSEUQM2K8QHQXO5THVHSO" localSheetId="55" hidden="1">#REF!</definedName>
    <definedName name="BEx5H1UJSEUQM2K8QHQXO5THVHSO" localSheetId="4" hidden="1">#REF!</definedName>
    <definedName name="BEx5H1UJSEUQM2K8QHQXO5THVHSO" localSheetId="1" hidden="1">#REF!</definedName>
    <definedName name="BEx5H1UJSEUQM2K8QHQXO5THVHSO" localSheetId="9" hidden="1">#REF!</definedName>
    <definedName name="BEx5H1UJSEUQM2K8QHQXO5THVHSO" hidden="1">#REF!</definedName>
    <definedName name="BEx5HAOT9XWUF7XIFRZZS8B9F5TZ" localSheetId="56" hidden="1">#REF!</definedName>
    <definedName name="BEx5HAOT9XWUF7XIFRZZS8B9F5TZ" localSheetId="55" hidden="1">#REF!</definedName>
    <definedName name="BEx5HAOT9XWUF7XIFRZZS8B9F5TZ" localSheetId="4" hidden="1">#REF!</definedName>
    <definedName name="BEx5HAOT9XWUF7XIFRZZS8B9F5TZ" localSheetId="1" hidden="1">#REF!</definedName>
    <definedName name="BEx5HAOT9XWUF7XIFRZZS8B9F5TZ" localSheetId="9" hidden="1">#REF!</definedName>
    <definedName name="BEx5HAOT9XWUF7XIFRZZS8B9F5TZ" hidden="1">#REF!</definedName>
    <definedName name="BEx5HB534CO7TBSALKMD27WHMAQJ" localSheetId="56" hidden="1">#REF!</definedName>
    <definedName name="BEx5HB534CO7TBSALKMD27WHMAQJ" localSheetId="55" hidden="1">#REF!</definedName>
    <definedName name="BEx5HB534CO7TBSALKMD27WHMAQJ" localSheetId="4" hidden="1">#REF!</definedName>
    <definedName name="BEx5HB534CO7TBSALKMD27WHMAQJ" localSheetId="1" hidden="1">#REF!</definedName>
    <definedName name="BEx5HB534CO7TBSALKMD27WHMAQJ" localSheetId="9" hidden="1">#REF!</definedName>
    <definedName name="BEx5HB534CO7TBSALKMD27WHMAQJ" hidden="1">#REF!</definedName>
    <definedName name="BEx5HE4XRF9BUY04MENWY9CHHN5H" localSheetId="56" hidden="1">#REF!</definedName>
    <definedName name="BEx5HE4XRF9BUY04MENWY9CHHN5H" localSheetId="55" hidden="1">#REF!</definedName>
    <definedName name="BEx5HE4XRF9BUY04MENWY9CHHN5H" localSheetId="4" hidden="1">#REF!</definedName>
    <definedName name="BEx5HE4XRF9BUY04MENWY9CHHN5H" localSheetId="1" hidden="1">#REF!</definedName>
    <definedName name="BEx5HE4XRF9BUY04MENWY9CHHN5H" localSheetId="9" hidden="1">#REF!</definedName>
    <definedName name="BEx5HE4XRF9BUY04MENWY9CHHN5H" hidden="1">#REF!</definedName>
    <definedName name="BEx5HFHMABAT0H9KKS754X4T304E" localSheetId="56" hidden="1">#REF!</definedName>
    <definedName name="BEx5HFHMABAT0H9KKS754X4T304E" localSheetId="55" hidden="1">#REF!</definedName>
    <definedName name="BEx5HFHMABAT0H9KKS754X4T304E" localSheetId="4" hidden="1">#REF!</definedName>
    <definedName name="BEx5HFHMABAT0H9KKS754X4T304E" localSheetId="1" hidden="1">#REF!</definedName>
    <definedName name="BEx5HFHMABAT0H9KKS754X4T304E" localSheetId="9" hidden="1">#REF!</definedName>
    <definedName name="BEx5HFHMABAT0H9KKS754X4T304E" hidden="1">#REF!</definedName>
    <definedName name="BEx5HGDZ7MX1S3KNXLRL9WU565V4" localSheetId="56" hidden="1">#REF!</definedName>
    <definedName name="BEx5HGDZ7MX1S3KNXLRL9WU565V4" localSheetId="55" hidden="1">#REF!</definedName>
    <definedName name="BEx5HGDZ7MX1S3KNXLRL9WU565V4" localSheetId="4" hidden="1">#REF!</definedName>
    <definedName name="BEx5HGDZ7MX1S3KNXLRL9WU565V4" localSheetId="1" hidden="1">#REF!</definedName>
    <definedName name="BEx5HGDZ7MX1S3KNXLRL9WU565V4" localSheetId="9" hidden="1">#REF!</definedName>
    <definedName name="BEx5HGDZ7MX1S3KNXLRL9WU565V4" hidden="1">#REF!</definedName>
    <definedName name="BEx5HJZ9FAVNZSSBTAYRPZDYM9NU" localSheetId="56" hidden="1">#REF!</definedName>
    <definedName name="BEx5HJZ9FAVNZSSBTAYRPZDYM9NU" localSheetId="55" hidden="1">#REF!</definedName>
    <definedName name="BEx5HJZ9FAVNZSSBTAYRPZDYM9NU" localSheetId="4" hidden="1">#REF!</definedName>
    <definedName name="BEx5HJZ9FAVNZSSBTAYRPZDYM9NU" localSheetId="1" hidden="1">#REF!</definedName>
    <definedName name="BEx5HJZ9FAVNZSSBTAYRPZDYM9NU" localSheetId="9" hidden="1">#REF!</definedName>
    <definedName name="BEx5HJZ9FAVNZSSBTAYRPZDYM9NU" hidden="1">#REF!</definedName>
    <definedName name="BEx5HZ9JMKHNLFWLVUB1WP5B39BL" localSheetId="56" hidden="1">#REF!</definedName>
    <definedName name="BEx5HZ9JMKHNLFWLVUB1WP5B39BL" localSheetId="55" hidden="1">#REF!</definedName>
    <definedName name="BEx5HZ9JMKHNLFWLVUB1WP5B39BL" localSheetId="4" hidden="1">#REF!</definedName>
    <definedName name="BEx5HZ9JMKHNLFWLVUB1WP5B39BL" localSheetId="1" hidden="1">#REF!</definedName>
    <definedName name="BEx5HZ9JMKHNLFWLVUB1WP5B39BL" localSheetId="9" hidden="1">#REF!</definedName>
    <definedName name="BEx5HZ9JMKHNLFWLVUB1WP5B39BL" hidden="1">#REF!</definedName>
    <definedName name="BEx5I17QJ0PQ1OG1IMH69HMQWNEA" localSheetId="56" hidden="1">#REF!</definedName>
    <definedName name="BEx5I17QJ0PQ1OG1IMH69HMQWNEA" localSheetId="55" hidden="1">#REF!</definedName>
    <definedName name="BEx5I17QJ0PQ1OG1IMH69HMQWNEA" localSheetId="4" hidden="1">#REF!</definedName>
    <definedName name="BEx5I17QJ0PQ1OG1IMH69HMQWNEA" localSheetId="1" hidden="1">#REF!</definedName>
    <definedName name="BEx5I17QJ0PQ1OG1IMH69HMQWNEA" localSheetId="9" hidden="1">#REF!</definedName>
    <definedName name="BEx5I17QJ0PQ1OG1IMH69HMQWNEA" hidden="1">#REF!</definedName>
    <definedName name="BEx5I244LQHZTF3XI66J8705R9XX" localSheetId="56" hidden="1">#REF!</definedName>
    <definedName name="BEx5I244LQHZTF3XI66J8705R9XX" localSheetId="55" hidden="1">#REF!</definedName>
    <definedName name="BEx5I244LQHZTF3XI66J8705R9XX" localSheetId="4" hidden="1">#REF!</definedName>
    <definedName name="BEx5I244LQHZTF3XI66J8705R9XX" localSheetId="1" hidden="1">#REF!</definedName>
    <definedName name="BEx5I244LQHZTF3XI66J8705R9XX" localSheetId="9" hidden="1">#REF!</definedName>
    <definedName name="BEx5I244LQHZTF3XI66J8705R9XX" hidden="1">#REF!</definedName>
    <definedName name="BEx5I8PBP4LIXDGID5BP0THLO0AQ" localSheetId="56" hidden="1">#REF!</definedName>
    <definedName name="BEx5I8PBP4LIXDGID5BP0THLO0AQ" localSheetId="55" hidden="1">#REF!</definedName>
    <definedName name="BEx5I8PBP4LIXDGID5BP0THLO0AQ" localSheetId="4" hidden="1">#REF!</definedName>
    <definedName name="BEx5I8PBP4LIXDGID5BP0THLO0AQ" localSheetId="1" hidden="1">#REF!</definedName>
    <definedName name="BEx5I8PBP4LIXDGID5BP0THLO0AQ" localSheetId="9" hidden="1">#REF!</definedName>
    <definedName name="BEx5I8PBP4LIXDGID5BP0THLO0AQ" hidden="1">#REF!</definedName>
    <definedName name="BEx5I8USVUB3JP4S9OXGMZVMOQXR" localSheetId="56" hidden="1">#REF!</definedName>
    <definedName name="BEx5I8USVUB3JP4S9OXGMZVMOQXR" localSheetId="55" hidden="1">#REF!</definedName>
    <definedName name="BEx5I8USVUB3JP4S9OXGMZVMOQXR" localSheetId="4" hidden="1">#REF!</definedName>
    <definedName name="BEx5I8USVUB3JP4S9OXGMZVMOQXR" localSheetId="1" hidden="1">#REF!</definedName>
    <definedName name="BEx5I8USVUB3JP4S9OXGMZVMOQXR" localSheetId="9" hidden="1">#REF!</definedName>
    <definedName name="BEx5I8USVUB3JP4S9OXGMZVMOQXR" hidden="1">#REF!</definedName>
    <definedName name="BEx5I9GDQSYIAL65UQNDMNFQCS9Y" localSheetId="56" hidden="1">#REF!</definedName>
    <definedName name="BEx5I9GDQSYIAL65UQNDMNFQCS9Y" localSheetId="55" hidden="1">#REF!</definedName>
    <definedName name="BEx5I9GDQSYIAL65UQNDMNFQCS9Y" localSheetId="4" hidden="1">#REF!</definedName>
    <definedName name="BEx5I9GDQSYIAL65UQNDMNFQCS9Y" localSheetId="1" hidden="1">#REF!</definedName>
    <definedName name="BEx5I9GDQSYIAL65UQNDMNFQCS9Y" localSheetId="9" hidden="1">#REF!</definedName>
    <definedName name="BEx5I9GDQSYIAL65UQNDMNFQCS9Y" hidden="1">#REF!</definedName>
    <definedName name="BEx5IBUPG9AWNW5PK7JGRGEJ4OLM" localSheetId="56" hidden="1">#REF!</definedName>
    <definedName name="BEx5IBUPG9AWNW5PK7JGRGEJ4OLM" localSheetId="55" hidden="1">#REF!</definedName>
    <definedName name="BEx5IBUPG9AWNW5PK7JGRGEJ4OLM" localSheetId="4" hidden="1">#REF!</definedName>
    <definedName name="BEx5IBUPG9AWNW5PK7JGRGEJ4OLM" localSheetId="1" hidden="1">#REF!</definedName>
    <definedName name="BEx5IBUPG9AWNW5PK7JGRGEJ4OLM" localSheetId="9" hidden="1">#REF!</definedName>
    <definedName name="BEx5IBUPG9AWNW5PK7JGRGEJ4OLM" hidden="1">#REF!</definedName>
    <definedName name="BEx5IC06RVN8BSAEPREVKHKLCJ2L" localSheetId="56" hidden="1">#REF!</definedName>
    <definedName name="BEx5IC06RVN8BSAEPREVKHKLCJ2L" localSheetId="55" hidden="1">#REF!</definedName>
    <definedName name="BEx5IC06RVN8BSAEPREVKHKLCJ2L" localSheetId="4" hidden="1">#REF!</definedName>
    <definedName name="BEx5IC06RVN8BSAEPREVKHKLCJ2L" localSheetId="1" hidden="1">#REF!</definedName>
    <definedName name="BEx5IC06RVN8BSAEPREVKHKLCJ2L" localSheetId="9" hidden="1">#REF!</definedName>
    <definedName name="BEx5IC06RVN8BSAEPREVKHKLCJ2L" hidden="1">#REF!</definedName>
    <definedName name="BEx5IGY4M04BPXSQF2J4GQYXF85O" localSheetId="56" hidden="1">#REF!</definedName>
    <definedName name="BEx5IGY4M04BPXSQF2J4GQYXF85O" localSheetId="55" hidden="1">#REF!</definedName>
    <definedName name="BEx5IGY4M04BPXSQF2J4GQYXF85O" localSheetId="4" hidden="1">#REF!</definedName>
    <definedName name="BEx5IGY4M04BPXSQF2J4GQYXF85O" localSheetId="1" hidden="1">#REF!</definedName>
    <definedName name="BEx5IGY4M04BPXSQF2J4GQYXF85O" localSheetId="9" hidden="1">#REF!</definedName>
    <definedName name="BEx5IGY4M04BPXSQF2J4GQYXF85O" hidden="1">#REF!</definedName>
    <definedName name="BEx5IWTZDCLZ5CCDG108STY04SAJ" localSheetId="56" hidden="1">#REF!</definedName>
    <definedName name="BEx5IWTZDCLZ5CCDG108STY04SAJ" localSheetId="55" hidden="1">#REF!</definedName>
    <definedName name="BEx5IWTZDCLZ5CCDG108STY04SAJ" localSheetId="4" hidden="1">#REF!</definedName>
    <definedName name="BEx5IWTZDCLZ5CCDG108STY04SAJ" localSheetId="1" hidden="1">#REF!</definedName>
    <definedName name="BEx5IWTZDCLZ5CCDG108STY04SAJ" localSheetId="9" hidden="1">#REF!</definedName>
    <definedName name="BEx5IWTZDCLZ5CCDG108STY04SAJ" hidden="1">#REF!</definedName>
    <definedName name="BEx5J0FFP1KS4NGY20AEJI8VREEA" localSheetId="56" hidden="1">#REF!</definedName>
    <definedName name="BEx5J0FFP1KS4NGY20AEJI8VREEA" localSheetId="55" hidden="1">#REF!</definedName>
    <definedName name="BEx5J0FFP1KS4NGY20AEJI8VREEA" localSheetId="4" hidden="1">#REF!</definedName>
    <definedName name="BEx5J0FFP1KS4NGY20AEJI8VREEA" localSheetId="1" hidden="1">#REF!</definedName>
    <definedName name="BEx5J0FFP1KS4NGY20AEJI8VREEA" localSheetId="9" hidden="1">#REF!</definedName>
    <definedName name="BEx5J0FFP1KS4NGY20AEJI8VREEA" hidden="1">#REF!</definedName>
    <definedName name="BEx5J1XE5FVWL6IJV6CWKPN24UBK" localSheetId="56" hidden="1">#REF!</definedName>
    <definedName name="BEx5J1XE5FVWL6IJV6CWKPN24UBK" localSheetId="55" hidden="1">#REF!</definedName>
    <definedName name="BEx5J1XE5FVWL6IJV6CWKPN24UBK" localSheetId="4" hidden="1">#REF!</definedName>
    <definedName name="BEx5J1XE5FVWL6IJV6CWKPN24UBK" localSheetId="1" hidden="1">#REF!</definedName>
    <definedName name="BEx5J1XE5FVWL6IJV6CWKPN24UBK" localSheetId="9" hidden="1">#REF!</definedName>
    <definedName name="BEx5J1XE5FVWL6IJV6CWKPN24UBK" hidden="1">#REF!</definedName>
    <definedName name="BEx5JF3ZXLDIS8VNKDCY7ZI7H1CI" localSheetId="56" hidden="1">#REF!</definedName>
    <definedName name="BEx5JF3ZXLDIS8VNKDCY7ZI7H1CI" localSheetId="55" hidden="1">#REF!</definedName>
    <definedName name="BEx5JF3ZXLDIS8VNKDCY7ZI7H1CI" localSheetId="4" hidden="1">#REF!</definedName>
    <definedName name="BEx5JF3ZXLDIS8VNKDCY7ZI7H1CI" localSheetId="1" hidden="1">#REF!</definedName>
    <definedName name="BEx5JF3ZXLDIS8VNKDCY7ZI7H1CI" localSheetId="9" hidden="1">#REF!</definedName>
    <definedName name="BEx5JF3ZXLDIS8VNKDCY7ZI7H1CI" hidden="1">#REF!</definedName>
    <definedName name="BEx5JHCZJ8G6OOOW6EF3GABXKH6F" localSheetId="56" hidden="1">#REF!</definedName>
    <definedName name="BEx5JHCZJ8G6OOOW6EF3GABXKH6F" localSheetId="55" hidden="1">#REF!</definedName>
    <definedName name="BEx5JHCZJ8G6OOOW6EF3GABXKH6F" localSheetId="4" hidden="1">#REF!</definedName>
    <definedName name="BEx5JHCZJ8G6OOOW6EF3GABXKH6F" localSheetId="1" hidden="1">#REF!</definedName>
    <definedName name="BEx5JHCZJ8G6OOOW6EF3GABXKH6F" localSheetId="9" hidden="1">#REF!</definedName>
    <definedName name="BEx5JHCZJ8G6OOOW6EF3GABXKH6F" hidden="1">#REF!</definedName>
    <definedName name="BEx5JJB6W446THXQCRUKD3I7RKLP" localSheetId="56" hidden="1">#REF!</definedName>
    <definedName name="BEx5JJB6W446THXQCRUKD3I7RKLP" localSheetId="55" hidden="1">#REF!</definedName>
    <definedName name="BEx5JJB6W446THXQCRUKD3I7RKLP" localSheetId="4" hidden="1">#REF!</definedName>
    <definedName name="BEx5JJB6W446THXQCRUKD3I7RKLP" localSheetId="1" hidden="1">#REF!</definedName>
    <definedName name="BEx5JJB6W446THXQCRUKD3I7RKLP" localSheetId="9" hidden="1">#REF!</definedName>
    <definedName name="BEx5JJB6W446THXQCRUKD3I7RKLP" hidden="1">#REF!</definedName>
    <definedName name="BEx5JNCT8Z7XSSPD5EMNAJELCU2V" localSheetId="56" hidden="1">#REF!</definedName>
    <definedName name="BEx5JNCT8Z7XSSPD5EMNAJELCU2V" localSheetId="55" hidden="1">#REF!</definedName>
    <definedName name="BEx5JNCT8Z7XSSPD5EMNAJELCU2V" localSheetId="4" hidden="1">#REF!</definedName>
    <definedName name="BEx5JNCT8Z7XSSPD5EMNAJELCU2V" localSheetId="1" hidden="1">#REF!</definedName>
    <definedName name="BEx5JNCT8Z7XSSPD5EMNAJELCU2V" localSheetId="9" hidden="1">#REF!</definedName>
    <definedName name="BEx5JNCT8Z7XSSPD5EMNAJELCU2V" hidden="1">#REF!</definedName>
    <definedName name="BEx5JQCNT9Y4RM306CHC8IPY3HBZ" localSheetId="56" hidden="1">#REF!</definedName>
    <definedName name="BEx5JQCNT9Y4RM306CHC8IPY3HBZ" localSheetId="55" hidden="1">#REF!</definedName>
    <definedName name="BEx5JQCNT9Y4RM306CHC8IPY3HBZ" localSheetId="4" hidden="1">#REF!</definedName>
    <definedName name="BEx5JQCNT9Y4RM306CHC8IPY3HBZ" localSheetId="1" hidden="1">#REF!</definedName>
    <definedName name="BEx5JQCNT9Y4RM306CHC8IPY3HBZ" localSheetId="9" hidden="1">#REF!</definedName>
    <definedName name="BEx5JQCNT9Y4RM306CHC8IPY3HBZ" hidden="1">#REF!</definedName>
    <definedName name="BEx5K08PYKE6JOKBYIB006TX619P" localSheetId="56" hidden="1">#REF!</definedName>
    <definedName name="BEx5K08PYKE6JOKBYIB006TX619P" localSheetId="55" hidden="1">#REF!</definedName>
    <definedName name="BEx5K08PYKE6JOKBYIB006TX619P" localSheetId="4" hidden="1">#REF!</definedName>
    <definedName name="BEx5K08PYKE6JOKBYIB006TX619P" localSheetId="1" hidden="1">#REF!</definedName>
    <definedName name="BEx5K08PYKE6JOKBYIB006TX619P" localSheetId="9" hidden="1">#REF!</definedName>
    <definedName name="BEx5K08PYKE6JOKBYIB006TX619P" hidden="1">#REF!</definedName>
    <definedName name="BEx5K4W2S2K7M9V2M304KW93LK8Q" localSheetId="56" hidden="1">#REF!</definedName>
    <definedName name="BEx5K4W2S2K7M9V2M304KW93LK8Q" localSheetId="55" hidden="1">#REF!</definedName>
    <definedName name="BEx5K4W2S2K7M9V2M304KW93LK8Q" localSheetId="4" hidden="1">#REF!</definedName>
    <definedName name="BEx5K4W2S2K7M9V2M304KW93LK8Q" localSheetId="1" hidden="1">#REF!</definedName>
    <definedName name="BEx5K4W2S2K7M9V2M304KW93LK8Q" localSheetId="9" hidden="1">#REF!</definedName>
    <definedName name="BEx5K4W2S2K7M9V2M304KW93LK8Q" hidden="1">#REF!</definedName>
    <definedName name="BEx5K51DSERT1TR7B4A29R41W4NX" localSheetId="56" hidden="1">#REF!</definedName>
    <definedName name="BEx5K51DSERT1TR7B4A29R41W4NX" localSheetId="55" hidden="1">#REF!</definedName>
    <definedName name="BEx5K51DSERT1TR7B4A29R41W4NX" localSheetId="4" hidden="1">#REF!</definedName>
    <definedName name="BEx5K51DSERT1TR7B4A29R41W4NX" localSheetId="1" hidden="1">#REF!</definedName>
    <definedName name="BEx5K51DSERT1TR7B4A29R41W4NX" localSheetId="9" hidden="1">#REF!</definedName>
    <definedName name="BEx5K51DSERT1TR7B4A29R41W4NX" hidden="1">#REF!</definedName>
    <definedName name="BEx5KBBZ8KCEQK36ARG4ERYOFD4G" localSheetId="56" hidden="1">#REF!</definedName>
    <definedName name="BEx5KBBZ8KCEQK36ARG4ERYOFD4G" localSheetId="55" hidden="1">#REF!</definedName>
    <definedName name="BEx5KBBZ8KCEQK36ARG4ERYOFD4G" localSheetId="4" hidden="1">#REF!</definedName>
    <definedName name="BEx5KBBZ8KCEQK36ARG4ERYOFD4G" localSheetId="1" hidden="1">#REF!</definedName>
    <definedName name="BEx5KBBZ8KCEQK36ARG4ERYOFD4G" localSheetId="9" hidden="1">#REF!</definedName>
    <definedName name="BEx5KBBZ8KCEQK36ARG4ERYOFD4G" hidden="1">#REF!</definedName>
    <definedName name="BEx5KCOET0DYMY4VILOLGVBX7E3C" localSheetId="56" hidden="1">#REF!</definedName>
    <definedName name="BEx5KCOET0DYMY4VILOLGVBX7E3C" localSheetId="55" hidden="1">#REF!</definedName>
    <definedName name="BEx5KCOET0DYMY4VILOLGVBX7E3C" localSheetId="4" hidden="1">#REF!</definedName>
    <definedName name="BEx5KCOET0DYMY4VILOLGVBX7E3C" localSheetId="1" hidden="1">#REF!</definedName>
    <definedName name="BEx5KCOET0DYMY4VILOLGVBX7E3C" localSheetId="9" hidden="1">#REF!</definedName>
    <definedName name="BEx5KCOET0DYMY4VILOLGVBX7E3C" hidden="1">#REF!</definedName>
    <definedName name="BEx5KYER580I4T7WTLMUN7NLNP5K" localSheetId="56" hidden="1">#REF!</definedName>
    <definedName name="BEx5KYER580I4T7WTLMUN7NLNP5K" localSheetId="55" hidden="1">#REF!</definedName>
    <definedName name="BEx5KYER580I4T7WTLMUN7NLNP5K" localSheetId="4" hidden="1">#REF!</definedName>
    <definedName name="BEx5KYER580I4T7WTLMUN7NLNP5K" localSheetId="1" hidden="1">#REF!</definedName>
    <definedName name="BEx5KYER580I4T7WTLMUN7NLNP5K" localSheetId="9" hidden="1">#REF!</definedName>
    <definedName name="BEx5KYER580I4T7WTLMUN7NLNP5K" hidden="1">#REF!</definedName>
    <definedName name="BEx5LHLB3M6K4ZKY2F42QBZT30ZH" localSheetId="56" hidden="1">#REF!</definedName>
    <definedName name="BEx5LHLB3M6K4ZKY2F42QBZT30ZH" localSheetId="55" hidden="1">#REF!</definedName>
    <definedName name="BEx5LHLB3M6K4ZKY2F42QBZT30ZH" localSheetId="4" hidden="1">#REF!</definedName>
    <definedName name="BEx5LHLB3M6K4ZKY2F42QBZT30ZH" localSheetId="1" hidden="1">#REF!</definedName>
    <definedName name="BEx5LHLB3M6K4ZKY2F42QBZT30ZH" localSheetId="9" hidden="1">#REF!</definedName>
    <definedName name="BEx5LHLB3M6K4ZKY2F42QBZT30ZH" hidden="1">#REF!</definedName>
    <definedName name="BEx5LKQJG40DO2JR1ZF6KD3PON9K" localSheetId="56" hidden="1">#REF!</definedName>
    <definedName name="BEx5LKQJG40DO2JR1ZF6KD3PON9K" localSheetId="55" hidden="1">#REF!</definedName>
    <definedName name="BEx5LKQJG40DO2JR1ZF6KD3PON9K" localSheetId="4" hidden="1">#REF!</definedName>
    <definedName name="BEx5LKQJG40DO2JR1ZF6KD3PON9K" localSheetId="1" hidden="1">#REF!</definedName>
    <definedName name="BEx5LKQJG40DO2JR1ZF6KD3PON9K" localSheetId="9" hidden="1">#REF!</definedName>
    <definedName name="BEx5LKQJG40DO2JR1ZF6KD3PON9K" hidden="1">#REF!</definedName>
    <definedName name="BEx5LQA84QRPGAR4FLC7MCT3H9EN" localSheetId="56" hidden="1">#REF!</definedName>
    <definedName name="BEx5LQA84QRPGAR4FLC7MCT3H9EN" localSheetId="55" hidden="1">#REF!</definedName>
    <definedName name="BEx5LQA84QRPGAR4FLC7MCT3H9EN" localSheetId="4" hidden="1">#REF!</definedName>
    <definedName name="BEx5LQA84QRPGAR4FLC7MCT3H9EN" localSheetId="1" hidden="1">#REF!</definedName>
    <definedName name="BEx5LQA84QRPGAR4FLC7MCT3H9EN" localSheetId="9" hidden="1">#REF!</definedName>
    <definedName name="BEx5LQA84QRPGAR4FLC7MCT3H9EN" hidden="1">#REF!</definedName>
    <definedName name="BEx5LRMNU3HXIE1BUMDHRU31F7JJ" localSheetId="56" hidden="1">#REF!</definedName>
    <definedName name="BEx5LRMNU3HXIE1BUMDHRU31F7JJ" localSheetId="55" hidden="1">#REF!</definedName>
    <definedName name="BEx5LRMNU3HXIE1BUMDHRU31F7JJ" localSheetId="4" hidden="1">#REF!</definedName>
    <definedName name="BEx5LRMNU3HXIE1BUMDHRU31F7JJ" localSheetId="1" hidden="1">#REF!</definedName>
    <definedName name="BEx5LRMNU3HXIE1BUMDHRU31F7JJ" localSheetId="9" hidden="1">#REF!</definedName>
    <definedName name="BEx5LRMNU3HXIE1BUMDHRU31F7JJ" hidden="1">#REF!</definedName>
    <definedName name="BEx5LSJ1LPUAX3ENSPECWPG4J7D1" localSheetId="56" hidden="1">#REF!</definedName>
    <definedName name="BEx5LSJ1LPUAX3ENSPECWPG4J7D1" localSheetId="55" hidden="1">#REF!</definedName>
    <definedName name="BEx5LSJ1LPUAX3ENSPECWPG4J7D1" localSheetId="4" hidden="1">#REF!</definedName>
    <definedName name="BEx5LSJ1LPUAX3ENSPECWPG4J7D1" localSheetId="1" hidden="1">#REF!</definedName>
    <definedName name="BEx5LSJ1LPUAX3ENSPECWPG4J7D1" localSheetId="9" hidden="1">#REF!</definedName>
    <definedName name="BEx5LSJ1LPUAX3ENSPECWPG4J7D1" hidden="1">#REF!</definedName>
    <definedName name="BEx5LTKQ8RQWJE4BC88OP928893U" localSheetId="56" hidden="1">#REF!</definedName>
    <definedName name="BEx5LTKQ8RQWJE4BC88OP928893U" localSheetId="55" hidden="1">#REF!</definedName>
    <definedName name="BEx5LTKQ8RQWJE4BC88OP928893U" localSheetId="4" hidden="1">#REF!</definedName>
    <definedName name="BEx5LTKQ8RQWJE4BC88OP928893U" localSheetId="1" hidden="1">#REF!</definedName>
    <definedName name="BEx5LTKQ8RQWJE4BC88OP928893U" localSheetId="9" hidden="1">#REF!</definedName>
    <definedName name="BEx5LTKQ8RQWJE4BC88OP928893U" hidden="1">#REF!</definedName>
    <definedName name="BEx5M4D4KHXU4JXKDEHZZNRG7NRA" localSheetId="56" hidden="1">#REF!</definedName>
    <definedName name="BEx5M4D4KHXU4JXKDEHZZNRG7NRA" localSheetId="55" hidden="1">#REF!</definedName>
    <definedName name="BEx5M4D4KHXU4JXKDEHZZNRG7NRA" localSheetId="4" hidden="1">#REF!</definedName>
    <definedName name="BEx5M4D4KHXU4JXKDEHZZNRG7NRA" localSheetId="1" hidden="1">#REF!</definedName>
    <definedName name="BEx5M4D4KHXU4JXKDEHZZNRG7NRA" localSheetId="9" hidden="1">#REF!</definedName>
    <definedName name="BEx5M4D4KHXU4JXKDEHZZNRG7NRA" hidden="1">#REF!</definedName>
    <definedName name="BEx5MB9BR71LZDG7XXQ2EO58JC5F" localSheetId="56" hidden="1">#REF!</definedName>
    <definedName name="BEx5MB9BR71LZDG7XXQ2EO58JC5F" localSheetId="55" hidden="1">#REF!</definedName>
    <definedName name="BEx5MB9BR71LZDG7XXQ2EO58JC5F" localSheetId="4" hidden="1">#REF!</definedName>
    <definedName name="BEx5MB9BR71LZDG7XXQ2EO58JC5F" localSheetId="1" hidden="1">#REF!</definedName>
    <definedName name="BEx5MB9BR71LZDG7XXQ2EO58JC5F" localSheetId="9" hidden="1">#REF!</definedName>
    <definedName name="BEx5MB9BR71LZDG7XXQ2EO58JC5F" hidden="1">#REF!</definedName>
    <definedName name="BEx5MHEF05EVRV5DPTG4KMPWZSUS" localSheetId="56" hidden="1">#REF!</definedName>
    <definedName name="BEx5MHEF05EVRV5DPTG4KMPWZSUS" localSheetId="55" hidden="1">#REF!</definedName>
    <definedName name="BEx5MHEF05EVRV5DPTG4KMPWZSUS" localSheetId="4" hidden="1">#REF!</definedName>
    <definedName name="BEx5MHEF05EVRV5DPTG4KMPWZSUS" localSheetId="1" hidden="1">#REF!</definedName>
    <definedName name="BEx5MHEF05EVRV5DPTG4KMPWZSUS" localSheetId="9" hidden="1">#REF!</definedName>
    <definedName name="BEx5MHEF05EVRV5DPTG4KMPWZSUS" hidden="1">#REF!</definedName>
    <definedName name="BEx5MLQZM68YQSKARVWTTPINFQ2C" localSheetId="45" hidden="1">#REF!</definedName>
    <definedName name="BEx5MLQZM68YQSKARVWTTPINFQ2C" localSheetId="51" hidden="1">#REF!</definedName>
    <definedName name="BEx5MLQZM68YQSKARVWTTPINFQ2C" localSheetId="52" hidden="1">#REF!</definedName>
    <definedName name="BEx5MLQZM68YQSKARVWTTPINFQ2C" localSheetId="56" hidden="1">#REF!</definedName>
    <definedName name="BEx5MLQZM68YQSKARVWTTPINFQ2C" localSheetId="55" hidden="1">#REF!</definedName>
    <definedName name="BEx5MLQZM68YQSKARVWTTPINFQ2C" localSheetId="53" hidden="1">#REF!</definedName>
    <definedName name="BEx5MLQZM68YQSKARVWTTPINFQ2C" localSheetId="54" hidden="1">#REF!</definedName>
    <definedName name="BEx5MLQZM68YQSKARVWTTPINFQ2C" localSheetId="4" hidden="1">#REF!</definedName>
    <definedName name="BEx5MLQZM68YQSKARVWTTPINFQ2C" localSheetId="1" hidden="1">#REF!</definedName>
    <definedName name="BEx5MLQZM68YQSKARVWTTPINFQ2C" localSheetId="9" hidden="1">#REF!</definedName>
    <definedName name="BEx5MLQZM68YQSKARVWTTPINFQ2C" hidden="1">#REF!</definedName>
    <definedName name="BEx5MMCJMU7FOOWUCW9EA13B7V5F" localSheetId="56" hidden="1">#REF!</definedName>
    <definedName name="BEx5MMCJMU7FOOWUCW9EA13B7V5F" localSheetId="55" hidden="1">#REF!</definedName>
    <definedName name="BEx5MMCJMU7FOOWUCW9EA13B7V5F" localSheetId="4" hidden="1">#REF!</definedName>
    <definedName name="BEx5MMCJMU7FOOWUCW9EA13B7V5F" localSheetId="1" hidden="1">#REF!</definedName>
    <definedName name="BEx5MMCJMU7FOOWUCW9EA13B7V5F" localSheetId="9" hidden="1">#REF!</definedName>
    <definedName name="BEx5MMCJMU7FOOWUCW9EA13B7V5F" hidden="1">#REF!</definedName>
    <definedName name="BEx5MVXTKNBXHNWTL43C670E4KXC" localSheetId="56" hidden="1">#REF!</definedName>
    <definedName name="BEx5MVXTKNBXHNWTL43C670E4KXC" localSheetId="55" hidden="1">#REF!</definedName>
    <definedName name="BEx5MVXTKNBXHNWTL43C670E4KXC" localSheetId="4" hidden="1">#REF!</definedName>
    <definedName name="BEx5MVXTKNBXHNWTL43C670E4KXC" localSheetId="1" hidden="1">#REF!</definedName>
    <definedName name="BEx5MVXTKNBXHNWTL43C670E4KXC" localSheetId="9" hidden="1">#REF!</definedName>
    <definedName name="BEx5MVXTKNBXHNWTL43C670E4KXC" hidden="1">#REF!</definedName>
    <definedName name="BEx5MWZGZ3VRB5418C2RNF9H17BQ" localSheetId="56" hidden="1">#REF!</definedName>
    <definedName name="BEx5MWZGZ3VRB5418C2RNF9H17BQ" localSheetId="55" hidden="1">#REF!</definedName>
    <definedName name="BEx5MWZGZ3VRB5418C2RNF9H17BQ" localSheetId="4" hidden="1">#REF!</definedName>
    <definedName name="BEx5MWZGZ3VRB5418C2RNF9H17BQ" localSheetId="1" hidden="1">#REF!</definedName>
    <definedName name="BEx5MWZGZ3VRB5418C2RNF9H17BQ" localSheetId="9" hidden="1">#REF!</definedName>
    <definedName name="BEx5MWZGZ3VRB5418C2RNF9H17BQ" hidden="1">#REF!</definedName>
    <definedName name="BEx5MX4YD2QV39W04QH9C6AOA0FB" localSheetId="56" hidden="1">#REF!</definedName>
    <definedName name="BEx5MX4YD2QV39W04QH9C6AOA0FB" localSheetId="55" hidden="1">#REF!</definedName>
    <definedName name="BEx5MX4YD2QV39W04QH9C6AOA0FB" localSheetId="4" hidden="1">#REF!</definedName>
    <definedName name="BEx5MX4YD2QV39W04QH9C6AOA0FB" localSheetId="1" hidden="1">#REF!</definedName>
    <definedName name="BEx5MX4YD2QV39W04QH9C6AOA0FB" localSheetId="9" hidden="1">#REF!</definedName>
    <definedName name="BEx5MX4YD2QV39W04QH9C6AOA0FB" hidden="1">#REF!</definedName>
    <definedName name="BEx5N3A8LULD7YBJH5J83X27PZSW" localSheetId="56" hidden="1">#REF!</definedName>
    <definedName name="BEx5N3A8LULD7YBJH5J83X27PZSW" localSheetId="55" hidden="1">#REF!</definedName>
    <definedName name="BEx5N3A8LULD7YBJH5J83X27PZSW" localSheetId="4" hidden="1">#REF!</definedName>
    <definedName name="BEx5N3A8LULD7YBJH5J83X27PZSW" localSheetId="1" hidden="1">#REF!</definedName>
    <definedName name="BEx5N3A8LULD7YBJH5J83X27PZSW" localSheetId="9" hidden="1">#REF!</definedName>
    <definedName name="BEx5N3A8LULD7YBJH5J83X27PZSW" hidden="1">#REF!</definedName>
    <definedName name="BEx5N4XI4PWB1W9PMZ4O5R0HWTYD" localSheetId="56" hidden="1">#REF!</definedName>
    <definedName name="BEx5N4XI4PWB1W9PMZ4O5R0HWTYD" localSheetId="55" hidden="1">#REF!</definedName>
    <definedName name="BEx5N4XI4PWB1W9PMZ4O5R0HWTYD" localSheetId="4" hidden="1">#REF!</definedName>
    <definedName name="BEx5N4XI4PWB1W9PMZ4O5R0HWTYD" localSheetId="1" hidden="1">#REF!</definedName>
    <definedName name="BEx5N4XI4PWB1W9PMZ4O5R0HWTYD" localSheetId="9" hidden="1">#REF!</definedName>
    <definedName name="BEx5N4XI4PWB1W9PMZ4O5R0HWTYD" hidden="1">#REF!</definedName>
    <definedName name="BEx5N8DH1SY888WI2GZ2D6E9XCXB" localSheetId="56" hidden="1">#REF!</definedName>
    <definedName name="BEx5N8DH1SY888WI2GZ2D6E9XCXB" localSheetId="55" hidden="1">#REF!</definedName>
    <definedName name="BEx5N8DH1SY888WI2GZ2D6E9XCXB" localSheetId="4" hidden="1">#REF!</definedName>
    <definedName name="BEx5N8DH1SY888WI2GZ2D6E9XCXB" localSheetId="1" hidden="1">#REF!</definedName>
    <definedName name="BEx5N8DH1SY888WI2GZ2D6E9XCXB" localSheetId="9" hidden="1">#REF!</definedName>
    <definedName name="BEx5N8DH1SY888WI2GZ2D6E9XCXB" hidden="1">#REF!</definedName>
    <definedName name="BEx5NA68N6FJFX9UJXK4M14U487F" localSheetId="56" hidden="1">#REF!</definedName>
    <definedName name="BEx5NA68N6FJFX9UJXK4M14U487F" localSheetId="55" hidden="1">#REF!</definedName>
    <definedName name="BEx5NA68N6FJFX9UJXK4M14U487F" localSheetId="4" hidden="1">#REF!</definedName>
    <definedName name="BEx5NA68N6FJFX9UJXK4M14U487F" localSheetId="1" hidden="1">#REF!</definedName>
    <definedName name="BEx5NA68N6FJFX9UJXK4M14U487F" localSheetId="9" hidden="1">#REF!</definedName>
    <definedName name="BEx5NA68N6FJFX9UJXK4M14U487F" hidden="1">#REF!</definedName>
    <definedName name="BEx5NIKBG2GDJOYGE3WCXKU7YY51" localSheetId="56" hidden="1">#REF!</definedName>
    <definedName name="BEx5NIKBG2GDJOYGE3WCXKU7YY51" localSheetId="55" hidden="1">#REF!</definedName>
    <definedName name="BEx5NIKBG2GDJOYGE3WCXKU7YY51" localSheetId="4" hidden="1">#REF!</definedName>
    <definedName name="BEx5NIKBG2GDJOYGE3WCXKU7YY51" localSheetId="1" hidden="1">#REF!</definedName>
    <definedName name="BEx5NIKBG2GDJOYGE3WCXKU7YY51" localSheetId="9" hidden="1">#REF!</definedName>
    <definedName name="BEx5NIKBG2GDJOYGE3WCXKU7YY51" hidden="1">#REF!</definedName>
    <definedName name="BEx5NV06L5J5IMKGOMGKGJ4PBZCD" localSheetId="56" hidden="1">#REF!</definedName>
    <definedName name="BEx5NV06L5J5IMKGOMGKGJ4PBZCD" localSheetId="55" hidden="1">#REF!</definedName>
    <definedName name="BEx5NV06L5J5IMKGOMGKGJ4PBZCD" localSheetId="4" hidden="1">#REF!</definedName>
    <definedName name="BEx5NV06L5J5IMKGOMGKGJ4PBZCD" localSheetId="1" hidden="1">#REF!</definedName>
    <definedName name="BEx5NV06L5J5IMKGOMGKGJ4PBZCD" localSheetId="9" hidden="1">#REF!</definedName>
    <definedName name="BEx5NV06L5J5IMKGOMGKGJ4PBZCD" hidden="1">#REF!</definedName>
    <definedName name="BEx5NW1V6AB25NEEX9VPHRXWJDSS" localSheetId="56" hidden="1">#REF!</definedName>
    <definedName name="BEx5NW1V6AB25NEEX9VPHRXWJDSS" localSheetId="55" hidden="1">#REF!</definedName>
    <definedName name="BEx5NW1V6AB25NEEX9VPHRXWJDSS" localSheetId="4" hidden="1">#REF!</definedName>
    <definedName name="BEx5NW1V6AB25NEEX9VPHRXWJDSS" localSheetId="1" hidden="1">#REF!</definedName>
    <definedName name="BEx5NW1V6AB25NEEX9VPHRXWJDSS" localSheetId="9" hidden="1">#REF!</definedName>
    <definedName name="BEx5NW1V6AB25NEEX9VPHRXWJDSS" hidden="1">#REF!</definedName>
    <definedName name="BEx5NWSXWACAUHWVZAI57DGZ8OCQ" localSheetId="56" hidden="1">#REF!</definedName>
    <definedName name="BEx5NWSXWACAUHWVZAI57DGZ8OCQ" localSheetId="55" hidden="1">#REF!</definedName>
    <definedName name="BEx5NWSXWACAUHWVZAI57DGZ8OCQ" localSheetId="4" hidden="1">#REF!</definedName>
    <definedName name="BEx5NWSXWACAUHWVZAI57DGZ8OCQ" localSheetId="1" hidden="1">#REF!</definedName>
    <definedName name="BEx5NWSXWACAUHWVZAI57DGZ8OCQ" localSheetId="9" hidden="1">#REF!</definedName>
    <definedName name="BEx5NWSXWACAUHWVZAI57DGZ8OCQ" hidden="1">#REF!</definedName>
    <definedName name="BEx5NZSSQ6PY99ZX2D7Q9IGOR34W" localSheetId="56" hidden="1">#REF!</definedName>
    <definedName name="BEx5NZSSQ6PY99ZX2D7Q9IGOR34W" localSheetId="55" hidden="1">#REF!</definedName>
    <definedName name="BEx5NZSSQ6PY99ZX2D7Q9IGOR34W" localSheetId="4" hidden="1">#REF!</definedName>
    <definedName name="BEx5NZSSQ6PY99ZX2D7Q9IGOR34W" localSheetId="1" hidden="1">#REF!</definedName>
    <definedName name="BEx5NZSSQ6PY99ZX2D7Q9IGOR34W" localSheetId="9" hidden="1">#REF!</definedName>
    <definedName name="BEx5NZSSQ6PY99ZX2D7Q9IGOR34W" hidden="1">#REF!</definedName>
    <definedName name="BEx5O2N9HTGG4OJHR62PKFMNZTTW" localSheetId="56" hidden="1">#REF!</definedName>
    <definedName name="BEx5O2N9HTGG4OJHR62PKFMNZTTW" localSheetId="55" hidden="1">#REF!</definedName>
    <definedName name="BEx5O2N9HTGG4OJHR62PKFMNZTTW" localSheetId="4" hidden="1">#REF!</definedName>
    <definedName name="BEx5O2N9HTGG4OJHR62PKFMNZTTW" localSheetId="1" hidden="1">#REF!</definedName>
    <definedName name="BEx5O2N9HTGG4OJHR62PKFMNZTTW" localSheetId="9" hidden="1">#REF!</definedName>
    <definedName name="BEx5O2N9HTGG4OJHR62PKFMNZTTW" hidden="1">#REF!</definedName>
    <definedName name="BEx5O3ZUQ2OARA1CDOZ3NC4UE5AA" localSheetId="56" hidden="1">#REF!</definedName>
    <definedName name="BEx5O3ZUQ2OARA1CDOZ3NC4UE5AA" localSheetId="55" hidden="1">#REF!</definedName>
    <definedName name="BEx5O3ZUQ2OARA1CDOZ3NC4UE5AA" localSheetId="4" hidden="1">#REF!</definedName>
    <definedName name="BEx5O3ZUQ2OARA1CDOZ3NC4UE5AA" localSheetId="1" hidden="1">#REF!</definedName>
    <definedName name="BEx5O3ZUQ2OARA1CDOZ3NC4UE5AA" localSheetId="9" hidden="1">#REF!</definedName>
    <definedName name="BEx5O3ZUQ2OARA1CDOZ3NC4UE5AA" hidden="1">#REF!</definedName>
    <definedName name="BEx5OAFS0NJ2CB86A02E1JYHMLQ1" localSheetId="56" hidden="1">#REF!</definedName>
    <definedName name="BEx5OAFS0NJ2CB86A02E1JYHMLQ1" localSheetId="55" hidden="1">#REF!</definedName>
    <definedName name="BEx5OAFS0NJ2CB86A02E1JYHMLQ1" localSheetId="4" hidden="1">#REF!</definedName>
    <definedName name="BEx5OAFS0NJ2CB86A02E1JYHMLQ1" localSheetId="1" hidden="1">#REF!</definedName>
    <definedName name="BEx5OAFS0NJ2CB86A02E1JYHMLQ1" localSheetId="9" hidden="1">#REF!</definedName>
    <definedName name="BEx5OAFS0NJ2CB86A02E1JYHMLQ1" hidden="1">#REF!</definedName>
    <definedName name="BEx5OG4RPU8W1ETWDWM234NYYYEN" localSheetId="56" hidden="1">#REF!</definedName>
    <definedName name="BEx5OG4RPU8W1ETWDWM234NYYYEN" localSheetId="55" hidden="1">#REF!</definedName>
    <definedName name="BEx5OG4RPU8W1ETWDWM234NYYYEN" localSheetId="4" hidden="1">#REF!</definedName>
    <definedName name="BEx5OG4RPU8W1ETWDWM234NYYYEN" localSheetId="1" hidden="1">#REF!</definedName>
    <definedName name="BEx5OG4RPU8W1ETWDWM234NYYYEN" localSheetId="9" hidden="1">#REF!</definedName>
    <definedName name="BEx5OG4RPU8W1ETWDWM234NYYYEN" hidden="1">#REF!</definedName>
    <definedName name="BEx5OP9Y43F99O2IT69MKCCXGL61" localSheetId="56" hidden="1">#REF!</definedName>
    <definedName name="BEx5OP9Y43F99O2IT69MKCCXGL61" localSheetId="55" hidden="1">#REF!</definedName>
    <definedName name="BEx5OP9Y43F99O2IT69MKCCXGL61" localSheetId="4" hidden="1">#REF!</definedName>
    <definedName name="BEx5OP9Y43F99O2IT69MKCCXGL61" localSheetId="1" hidden="1">#REF!</definedName>
    <definedName name="BEx5OP9Y43F99O2IT69MKCCXGL61" localSheetId="9" hidden="1">#REF!</definedName>
    <definedName name="BEx5OP9Y43F99O2IT69MKCCXGL61" hidden="1">#REF!</definedName>
    <definedName name="BEx5P9Y9RDXNUAJ6CZ2LHMM8IM7T" localSheetId="56" hidden="1">#REF!</definedName>
    <definedName name="BEx5P9Y9RDXNUAJ6CZ2LHMM8IM7T" localSheetId="55" hidden="1">#REF!</definedName>
    <definedName name="BEx5P9Y9RDXNUAJ6CZ2LHMM8IM7T" localSheetId="4" hidden="1">#REF!</definedName>
    <definedName name="BEx5P9Y9RDXNUAJ6CZ2LHMM8IM7T" localSheetId="1" hidden="1">#REF!</definedName>
    <definedName name="BEx5P9Y9RDXNUAJ6CZ2LHMM8IM7T" localSheetId="9" hidden="1">#REF!</definedName>
    <definedName name="BEx5P9Y9RDXNUAJ6CZ2LHMM8IM7T" hidden="1">#REF!</definedName>
    <definedName name="BEx5PHWB2C0D5QLP3BZIP3UO7DIZ" localSheetId="56" hidden="1">#REF!</definedName>
    <definedName name="BEx5PHWB2C0D5QLP3BZIP3UO7DIZ" localSheetId="55" hidden="1">#REF!</definedName>
    <definedName name="BEx5PHWB2C0D5QLP3BZIP3UO7DIZ" localSheetId="4" hidden="1">#REF!</definedName>
    <definedName name="BEx5PHWB2C0D5QLP3BZIP3UO7DIZ" localSheetId="1" hidden="1">#REF!</definedName>
    <definedName name="BEx5PHWB2C0D5QLP3BZIP3UO7DIZ" localSheetId="9" hidden="1">#REF!</definedName>
    <definedName name="BEx5PHWB2C0D5QLP3BZIP3UO7DIZ" hidden="1">#REF!</definedName>
    <definedName name="BEx5PJP02W68K2E46L5C5YBSNU6T" localSheetId="56" hidden="1">#REF!</definedName>
    <definedName name="BEx5PJP02W68K2E46L5C5YBSNU6T" localSheetId="55" hidden="1">#REF!</definedName>
    <definedName name="BEx5PJP02W68K2E46L5C5YBSNU6T" localSheetId="4" hidden="1">#REF!</definedName>
    <definedName name="BEx5PJP02W68K2E46L5C5YBSNU6T" localSheetId="1" hidden="1">#REF!</definedName>
    <definedName name="BEx5PJP02W68K2E46L5C5YBSNU6T" localSheetId="9" hidden="1">#REF!</definedName>
    <definedName name="BEx5PJP02W68K2E46L5C5YBSNU6T" hidden="1">#REF!</definedName>
    <definedName name="BEx5PLCA8DOMAU315YCS5275L2HS" localSheetId="56" hidden="1">#REF!</definedName>
    <definedName name="BEx5PLCA8DOMAU315YCS5275L2HS" localSheetId="55" hidden="1">#REF!</definedName>
    <definedName name="BEx5PLCA8DOMAU315YCS5275L2HS" localSheetId="4" hidden="1">#REF!</definedName>
    <definedName name="BEx5PLCA8DOMAU315YCS5275L2HS" localSheetId="1" hidden="1">#REF!</definedName>
    <definedName name="BEx5PLCA8DOMAU315YCS5275L2HS" localSheetId="9" hidden="1">#REF!</definedName>
    <definedName name="BEx5PLCA8DOMAU315YCS5275L2HS" hidden="1">#REF!</definedName>
    <definedName name="BEx5PRXMZ5M65Z732WNNGV564C2J" localSheetId="56" hidden="1">#REF!</definedName>
    <definedName name="BEx5PRXMZ5M65Z732WNNGV564C2J" localSheetId="55" hidden="1">#REF!</definedName>
    <definedName name="BEx5PRXMZ5M65Z732WNNGV564C2J" localSheetId="4" hidden="1">#REF!</definedName>
    <definedName name="BEx5PRXMZ5M65Z732WNNGV564C2J" localSheetId="1" hidden="1">#REF!</definedName>
    <definedName name="BEx5PRXMZ5M65Z732WNNGV564C2J" localSheetId="9" hidden="1">#REF!</definedName>
    <definedName name="BEx5PRXMZ5M65Z732WNNGV564C2J" hidden="1">#REF!</definedName>
    <definedName name="BEx5Q29Y91E64DPE0YY53A6YHF3Y" localSheetId="56" hidden="1">#REF!</definedName>
    <definedName name="BEx5Q29Y91E64DPE0YY53A6YHF3Y" localSheetId="55" hidden="1">#REF!</definedName>
    <definedName name="BEx5Q29Y91E64DPE0YY53A6YHF3Y" localSheetId="4" hidden="1">#REF!</definedName>
    <definedName name="BEx5Q29Y91E64DPE0YY53A6YHF3Y" localSheetId="1" hidden="1">#REF!</definedName>
    <definedName name="BEx5Q29Y91E64DPE0YY53A6YHF3Y" localSheetId="9" hidden="1">#REF!</definedName>
    <definedName name="BEx5Q29Y91E64DPE0YY53A6YHF3Y" hidden="1">#REF!</definedName>
    <definedName name="BEx5QPSW4IPLH50WSR87HRER05RF" localSheetId="56" hidden="1">#REF!</definedName>
    <definedName name="BEx5QPSW4IPLH50WSR87HRER05RF" localSheetId="55" hidden="1">#REF!</definedName>
    <definedName name="BEx5QPSW4IPLH50WSR87HRER05RF" localSheetId="4" hidden="1">#REF!</definedName>
    <definedName name="BEx5QPSW4IPLH50WSR87HRER05RF" localSheetId="1" hidden="1">#REF!</definedName>
    <definedName name="BEx5QPSW4IPLH50WSR87HRER05RF" localSheetId="9" hidden="1">#REF!</definedName>
    <definedName name="BEx5QPSW4IPLH50WSR87HRER05RF" hidden="1">#REF!</definedName>
    <definedName name="BEx73V0EP8EMNRC3EZJJKKVKWQVB" localSheetId="56" hidden="1">#REF!</definedName>
    <definedName name="BEx73V0EP8EMNRC3EZJJKKVKWQVB" localSheetId="55" hidden="1">#REF!</definedName>
    <definedName name="BEx73V0EP8EMNRC3EZJJKKVKWQVB" localSheetId="4" hidden="1">#REF!</definedName>
    <definedName name="BEx73V0EP8EMNRC3EZJJKKVKWQVB" localSheetId="1" hidden="1">#REF!</definedName>
    <definedName name="BEx73V0EP8EMNRC3EZJJKKVKWQVB" localSheetId="9" hidden="1">#REF!</definedName>
    <definedName name="BEx73V0EP8EMNRC3EZJJKKVKWQVB" hidden="1">#REF!</definedName>
    <definedName name="BEx741WJHIJVXUX131SBXTVW8D71" localSheetId="56" hidden="1">#REF!</definedName>
    <definedName name="BEx741WJHIJVXUX131SBXTVW8D71" localSheetId="55" hidden="1">#REF!</definedName>
    <definedName name="BEx741WJHIJVXUX131SBXTVW8D71" localSheetId="4" hidden="1">#REF!</definedName>
    <definedName name="BEx741WJHIJVXUX131SBXTVW8D71" localSheetId="1" hidden="1">#REF!</definedName>
    <definedName name="BEx741WJHIJVXUX131SBXTVW8D71" localSheetId="9" hidden="1">#REF!</definedName>
    <definedName name="BEx741WJHIJVXUX131SBXTVW8D71" hidden="1">#REF!</definedName>
    <definedName name="BEx74Q6H3O7133AWQXWC21MI2UFT" localSheetId="56" hidden="1">#REF!</definedName>
    <definedName name="BEx74Q6H3O7133AWQXWC21MI2UFT" localSheetId="55" hidden="1">#REF!</definedName>
    <definedName name="BEx74Q6H3O7133AWQXWC21MI2UFT" localSheetId="4" hidden="1">#REF!</definedName>
    <definedName name="BEx74Q6H3O7133AWQXWC21MI2UFT" localSheetId="1" hidden="1">#REF!</definedName>
    <definedName name="BEx74Q6H3O7133AWQXWC21MI2UFT" localSheetId="9" hidden="1">#REF!</definedName>
    <definedName name="BEx74Q6H3O7133AWQXWC21MI2UFT" hidden="1">#REF!</definedName>
    <definedName name="BEx74R2VQ8BSMKPX25262AU3VZF7" localSheetId="56" hidden="1">#REF!</definedName>
    <definedName name="BEx74R2VQ8BSMKPX25262AU3VZF7" localSheetId="55" hidden="1">#REF!</definedName>
    <definedName name="BEx74R2VQ8BSMKPX25262AU3VZF7" localSheetId="4" hidden="1">#REF!</definedName>
    <definedName name="BEx74R2VQ8BSMKPX25262AU3VZF7" localSheetId="1" hidden="1">#REF!</definedName>
    <definedName name="BEx74R2VQ8BSMKPX25262AU3VZF7" localSheetId="9" hidden="1">#REF!</definedName>
    <definedName name="BEx74R2VQ8BSMKPX25262AU3VZF7" hidden="1">#REF!</definedName>
    <definedName name="BEx74W6BJ8ENO3J25WNM5H5APKA3" localSheetId="56" hidden="1">#REF!</definedName>
    <definedName name="BEx74W6BJ8ENO3J25WNM5H5APKA3" localSheetId="55" hidden="1">#REF!</definedName>
    <definedName name="BEx74W6BJ8ENO3J25WNM5H5APKA3" localSheetId="4" hidden="1">#REF!</definedName>
    <definedName name="BEx74W6BJ8ENO3J25WNM5H5APKA3" localSheetId="1" hidden="1">#REF!</definedName>
    <definedName name="BEx74W6BJ8ENO3J25WNM5H5APKA3" localSheetId="9" hidden="1">#REF!</definedName>
    <definedName name="BEx74W6BJ8ENO3J25WNM5H5APKA3" hidden="1">#REF!</definedName>
    <definedName name="BEx74YKLW1FKLWC3DJ2ELZBZBY1M" localSheetId="56" hidden="1">#REF!</definedName>
    <definedName name="BEx74YKLW1FKLWC3DJ2ELZBZBY1M" localSheetId="55" hidden="1">#REF!</definedName>
    <definedName name="BEx74YKLW1FKLWC3DJ2ELZBZBY1M" localSheetId="4" hidden="1">#REF!</definedName>
    <definedName name="BEx74YKLW1FKLWC3DJ2ELZBZBY1M" localSheetId="1" hidden="1">#REF!</definedName>
    <definedName name="BEx74YKLW1FKLWC3DJ2ELZBZBY1M" localSheetId="9" hidden="1">#REF!</definedName>
    <definedName name="BEx74YKLW1FKLWC3DJ2ELZBZBY1M" hidden="1">#REF!</definedName>
    <definedName name="BEx755GRRD9BL27YHLH5QWIYLWB7" localSheetId="56" hidden="1">#REF!</definedName>
    <definedName name="BEx755GRRD9BL27YHLH5QWIYLWB7" localSheetId="55" hidden="1">#REF!</definedName>
    <definedName name="BEx755GRRD9BL27YHLH5QWIYLWB7" localSheetId="4" hidden="1">#REF!</definedName>
    <definedName name="BEx755GRRD9BL27YHLH5QWIYLWB7" localSheetId="1" hidden="1">#REF!</definedName>
    <definedName name="BEx755GRRD9BL27YHLH5QWIYLWB7" localSheetId="9" hidden="1">#REF!</definedName>
    <definedName name="BEx755GRRD9BL27YHLH5QWIYLWB7" hidden="1">#REF!</definedName>
    <definedName name="BEx759D1D5SXS5ELLZVBI0SXYUNF" localSheetId="56" hidden="1">#REF!</definedName>
    <definedName name="BEx759D1D5SXS5ELLZVBI0SXYUNF" localSheetId="55" hidden="1">#REF!</definedName>
    <definedName name="BEx759D1D5SXS5ELLZVBI0SXYUNF" localSheetId="4" hidden="1">#REF!</definedName>
    <definedName name="BEx759D1D5SXS5ELLZVBI0SXYUNF" localSheetId="1" hidden="1">#REF!</definedName>
    <definedName name="BEx759D1D5SXS5ELLZVBI0SXYUNF" localSheetId="9" hidden="1">#REF!</definedName>
    <definedName name="BEx759D1D5SXS5ELLZVBI0SXYUNF" hidden="1">#REF!</definedName>
    <definedName name="BEx75DPEQTX055IZ2L8UVLJOT1DD" localSheetId="56" hidden="1">#REF!</definedName>
    <definedName name="BEx75DPEQTX055IZ2L8UVLJOT1DD" localSheetId="55" hidden="1">#REF!</definedName>
    <definedName name="BEx75DPEQTX055IZ2L8UVLJOT1DD" localSheetId="4" hidden="1">#REF!</definedName>
    <definedName name="BEx75DPEQTX055IZ2L8UVLJOT1DD" localSheetId="1" hidden="1">#REF!</definedName>
    <definedName name="BEx75DPEQTX055IZ2L8UVLJOT1DD" localSheetId="9" hidden="1">#REF!</definedName>
    <definedName name="BEx75DPEQTX055IZ2L8UVLJOT1DD" hidden="1">#REF!</definedName>
    <definedName name="BEx75GJZSZHUDN6OOAGQYFUDA2LP" localSheetId="56" hidden="1">#REF!</definedName>
    <definedName name="BEx75GJZSZHUDN6OOAGQYFUDA2LP" localSheetId="55" hidden="1">#REF!</definedName>
    <definedName name="BEx75GJZSZHUDN6OOAGQYFUDA2LP" localSheetId="4" hidden="1">#REF!</definedName>
    <definedName name="BEx75GJZSZHUDN6OOAGQYFUDA2LP" localSheetId="1" hidden="1">#REF!</definedName>
    <definedName name="BEx75GJZSZHUDN6OOAGQYFUDA2LP" localSheetId="9" hidden="1">#REF!</definedName>
    <definedName name="BEx75GJZSZHUDN6OOAGQYFUDA2LP" hidden="1">#REF!</definedName>
    <definedName name="BEx75HGCCV5K4UCJWYV8EV9AG5YT" localSheetId="56" hidden="1">#REF!</definedName>
    <definedName name="BEx75HGCCV5K4UCJWYV8EV9AG5YT" localSheetId="55" hidden="1">#REF!</definedName>
    <definedName name="BEx75HGCCV5K4UCJWYV8EV9AG5YT" localSheetId="4" hidden="1">#REF!</definedName>
    <definedName name="BEx75HGCCV5K4UCJWYV8EV9AG5YT" localSheetId="1" hidden="1">#REF!</definedName>
    <definedName name="BEx75HGCCV5K4UCJWYV8EV9AG5YT" localSheetId="9" hidden="1">#REF!</definedName>
    <definedName name="BEx75HGCCV5K4UCJWYV8EV9AG5YT" hidden="1">#REF!</definedName>
    <definedName name="BEx75PZT8TY5P13U978NVBUXKHT4" localSheetId="56" hidden="1">#REF!</definedName>
    <definedName name="BEx75PZT8TY5P13U978NVBUXKHT4" localSheetId="55" hidden="1">#REF!</definedName>
    <definedName name="BEx75PZT8TY5P13U978NVBUXKHT4" localSheetId="4" hidden="1">#REF!</definedName>
    <definedName name="BEx75PZT8TY5P13U978NVBUXKHT4" localSheetId="1" hidden="1">#REF!</definedName>
    <definedName name="BEx75PZT8TY5P13U978NVBUXKHT4" localSheetId="9" hidden="1">#REF!</definedName>
    <definedName name="BEx75PZT8TY5P13U978NVBUXKHT4" hidden="1">#REF!</definedName>
    <definedName name="BEx75T55F7GML8V1DMWL26WRT006" localSheetId="56" hidden="1">#REF!</definedName>
    <definedName name="BEx75T55F7GML8V1DMWL26WRT006" localSheetId="55" hidden="1">#REF!</definedName>
    <definedName name="BEx75T55F7GML8V1DMWL26WRT006" localSheetId="4" hidden="1">#REF!</definedName>
    <definedName name="BEx75T55F7GML8V1DMWL26WRT006" localSheetId="1" hidden="1">#REF!</definedName>
    <definedName name="BEx75T55F7GML8V1DMWL26WRT006" localSheetId="9" hidden="1">#REF!</definedName>
    <definedName name="BEx75T55F7GML8V1DMWL26WRT006" hidden="1">#REF!</definedName>
    <definedName name="BEx75VJGR07JY6UUWURQ4PJ29UKC" localSheetId="56" hidden="1">#REF!</definedName>
    <definedName name="BEx75VJGR07JY6UUWURQ4PJ29UKC" localSheetId="55" hidden="1">#REF!</definedName>
    <definedName name="BEx75VJGR07JY6UUWURQ4PJ29UKC" localSheetId="4" hidden="1">#REF!</definedName>
    <definedName name="BEx75VJGR07JY6UUWURQ4PJ29UKC" localSheetId="1" hidden="1">#REF!</definedName>
    <definedName name="BEx75VJGR07JY6UUWURQ4PJ29UKC" localSheetId="9" hidden="1">#REF!</definedName>
    <definedName name="BEx75VJGR07JY6UUWURQ4PJ29UKC" hidden="1">#REF!</definedName>
    <definedName name="BEx7696AZUPB1PK30JJQUWUELQPJ" localSheetId="56" hidden="1">#REF!</definedName>
    <definedName name="BEx7696AZUPB1PK30JJQUWUELQPJ" localSheetId="55" hidden="1">#REF!</definedName>
    <definedName name="BEx7696AZUPB1PK30JJQUWUELQPJ" localSheetId="4" hidden="1">#REF!</definedName>
    <definedName name="BEx7696AZUPB1PK30JJQUWUELQPJ" localSheetId="1" hidden="1">#REF!</definedName>
    <definedName name="BEx7696AZUPB1PK30JJQUWUELQPJ" localSheetId="9" hidden="1">#REF!</definedName>
    <definedName name="BEx7696AZUPB1PK30JJQUWUELQPJ" hidden="1">#REF!</definedName>
    <definedName name="BEx76PNR8S4T4VUQS0KU58SEX0VN" localSheetId="56" hidden="1">#REF!</definedName>
    <definedName name="BEx76PNR8S4T4VUQS0KU58SEX0VN" localSheetId="55" hidden="1">#REF!</definedName>
    <definedName name="BEx76PNR8S4T4VUQS0KU58SEX0VN" localSheetId="4" hidden="1">#REF!</definedName>
    <definedName name="BEx76PNR8S4T4VUQS0KU58SEX0VN" localSheetId="1" hidden="1">#REF!</definedName>
    <definedName name="BEx76PNR8S4T4VUQS0KU58SEX0VN" localSheetId="9" hidden="1">#REF!</definedName>
    <definedName name="BEx76PNR8S4T4VUQS0KU58SEX0VN" hidden="1">#REF!</definedName>
    <definedName name="BEx76YY7ODSIKDD9VDF9TLTDM18I" localSheetId="56" hidden="1">#REF!</definedName>
    <definedName name="BEx76YY7ODSIKDD9VDF9TLTDM18I" localSheetId="55" hidden="1">#REF!</definedName>
    <definedName name="BEx76YY7ODSIKDD9VDF9TLTDM18I" localSheetId="4" hidden="1">#REF!</definedName>
    <definedName name="BEx76YY7ODSIKDD9VDF9TLTDM18I" localSheetId="1" hidden="1">#REF!</definedName>
    <definedName name="BEx76YY7ODSIKDD9VDF9TLTDM18I" localSheetId="9" hidden="1">#REF!</definedName>
    <definedName name="BEx76YY7ODSIKDD9VDF9TLTDM18I" hidden="1">#REF!</definedName>
    <definedName name="BEx7705E86I9B7DTKMMJMAFSYMUL" localSheetId="56" hidden="1">#REF!</definedName>
    <definedName name="BEx7705E86I9B7DTKMMJMAFSYMUL" localSheetId="55" hidden="1">#REF!</definedName>
    <definedName name="BEx7705E86I9B7DTKMMJMAFSYMUL" localSheetId="4" hidden="1">#REF!</definedName>
    <definedName name="BEx7705E86I9B7DTKMMJMAFSYMUL" localSheetId="1" hidden="1">#REF!</definedName>
    <definedName name="BEx7705E86I9B7DTKMMJMAFSYMUL" localSheetId="9" hidden="1">#REF!</definedName>
    <definedName name="BEx7705E86I9B7DTKMMJMAFSYMUL" hidden="1">#REF!</definedName>
    <definedName name="BEx7741OUGLA0WJQLQRUJSL4DE00" localSheetId="56" hidden="1">#REF!</definedName>
    <definedName name="BEx7741OUGLA0WJQLQRUJSL4DE00" localSheetId="55" hidden="1">#REF!</definedName>
    <definedName name="BEx7741OUGLA0WJQLQRUJSL4DE00" localSheetId="4" hidden="1">#REF!</definedName>
    <definedName name="BEx7741OUGLA0WJQLQRUJSL4DE00" localSheetId="1" hidden="1">#REF!</definedName>
    <definedName name="BEx7741OUGLA0WJQLQRUJSL4DE00" localSheetId="9" hidden="1">#REF!</definedName>
    <definedName name="BEx7741OUGLA0WJQLQRUJSL4DE00" hidden="1">#REF!</definedName>
    <definedName name="BEx774N83DXLJZ54Q42PWIJZ2DN1" localSheetId="56" hidden="1">#REF!</definedName>
    <definedName name="BEx774N83DXLJZ54Q42PWIJZ2DN1" localSheetId="55" hidden="1">#REF!</definedName>
    <definedName name="BEx774N83DXLJZ54Q42PWIJZ2DN1" localSheetId="4" hidden="1">#REF!</definedName>
    <definedName name="BEx774N83DXLJZ54Q42PWIJZ2DN1" localSheetId="1" hidden="1">#REF!</definedName>
    <definedName name="BEx774N83DXLJZ54Q42PWIJZ2DN1" localSheetId="9" hidden="1">#REF!</definedName>
    <definedName name="BEx774N83DXLJZ54Q42PWIJZ2DN1" hidden="1">#REF!</definedName>
    <definedName name="BEx779QNIY3061ZV9BR462WKEGRW" localSheetId="56" hidden="1">#REF!</definedName>
    <definedName name="BEx779QNIY3061ZV9BR462WKEGRW" localSheetId="55" hidden="1">#REF!</definedName>
    <definedName name="BEx779QNIY3061ZV9BR462WKEGRW" localSheetId="4" hidden="1">#REF!</definedName>
    <definedName name="BEx779QNIY3061ZV9BR462WKEGRW" localSheetId="1" hidden="1">#REF!</definedName>
    <definedName name="BEx779QNIY3061ZV9BR462WKEGRW" localSheetId="9" hidden="1">#REF!</definedName>
    <definedName name="BEx779QNIY3061ZV9BR462WKEGRW" hidden="1">#REF!</definedName>
    <definedName name="BEx77G19QU9A95CNHE6QMVSQR2T3" localSheetId="56" hidden="1">#REF!</definedName>
    <definedName name="BEx77G19QU9A95CNHE6QMVSQR2T3" localSheetId="55" hidden="1">#REF!</definedName>
    <definedName name="BEx77G19QU9A95CNHE6QMVSQR2T3" localSheetId="4" hidden="1">#REF!</definedName>
    <definedName name="BEx77G19QU9A95CNHE6QMVSQR2T3" localSheetId="1" hidden="1">#REF!</definedName>
    <definedName name="BEx77G19QU9A95CNHE6QMVSQR2T3" localSheetId="9" hidden="1">#REF!</definedName>
    <definedName name="BEx77G19QU9A95CNHE6QMVSQR2T3" hidden="1">#REF!</definedName>
    <definedName name="BEx77P0S3GVMS7BJUL9OWUGJ1B02" localSheetId="56" hidden="1">#REF!</definedName>
    <definedName name="BEx77P0S3GVMS7BJUL9OWUGJ1B02" localSheetId="55" hidden="1">#REF!</definedName>
    <definedName name="BEx77P0S3GVMS7BJUL9OWUGJ1B02" localSheetId="4" hidden="1">#REF!</definedName>
    <definedName name="BEx77P0S3GVMS7BJUL9OWUGJ1B02" localSheetId="1" hidden="1">#REF!</definedName>
    <definedName name="BEx77P0S3GVMS7BJUL9OWUGJ1B02" localSheetId="9" hidden="1">#REF!</definedName>
    <definedName name="BEx77P0S3GVMS7BJUL9OWUGJ1B02" hidden="1">#REF!</definedName>
    <definedName name="BEx77QDESURI6WW5582YXSK3A972" localSheetId="56" hidden="1">#REF!</definedName>
    <definedName name="BEx77QDESURI6WW5582YXSK3A972" localSheetId="55" hidden="1">#REF!</definedName>
    <definedName name="BEx77QDESURI6WW5582YXSK3A972" localSheetId="4" hidden="1">#REF!</definedName>
    <definedName name="BEx77QDESURI6WW5582YXSK3A972" localSheetId="1" hidden="1">#REF!</definedName>
    <definedName name="BEx77QDESURI6WW5582YXSK3A972" localSheetId="9" hidden="1">#REF!</definedName>
    <definedName name="BEx77QDESURI6WW5582YXSK3A972" hidden="1">#REF!</definedName>
    <definedName name="BEx77VBI9XOPFHKEWU5EHQ9J675Y" localSheetId="56" hidden="1">#REF!</definedName>
    <definedName name="BEx77VBI9XOPFHKEWU5EHQ9J675Y" localSheetId="55" hidden="1">#REF!</definedName>
    <definedName name="BEx77VBI9XOPFHKEWU5EHQ9J675Y" localSheetId="4" hidden="1">#REF!</definedName>
    <definedName name="BEx77VBI9XOPFHKEWU5EHQ9J675Y" localSheetId="1" hidden="1">#REF!</definedName>
    <definedName name="BEx77VBI9XOPFHKEWU5EHQ9J675Y" localSheetId="9" hidden="1">#REF!</definedName>
    <definedName name="BEx77VBI9XOPFHKEWU5EHQ9J675Y" hidden="1">#REF!</definedName>
    <definedName name="BEx7809GQOCLHSNH95VOYIX7P1TV" localSheetId="56" hidden="1">#REF!</definedName>
    <definedName name="BEx7809GQOCLHSNH95VOYIX7P1TV" localSheetId="55" hidden="1">#REF!</definedName>
    <definedName name="BEx7809GQOCLHSNH95VOYIX7P1TV" localSheetId="4" hidden="1">#REF!</definedName>
    <definedName name="BEx7809GQOCLHSNH95VOYIX7P1TV" localSheetId="1" hidden="1">#REF!</definedName>
    <definedName name="BEx7809GQOCLHSNH95VOYIX7P1TV" localSheetId="9" hidden="1">#REF!</definedName>
    <definedName name="BEx7809GQOCLHSNH95VOYIX7P1TV" hidden="1">#REF!</definedName>
    <definedName name="BEx780K8XAXUHGVZGZWQ74DK4CI3" localSheetId="56" hidden="1">#REF!</definedName>
    <definedName name="BEx780K8XAXUHGVZGZWQ74DK4CI3" localSheetId="55" hidden="1">#REF!</definedName>
    <definedName name="BEx780K8XAXUHGVZGZWQ74DK4CI3" localSheetId="4" hidden="1">#REF!</definedName>
    <definedName name="BEx780K8XAXUHGVZGZWQ74DK4CI3" localSheetId="1" hidden="1">#REF!</definedName>
    <definedName name="BEx780K8XAXUHGVZGZWQ74DK4CI3" localSheetId="9" hidden="1">#REF!</definedName>
    <definedName name="BEx780K8XAXUHGVZGZWQ74DK4CI3" hidden="1">#REF!</definedName>
    <definedName name="BEx78226TN58UE0CTY98YEDU0LSL" localSheetId="56" hidden="1">#REF!</definedName>
    <definedName name="BEx78226TN58UE0CTY98YEDU0LSL" localSheetId="55" hidden="1">#REF!</definedName>
    <definedName name="BEx78226TN58UE0CTY98YEDU0LSL" localSheetId="4" hidden="1">#REF!</definedName>
    <definedName name="BEx78226TN58UE0CTY98YEDU0LSL" localSheetId="1" hidden="1">#REF!</definedName>
    <definedName name="BEx78226TN58UE0CTY98YEDU0LSL" localSheetId="9" hidden="1">#REF!</definedName>
    <definedName name="BEx78226TN58UE0CTY98YEDU0LSL" hidden="1">#REF!</definedName>
    <definedName name="BEx7881ZZBWHRAX6W2GY19J8MGEQ" localSheetId="56" hidden="1">#REF!</definedName>
    <definedName name="BEx7881ZZBWHRAX6W2GY19J8MGEQ" localSheetId="55" hidden="1">#REF!</definedName>
    <definedName name="BEx7881ZZBWHRAX6W2GY19J8MGEQ" localSheetId="4" hidden="1">#REF!</definedName>
    <definedName name="BEx7881ZZBWHRAX6W2GY19J8MGEQ" localSheetId="1" hidden="1">#REF!</definedName>
    <definedName name="BEx7881ZZBWHRAX6W2GY19J8MGEQ" localSheetId="9" hidden="1">#REF!</definedName>
    <definedName name="BEx7881ZZBWHRAX6W2GY19J8MGEQ" hidden="1">#REF!</definedName>
    <definedName name="BEx78BSYINF85GYNSCIRD95PH86Q" localSheetId="56" hidden="1">#REF!</definedName>
    <definedName name="BEx78BSYINF85GYNSCIRD95PH86Q" localSheetId="55" hidden="1">#REF!</definedName>
    <definedName name="BEx78BSYINF85GYNSCIRD95PH86Q" localSheetId="4" hidden="1">#REF!</definedName>
    <definedName name="BEx78BSYINF85GYNSCIRD95PH86Q" localSheetId="1" hidden="1">#REF!</definedName>
    <definedName name="BEx78BSYINF85GYNSCIRD95PH86Q" localSheetId="9" hidden="1">#REF!</definedName>
    <definedName name="BEx78BSYINF85GYNSCIRD95PH86Q" hidden="1">#REF!</definedName>
    <definedName name="BEx78HHRIWDLHQX2LG0HWFRYEL1T" localSheetId="56" hidden="1">#REF!</definedName>
    <definedName name="BEx78HHRIWDLHQX2LG0HWFRYEL1T" localSheetId="55" hidden="1">#REF!</definedName>
    <definedName name="BEx78HHRIWDLHQX2LG0HWFRYEL1T" localSheetId="4" hidden="1">#REF!</definedName>
    <definedName name="BEx78HHRIWDLHQX2LG0HWFRYEL1T" localSheetId="1" hidden="1">#REF!</definedName>
    <definedName name="BEx78HHRIWDLHQX2LG0HWFRYEL1T" localSheetId="9" hidden="1">#REF!</definedName>
    <definedName name="BEx78HHRIWDLHQX2LG0HWFRYEL1T" hidden="1">#REF!</definedName>
    <definedName name="BEx78QC4X2YVM9K6MQRB2WJG36N3" localSheetId="56" hidden="1">#REF!</definedName>
    <definedName name="BEx78QC4X2YVM9K6MQRB2WJG36N3" localSheetId="55" hidden="1">#REF!</definedName>
    <definedName name="BEx78QC4X2YVM9K6MQRB2WJG36N3" localSheetId="4" hidden="1">#REF!</definedName>
    <definedName name="BEx78QC4X2YVM9K6MQRB2WJG36N3" localSheetId="1" hidden="1">#REF!</definedName>
    <definedName name="BEx78QC4X2YVM9K6MQRB2WJG36N3" localSheetId="9" hidden="1">#REF!</definedName>
    <definedName name="BEx78QC4X2YVM9K6MQRB2WJG36N3" hidden="1">#REF!</definedName>
    <definedName name="BEx78QMXZ2P1ZB3HJ9O50DWHCMXR" localSheetId="56" hidden="1">#REF!</definedName>
    <definedName name="BEx78QMXZ2P1ZB3HJ9O50DWHCMXR" localSheetId="55" hidden="1">#REF!</definedName>
    <definedName name="BEx78QMXZ2P1ZB3HJ9O50DWHCMXR" localSheetId="4" hidden="1">#REF!</definedName>
    <definedName name="BEx78QMXZ2P1ZB3HJ9O50DWHCMXR" localSheetId="1" hidden="1">#REF!</definedName>
    <definedName name="BEx78QMXZ2P1ZB3HJ9O50DWHCMXR" localSheetId="9" hidden="1">#REF!</definedName>
    <definedName name="BEx78QMXZ2P1ZB3HJ9O50DWHCMXR" hidden="1">#REF!</definedName>
    <definedName name="BEx78SFO5VR28677DWZEMDN7G86X" localSheetId="56" hidden="1">#REF!</definedName>
    <definedName name="BEx78SFO5VR28677DWZEMDN7G86X" localSheetId="55" hidden="1">#REF!</definedName>
    <definedName name="BEx78SFO5VR28677DWZEMDN7G86X" localSheetId="4" hidden="1">#REF!</definedName>
    <definedName name="BEx78SFO5VR28677DWZEMDN7G86X" localSheetId="1" hidden="1">#REF!</definedName>
    <definedName name="BEx78SFO5VR28677DWZEMDN7G86X" localSheetId="9" hidden="1">#REF!</definedName>
    <definedName name="BEx78SFO5VR28677DWZEMDN7G86X" hidden="1">#REF!</definedName>
    <definedName name="BEx78SFOYH1Z0ZDTO47W2M60TW6K" localSheetId="56" hidden="1">#REF!</definedName>
    <definedName name="BEx78SFOYH1Z0ZDTO47W2M60TW6K" localSheetId="55" hidden="1">#REF!</definedName>
    <definedName name="BEx78SFOYH1Z0ZDTO47W2M60TW6K" localSheetId="4" hidden="1">#REF!</definedName>
    <definedName name="BEx78SFOYH1Z0ZDTO47W2M60TW6K" localSheetId="1" hidden="1">#REF!</definedName>
    <definedName name="BEx78SFOYH1Z0ZDTO47W2M60TW6K" localSheetId="9" hidden="1">#REF!</definedName>
    <definedName name="BEx78SFOYH1Z0ZDTO47W2M60TW6K" hidden="1">#REF!</definedName>
    <definedName name="BEx7974EARYYX2ICWU0YC50VO5D8" localSheetId="56" hidden="1">#REF!</definedName>
    <definedName name="BEx7974EARYYX2ICWU0YC50VO5D8" localSheetId="55" hidden="1">#REF!</definedName>
    <definedName name="BEx7974EARYYX2ICWU0YC50VO5D8" localSheetId="4" hidden="1">#REF!</definedName>
    <definedName name="BEx7974EARYYX2ICWU0YC50VO5D8" localSheetId="1" hidden="1">#REF!</definedName>
    <definedName name="BEx7974EARYYX2ICWU0YC50VO5D8" localSheetId="9" hidden="1">#REF!</definedName>
    <definedName name="BEx7974EARYYX2ICWU0YC50VO5D8" hidden="1">#REF!</definedName>
    <definedName name="BEx79JK3E6JO8MX4O35A5G8NZCC8" localSheetId="56" hidden="1">#REF!</definedName>
    <definedName name="BEx79JK3E6JO8MX4O35A5G8NZCC8" localSheetId="55" hidden="1">#REF!</definedName>
    <definedName name="BEx79JK3E6JO8MX4O35A5G8NZCC8" localSheetId="4" hidden="1">#REF!</definedName>
    <definedName name="BEx79JK3E6JO8MX4O35A5G8NZCC8" localSheetId="1" hidden="1">#REF!</definedName>
    <definedName name="BEx79JK3E6JO8MX4O35A5G8NZCC8" localSheetId="9" hidden="1">#REF!</definedName>
    <definedName name="BEx79JK3E6JO8MX4O35A5G8NZCC8" hidden="1">#REF!</definedName>
    <definedName name="BEx79OCP4HQ6XP8EWNGEUDLOZBBS" localSheetId="56" hidden="1">#REF!</definedName>
    <definedName name="BEx79OCP4HQ6XP8EWNGEUDLOZBBS" localSheetId="55" hidden="1">#REF!</definedName>
    <definedName name="BEx79OCP4HQ6XP8EWNGEUDLOZBBS" localSheetId="4" hidden="1">#REF!</definedName>
    <definedName name="BEx79OCP4HQ6XP8EWNGEUDLOZBBS" localSheetId="1" hidden="1">#REF!</definedName>
    <definedName name="BEx79OCP4HQ6XP8EWNGEUDLOZBBS" localSheetId="9" hidden="1">#REF!</definedName>
    <definedName name="BEx79OCP4HQ6XP8EWNGEUDLOZBBS" hidden="1">#REF!</definedName>
    <definedName name="BEx79SEAYKUZB0H4LYBCD6WWJBG2" localSheetId="56" hidden="1">#REF!</definedName>
    <definedName name="BEx79SEAYKUZB0H4LYBCD6WWJBG2" localSheetId="55" hidden="1">#REF!</definedName>
    <definedName name="BEx79SEAYKUZB0H4LYBCD6WWJBG2" localSheetId="4" hidden="1">#REF!</definedName>
    <definedName name="BEx79SEAYKUZB0H4LYBCD6WWJBG2" localSheetId="1" hidden="1">#REF!</definedName>
    <definedName name="BEx79SEAYKUZB0H4LYBCD6WWJBG2" localSheetId="9" hidden="1">#REF!</definedName>
    <definedName name="BEx79SEAYKUZB0H4LYBCD6WWJBG2" hidden="1">#REF!</definedName>
    <definedName name="BEx79SJRHTLS9PYM69O9BWW1FMJK" localSheetId="56" hidden="1">#REF!</definedName>
    <definedName name="BEx79SJRHTLS9PYM69O9BWW1FMJK" localSheetId="55" hidden="1">#REF!</definedName>
    <definedName name="BEx79SJRHTLS9PYM69O9BWW1FMJK" localSheetId="4" hidden="1">#REF!</definedName>
    <definedName name="BEx79SJRHTLS9PYM69O9BWW1FMJK" localSheetId="1" hidden="1">#REF!</definedName>
    <definedName name="BEx79SJRHTLS9PYM69O9BWW1FMJK" localSheetId="9" hidden="1">#REF!</definedName>
    <definedName name="BEx79SJRHTLS9PYM69O9BWW1FMJK" hidden="1">#REF!</definedName>
    <definedName name="BEx79YJJLBELICW9F9FRYSCQ101L" localSheetId="56" hidden="1">#REF!</definedName>
    <definedName name="BEx79YJJLBELICW9F9FRYSCQ101L" localSheetId="55" hidden="1">#REF!</definedName>
    <definedName name="BEx79YJJLBELICW9F9FRYSCQ101L" localSheetId="4" hidden="1">#REF!</definedName>
    <definedName name="BEx79YJJLBELICW9F9FRYSCQ101L" localSheetId="1" hidden="1">#REF!</definedName>
    <definedName name="BEx79YJJLBELICW9F9FRYSCQ101L" localSheetId="9" hidden="1">#REF!</definedName>
    <definedName name="BEx79YJJLBELICW9F9FRYSCQ101L" hidden="1">#REF!</definedName>
    <definedName name="BEx79YUC7B0V77FSBGIRCY1BR4VK" localSheetId="56" hidden="1">#REF!</definedName>
    <definedName name="BEx79YUC7B0V77FSBGIRCY1BR4VK" localSheetId="55" hidden="1">#REF!</definedName>
    <definedName name="BEx79YUC7B0V77FSBGIRCY1BR4VK" localSheetId="4" hidden="1">#REF!</definedName>
    <definedName name="BEx79YUC7B0V77FSBGIRCY1BR4VK" localSheetId="1" hidden="1">#REF!</definedName>
    <definedName name="BEx79YUC7B0V77FSBGIRCY1BR4VK" localSheetId="9" hidden="1">#REF!</definedName>
    <definedName name="BEx79YUC7B0V77FSBGIRCY1BR4VK" hidden="1">#REF!</definedName>
    <definedName name="BEx7A06T3RC2891FUX05G3QPRAUE" localSheetId="56" hidden="1">#REF!</definedName>
    <definedName name="BEx7A06T3RC2891FUX05G3QPRAUE" localSheetId="55" hidden="1">#REF!</definedName>
    <definedName name="BEx7A06T3RC2891FUX05G3QPRAUE" localSheetId="4" hidden="1">#REF!</definedName>
    <definedName name="BEx7A06T3RC2891FUX05G3QPRAUE" localSheetId="1" hidden="1">#REF!</definedName>
    <definedName name="BEx7A06T3RC2891FUX05G3QPRAUE" localSheetId="9" hidden="1">#REF!</definedName>
    <definedName name="BEx7A06T3RC2891FUX05G3QPRAUE" hidden="1">#REF!</definedName>
    <definedName name="BEx7A9S3JA1X7FH4CFSQLTZC4691" localSheetId="56" hidden="1">#REF!</definedName>
    <definedName name="BEx7A9S3JA1X7FH4CFSQLTZC4691" localSheetId="55" hidden="1">#REF!</definedName>
    <definedName name="BEx7A9S3JA1X7FH4CFSQLTZC4691" localSheetId="4" hidden="1">#REF!</definedName>
    <definedName name="BEx7A9S3JA1X7FH4CFSQLTZC4691" localSheetId="1" hidden="1">#REF!</definedName>
    <definedName name="BEx7A9S3JA1X7FH4CFSQLTZC4691" localSheetId="9" hidden="1">#REF!</definedName>
    <definedName name="BEx7A9S3JA1X7FH4CFSQLTZC4691" hidden="1">#REF!</definedName>
    <definedName name="BEx7ABA2C9IWH5VSLVLLLCY62161" localSheetId="56" hidden="1">#REF!</definedName>
    <definedName name="BEx7ABA2C9IWH5VSLVLLLCY62161" localSheetId="55" hidden="1">#REF!</definedName>
    <definedName name="BEx7ABA2C9IWH5VSLVLLLCY62161" localSheetId="4" hidden="1">#REF!</definedName>
    <definedName name="BEx7ABA2C9IWH5VSLVLLLCY62161" localSheetId="1" hidden="1">#REF!</definedName>
    <definedName name="BEx7ABA2C9IWH5VSLVLLLCY62161" localSheetId="9" hidden="1">#REF!</definedName>
    <definedName name="BEx7ABA2C9IWH5VSLVLLLCY62161" hidden="1">#REF!</definedName>
    <definedName name="BEx7AE4LPLX8N85BYB0WCO5S7ZPV" localSheetId="56" hidden="1">#REF!</definedName>
    <definedName name="BEx7AE4LPLX8N85BYB0WCO5S7ZPV" localSheetId="55" hidden="1">#REF!</definedName>
    <definedName name="BEx7AE4LPLX8N85BYB0WCO5S7ZPV" localSheetId="4" hidden="1">#REF!</definedName>
    <definedName name="BEx7AE4LPLX8N85BYB0WCO5S7ZPV" localSheetId="1" hidden="1">#REF!</definedName>
    <definedName name="BEx7AE4LPLX8N85BYB0WCO5S7ZPV" localSheetId="9" hidden="1">#REF!</definedName>
    <definedName name="BEx7AE4LPLX8N85BYB0WCO5S7ZPV" hidden="1">#REF!</definedName>
    <definedName name="BEx7AR0EEP9O5JPPEKQWG1TC860T" localSheetId="56" hidden="1">#REF!</definedName>
    <definedName name="BEx7AR0EEP9O5JPPEKQWG1TC860T" localSheetId="55" hidden="1">#REF!</definedName>
    <definedName name="BEx7AR0EEP9O5JPPEKQWG1TC860T" localSheetId="4" hidden="1">#REF!</definedName>
    <definedName name="BEx7AR0EEP9O5JPPEKQWG1TC860T" localSheetId="1" hidden="1">#REF!</definedName>
    <definedName name="BEx7AR0EEP9O5JPPEKQWG1TC860T" localSheetId="9" hidden="1">#REF!</definedName>
    <definedName name="BEx7AR0EEP9O5JPPEKQWG1TC860T" hidden="1">#REF!</definedName>
    <definedName name="BEx7ASD1I654MEDCO6GGWA95PXSC" localSheetId="56" hidden="1">#REF!</definedName>
    <definedName name="BEx7ASD1I654MEDCO6GGWA95PXSC" localSheetId="55" hidden="1">#REF!</definedName>
    <definedName name="BEx7ASD1I654MEDCO6GGWA95PXSC" localSheetId="4" hidden="1">#REF!</definedName>
    <definedName name="BEx7ASD1I654MEDCO6GGWA95PXSC" localSheetId="1" hidden="1">#REF!</definedName>
    <definedName name="BEx7ASD1I654MEDCO6GGWA95PXSC" localSheetId="9" hidden="1">#REF!</definedName>
    <definedName name="BEx7ASD1I654MEDCO6GGWA95PXSC" hidden="1">#REF!</definedName>
    <definedName name="BEx7AURD3S7JGN4D3YK1QAG6TAFA" localSheetId="56" hidden="1">#REF!</definedName>
    <definedName name="BEx7AURD3S7JGN4D3YK1QAG6TAFA" localSheetId="55" hidden="1">#REF!</definedName>
    <definedName name="BEx7AURD3S7JGN4D3YK1QAG6TAFA" localSheetId="4" hidden="1">#REF!</definedName>
    <definedName name="BEx7AURD3S7JGN4D3YK1QAG6TAFA" localSheetId="1" hidden="1">#REF!</definedName>
    <definedName name="BEx7AURD3S7JGN4D3YK1QAG6TAFA" localSheetId="9" hidden="1">#REF!</definedName>
    <definedName name="BEx7AURD3S7JGN4D3YK1QAG6TAFA" hidden="1">#REF!</definedName>
    <definedName name="BEx7AVCX9S5RJP3NSZ4QM4E6ERDT" localSheetId="56" hidden="1">#REF!</definedName>
    <definedName name="BEx7AVCX9S5RJP3NSZ4QM4E6ERDT" localSheetId="55" hidden="1">#REF!</definedName>
    <definedName name="BEx7AVCX9S5RJP3NSZ4QM4E6ERDT" localSheetId="4" hidden="1">#REF!</definedName>
    <definedName name="BEx7AVCX9S5RJP3NSZ4QM4E6ERDT" localSheetId="1" hidden="1">#REF!</definedName>
    <definedName name="BEx7AVCX9S5RJP3NSZ4QM4E6ERDT" localSheetId="9" hidden="1">#REF!</definedName>
    <definedName name="BEx7AVCX9S5RJP3NSZ4QM4E6ERDT" hidden="1">#REF!</definedName>
    <definedName name="BEx7AVYIGP0930MV5JEBWRYCJN68" localSheetId="56" hidden="1">#REF!</definedName>
    <definedName name="BEx7AVYIGP0930MV5JEBWRYCJN68" localSheetId="55" hidden="1">#REF!</definedName>
    <definedName name="BEx7AVYIGP0930MV5JEBWRYCJN68" localSheetId="4" hidden="1">#REF!</definedName>
    <definedName name="BEx7AVYIGP0930MV5JEBWRYCJN68" localSheetId="1" hidden="1">#REF!</definedName>
    <definedName name="BEx7AVYIGP0930MV5JEBWRYCJN68" localSheetId="9" hidden="1">#REF!</definedName>
    <definedName name="BEx7AVYIGP0930MV5JEBWRYCJN68" hidden="1">#REF!</definedName>
    <definedName name="BEx7B6LH6917TXOSAAQ6U7HVF018" localSheetId="56" hidden="1">#REF!</definedName>
    <definedName name="BEx7B6LH6917TXOSAAQ6U7HVF018" localSheetId="55" hidden="1">#REF!</definedName>
    <definedName name="BEx7B6LH6917TXOSAAQ6U7HVF018" localSheetId="4" hidden="1">#REF!</definedName>
    <definedName name="BEx7B6LH6917TXOSAAQ6U7HVF018" localSheetId="1" hidden="1">#REF!</definedName>
    <definedName name="BEx7B6LH6917TXOSAAQ6U7HVF018" localSheetId="9" hidden="1">#REF!</definedName>
    <definedName name="BEx7B6LH6917TXOSAAQ6U7HVF018" hidden="1">#REF!</definedName>
    <definedName name="BEx7BN8E88JR3K1BSLAZRPSFPQ9L" localSheetId="56" hidden="1">#REF!</definedName>
    <definedName name="BEx7BN8E88JR3K1BSLAZRPSFPQ9L" localSheetId="55" hidden="1">#REF!</definedName>
    <definedName name="BEx7BN8E88JR3K1BSLAZRPSFPQ9L" localSheetId="4" hidden="1">#REF!</definedName>
    <definedName name="BEx7BN8E88JR3K1BSLAZRPSFPQ9L" localSheetId="1" hidden="1">#REF!</definedName>
    <definedName name="BEx7BN8E88JR3K1BSLAZRPSFPQ9L" localSheetId="9" hidden="1">#REF!</definedName>
    <definedName name="BEx7BN8E88JR3K1BSLAZRPSFPQ9L" hidden="1">#REF!</definedName>
    <definedName name="BEx7BP14RMS3638K85OM4NCYLRHG" localSheetId="56" hidden="1">#REF!</definedName>
    <definedName name="BEx7BP14RMS3638K85OM4NCYLRHG" localSheetId="55" hidden="1">#REF!</definedName>
    <definedName name="BEx7BP14RMS3638K85OM4NCYLRHG" localSheetId="4" hidden="1">#REF!</definedName>
    <definedName name="BEx7BP14RMS3638K85OM4NCYLRHG" localSheetId="1" hidden="1">#REF!</definedName>
    <definedName name="BEx7BP14RMS3638K85OM4NCYLRHG" localSheetId="9" hidden="1">#REF!</definedName>
    <definedName name="BEx7BP14RMS3638K85OM4NCYLRHG" hidden="1">#REF!</definedName>
    <definedName name="BEx7BPXFZXJ79FQ0E8AQE21PGVHA" localSheetId="56" hidden="1">#REF!</definedName>
    <definedName name="BEx7BPXFZXJ79FQ0E8AQE21PGVHA" localSheetId="55" hidden="1">#REF!</definedName>
    <definedName name="BEx7BPXFZXJ79FQ0E8AQE21PGVHA" localSheetId="4" hidden="1">#REF!</definedName>
    <definedName name="BEx7BPXFZXJ79FQ0E8AQE21PGVHA" localSheetId="1" hidden="1">#REF!</definedName>
    <definedName name="BEx7BPXFZXJ79FQ0E8AQE21PGVHA" localSheetId="9" hidden="1">#REF!</definedName>
    <definedName name="BEx7BPXFZXJ79FQ0E8AQE21PGVHA" hidden="1">#REF!</definedName>
    <definedName name="BEx7C04AM39DQMC1TIX7CFZ2ADHX" localSheetId="56" hidden="1">#REF!</definedName>
    <definedName name="BEx7C04AM39DQMC1TIX7CFZ2ADHX" localSheetId="55" hidden="1">#REF!</definedName>
    <definedName name="BEx7C04AM39DQMC1TIX7CFZ2ADHX" localSheetId="4" hidden="1">#REF!</definedName>
    <definedName name="BEx7C04AM39DQMC1TIX7CFZ2ADHX" localSheetId="1" hidden="1">#REF!</definedName>
    <definedName name="BEx7C04AM39DQMC1TIX7CFZ2ADHX" localSheetId="9" hidden="1">#REF!</definedName>
    <definedName name="BEx7C04AM39DQMC1TIX7CFZ2ADHX" hidden="1">#REF!</definedName>
    <definedName name="BEx7C346X4AX2J1QPM4NBC7JL5W9" localSheetId="56" hidden="1">#REF!</definedName>
    <definedName name="BEx7C346X4AX2J1QPM4NBC7JL5W9" localSheetId="55" hidden="1">#REF!</definedName>
    <definedName name="BEx7C346X4AX2J1QPM4NBC7JL5W9" localSheetId="4" hidden="1">#REF!</definedName>
    <definedName name="BEx7C346X4AX2J1QPM4NBC7JL5W9" localSheetId="1" hidden="1">#REF!</definedName>
    <definedName name="BEx7C346X4AX2J1QPM4NBC7JL5W9" localSheetId="9" hidden="1">#REF!</definedName>
    <definedName name="BEx7C346X4AX2J1QPM4NBC7JL5W9" hidden="1">#REF!</definedName>
    <definedName name="BEx7C40F0PQURHPI6YQ39NFIR86Z" localSheetId="56" hidden="1">#REF!</definedName>
    <definedName name="BEx7C40F0PQURHPI6YQ39NFIR86Z" localSheetId="55" hidden="1">#REF!</definedName>
    <definedName name="BEx7C40F0PQURHPI6YQ39NFIR86Z" localSheetId="4" hidden="1">#REF!</definedName>
    <definedName name="BEx7C40F0PQURHPI6YQ39NFIR86Z" localSheetId="1" hidden="1">#REF!</definedName>
    <definedName name="BEx7C40F0PQURHPI6YQ39NFIR86Z" localSheetId="9" hidden="1">#REF!</definedName>
    <definedName name="BEx7C40F0PQURHPI6YQ39NFIR86Z" hidden="1">#REF!</definedName>
    <definedName name="BEx7C7B9VCY7N0H7N1NH6HNNH724" localSheetId="56" hidden="1">#REF!</definedName>
    <definedName name="BEx7C7B9VCY7N0H7N1NH6HNNH724" localSheetId="55" hidden="1">#REF!</definedName>
    <definedName name="BEx7C7B9VCY7N0H7N1NH6HNNH724" localSheetId="4" hidden="1">#REF!</definedName>
    <definedName name="BEx7C7B9VCY7N0H7N1NH6HNNH724" localSheetId="1" hidden="1">#REF!</definedName>
    <definedName name="BEx7C7B9VCY7N0H7N1NH6HNNH724" localSheetId="9" hidden="1">#REF!</definedName>
    <definedName name="BEx7C7B9VCY7N0H7N1NH6HNNH724" hidden="1">#REF!</definedName>
    <definedName name="BEx7C93VR7SYRIJS1JO8YZKSFAW9" localSheetId="56" hidden="1">#REF!</definedName>
    <definedName name="BEx7C93VR7SYRIJS1JO8YZKSFAW9" localSheetId="55" hidden="1">#REF!</definedName>
    <definedName name="BEx7C93VR7SYRIJS1JO8YZKSFAW9" localSheetId="4" hidden="1">#REF!</definedName>
    <definedName name="BEx7C93VR7SYRIJS1JO8YZKSFAW9" localSheetId="1" hidden="1">#REF!</definedName>
    <definedName name="BEx7C93VR7SYRIJS1JO8YZKSFAW9" localSheetId="9" hidden="1">#REF!</definedName>
    <definedName name="BEx7C93VR7SYRIJS1JO8YZKSFAW9" hidden="1">#REF!</definedName>
    <definedName name="BEx7CCPC6R1KQQZ2JQU6EFI1G0RM" localSheetId="56" hidden="1">#REF!</definedName>
    <definedName name="BEx7CCPC6R1KQQZ2JQU6EFI1G0RM" localSheetId="55" hidden="1">#REF!</definedName>
    <definedName name="BEx7CCPC6R1KQQZ2JQU6EFI1G0RM" localSheetId="4" hidden="1">#REF!</definedName>
    <definedName name="BEx7CCPC6R1KQQZ2JQU6EFI1G0RM" localSheetId="1" hidden="1">#REF!</definedName>
    <definedName name="BEx7CCPC6R1KQQZ2JQU6EFI1G0RM" localSheetId="9" hidden="1">#REF!</definedName>
    <definedName name="BEx7CCPC6R1KQQZ2JQU6EFI1G0RM" hidden="1">#REF!</definedName>
    <definedName name="BEx7CIJST9GLS2QD383UK7VUDTGL" localSheetId="56" hidden="1">#REF!</definedName>
    <definedName name="BEx7CIJST9GLS2QD383UK7VUDTGL" localSheetId="55" hidden="1">#REF!</definedName>
    <definedName name="BEx7CIJST9GLS2QD383UK7VUDTGL" localSheetId="4" hidden="1">#REF!</definedName>
    <definedName name="BEx7CIJST9GLS2QD383UK7VUDTGL" localSheetId="1" hidden="1">#REF!</definedName>
    <definedName name="BEx7CIJST9GLS2QD383UK7VUDTGL" localSheetId="9" hidden="1">#REF!</definedName>
    <definedName name="BEx7CIJST9GLS2QD383UK7VUDTGL" hidden="1">#REF!</definedName>
    <definedName name="BEx7CO8T2XKC7GHDSYNAWTZ9L7YR" localSheetId="56" hidden="1">#REF!</definedName>
    <definedName name="BEx7CO8T2XKC7GHDSYNAWTZ9L7YR" localSheetId="55" hidden="1">#REF!</definedName>
    <definedName name="BEx7CO8T2XKC7GHDSYNAWTZ9L7YR" localSheetId="4" hidden="1">#REF!</definedName>
    <definedName name="BEx7CO8T2XKC7GHDSYNAWTZ9L7YR" localSheetId="1" hidden="1">#REF!</definedName>
    <definedName name="BEx7CO8T2XKC7GHDSYNAWTZ9L7YR" localSheetId="9" hidden="1">#REF!</definedName>
    <definedName name="BEx7CO8T2XKC7GHDSYNAWTZ9L7YR" hidden="1">#REF!</definedName>
    <definedName name="BEx7CW1CF00DO8A36UNC2X7K65C2" localSheetId="56" hidden="1">#REF!</definedName>
    <definedName name="BEx7CW1CF00DO8A36UNC2X7K65C2" localSheetId="55" hidden="1">#REF!</definedName>
    <definedName name="BEx7CW1CF00DO8A36UNC2X7K65C2" localSheetId="4" hidden="1">#REF!</definedName>
    <definedName name="BEx7CW1CF00DO8A36UNC2X7K65C2" localSheetId="1" hidden="1">#REF!</definedName>
    <definedName name="BEx7CW1CF00DO8A36UNC2X7K65C2" localSheetId="9" hidden="1">#REF!</definedName>
    <definedName name="BEx7CW1CF00DO8A36UNC2X7K65C2" hidden="1">#REF!</definedName>
    <definedName name="BEx7CW6NFRL2P4XWP0MWHIYA97KF" localSheetId="56" hidden="1">#REF!</definedName>
    <definedName name="BEx7CW6NFRL2P4XWP0MWHIYA97KF" localSheetId="55" hidden="1">#REF!</definedName>
    <definedName name="BEx7CW6NFRL2P4XWP0MWHIYA97KF" localSheetId="4" hidden="1">#REF!</definedName>
    <definedName name="BEx7CW6NFRL2P4XWP0MWHIYA97KF" localSheetId="1" hidden="1">#REF!</definedName>
    <definedName name="BEx7CW6NFRL2P4XWP0MWHIYA97KF" localSheetId="9" hidden="1">#REF!</definedName>
    <definedName name="BEx7CW6NFRL2P4XWP0MWHIYA97KF" hidden="1">#REF!</definedName>
    <definedName name="BEx7CZXN83U7XFVGG1P1N6ZCQK7U" localSheetId="56" hidden="1">#REF!</definedName>
    <definedName name="BEx7CZXN83U7XFVGG1P1N6ZCQK7U" localSheetId="55" hidden="1">#REF!</definedName>
    <definedName name="BEx7CZXN83U7XFVGG1P1N6ZCQK7U" localSheetId="4" hidden="1">#REF!</definedName>
    <definedName name="BEx7CZXN83U7XFVGG1P1N6ZCQK7U" localSheetId="1" hidden="1">#REF!</definedName>
    <definedName name="BEx7CZXN83U7XFVGG1P1N6ZCQK7U" localSheetId="9" hidden="1">#REF!</definedName>
    <definedName name="BEx7CZXN83U7XFVGG1P1N6ZCQK7U" hidden="1">#REF!</definedName>
    <definedName name="BEx7D14R4J25CLH301NHMGU8FSWM" localSheetId="56" hidden="1">#REF!</definedName>
    <definedName name="BEx7D14R4J25CLH301NHMGU8FSWM" localSheetId="55" hidden="1">#REF!</definedName>
    <definedName name="BEx7D14R4J25CLH301NHMGU8FSWM" localSheetId="4" hidden="1">#REF!</definedName>
    <definedName name="BEx7D14R4J25CLH301NHMGU8FSWM" localSheetId="1" hidden="1">#REF!</definedName>
    <definedName name="BEx7D14R4J25CLH301NHMGU8FSWM" localSheetId="9" hidden="1">#REF!</definedName>
    <definedName name="BEx7D14R4J25CLH301NHMGU8FSWM" hidden="1">#REF!</definedName>
    <definedName name="BEx7D38BE0Z9QLQBDMGARM9USFPM" localSheetId="56" hidden="1">#REF!</definedName>
    <definedName name="BEx7D38BE0Z9QLQBDMGARM9USFPM" localSheetId="55" hidden="1">#REF!</definedName>
    <definedName name="BEx7D38BE0Z9QLQBDMGARM9USFPM" localSheetId="4" hidden="1">#REF!</definedName>
    <definedName name="BEx7D38BE0Z9QLQBDMGARM9USFPM" localSheetId="1" hidden="1">#REF!</definedName>
    <definedName name="BEx7D38BE0Z9QLQBDMGARM9USFPM" localSheetId="9" hidden="1">#REF!</definedName>
    <definedName name="BEx7D38BE0Z9QLQBDMGARM9USFPM" hidden="1">#REF!</definedName>
    <definedName name="BEx7D5RWKRS4W71J4NZ6ZSFHPKFT" localSheetId="56" hidden="1">#REF!</definedName>
    <definedName name="BEx7D5RWKRS4W71J4NZ6ZSFHPKFT" localSheetId="55" hidden="1">#REF!</definedName>
    <definedName name="BEx7D5RWKRS4W71J4NZ6ZSFHPKFT" localSheetId="4" hidden="1">#REF!</definedName>
    <definedName name="BEx7D5RWKRS4W71J4NZ6ZSFHPKFT" localSheetId="1" hidden="1">#REF!</definedName>
    <definedName name="BEx7D5RWKRS4W71J4NZ6ZSFHPKFT" localSheetId="9" hidden="1">#REF!</definedName>
    <definedName name="BEx7D5RWKRS4W71J4NZ6ZSFHPKFT" hidden="1">#REF!</definedName>
    <definedName name="BEx7D8H1TPOX1UN17QZYEV7Q58GA" localSheetId="56" hidden="1">#REF!</definedName>
    <definedName name="BEx7D8H1TPOX1UN17QZYEV7Q58GA" localSheetId="55" hidden="1">#REF!</definedName>
    <definedName name="BEx7D8H1TPOX1UN17QZYEV7Q58GA" localSheetId="4" hidden="1">#REF!</definedName>
    <definedName name="BEx7D8H1TPOX1UN17QZYEV7Q58GA" localSheetId="1" hidden="1">#REF!</definedName>
    <definedName name="BEx7D8H1TPOX1UN17QZYEV7Q58GA" localSheetId="9" hidden="1">#REF!</definedName>
    <definedName name="BEx7D8H1TPOX1UN17QZYEV7Q58GA" hidden="1">#REF!</definedName>
    <definedName name="BEx7DGF13H2074LRWFZQ45PZ6JPX" localSheetId="56" hidden="1">#REF!</definedName>
    <definedName name="BEx7DGF13H2074LRWFZQ45PZ6JPX" localSheetId="55" hidden="1">#REF!</definedName>
    <definedName name="BEx7DGF13H2074LRWFZQ45PZ6JPX" localSheetId="4" hidden="1">#REF!</definedName>
    <definedName name="BEx7DGF13H2074LRWFZQ45PZ6JPX" localSheetId="1" hidden="1">#REF!</definedName>
    <definedName name="BEx7DGF13H2074LRWFZQ45PZ6JPX" localSheetId="9" hidden="1">#REF!</definedName>
    <definedName name="BEx7DGF13H2074LRWFZQ45PZ6JPX" hidden="1">#REF!</definedName>
    <definedName name="BEx7DHBE0SOC5KXWWQ73WUDBRX8J" localSheetId="56" hidden="1">#REF!</definedName>
    <definedName name="BEx7DHBE0SOC5KXWWQ73WUDBRX8J" localSheetId="55" hidden="1">#REF!</definedName>
    <definedName name="BEx7DHBE0SOC5KXWWQ73WUDBRX8J" localSheetId="4" hidden="1">#REF!</definedName>
    <definedName name="BEx7DHBE0SOC5KXWWQ73WUDBRX8J" localSheetId="1" hidden="1">#REF!</definedName>
    <definedName name="BEx7DHBE0SOC5KXWWQ73WUDBRX8J" localSheetId="9" hidden="1">#REF!</definedName>
    <definedName name="BEx7DHBE0SOC5KXWWQ73WUDBRX8J" hidden="1">#REF!</definedName>
    <definedName name="BEx7DKWUXEDIISSX4GDD4YYT887F" localSheetId="56" hidden="1">#REF!</definedName>
    <definedName name="BEx7DKWUXEDIISSX4GDD4YYT887F" localSheetId="55" hidden="1">#REF!</definedName>
    <definedName name="BEx7DKWUXEDIISSX4GDD4YYT887F" localSheetId="4" hidden="1">#REF!</definedName>
    <definedName name="BEx7DKWUXEDIISSX4GDD4YYT887F" localSheetId="1" hidden="1">#REF!</definedName>
    <definedName name="BEx7DKWUXEDIISSX4GDD4YYT887F" localSheetId="9" hidden="1">#REF!</definedName>
    <definedName name="BEx7DKWUXEDIISSX4GDD4YYT887F" hidden="1">#REF!</definedName>
    <definedName name="BEx7DMUYR2HC26WW7AOB1TULERMB" localSheetId="56" hidden="1">#REF!</definedName>
    <definedName name="BEx7DMUYR2HC26WW7AOB1TULERMB" localSheetId="55" hidden="1">#REF!</definedName>
    <definedName name="BEx7DMUYR2HC26WW7AOB1TULERMB" localSheetId="4" hidden="1">#REF!</definedName>
    <definedName name="BEx7DMUYR2HC26WW7AOB1TULERMB" localSheetId="1" hidden="1">#REF!</definedName>
    <definedName name="BEx7DMUYR2HC26WW7AOB1TULERMB" localSheetId="9" hidden="1">#REF!</definedName>
    <definedName name="BEx7DMUYR2HC26WW7AOB1TULERMB" hidden="1">#REF!</definedName>
    <definedName name="BEx7DVJTRV44IMJIBFXELE67SZ7S" localSheetId="56" hidden="1">#REF!</definedName>
    <definedName name="BEx7DVJTRV44IMJIBFXELE67SZ7S" localSheetId="55" hidden="1">#REF!</definedName>
    <definedName name="BEx7DVJTRV44IMJIBFXELE67SZ7S" localSheetId="4" hidden="1">#REF!</definedName>
    <definedName name="BEx7DVJTRV44IMJIBFXELE67SZ7S" localSheetId="1" hidden="1">#REF!</definedName>
    <definedName name="BEx7DVJTRV44IMJIBFXELE67SZ7S" localSheetId="9" hidden="1">#REF!</definedName>
    <definedName name="BEx7DVJTRV44IMJIBFXELE67SZ7S" hidden="1">#REF!</definedName>
    <definedName name="BEx7DVUMFCI5INHMVFIJ44RTTSTT" localSheetId="56" hidden="1">#REF!</definedName>
    <definedName name="BEx7DVUMFCI5INHMVFIJ44RTTSTT" localSheetId="55" hidden="1">#REF!</definedName>
    <definedName name="BEx7DVUMFCI5INHMVFIJ44RTTSTT" localSheetId="4" hidden="1">#REF!</definedName>
    <definedName name="BEx7DVUMFCI5INHMVFIJ44RTTSTT" localSheetId="1" hidden="1">#REF!</definedName>
    <definedName name="BEx7DVUMFCI5INHMVFIJ44RTTSTT" localSheetId="9" hidden="1">#REF!</definedName>
    <definedName name="BEx7DVUMFCI5INHMVFIJ44RTTSTT" hidden="1">#REF!</definedName>
    <definedName name="BEx7E2QT2U8THYOKBPXONB1B47WH" localSheetId="56" hidden="1">#REF!</definedName>
    <definedName name="BEx7E2QT2U8THYOKBPXONB1B47WH" localSheetId="55" hidden="1">#REF!</definedName>
    <definedName name="BEx7E2QT2U8THYOKBPXONB1B47WH" localSheetId="4" hidden="1">#REF!</definedName>
    <definedName name="BEx7E2QT2U8THYOKBPXONB1B47WH" localSheetId="1" hidden="1">#REF!</definedName>
    <definedName name="BEx7E2QT2U8THYOKBPXONB1B47WH" localSheetId="9" hidden="1">#REF!</definedName>
    <definedName name="BEx7E2QT2U8THYOKBPXONB1B47WH" hidden="1">#REF!</definedName>
    <definedName name="BEx7E5QP7W6UKO74F5Y0VJ741HS5" localSheetId="56" hidden="1">#REF!</definedName>
    <definedName name="BEx7E5QP7W6UKO74F5Y0VJ741HS5" localSheetId="55" hidden="1">#REF!</definedName>
    <definedName name="BEx7E5QP7W6UKO74F5Y0VJ741HS5" localSheetId="4" hidden="1">#REF!</definedName>
    <definedName name="BEx7E5QP7W6UKO74F5Y0VJ741HS5" localSheetId="1" hidden="1">#REF!</definedName>
    <definedName name="BEx7E5QP7W6UKO74F5Y0VJ741HS5" localSheetId="9" hidden="1">#REF!</definedName>
    <definedName name="BEx7E5QP7W6UKO74F5Y0VJ741HS5" hidden="1">#REF!</definedName>
    <definedName name="BEx7E6N29HGH3I47AFB2DCS6MVS6" localSheetId="56" hidden="1">#REF!</definedName>
    <definedName name="BEx7E6N29HGH3I47AFB2DCS6MVS6" localSheetId="55" hidden="1">#REF!</definedName>
    <definedName name="BEx7E6N29HGH3I47AFB2DCS6MVS6" localSheetId="4" hidden="1">#REF!</definedName>
    <definedName name="BEx7E6N29HGH3I47AFB2DCS6MVS6" localSheetId="1" hidden="1">#REF!</definedName>
    <definedName name="BEx7E6N29HGH3I47AFB2DCS6MVS6" localSheetId="9" hidden="1">#REF!</definedName>
    <definedName name="BEx7E6N29HGH3I47AFB2DCS6MVS6" hidden="1">#REF!</definedName>
    <definedName name="BEx7EBA8IYHQKT7IQAOAML660SYA" localSheetId="56" hidden="1">#REF!</definedName>
    <definedName name="BEx7EBA8IYHQKT7IQAOAML660SYA" localSheetId="55" hidden="1">#REF!</definedName>
    <definedName name="BEx7EBA8IYHQKT7IQAOAML660SYA" localSheetId="4" hidden="1">#REF!</definedName>
    <definedName name="BEx7EBA8IYHQKT7IQAOAML660SYA" localSheetId="1" hidden="1">#REF!</definedName>
    <definedName name="BEx7EBA8IYHQKT7IQAOAML660SYA" localSheetId="9" hidden="1">#REF!</definedName>
    <definedName name="BEx7EBA8IYHQKT7IQAOAML660SYA" hidden="1">#REF!</definedName>
    <definedName name="BEx7EI6C8MCRZFEQYUBE5FSUTIHK" localSheetId="56" hidden="1">#REF!</definedName>
    <definedName name="BEx7EI6C8MCRZFEQYUBE5FSUTIHK" localSheetId="55" hidden="1">#REF!</definedName>
    <definedName name="BEx7EI6C8MCRZFEQYUBE5FSUTIHK" localSheetId="4" hidden="1">#REF!</definedName>
    <definedName name="BEx7EI6C8MCRZFEQYUBE5FSUTIHK" localSheetId="1" hidden="1">#REF!</definedName>
    <definedName name="BEx7EI6C8MCRZFEQYUBE5FSUTIHK" localSheetId="9" hidden="1">#REF!</definedName>
    <definedName name="BEx7EI6C8MCRZFEQYUBE5FSUTIHK" hidden="1">#REF!</definedName>
    <definedName name="BEx7EI6DL1Z6UWLFBXAKVGZTKHWJ" localSheetId="56" hidden="1">#REF!</definedName>
    <definedName name="BEx7EI6DL1Z6UWLFBXAKVGZTKHWJ" localSheetId="55" hidden="1">#REF!</definedName>
    <definedName name="BEx7EI6DL1Z6UWLFBXAKVGZTKHWJ" localSheetId="4" hidden="1">#REF!</definedName>
    <definedName name="BEx7EI6DL1Z6UWLFBXAKVGZTKHWJ" localSheetId="1" hidden="1">#REF!</definedName>
    <definedName name="BEx7EI6DL1Z6UWLFBXAKVGZTKHWJ" localSheetId="9" hidden="1">#REF!</definedName>
    <definedName name="BEx7EI6DL1Z6UWLFBXAKVGZTKHWJ" hidden="1">#REF!</definedName>
    <definedName name="BEx7EQKHX7GZYOLXRDU534TT4H64" localSheetId="56" hidden="1">#REF!</definedName>
    <definedName name="BEx7EQKHX7GZYOLXRDU534TT4H64" localSheetId="55" hidden="1">#REF!</definedName>
    <definedName name="BEx7EQKHX7GZYOLXRDU534TT4H64" localSheetId="4" hidden="1">#REF!</definedName>
    <definedName name="BEx7EQKHX7GZYOLXRDU534TT4H64" localSheetId="1" hidden="1">#REF!</definedName>
    <definedName name="BEx7EQKHX7GZYOLXRDU534TT4H64" localSheetId="9" hidden="1">#REF!</definedName>
    <definedName name="BEx7EQKHX7GZYOLXRDU534TT4H64" hidden="1">#REF!</definedName>
    <definedName name="BEx7ETV6L1TM7JSXJIGK3FC6RVZW" localSheetId="56" hidden="1">#REF!</definedName>
    <definedName name="BEx7ETV6L1TM7JSXJIGK3FC6RVZW" localSheetId="55" hidden="1">#REF!</definedName>
    <definedName name="BEx7ETV6L1TM7JSXJIGK3FC6RVZW" localSheetId="4" hidden="1">#REF!</definedName>
    <definedName name="BEx7ETV6L1TM7JSXJIGK3FC6RVZW" localSheetId="1" hidden="1">#REF!</definedName>
    <definedName name="BEx7ETV6L1TM7JSXJIGK3FC6RVZW" localSheetId="9" hidden="1">#REF!</definedName>
    <definedName name="BEx7ETV6L1TM7JSXJIGK3FC6RVZW" hidden="1">#REF!</definedName>
    <definedName name="BEx7EYYLHMBYQTH6I377FCQS7CSX" localSheetId="56" hidden="1">#REF!</definedName>
    <definedName name="BEx7EYYLHMBYQTH6I377FCQS7CSX" localSheetId="55" hidden="1">#REF!</definedName>
    <definedName name="BEx7EYYLHMBYQTH6I377FCQS7CSX" localSheetId="4" hidden="1">#REF!</definedName>
    <definedName name="BEx7EYYLHMBYQTH6I377FCQS7CSX" localSheetId="1" hidden="1">#REF!</definedName>
    <definedName name="BEx7EYYLHMBYQTH6I377FCQS7CSX" localSheetId="9" hidden="1">#REF!</definedName>
    <definedName name="BEx7EYYLHMBYQTH6I377FCQS7CSX" hidden="1">#REF!</definedName>
    <definedName name="BEx7FCLG1RYI2SNOU1Y2GQZNZSWA" localSheetId="56" hidden="1">#REF!</definedName>
    <definedName name="BEx7FCLG1RYI2SNOU1Y2GQZNZSWA" localSheetId="55" hidden="1">#REF!</definedName>
    <definedName name="BEx7FCLG1RYI2SNOU1Y2GQZNZSWA" localSheetId="4" hidden="1">#REF!</definedName>
    <definedName name="BEx7FCLG1RYI2SNOU1Y2GQZNZSWA" localSheetId="1" hidden="1">#REF!</definedName>
    <definedName name="BEx7FCLG1RYI2SNOU1Y2GQZNZSWA" localSheetId="9" hidden="1">#REF!</definedName>
    <definedName name="BEx7FCLG1RYI2SNOU1Y2GQZNZSWA" hidden="1">#REF!</definedName>
    <definedName name="BEx7FN32ZGWOAA4TTH79KINTDWR9" localSheetId="56" hidden="1">#REF!</definedName>
    <definedName name="BEx7FN32ZGWOAA4TTH79KINTDWR9" localSheetId="55" hidden="1">#REF!</definedName>
    <definedName name="BEx7FN32ZGWOAA4TTH79KINTDWR9" localSheetId="4" hidden="1">#REF!</definedName>
    <definedName name="BEx7FN32ZGWOAA4TTH79KINTDWR9" localSheetId="1" hidden="1">#REF!</definedName>
    <definedName name="BEx7FN32ZGWOAA4TTH79KINTDWR9" localSheetId="9" hidden="1">#REF!</definedName>
    <definedName name="BEx7FN32ZGWOAA4TTH79KINTDWR9" hidden="1">#REF!</definedName>
    <definedName name="BEx7FV0WJHXL6X5JNQ2ZX45PX49P" localSheetId="56" hidden="1">#REF!</definedName>
    <definedName name="BEx7FV0WJHXL6X5JNQ2ZX45PX49P" localSheetId="55" hidden="1">#REF!</definedName>
    <definedName name="BEx7FV0WJHXL6X5JNQ2ZX45PX49P" localSheetId="4" hidden="1">#REF!</definedName>
    <definedName name="BEx7FV0WJHXL6X5JNQ2ZX45PX49P" localSheetId="1" hidden="1">#REF!</definedName>
    <definedName name="BEx7FV0WJHXL6X5JNQ2ZX45PX49P" localSheetId="9" hidden="1">#REF!</definedName>
    <definedName name="BEx7FV0WJHXL6X5JNQ2ZX45PX49P" hidden="1">#REF!</definedName>
    <definedName name="BEx7G82CKM3NIY1PHNFK28M09PCH" localSheetId="56" hidden="1">#REF!</definedName>
    <definedName name="BEx7G82CKM3NIY1PHNFK28M09PCH" localSheetId="55" hidden="1">#REF!</definedName>
    <definedName name="BEx7G82CKM3NIY1PHNFK28M09PCH" localSheetId="4" hidden="1">#REF!</definedName>
    <definedName name="BEx7G82CKM3NIY1PHNFK28M09PCH" localSheetId="1" hidden="1">#REF!</definedName>
    <definedName name="BEx7G82CKM3NIY1PHNFK28M09PCH" localSheetId="9" hidden="1">#REF!</definedName>
    <definedName name="BEx7G82CKM3NIY1PHNFK28M09PCH" hidden="1">#REF!</definedName>
    <definedName name="BEx7GR3ENYWRXXS5IT0UMEGOLGUH" localSheetId="56" hidden="1">#REF!</definedName>
    <definedName name="BEx7GR3ENYWRXXS5IT0UMEGOLGUH" localSheetId="55" hidden="1">#REF!</definedName>
    <definedName name="BEx7GR3ENYWRXXS5IT0UMEGOLGUH" localSheetId="4" hidden="1">#REF!</definedName>
    <definedName name="BEx7GR3ENYWRXXS5IT0UMEGOLGUH" localSheetId="1" hidden="1">#REF!</definedName>
    <definedName name="BEx7GR3ENYWRXXS5IT0UMEGOLGUH" localSheetId="9" hidden="1">#REF!</definedName>
    <definedName name="BEx7GR3ENYWRXXS5IT0UMEGOLGUH" hidden="1">#REF!</definedName>
    <definedName name="BEx7GSAL6P7TASL8MB63RFST1LJL" localSheetId="56" hidden="1">#REF!</definedName>
    <definedName name="BEx7GSAL6P7TASL8MB63RFST1LJL" localSheetId="55" hidden="1">#REF!</definedName>
    <definedName name="BEx7GSAL6P7TASL8MB63RFST1LJL" localSheetId="4" hidden="1">#REF!</definedName>
    <definedName name="BEx7GSAL6P7TASL8MB63RFST1LJL" localSheetId="1" hidden="1">#REF!</definedName>
    <definedName name="BEx7GSAL6P7TASL8MB63RFST1LJL" localSheetId="9" hidden="1">#REF!</definedName>
    <definedName name="BEx7GSAL6P7TASL8MB63RFST1LJL" hidden="1">#REF!</definedName>
    <definedName name="BEx7H0JD6I5I8WQLLWOYWY5YWPQE" localSheetId="56" hidden="1">#REF!</definedName>
    <definedName name="BEx7H0JD6I5I8WQLLWOYWY5YWPQE" localSheetId="55" hidden="1">#REF!</definedName>
    <definedName name="BEx7H0JD6I5I8WQLLWOYWY5YWPQE" localSheetId="4" hidden="1">#REF!</definedName>
    <definedName name="BEx7H0JD6I5I8WQLLWOYWY5YWPQE" localSheetId="1" hidden="1">#REF!</definedName>
    <definedName name="BEx7H0JD6I5I8WQLLWOYWY5YWPQE" localSheetId="9" hidden="1">#REF!</definedName>
    <definedName name="BEx7H0JD6I5I8WQLLWOYWY5YWPQE" hidden="1">#REF!</definedName>
    <definedName name="BEx7H14XCXH7WEXEY1HVO53A6AGH" localSheetId="56" hidden="1">#REF!</definedName>
    <definedName name="BEx7H14XCXH7WEXEY1HVO53A6AGH" localSheetId="55" hidden="1">#REF!</definedName>
    <definedName name="BEx7H14XCXH7WEXEY1HVO53A6AGH" localSheetId="4" hidden="1">#REF!</definedName>
    <definedName name="BEx7H14XCXH7WEXEY1HVO53A6AGH" localSheetId="1" hidden="1">#REF!</definedName>
    <definedName name="BEx7H14XCXH7WEXEY1HVO53A6AGH" localSheetId="9" hidden="1">#REF!</definedName>
    <definedName name="BEx7H14XCXH7WEXEY1HVO53A6AGH" hidden="1">#REF!</definedName>
    <definedName name="BEx7HGVBEF4LEIF6RC14N3PSU461" localSheetId="56" hidden="1">#REF!</definedName>
    <definedName name="BEx7HGVBEF4LEIF6RC14N3PSU461" localSheetId="55" hidden="1">#REF!</definedName>
    <definedName name="BEx7HGVBEF4LEIF6RC14N3PSU461" localSheetId="4" hidden="1">#REF!</definedName>
    <definedName name="BEx7HGVBEF4LEIF6RC14N3PSU461" localSheetId="1" hidden="1">#REF!</definedName>
    <definedName name="BEx7HGVBEF4LEIF6RC14N3PSU461" localSheetId="9" hidden="1">#REF!</definedName>
    <definedName name="BEx7HGVBEF4LEIF6RC14N3PSU461" hidden="1">#REF!</definedName>
    <definedName name="BEx7HQ5T9FZ42QWS09UO4DT42Y0R" localSheetId="56" hidden="1">#REF!</definedName>
    <definedName name="BEx7HQ5T9FZ42QWS09UO4DT42Y0R" localSheetId="55" hidden="1">#REF!</definedName>
    <definedName name="BEx7HQ5T9FZ42QWS09UO4DT42Y0R" localSheetId="4" hidden="1">#REF!</definedName>
    <definedName name="BEx7HQ5T9FZ42QWS09UO4DT42Y0R" localSheetId="1" hidden="1">#REF!</definedName>
    <definedName name="BEx7HQ5T9FZ42QWS09UO4DT42Y0R" localSheetId="9" hidden="1">#REF!</definedName>
    <definedName name="BEx7HQ5T9FZ42QWS09UO4DT42Y0R" hidden="1">#REF!</definedName>
    <definedName name="BEx7HRCZE3CVGON1HV07MT5MNDZ3" localSheetId="56" hidden="1">#REF!</definedName>
    <definedName name="BEx7HRCZE3CVGON1HV07MT5MNDZ3" localSheetId="55" hidden="1">#REF!</definedName>
    <definedName name="BEx7HRCZE3CVGON1HV07MT5MNDZ3" localSheetId="4" hidden="1">#REF!</definedName>
    <definedName name="BEx7HRCZE3CVGON1HV07MT5MNDZ3" localSheetId="1" hidden="1">#REF!</definedName>
    <definedName name="BEx7HRCZE3CVGON1HV07MT5MNDZ3" localSheetId="9" hidden="1">#REF!</definedName>
    <definedName name="BEx7HRCZE3CVGON1HV07MT5MNDZ3" hidden="1">#REF!</definedName>
    <definedName name="BEx7HWGE2CANG5M17X4C8YNC3N8F" localSheetId="56" hidden="1">#REF!</definedName>
    <definedName name="BEx7HWGE2CANG5M17X4C8YNC3N8F" localSheetId="55" hidden="1">#REF!</definedName>
    <definedName name="BEx7HWGE2CANG5M17X4C8YNC3N8F" localSheetId="4" hidden="1">#REF!</definedName>
    <definedName name="BEx7HWGE2CANG5M17X4C8YNC3N8F" localSheetId="1" hidden="1">#REF!</definedName>
    <definedName name="BEx7HWGE2CANG5M17X4C8YNC3N8F" localSheetId="9" hidden="1">#REF!</definedName>
    <definedName name="BEx7HWGE2CANG5M17X4C8YNC3N8F" hidden="1">#REF!</definedName>
    <definedName name="BEx7IB54GU5UCTJS549UBDW43EJL" localSheetId="56" hidden="1">#REF!</definedName>
    <definedName name="BEx7IB54GU5UCTJS549UBDW43EJL" localSheetId="55" hidden="1">#REF!</definedName>
    <definedName name="BEx7IB54GU5UCTJS549UBDW43EJL" localSheetId="4" hidden="1">#REF!</definedName>
    <definedName name="BEx7IB54GU5UCTJS549UBDW43EJL" localSheetId="1" hidden="1">#REF!</definedName>
    <definedName name="BEx7IB54GU5UCTJS549UBDW43EJL" localSheetId="9" hidden="1">#REF!</definedName>
    <definedName name="BEx7IB54GU5UCTJS549UBDW43EJL" hidden="1">#REF!</definedName>
    <definedName name="BEx7IBVYN47SFZIA0K4MDKQZNN9V" localSheetId="56" hidden="1">#REF!</definedName>
    <definedName name="BEx7IBVYN47SFZIA0K4MDKQZNN9V" localSheetId="55" hidden="1">#REF!</definedName>
    <definedName name="BEx7IBVYN47SFZIA0K4MDKQZNN9V" localSheetId="4" hidden="1">#REF!</definedName>
    <definedName name="BEx7IBVYN47SFZIA0K4MDKQZNN9V" localSheetId="1" hidden="1">#REF!</definedName>
    <definedName name="BEx7IBVYN47SFZIA0K4MDKQZNN9V" localSheetId="9" hidden="1">#REF!</definedName>
    <definedName name="BEx7IBVYN47SFZIA0K4MDKQZNN9V" hidden="1">#REF!</definedName>
    <definedName name="BEx7IGOMJB39HUONENRXTK1MFHGE" localSheetId="56" hidden="1">#REF!</definedName>
    <definedName name="BEx7IGOMJB39HUONENRXTK1MFHGE" localSheetId="55" hidden="1">#REF!</definedName>
    <definedName name="BEx7IGOMJB39HUONENRXTK1MFHGE" localSheetId="4" hidden="1">#REF!</definedName>
    <definedName name="BEx7IGOMJB39HUONENRXTK1MFHGE" localSheetId="1" hidden="1">#REF!</definedName>
    <definedName name="BEx7IGOMJB39HUONENRXTK1MFHGE" localSheetId="9" hidden="1">#REF!</definedName>
    <definedName name="BEx7IGOMJB39HUONENRXTK1MFHGE" hidden="1">#REF!</definedName>
    <definedName name="BEx7ISO6LTCYYDK0J6IN4PG2P6SW" localSheetId="56" hidden="1">#REF!</definedName>
    <definedName name="BEx7ISO6LTCYYDK0J6IN4PG2P6SW" localSheetId="55" hidden="1">#REF!</definedName>
    <definedName name="BEx7ISO6LTCYYDK0J6IN4PG2P6SW" localSheetId="4" hidden="1">#REF!</definedName>
    <definedName name="BEx7ISO6LTCYYDK0J6IN4PG2P6SW" localSheetId="1" hidden="1">#REF!</definedName>
    <definedName name="BEx7ISO6LTCYYDK0J6IN4PG2P6SW" localSheetId="9" hidden="1">#REF!</definedName>
    <definedName name="BEx7ISO6LTCYYDK0J6IN4PG2P6SW" hidden="1">#REF!</definedName>
    <definedName name="BEx7IV2IJ5WT7UC0UG7WP0WF2JZI" localSheetId="56" hidden="1">#REF!</definedName>
    <definedName name="BEx7IV2IJ5WT7UC0UG7WP0WF2JZI" localSheetId="55" hidden="1">#REF!</definedName>
    <definedName name="BEx7IV2IJ5WT7UC0UG7WP0WF2JZI" localSheetId="4" hidden="1">#REF!</definedName>
    <definedName name="BEx7IV2IJ5WT7UC0UG7WP0WF2JZI" localSheetId="1" hidden="1">#REF!</definedName>
    <definedName name="BEx7IV2IJ5WT7UC0UG7WP0WF2JZI" localSheetId="9" hidden="1">#REF!</definedName>
    <definedName name="BEx7IV2IJ5WT7UC0UG7WP0WF2JZI" hidden="1">#REF!</definedName>
    <definedName name="BEx7IXGU74GE5E4S6W4Z13AR092Y" localSheetId="56" hidden="1">#REF!</definedName>
    <definedName name="BEx7IXGU74GE5E4S6W4Z13AR092Y" localSheetId="55" hidden="1">#REF!</definedName>
    <definedName name="BEx7IXGU74GE5E4S6W4Z13AR092Y" localSheetId="4" hidden="1">#REF!</definedName>
    <definedName name="BEx7IXGU74GE5E4S6W4Z13AR092Y" localSheetId="1" hidden="1">#REF!</definedName>
    <definedName name="BEx7IXGU74GE5E4S6W4Z13AR092Y" localSheetId="9" hidden="1">#REF!</definedName>
    <definedName name="BEx7IXGU74GE5E4S6W4Z13AR092Y" hidden="1">#REF!</definedName>
    <definedName name="BEx7J4YL8Q3BI1MLH16YYQ18IJRD" localSheetId="56" hidden="1">#REF!</definedName>
    <definedName name="BEx7J4YL8Q3BI1MLH16YYQ18IJRD" localSheetId="55" hidden="1">#REF!</definedName>
    <definedName name="BEx7J4YL8Q3BI1MLH16YYQ18IJRD" localSheetId="4" hidden="1">#REF!</definedName>
    <definedName name="BEx7J4YL8Q3BI1MLH16YYQ18IJRD" localSheetId="1" hidden="1">#REF!</definedName>
    <definedName name="BEx7J4YL8Q3BI1MLH16YYQ18IJRD" localSheetId="9" hidden="1">#REF!</definedName>
    <definedName name="BEx7J4YL8Q3BI1MLH16YYQ18IJRD" hidden="1">#REF!</definedName>
    <definedName name="BEx7J5K5QVUOXI6A663KUWL6PO3O" localSheetId="56" hidden="1">#REF!</definedName>
    <definedName name="BEx7J5K5QVUOXI6A663KUWL6PO3O" localSheetId="55" hidden="1">#REF!</definedName>
    <definedName name="BEx7J5K5QVUOXI6A663KUWL6PO3O" localSheetId="4" hidden="1">#REF!</definedName>
    <definedName name="BEx7J5K5QVUOXI6A663KUWL6PO3O" localSheetId="1" hidden="1">#REF!</definedName>
    <definedName name="BEx7J5K5QVUOXI6A663KUWL6PO3O" localSheetId="9" hidden="1">#REF!</definedName>
    <definedName name="BEx7J5K5QVUOXI6A663KUWL6PO3O" hidden="1">#REF!</definedName>
    <definedName name="BEx7JH3HGBPI07OHZ5LFYK0UFZQR" localSheetId="56" hidden="1">#REF!</definedName>
    <definedName name="BEx7JH3HGBPI07OHZ5LFYK0UFZQR" localSheetId="55" hidden="1">#REF!</definedName>
    <definedName name="BEx7JH3HGBPI07OHZ5LFYK0UFZQR" localSheetId="4" hidden="1">#REF!</definedName>
    <definedName name="BEx7JH3HGBPI07OHZ5LFYK0UFZQR" localSheetId="1" hidden="1">#REF!</definedName>
    <definedName name="BEx7JH3HGBPI07OHZ5LFYK0UFZQR" localSheetId="9" hidden="1">#REF!</definedName>
    <definedName name="BEx7JH3HGBPI07OHZ5LFYK0UFZQR" hidden="1">#REF!</definedName>
    <definedName name="BEx7JRL3MHRMVLQF3EN15MXRPN68" localSheetId="56" hidden="1">#REF!</definedName>
    <definedName name="BEx7JRL3MHRMVLQF3EN15MXRPN68" localSheetId="55" hidden="1">#REF!</definedName>
    <definedName name="BEx7JRL3MHRMVLQF3EN15MXRPN68" localSheetId="4" hidden="1">#REF!</definedName>
    <definedName name="BEx7JRL3MHRMVLQF3EN15MXRPN68" localSheetId="1" hidden="1">#REF!</definedName>
    <definedName name="BEx7JRL3MHRMVLQF3EN15MXRPN68" localSheetId="9" hidden="1">#REF!</definedName>
    <definedName name="BEx7JRL3MHRMVLQF3EN15MXRPN68" hidden="1">#REF!</definedName>
    <definedName name="BEx7JV194190CNM6WWGQ3UBJ3CHH" localSheetId="56" hidden="1">#REF!</definedName>
    <definedName name="BEx7JV194190CNM6WWGQ3UBJ3CHH" localSheetId="55" hidden="1">#REF!</definedName>
    <definedName name="BEx7JV194190CNM6WWGQ3UBJ3CHH" localSheetId="4" hidden="1">#REF!</definedName>
    <definedName name="BEx7JV194190CNM6WWGQ3UBJ3CHH" localSheetId="1" hidden="1">#REF!</definedName>
    <definedName name="BEx7JV194190CNM6WWGQ3UBJ3CHH" localSheetId="9" hidden="1">#REF!</definedName>
    <definedName name="BEx7JV194190CNM6WWGQ3UBJ3CHH" hidden="1">#REF!</definedName>
    <definedName name="BEx7JZJ4AE8AGMWPK3XPBTBUBZ48" localSheetId="56" hidden="1">#REF!</definedName>
    <definedName name="BEx7JZJ4AE8AGMWPK3XPBTBUBZ48" localSheetId="55" hidden="1">#REF!</definedName>
    <definedName name="BEx7JZJ4AE8AGMWPK3XPBTBUBZ48" localSheetId="4" hidden="1">#REF!</definedName>
    <definedName name="BEx7JZJ4AE8AGMWPK3XPBTBUBZ48" localSheetId="1" hidden="1">#REF!</definedName>
    <definedName name="BEx7JZJ4AE8AGMWPK3XPBTBUBZ48" localSheetId="9" hidden="1">#REF!</definedName>
    <definedName name="BEx7JZJ4AE8AGMWPK3XPBTBUBZ48" hidden="1">#REF!</definedName>
    <definedName name="BEx7K7GZ607XQOGB81A1HINBTGOZ" localSheetId="56" hidden="1">#REF!</definedName>
    <definedName name="BEx7K7GZ607XQOGB81A1HINBTGOZ" localSheetId="55" hidden="1">#REF!</definedName>
    <definedName name="BEx7K7GZ607XQOGB81A1HINBTGOZ" localSheetId="4" hidden="1">#REF!</definedName>
    <definedName name="BEx7K7GZ607XQOGB81A1HINBTGOZ" localSheetId="1" hidden="1">#REF!</definedName>
    <definedName name="BEx7K7GZ607XQOGB81A1HINBTGOZ" localSheetId="9" hidden="1">#REF!</definedName>
    <definedName name="BEx7K7GZ607XQOGB81A1HINBTGOZ" hidden="1">#REF!</definedName>
    <definedName name="BEx7KEYPBDXSNROH8M6CDCBN6B50" localSheetId="56" hidden="1">#REF!</definedName>
    <definedName name="BEx7KEYPBDXSNROH8M6CDCBN6B50" localSheetId="55" hidden="1">#REF!</definedName>
    <definedName name="BEx7KEYPBDXSNROH8M6CDCBN6B50" localSheetId="4" hidden="1">#REF!</definedName>
    <definedName name="BEx7KEYPBDXSNROH8M6CDCBN6B50" localSheetId="1" hidden="1">#REF!</definedName>
    <definedName name="BEx7KEYPBDXSNROH8M6CDCBN6B50" localSheetId="9" hidden="1">#REF!</definedName>
    <definedName name="BEx7KEYPBDXSNROH8M6CDCBN6B50" hidden="1">#REF!</definedName>
    <definedName name="BEx7KH7PZ0A6FSWA4LAN2CMZ0WSF" localSheetId="56" hidden="1">#REF!</definedName>
    <definedName name="BEx7KH7PZ0A6FSWA4LAN2CMZ0WSF" localSheetId="55" hidden="1">#REF!</definedName>
    <definedName name="BEx7KH7PZ0A6FSWA4LAN2CMZ0WSF" localSheetId="4" hidden="1">#REF!</definedName>
    <definedName name="BEx7KH7PZ0A6FSWA4LAN2CMZ0WSF" localSheetId="1" hidden="1">#REF!</definedName>
    <definedName name="BEx7KH7PZ0A6FSWA4LAN2CMZ0WSF" localSheetId="9" hidden="1">#REF!</definedName>
    <definedName name="BEx7KH7PZ0A6FSWA4LAN2CMZ0WSF" hidden="1">#REF!</definedName>
    <definedName name="BEx7KNCTL6VMNQP4MFMHOMV1WI1Y" localSheetId="56" hidden="1">#REF!</definedName>
    <definedName name="BEx7KNCTL6VMNQP4MFMHOMV1WI1Y" localSheetId="55" hidden="1">#REF!</definedName>
    <definedName name="BEx7KNCTL6VMNQP4MFMHOMV1WI1Y" localSheetId="4" hidden="1">#REF!</definedName>
    <definedName name="BEx7KNCTL6VMNQP4MFMHOMV1WI1Y" localSheetId="1" hidden="1">#REF!</definedName>
    <definedName name="BEx7KNCTL6VMNQP4MFMHOMV1WI1Y" localSheetId="9" hidden="1">#REF!</definedName>
    <definedName name="BEx7KNCTL6VMNQP4MFMHOMV1WI1Y" hidden="1">#REF!</definedName>
    <definedName name="BEx7KSAS8BZT6H8OQCZ5DNSTMO07" localSheetId="56" hidden="1">#REF!</definedName>
    <definedName name="BEx7KSAS8BZT6H8OQCZ5DNSTMO07" localSheetId="55" hidden="1">#REF!</definedName>
    <definedName name="BEx7KSAS8BZT6H8OQCZ5DNSTMO07" localSheetId="4" hidden="1">#REF!</definedName>
    <definedName name="BEx7KSAS8BZT6H8OQCZ5DNSTMO07" localSheetId="1" hidden="1">#REF!</definedName>
    <definedName name="BEx7KSAS8BZT6H8OQCZ5DNSTMO07" localSheetId="9" hidden="1">#REF!</definedName>
    <definedName name="BEx7KSAS8BZT6H8OQCZ5DNSTMO07" hidden="1">#REF!</definedName>
    <definedName name="BEx7KWHTBD21COXVI4HNEQH0Z3L8" localSheetId="56" hidden="1">#REF!</definedName>
    <definedName name="BEx7KWHTBD21COXVI4HNEQH0Z3L8" localSheetId="55" hidden="1">#REF!</definedName>
    <definedName name="BEx7KWHTBD21COXVI4HNEQH0Z3L8" localSheetId="4" hidden="1">#REF!</definedName>
    <definedName name="BEx7KWHTBD21COXVI4HNEQH0Z3L8" localSheetId="1" hidden="1">#REF!</definedName>
    <definedName name="BEx7KWHTBD21COXVI4HNEQH0Z3L8" localSheetId="9" hidden="1">#REF!</definedName>
    <definedName name="BEx7KWHTBD21COXVI4HNEQH0Z3L8" hidden="1">#REF!</definedName>
    <definedName name="BEx7KXUGRMRSUXCM97Z7VRZQ9JH2" localSheetId="56" hidden="1">#REF!</definedName>
    <definedName name="BEx7KXUGRMRSUXCM97Z7VRZQ9JH2" localSheetId="55" hidden="1">#REF!</definedName>
    <definedName name="BEx7KXUGRMRSUXCM97Z7VRZQ9JH2" localSheetId="4" hidden="1">#REF!</definedName>
    <definedName name="BEx7KXUGRMRSUXCM97Z7VRZQ9JH2" localSheetId="1" hidden="1">#REF!</definedName>
    <definedName name="BEx7KXUGRMRSUXCM97Z7VRZQ9JH2" localSheetId="9" hidden="1">#REF!</definedName>
    <definedName name="BEx7KXUGRMRSUXCM97Z7VRZQ9JH2" hidden="1">#REF!</definedName>
    <definedName name="BEx7L5C6U8MP6IZ67BD649WQYJEK" localSheetId="56" hidden="1">#REF!</definedName>
    <definedName name="BEx7L5C6U8MP6IZ67BD649WQYJEK" localSheetId="55" hidden="1">#REF!</definedName>
    <definedName name="BEx7L5C6U8MP6IZ67BD649WQYJEK" localSheetId="4" hidden="1">#REF!</definedName>
    <definedName name="BEx7L5C6U8MP6IZ67BD649WQYJEK" localSheetId="1" hidden="1">#REF!</definedName>
    <definedName name="BEx7L5C6U8MP6IZ67BD649WQYJEK" localSheetId="9" hidden="1">#REF!</definedName>
    <definedName name="BEx7L5C6U8MP6IZ67BD649WQYJEK" hidden="1">#REF!</definedName>
    <definedName name="BEx7L8HEYEVTATR0OG5JJO647KNI" localSheetId="56" hidden="1">#REF!</definedName>
    <definedName name="BEx7L8HEYEVTATR0OG5JJO647KNI" localSheetId="55" hidden="1">#REF!</definedName>
    <definedName name="BEx7L8HEYEVTATR0OG5JJO647KNI" localSheetId="4" hidden="1">#REF!</definedName>
    <definedName name="BEx7L8HEYEVTATR0OG5JJO647KNI" localSheetId="1" hidden="1">#REF!</definedName>
    <definedName name="BEx7L8HEYEVTATR0OG5JJO647KNI" localSheetId="9" hidden="1">#REF!</definedName>
    <definedName name="BEx7L8HEYEVTATR0OG5JJO647KNI" hidden="1">#REF!</definedName>
    <definedName name="BEx7L8XOV64OMS15ZFURFEUXLMWF" localSheetId="56" hidden="1">#REF!</definedName>
    <definedName name="BEx7L8XOV64OMS15ZFURFEUXLMWF" localSheetId="55" hidden="1">#REF!</definedName>
    <definedName name="BEx7L8XOV64OMS15ZFURFEUXLMWF" localSheetId="4" hidden="1">#REF!</definedName>
    <definedName name="BEx7L8XOV64OMS15ZFURFEUXLMWF" localSheetId="1" hidden="1">#REF!</definedName>
    <definedName name="BEx7L8XOV64OMS15ZFURFEUXLMWF" localSheetId="9" hidden="1">#REF!</definedName>
    <definedName name="BEx7L8XOV64OMS15ZFURFEUXLMWF" hidden="1">#REF!</definedName>
    <definedName name="BEx7LPF478MRAYB9TQ6LDML6O3BY" localSheetId="56" hidden="1">#REF!</definedName>
    <definedName name="BEx7LPF478MRAYB9TQ6LDML6O3BY" localSheetId="55" hidden="1">#REF!</definedName>
    <definedName name="BEx7LPF478MRAYB9TQ6LDML6O3BY" localSheetId="4" hidden="1">#REF!</definedName>
    <definedName name="BEx7LPF478MRAYB9TQ6LDML6O3BY" localSheetId="1" hidden="1">#REF!</definedName>
    <definedName name="BEx7LPF478MRAYB9TQ6LDML6O3BY" localSheetId="9" hidden="1">#REF!</definedName>
    <definedName name="BEx7LPF478MRAYB9TQ6LDML6O3BY" hidden="1">#REF!</definedName>
    <definedName name="BEx7LPV780NFCG1VX4EKJ29YXOLZ" localSheetId="56" hidden="1">#REF!</definedName>
    <definedName name="BEx7LPV780NFCG1VX4EKJ29YXOLZ" localSheetId="55" hidden="1">#REF!</definedName>
    <definedName name="BEx7LPV780NFCG1VX4EKJ29YXOLZ" localSheetId="4" hidden="1">#REF!</definedName>
    <definedName name="BEx7LPV780NFCG1VX4EKJ29YXOLZ" localSheetId="1" hidden="1">#REF!</definedName>
    <definedName name="BEx7LPV780NFCG1VX4EKJ29YXOLZ" localSheetId="9" hidden="1">#REF!</definedName>
    <definedName name="BEx7LPV780NFCG1VX4EKJ29YXOLZ" hidden="1">#REF!</definedName>
    <definedName name="BEx7LQ0PD30NJWOAYKPEYHM9J83B" localSheetId="56" hidden="1">#REF!</definedName>
    <definedName name="BEx7LQ0PD30NJWOAYKPEYHM9J83B" localSheetId="55" hidden="1">#REF!</definedName>
    <definedName name="BEx7LQ0PD30NJWOAYKPEYHM9J83B" localSheetId="4" hidden="1">#REF!</definedName>
    <definedName name="BEx7LQ0PD30NJWOAYKPEYHM9J83B" localSheetId="1" hidden="1">#REF!</definedName>
    <definedName name="BEx7LQ0PD30NJWOAYKPEYHM9J83B" localSheetId="9" hidden="1">#REF!</definedName>
    <definedName name="BEx7LQ0PD30NJWOAYKPEYHM9J83B" hidden="1">#REF!</definedName>
    <definedName name="BEx7M4EKEDHZ1ZZ91NDLSUNPUFPZ" localSheetId="56" hidden="1">#REF!</definedName>
    <definedName name="BEx7M4EKEDHZ1ZZ91NDLSUNPUFPZ" localSheetId="55" hidden="1">#REF!</definedName>
    <definedName name="BEx7M4EKEDHZ1ZZ91NDLSUNPUFPZ" localSheetId="4" hidden="1">#REF!</definedName>
    <definedName name="BEx7M4EKEDHZ1ZZ91NDLSUNPUFPZ" localSheetId="1" hidden="1">#REF!</definedName>
    <definedName name="BEx7M4EKEDHZ1ZZ91NDLSUNPUFPZ" localSheetId="9" hidden="1">#REF!</definedName>
    <definedName name="BEx7M4EKEDHZ1ZZ91NDLSUNPUFPZ" hidden="1">#REF!</definedName>
    <definedName name="BEx7MAUI1JJFDIJGDW4RWY5384LY" localSheetId="56" hidden="1">#REF!</definedName>
    <definedName name="BEx7MAUI1JJFDIJGDW4RWY5384LY" localSheetId="55" hidden="1">#REF!</definedName>
    <definedName name="BEx7MAUI1JJFDIJGDW4RWY5384LY" localSheetId="4" hidden="1">#REF!</definedName>
    <definedName name="BEx7MAUI1JJFDIJGDW4RWY5384LY" localSheetId="1" hidden="1">#REF!</definedName>
    <definedName name="BEx7MAUI1JJFDIJGDW4RWY5384LY" localSheetId="9" hidden="1">#REF!</definedName>
    <definedName name="BEx7MAUI1JJFDIJGDW4RWY5384LY" hidden="1">#REF!</definedName>
    <definedName name="BEx7MI1EW6N7FOBHWJLYC02TZSKR" localSheetId="56" hidden="1">#REF!</definedName>
    <definedName name="BEx7MI1EW6N7FOBHWJLYC02TZSKR" localSheetId="55" hidden="1">#REF!</definedName>
    <definedName name="BEx7MI1EW6N7FOBHWJLYC02TZSKR" localSheetId="4" hidden="1">#REF!</definedName>
    <definedName name="BEx7MI1EW6N7FOBHWJLYC02TZSKR" localSheetId="1" hidden="1">#REF!</definedName>
    <definedName name="BEx7MI1EW6N7FOBHWJLYC02TZSKR" localSheetId="9" hidden="1">#REF!</definedName>
    <definedName name="BEx7MI1EW6N7FOBHWJLYC02TZSKR" hidden="1">#REF!</definedName>
    <definedName name="BEx7MJZO3UKAMJ53UWOJ5ZD4GGMQ" localSheetId="56" hidden="1">#REF!</definedName>
    <definedName name="BEx7MJZO3UKAMJ53UWOJ5ZD4GGMQ" localSheetId="55" hidden="1">#REF!</definedName>
    <definedName name="BEx7MJZO3UKAMJ53UWOJ5ZD4GGMQ" localSheetId="4" hidden="1">#REF!</definedName>
    <definedName name="BEx7MJZO3UKAMJ53UWOJ5ZD4GGMQ" localSheetId="1" hidden="1">#REF!</definedName>
    <definedName name="BEx7MJZO3UKAMJ53UWOJ5ZD4GGMQ" localSheetId="9" hidden="1">#REF!</definedName>
    <definedName name="BEx7MJZO3UKAMJ53UWOJ5ZD4GGMQ" hidden="1">#REF!</definedName>
    <definedName name="BEx7MO17TZ6L4457Q12FYYLUUZAZ" localSheetId="56" hidden="1">#REF!</definedName>
    <definedName name="BEx7MO17TZ6L4457Q12FYYLUUZAZ" localSheetId="55" hidden="1">#REF!</definedName>
    <definedName name="BEx7MO17TZ6L4457Q12FYYLUUZAZ" localSheetId="4" hidden="1">#REF!</definedName>
    <definedName name="BEx7MO17TZ6L4457Q12FYYLUUZAZ" localSheetId="1" hidden="1">#REF!</definedName>
    <definedName name="BEx7MO17TZ6L4457Q12FYYLUUZAZ" localSheetId="9" hidden="1">#REF!</definedName>
    <definedName name="BEx7MO17TZ6L4457Q12FYYLUUZAZ" hidden="1">#REF!</definedName>
    <definedName name="BEx7MT4MFNXIVQGAT6D971GZW7CA" localSheetId="56" hidden="1">#REF!</definedName>
    <definedName name="BEx7MT4MFNXIVQGAT6D971GZW7CA" localSheetId="55" hidden="1">#REF!</definedName>
    <definedName name="BEx7MT4MFNXIVQGAT6D971GZW7CA" localSheetId="4" hidden="1">#REF!</definedName>
    <definedName name="BEx7MT4MFNXIVQGAT6D971GZW7CA" localSheetId="1" hidden="1">#REF!</definedName>
    <definedName name="BEx7MT4MFNXIVQGAT6D971GZW7CA" localSheetId="9" hidden="1">#REF!</definedName>
    <definedName name="BEx7MT4MFNXIVQGAT6D971GZW7CA" hidden="1">#REF!</definedName>
    <definedName name="BEx7MUMLPPX92MX7SA8S1PLONDL8" localSheetId="56" hidden="1">#REF!</definedName>
    <definedName name="BEx7MUMLPPX92MX7SA8S1PLONDL8" localSheetId="55" hidden="1">#REF!</definedName>
    <definedName name="BEx7MUMLPPX92MX7SA8S1PLONDL8" localSheetId="4" hidden="1">#REF!</definedName>
    <definedName name="BEx7MUMLPPX92MX7SA8S1PLONDL8" localSheetId="1" hidden="1">#REF!</definedName>
    <definedName name="BEx7MUMLPPX92MX7SA8S1PLONDL8" localSheetId="9" hidden="1">#REF!</definedName>
    <definedName name="BEx7MUMLPPX92MX7SA8S1PLONDL8" hidden="1">#REF!</definedName>
    <definedName name="BEx7MX0W532Q7CB4V6KFVC9WAOUI" localSheetId="56" hidden="1">#REF!</definedName>
    <definedName name="BEx7MX0W532Q7CB4V6KFVC9WAOUI" localSheetId="55" hidden="1">#REF!</definedName>
    <definedName name="BEx7MX0W532Q7CB4V6KFVC9WAOUI" localSheetId="4" hidden="1">#REF!</definedName>
    <definedName name="BEx7MX0W532Q7CB4V6KFVC9WAOUI" localSheetId="1" hidden="1">#REF!</definedName>
    <definedName name="BEx7MX0W532Q7CB4V6KFVC9WAOUI" localSheetId="9" hidden="1">#REF!</definedName>
    <definedName name="BEx7MX0W532Q7CB4V6KFVC9WAOUI" hidden="1">#REF!</definedName>
    <definedName name="BEx7NB403NE748IF75RXMWOFQ986" localSheetId="56" hidden="1">#REF!</definedName>
    <definedName name="BEx7NB403NE748IF75RXMWOFQ986" localSheetId="55" hidden="1">#REF!</definedName>
    <definedName name="BEx7NB403NE748IF75RXMWOFQ986" localSheetId="4" hidden="1">#REF!</definedName>
    <definedName name="BEx7NB403NE748IF75RXMWOFQ986" localSheetId="1" hidden="1">#REF!</definedName>
    <definedName name="BEx7NB403NE748IF75RXMWOFQ986" localSheetId="9" hidden="1">#REF!</definedName>
    <definedName name="BEx7NB403NE748IF75RXMWOFQ986" hidden="1">#REF!</definedName>
    <definedName name="BEx7NI062THZAM6I8AJWTFJL91CS" localSheetId="56" hidden="1">#REF!</definedName>
    <definedName name="BEx7NI062THZAM6I8AJWTFJL91CS" localSheetId="55" hidden="1">#REF!</definedName>
    <definedName name="BEx7NI062THZAM6I8AJWTFJL91CS" localSheetId="4" hidden="1">#REF!</definedName>
    <definedName name="BEx7NI062THZAM6I8AJWTFJL91CS" localSheetId="1" hidden="1">#REF!</definedName>
    <definedName name="BEx7NI062THZAM6I8AJWTFJL91CS" localSheetId="9" hidden="1">#REF!</definedName>
    <definedName name="BEx7NI062THZAM6I8AJWTFJL91CS" hidden="1">#REF!</definedName>
    <definedName name="BEx904S75BPRYMHF0083JF7ES4NG" localSheetId="56" hidden="1">#REF!</definedName>
    <definedName name="BEx904S75BPRYMHF0083JF7ES4NG" localSheetId="55" hidden="1">#REF!</definedName>
    <definedName name="BEx904S75BPRYMHF0083JF7ES4NG" localSheetId="4" hidden="1">#REF!</definedName>
    <definedName name="BEx904S75BPRYMHF0083JF7ES4NG" localSheetId="1" hidden="1">#REF!</definedName>
    <definedName name="BEx904S75BPRYMHF0083JF7ES4NG" localSheetId="9" hidden="1">#REF!</definedName>
    <definedName name="BEx904S75BPRYMHF0083JF7ES4NG" hidden="1">#REF!</definedName>
    <definedName name="BEx90HDD4RWF7JZGA8GCGG7D63MG" localSheetId="56" hidden="1">#REF!</definedName>
    <definedName name="BEx90HDD4RWF7JZGA8GCGG7D63MG" localSheetId="55" hidden="1">#REF!</definedName>
    <definedName name="BEx90HDD4RWF7JZGA8GCGG7D63MG" localSheetId="4" hidden="1">#REF!</definedName>
    <definedName name="BEx90HDD4RWF7JZGA8GCGG7D63MG" localSheetId="1" hidden="1">#REF!</definedName>
    <definedName name="BEx90HDD4RWF7JZGA8GCGG7D63MG" localSheetId="9" hidden="1">#REF!</definedName>
    <definedName name="BEx90HDD4RWF7JZGA8GCGG7D63MG" hidden="1">#REF!</definedName>
    <definedName name="BEx90HO6UVMFVSV8U0YBZFHNCL38" localSheetId="56" hidden="1">#REF!</definedName>
    <definedName name="BEx90HO6UVMFVSV8U0YBZFHNCL38" localSheetId="55" hidden="1">#REF!</definedName>
    <definedName name="BEx90HO6UVMFVSV8U0YBZFHNCL38" localSheetId="4" hidden="1">#REF!</definedName>
    <definedName name="BEx90HO6UVMFVSV8U0YBZFHNCL38" localSheetId="1" hidden="1">#REF!</definedName>
    <definedName name="BEx90HO6UVMFVSV8U0YBZFHNCL38" localSheetId="9" hidden="1">#REF!</definedName>
    <definedName name="BEx90HO6UVMFVSV8U0YBZFHNCL38" hidden="1">#REF!</definedName>
    <definedName name="BEx90VGH5H09ON2QXYC9WIIEU98T" localSheetId="56" hidden="1">#REF!</definedName>
    <definedName name="BEx90VGH5H09ON2QXYC9WIIEU98T" localSheetId="55" hidden="1">#REF!</definedName>
    <definedName name="BEx90VGH5H09ON2QXYC9WIIEU98T" localSheetId="4" hidden="1">#REF!</definedName>
    <definedName name="BEx90VGH5H09ON2QXYC9WIIEU98T" localSheetId="1" hidden="1">#REF!</definedName>
    <definedName name="BEx90VGH5H09ON2QXYC9WIIEU98T" localSheetId="9" hidden="1">#REF!</definedName>
    <definedName name="BEx90VGH5H09ON2QXYC9WIIEU98T" hidden="1">#REF!</definedName>
    <definedName name="BEx9157279000SVN5XNWQ99JY0WU" localSheetId="56" hidden="1">#REF!</definedName>
    <definedName name="BEx9157279000SVN5XNWQ99JY0WU" localSheetId="55" hidden="1">#REF!</definedName>
    <definedName name="BEx9157279000SVN5XNWQ99JY0WU" localSheetId="4" hidden="1">#REF!</definedName>
    <definedName name="BEx9157279000SVN5XNWQ99JY0WU" localSheetId="1" hidden="1">#REF!</definedName>
    <definedName name="BEx9157279000SVN5XNWQ99JY0WU" localSheetId="9" hidden="1">#REF!</definedName>
    <definedName name="BEx9157279000SVN5XNWQ99JY0WU" hidden="1">#REF!</definedName>
    <definedName name="BEx9175B70QXYAU5A8DJPGZQ46L9" localSheetId="56" hidden="1">#REF!</definedName>
    <definedName name="BEx9175B70QXYAU5A8DJPGZQ46L9" localSheetId="55" hidden="1">#REF!</definedName>
    <definedName name="BEx9175B70QXYAU5A8DJPGZQ46L9" localSheetId="4" hidden="1">#REF!</definedName>
    <definedName name="BEx9175B70QXYAU5A8DJPGZQ46L9" localSheetId="1" hidden="1">#REF!</definedName>
    <definedName name="BEx9175B70QXYAU5A8DJPGZQ46L9" localSheetId="9" hidden="1">#REF!</definedName>
    <definedName name="BEx9175B70QXYAU5A8DJPGZQ46L9" hidden="1">#REF!</definedName>
    <definedName name="BEx91AQQRTV87AO27VWHSFZAD4ZR" localSheetId="56" hidden="1">#REF!</definedName>
    <definedName name="BEx91AQQRTV87AO27VWHSFZAD4ZR" localSheetId="55" hidden="1">#REF!</definedName>
    <definedName name="BEx91AQQRTV87AO27VWHSFZAD4ZR" localSheetId="4" hidden="1">#REF!</definedName>
    <definedName name="BEx91AQQRTV87AO27VWHSFZAD4ZR" localSheetId="1" hidden="1">#REF!</definedName>
    <definedName name="BEx91AQQRTV87AO27VWHSFZAD4ZR" localSheetId="9" hidden="1">#REF!</definedName>
    <definedName name="BEx91AQQRTV87AO27VWHSFZAD4ZR" hidden="1">#REF!</definedName>
    <definedName name="BEx91L8FLL5CWLA2CDHKCOMGVDZN" localSheetId="56" hidden="1">#REF!</definedName>
    <definedName name="BEx91L8FLL5CWLA2CDHKCOMGVDZN" localSheetId="55" hidden="1">#REF!</definedName>
    <definedName name="BEx91L8FLL5CWLA2CDHKCOMGVDZN" localSheetId="4" hidden="1">#REF!</definedName>
    <definedName name="BEx91L8FLL5CWLA2CDHKCOMGVDZN" localSheetId="1" hidden="1">#REF!</definedName>
    <definedName name="BEx91L8FLL5CWLA2CDHKCOMGVDZN" localSheetId="9" hidden="1">#REF!</definedName>
    <definedName name="BEx91L8FLL5CWLA2CDHKCOMGVDZN" hidden="1">#REF!</definedName>
    <definedName name="BEx91OTVH9ZDBC3QTORU8RZX4EOC" localSheetId="56" hidden="1">#REF!</definedName>
    <definedName name="BEx91OTVH9ZDBC3QTORU8RZX4EOC" localSheetId="55" hidden="1">#REF!</definedName>
    <definedName name="BEx91OTVH9ZDBC3QTORU8RZX4EOC" localSheetId="4" hidden="1">#REF!</definedName>
    <definedName name="BEx91OTVH9ZDBC3QTORU8RZX4EOC" localSheetId="1" hidden="1">#REF!</definedName>
    <definedName name="BEx91OTVH9ZDBC3QTORU8RZX4EOC" localSheetId="9" hidden="1">#REF!</definedName>
    <definedName name="BEx91OTVH9ZDBC3QTORU8RZX4EOC" hidden="1">#REF!</definedName>
    <definedName name="BEx91QH5JRZKQP1GPN2SQMR3CKAG" localSheetId="56" hidden="1">#REF!</definedName>
    <definedName name="BEx91QH5JRZKQP1GPN2SQMR3CKAG" localSheetId="55" hidden="1">#REF!</definedName>
    <definedName name="BEx91QH5JRZKQP1GPN2SQMR3CKAG" localSheetId="4" hidden="1">#REF!</definedName>
    <definedName name="BEx91QH5JRZKQP1GPN2SQMR3CKAG" localSheetId="1" hidden="1">#REF!</definedName>
    <definedName name="BEx91QH5JRZKQP1GPN2SQMR3CKAG" localSheetId="9" hidden="1">#REF!</definedName>
    <definedName name="BEx91QH5JRZKQP1GPN2SQMR3CKAG" hidden="1">#REF!</definedName>
    <definedName name="BEx91ROALDNHO7FI4X8L61RH4UJE" localSheetId="56" hidden="1">#REF!</definedName>
    <definedName name="BEx91ROALDNHO7FI4X8L61RH4UJE" localSheetId="55" hidden="1">#REF!</definedName>
    <definedName name="BEx91ROALDNHO7FI4X8L61RH4UJE" localSheetId="4" hidden="1">#REF!</definedName>
    <definedName name="BEx91ROALDNHO7FI4X8L61RH4UJE" localSheetId="1" hidden="1">#REF!</definedName>
    <definedName name="BEx91ROALDNHO7FI4X8L61RH4UJE" localSheetId="9" hidden="1">#REF!</definedName>
    <definedName name="BEx91ROALDNHO7FI4X8L61RH4UJE" hidden="1">#REF!</definedName>
    <definedName name="BEx91TMID71GVYH0U16QM1RV3PX0" localSheetId="56" hidden="1">#REF!</definedName>
    <definedName name="BEx91TMID71GVYH0U16QM1RV3PX0" localSheetId="55" hidden="1">#REF!</definedName>
    <definedName name="BEx91TMID71GVYH0U16QM1RV3PX0" localSheetId="4" hidden="1">#REF!</definedName>
    <definedName name="BEx91TMID71GVYH0U16QM1RV3PX0" localSheetId="1" hidden="1">#REF!</definedName>
    <definedName name="BEx91TMID71GVYH0U16QM1RV3PX0" localSheetId="9" hidden="1">#REF!</definedName>
    <definedName name="BEx91TMID71GVYH0U16QM1RV3PX0" hidden="1">#REF!</definedName>
    <definedName name="BEx91VF2D78PAF337E3L2L81K9W2" localSheetId="56" hidden="1">#REF!</definedName>
    <definedName name="BEx91VF2D78PAF337E3L2L81K9W2" localSheetId="55" hidden="1">#REF!</definedName>
    <definedName name="BEx91VF2D78PAF337E3L2L81K9W2" localSheetId="4" hidden="1">#REF!</definedName>
    <definedName name="BEx91VF2D78PAF337E3L2L81K9W2" localSheetId="1" hidden="1">#REF!</definedName>
    <definedName name="BEx91VF2D78PAF337E3L2L81K9W2" localSheetId="9" hidden="1">#REF!</definedName>
    <definedName name="BEx91VF2D78PAF337E3L2L81K9W2" hidden="1">#REF!</definedName>
    <definedName name="BEx921PNZ46VORG2VRMWREWIC0SE" localSheetId="56" hidden="1">#REF!</definedName>
    <definedName name="BEx921PNZ46VORG2VRMWREWIC0SE" localSheetId="55" hidden="1">#REF!</definedName>
    <definedName name="BEx921PNZ46VORG2VRMWREWIC0SE" localSheetId="4" hidden="1">#REF!</definedName>
    <definedName name="BEx921PNZ46VORG2VRMWREWIC0SE" localSheetId="1" hidden="1">#REF!</definedName>
    <definedName name="BEx921PNZ46VORG2VRMWREWIC0SE" localSheetId="9" hidden="1">#REF!</definedName>
    <definedName name="BEx921PNZ46VORG2VRMWREWIC0SE" hidden="1">#REF!</definedName>
    <definedName name="BEx929CVDCG5CFUQWNDLOSNRQ1FN" localSheetId="56" hidden="1">#REF!</definedName>
    <definedName name="BEx929CVDCG5CFUQWNDLOSNRQ1FN" localSheetId="55" hidden="1">#REF!</definedName>
    <definedName name="BEx929CVDCG5CFUQWNDLOSNRQ1FN" localSheetId="4" hidden="1">#REF!</definedName>
    <definedName name="BEx929CVDCG5CFUQWNDLOSNRQ1FN" localSheetId="1" hidden="1">#REF!</definedName>
    <definedName name="BEx929CVDCG5CFUQWNDLOSNRQ1FN" localSheetId="9" hidden="1">#REF!</definedName>
    <definedName name="BEx929CVDCG5CFUQWNDLOSNRQ1FN" hidden="1">#REF!</definedName>
    <definedName name="BEx92DPEKL5WM5A3CN8674JI0PR3" localSheetId="56" hidden="1">#REF!</definedName>
    <definedName name="BEx92DPEKL5WM5A3CN8674JI0PR3" localSheetId="55" hidden="1">#REF!</definedName>
    <definedName name="BEx92DPEKL5WM5A3CN8674JI0PR3" localSheetId="4" hidden="1">#REF!</definedName>
    <definedName name="BEx92DPEKL5WM5A3CN8674JI0PR3" localSheetId="1" hidden="1">#REF!</definedName>
    <definedName name="BEx92DPEKL5WM5A3CN8674JI0PR3" localSheetId="9" hidden="1">#REF!</definedName>
    <definedName name="BEx92DPEKL5WM5A3CN8674JI0PR3" hidden="1">#REF!</definedName>
    <definedName name="BEx92ER2RMY93TZK0D9L9T3H0GI5" localSheetId="56" hidden="1">#REF!</definedName>
    <definedName name="BEx92ER2RMY93TZK0D9L9T3H0GI5" localSheetId="55" hidden="1">#REF!</definedName>
    <definedName name="BEx92ER2RMY93TZK0D9L9T3H0GI5" localSheetId="4" hidden="1">#REF!</definedName>
    <definedName name="BEx92ER2RMY93TZK0D9L9T3H0GI5" localSheetId="1" hidden="1">#REF!</definedName>
    <definedName name="BEx92ER2RMY93TZK0D9L9T3H0GI5" localSheetId="9" hidden="1">#REF!</definedName>
    <definedName name="BEx92ER2RMY93TZK0D9L9T3H0GI5" hidden="1">#REF!</definedName>
    <definedName name="BEx92FI04PJT4LI23KKIHRXWJDTT" localSheetId="56" hidden="1">#REF!</definedName>
    <definedName name="BEx92FI04PJT4LI23KKIHRXWJDTT" localSheetId="55" hidden="1">#REF!</definedName>
    <definedName name="BEx92FI04PJT4LI23KKIHRXWJDTT" localSheetId="4" hidden="1">#REF!</definedName>
    <definedName name="BEx92FI04PJT4LI23KKIHRXWJDTT" localSheetId="1" hidden="1">#REF!</definedName>
    <definedName name="BEx92FI04PJT4LI23KKIHRXWJDTT" localSheetId="9" hidden="1">#REF!</definedName>
    <definedName name="BEx92FI04PJT4LI23KKIHRXWJDTT" hidden="1">#REF!</definedName>
    <definedName name="BEx92HR14HQ9D5JXCSPA4SS4RT62" localSheetId="56" hidden="1">#REF!</definedName>
    <definedName name="BEx92HR14HQ9D5JXCSPA4SS4RT62" localSheetId="55" hidden="1">#REF!</definedName>
    <definedName name="BEx92HR14HQ9D5JXCSPA4SS4RT62" localSheetId="4" hidden="1">#REF!</definedName>
    <definedName name="BEx92HR14HQ9D5JXCSPA4SS4RT62" localSheetId="1" hidden="1">#REF!</definedName>
    <definedName name="BEx92HR14HQ9D5JXCSPA4SS4RT62" localSheetId="9" hidden="1">#REF!</definedName>
    <definedName name="BEx92HR14HQ9D5JXCSPA4SS4RT62" hidden="1">#REF!</definedName>
    <definedName name="BEx92HWA2D6A5EX9MFG68G0NOMSN" localSheetId="56" hidden="1">#REF!</definedName>
    <definedName name="BEx92HWA2D6A5EX9MFG68G0NOMSN" localSheetId="55" hidden="1">#REF!</definedName>
    <definedName name="BEx92HWA2D6A5EX9MFG68G0NOMSN" localSheetId="4" hidden="1">#REF!</definedName>
    <definedName name="BEx92HWA2D6A5EX9MFG68G0NOMSN" localSheetId="1" hidden="1">#REF!</definedName>
    <definedName name="BEx92HWA2D6A5EX9MFG68G0NOMSN" localSheetId="9" hidden="1">#REF!</definedName>
    <definedName name="BEx92HWA2D6A5EX9MFG68G0NOMSN" hidden="1">#REF!</definedName>
    <definedName name="BEx92I1SQUKW2W7S22E82HLJXRGK" localSheetId="56" hidden="1">#REF!</definedName>
    <definedName name="BEx92I1SQUKW2W7S22E82HLJXRGK" localSheetId="55" hidden="1">#REF!</definedName>
    <definedName name="BEx92I1SQUKW2W7S22E82HLJXRGK" localSheetId="4" hidden="1">#REF!</definedName>
    <definedName name="BEx92I1SQUKW2W7S22E82HLJXRGK" localSheetId="1" hidden="1">#REF!</definedName>
    <definedName name="BEx92I1SQUKW2W7S22E82HLJXRGK" localSheetId="9" hidden="1">#REF!</definedName>
    <definedName name="BEx92I1SQUKW2W7S22E82HLJXRGK" hidden="1">#REF!</definedName>
    <definedName name="BEx92PUBDIXAU1FW5ZAXECMAU0LN" localSheetId="56" hidden="1">#REF!</definedName>
    <definedName name="BEx92PUBDIXAU1FW5ZAXECMAU0LN" localSheetId="55" hidden="1">#REF!</definedName>
    <definedName name="BEx92PUBDIXAU1FW5ZAXECMAU0LN" localSheetId="4" hidden="1">#REF!</definedName>
    <definedName name="BEx92PUBDIXAU1FW5ZAXECMAU0LN" localSheetId="1" hidden="1">#REF!</definedName>
    <definedName name="BEx92PUBDIXAU1FW5ZAXECMAU0LN" localSheetId="9" hidden="1">#REF!</definedName>
    <definedName name="BEx92PUBDIXAU1FW5ZAXECMAU0LN" hidden="1">#REF!</definedName>
    <definedName name="BEx92S8MHFFIVRQ2YSHZNQGOFUHD" localSheetId="56" hidden="1">#REF!</definedName>
    <definedName name="BEx92S8MHFFIVRQ2YSHZNQGOFUHD" localSheetId="55" hidden="1">#REF!</definedName>
    <definedName name="BEx92S8MHFFIVRQ2YSHZNQGOFUHD" localSheetId="4" hidden="1">#REF!</definedName>
    <definedName name="BEx92S8MHFFIVRQ2YSHZNQGOFUHD" localSheetId="1" hidden="1">#REF!</definedName>
    <definedName name="BEx92S8MHFFIVRQ2YSHZNQGOFUHD" localSheetId="9" hidden="1">#REF!</definedName>
    <definedName name="BEx92S8MHFFIVRQ2YSHZNQGOFUHD" hidden="1">#REF!</definedName>
    <definedName name="BEx92VJ5FJGXISSSMOUAESCSIWFV" localSheetId="56" hidden="1">#REF!</definedName>
    <definedName name="BEx92VJ5FJGXISSSMOUAESCSIWFV" localSheetId="55" hidden="1">#REF!</definedName>
    <definedName name="BEx92VJ5FJGXISSSMOUAESCSIWFV" localSheetId="4" hidden="1">#REF!</definedName>
    <definedName name="BEx92VJ5FJGXISSSMOUAESCSIWFV" localSheetId="1" hidden="1">#REF!</definedName>
    <definedName name="BEx92VJ5FJGXISSSMOUAESCSIWFV" localSheetId="9" hidden="1">#REF!</definedName>
    <definedName name="BEx92VJ5FJGXISSSMOUAESCSIWFV" hidden="1">#REF!</definedName>
    <definedName name="BEx93B9OULL2YGC896XXYAAJSTRK" localSheetId="56" hidden="1">#REF!</definedName>
    <definedName name="BEx93B9OULL2YGC896XXYAAJSTRK" localSheetId="55" hidden="1">#REF!</definedName>
    <definedName name="BEx93B9OULL2YGC896XXYAAJSTRK" localSheetId="4" hidden="1">#REF!</definedName>
    <definedName name="BEx93B9OULL2YGC896XXYAAJSTRK" localSheetId="1" hidden="1">#REF!</definedName>
    <definedName name="BEx93B9OULL2YGC896XXYAAJSTRK" localSheetId="9" hidden="1">#REF!</definedName>
    <definedName name="BEx93B9OULL2YGC896XXYAAJSTRK" hidden="1">#REF!</definedName>
    <definedName name="BEx93FRKF99NRT3LH99UTIH7AAYF" localSheetId="56" hidden="1">#REF!</definedName>
    <definedName name="BEx93FRKF99NRT3LH99UTIH7AAYF" localSheetId="55" hidden="1">#REF!</definedName>
    <definedName name="BEx93FRKF99NRT3LH99UTIH7AAYF" localSheetId="4" hidden="1">#REF!</definedName>
    <definedName name="BEx93FRKF99NRT3LH99UTIH7AAYF" localSheetId="1" hidden="1">#REF!</definedName>
    <definedName name="BEx93FRKF99NRT3LH99UTIH7AAYF" localSheetId="9" hidden="1">#REF!</definedName>
    <definedName name="BEx93FRKF99NRT3LH99UTIH7AAYF" hidden="1">#REF!</definedName>
    <definedName name="BEx93M7FSHP50OG34A4W8W8DF12U" localSheetId="56" hidden="1">#REF!</definedName>
    <definedName name="BEx93M7FSHP50OG34A4W8W8DF12U" localSheetId="55" hidden="1">#REF!</definedName>
    <definedName name="BEx93M7FSHP50OG34A4W8W8DF12U" localSheetId="4" hidden="1">#REF!</definedName>
    <definedName name="BEx93M7FSHP50OG34A4W8W8DF12U" localSheetId="1" hidden="1">#REF!</definedName>
    <definedName name="BEx93M7FSHP50OG34A4W8W8DF12U" localSheetId="9" hidden="1">#REF!</definedName>
    <definedName name="BEx93M7FSHP50OG34A4W8W8DF12U" hidden="1">#REF!</definedName>
    <definedName name="BEx93OLWY2O3PRA74U41VG5RXT4Q" localSheetId="56" hidden="1">#REF!</definedName>
    <definedName name="BEx93OLWY2O3PRA74U41VG5RXT4Q" localSheetId="55" hidden="1">#REF!</definedName>
    <definedName name="BEx93OLWY2O3PRA74U41VG5RXT4Q" localSheetId="4" hidden="1">#REF!</definedName>
    <definedName name="BEx93OLWY2O3PRA74U41VG5RXT4Q" localSheetId="1" hidden="1">#REF!</definedName>
    <definedName name="BEx93OLWY2O3PRA74U41VG5RXT4Q" localSheetId="9" hidden="1">#REF!</definedName>
    <definedName name="BEx93OLWY2O3PRA74U41VG5RXT4Q" hidden="1">#REF!</definedName>
    <definedName name="BEx93RWFAF6YJGYUTITVM445C02U" localSheetId="56" hidden="1">#REF!</definedName>
    <definedName name="BEx93RWFAF6YJGYUTITVM445C02U" localSheetId="55" hidden="1">#REF!</definedName>
    <definedName name="BEx93RWFAF6YJGYUTITVM445C02U" localSheetId="4" hidden="1">#REF!</definedName>
    <definedName name="BEx93RWFAF6YJGYUTITVM445C02U" localSheetId="1" hidden="1">#REF!</definedName>
    <definedName name="BEx93RWFAF6YJGYUTITVM445C02U" localSheetId="9" hidden="1">#REF!</definedName>
    <definedName name="BEx93RWFAF6YJGYUTITVM445C02U" hidden="1">#REF!</definedName>
    <definedName name="BEx93SY9RWG3HUV4YXQKXJH9FH14" localSheetId="56" hidden="1">#REF!</definedName>
    <definedName name="BEx93SY9RWG3HUV4YXQKXJH9FH14" localSheetId="55" hidden="1">#REF!</definedName>
    <definedName name="BEx93SY9RWG3HUV4YXQKXJH9FH14" localSheetId="4" hidden="1">#REF!</definedName>
    <definedName name="BEx93SY9RWG3HUV4YXQKXJH9FH14" localSheetId="1" hidden="1">#REF!</definedName>
    <definedName name="BEx93SY9RWG3HUV4YXQKXJH9FH14" localSheetId="9" hidden="1">#REF!</definedName>
    <definedName name="BEx93SY9RWG3HUV4YXQKXJH9FH14" hidden="1">#REF!</definedName>
    <definedName name="BEx93TJUX3U0FJDBG6DDSNQ91R5J" localSheetId="56" hidden="1">#REF!</definedName>
    <definedName name="BEx93TJUX3U0FJDBG6DDSNQ91R5J" localSheetId="55" hidden="1">#REF!</definedName>
    <definedName name="BEx93TJUX3U0FJDBG6DDSNQ91R5J" localSheetId="4" hidden="1">#REF!</definedName>
    <definedName name="BEx93TJUX3U0FJDBG6DDSNQ91R5J" localSheetId="1" hidden="1">#REF!</definedName>
    <definedName name="BEx93TJUX3U0FJDBG6DDSNQ91R5J" localSheetId="9" hidden="1">#REF!</definedName>
    <definedName name="BEx93TJUX3U0FJDBG6DDSNQ91R5J" hidden="1">#REF!</definedName>
    <definedName name="BEx942UCRHMI4B0US31HO95GSC2X" localSheetId="56" hidden="1">#REF!</definedName>
    <definedName name="BEx942UCRHMI4B0US31HO95GSC2X" localSheetId="55" hidden="1">#REF!</definedName>
    <definedName name="BEx942UCRHMI4B0US31HO95GSC2X" localSheetId="4" hidden="1">#REF!</definedName>
    <definedName name="BEx942UCRHMI4B0US31HO95GSC2X" localSheetId="1" hidden="1">#REF!</definedName>
    <definedName name="BEx942UCRHMI4B0US31HO95GSC2X" localSheetId="9" hidden="1">#REF!</definedName>
    <definedName name="BEx942UCRHMI4B0US31HO95GSC2X" hidden="1">#REF!</definedName>
    <definedName name="BEx942ZND3V7XSHKTD0UH9X85N5E" localSheetId="56" hidden="1">#REF!</definedName>
    <definedName name="BEx942ZND3V7XSHKTD0UH9X85N5E" localSheetId="55" hidden="1">#REF!</definedName>
    <definedName name="BEx942ZND3V7XSHKTD0UH9X85N5E" localSheetId="4" hidden="1">#REF!</definedName>
    <definedName name="BEx942ZND3V7XSHKTD0UH9X85N5E" localSheetId="1" hidden="1">#REF!</definedName>
    <definedName name="BEx942ZND3V7XSHKTD0UH9X85N5E" localSheetId="9" hidden="1">#REF!</definedName>
    <definedName name="BEx942ZND3V7XSHKTD0UH9X85N5E" hidden="1">#REF!</definedName>
    <definedName name="BEx947HHLR6UU6NYPNDZRF79V52K" localSheetId="56" hidden="1">#REF!</definedName>
    <definedName name="BEx947HHLR6UU6NYPNDZRF79V52K" localSheetId="55" hidden="1">#REF!</definedName>
    <definedName name="BEx947HHLR6UU6NYPNDZRF79V52K" localSheetId="4" hidden="1">#REF!</definedName>
    <definedName name="BEx947HHLR6UU6NYPNDZRF79V52K" localSheetId="1" hidden="1">#REF!</definedName>
    <definedName name="BEx947HHLR6UU6NYPNDZRF79V52K" localSheetId="9" hidden="1">#REF!</definedName>
    <definedName name="BEx947HHLR6UU6NYPNDZRF79V52K" hidden="1">#REF!</definedName>
    <definedName name="BEx948ZFFQWVIDNG4AZAUGGGEB5U" localSheetId="56" hidden="1">#REF!</definedName>
    <definedName name="BEx948ZFFQWVIDNG4AZAUGGGEB5U" localSheetId="55" hidden="1">#REF!</definedName>
    <definedName name="BEx948ZFFQWVIDNG4AZAUGGGEB5U" localSheetId="4" hidden="1">#REF!</definedName>
    <definedName name="BEx948ZFFQWVIDNG4AZAUGGGEB5U" localSheetId="1" hidden="1">#REF!</definedName>
    <definedName name="BEx948ZFFQWVIDNG4AZAUGGGEB5U" localSheetId="9" hidden="1">#REF!</definedName>
    <definedName name="BEx948ZFFQWVIDNG4AZAUGGGEB5U" hidden="1">#REF!</definedName>
    <definedName name="BEx94CKXG92OMURH41SNU6IOHK4J" localSheetId="56" hidden="1">#REF!</definedName>
    <definedName name="BEx94CKXG92OMURH41SNU6IOHK4J" localSheetId="55" hidden="1">#REF!</definedName>
    <definedName name="BEx94CKXG92OMURH41SNU6IOHK4J" localSheetId="4" hidden="1">#REF!</definedName>
    <definedName name="BEx94CKXG92OMURH41SNU6IOHK4J" localSheetId="1" hidden="1">#REF!</definedName>
    <definedName name="BEx94CKXG92OMURH41SNU6IOHK4J" localSheetId="9" hidden="1">#REF!</definedName>
    <definedName name="BEx94CKXG92OMURH41SNU6IOHK4J" hidden="1">#REF!</definedName>
    <definedName name="BEx94GXG30CIVB6ZQN3X3IK6BZXQ" localSheetId="56" hidden="1">#REF!</definedName>
    <definedName name="BEx94GXG30CIVB6ZQN3X3IK6BZXQ" localSheetId="55" hidden="1">#REF!</definedName>
    <definedName name="BEx94GXG30CIVB6ZQN3X3IK6BZXQ" localSheetId="4" hidden="1">#REF!</definedName>
    <definedName name="BEx94GXG30CIVB6ZQN3X3IK6BZXQ" localSheetId="1" hidden="1">#REF!</definedName>
    <definedName name="BEx94GXG30CIVB6ZQN3X3IK6BZXQ" localSheetId="9" hidden="1">#REF!</definedName>
    <definedName name="BEx94GXG30CIVB6ZQN3X3IK6BZXQ" hidden="1">#REF!</definedName>
    <definedName name="BEx94HJ0DWZHE39X4BLCQCJ3M1MC" localSheetId="56" hidden="1">#REF!</definedName>
    <definedName name="BEx94HJ0DWZHE39X4BLCQCJ3M1MC" localSheetId="55" hidden="1">#REF!</definedName>
    <definedName name="BEx94HJ0DWZHE39X4BLCQCJ3M1MC" localSheetId="4" hidden="1">#REF!</definedName>
    <definedName name="BEx94HJ0DWZHE39X4BLCQCJ3M1MC" localSheetId="1" hidden="1">#REF!</definedName>
    <definedName name="BEx94HJ0DWZHE39X4BLCQCJ3M1MC" localSheetId="9" hidden="1">#REF!</definedName>
    <definedName name="BEx94HJ0DWZHE39X4BLCQCJ3M1MC" hidden="1">#REF!</definedName>
    <definedName name="BEx94HZ5LURYM9ST744ALV6ZCKYP" localSheetId="56" hidden="1">#REF!</definedName>
    <definedName name="BEx94HZ5LURYM9ST744ALV6ZCKYP" localSheetId="55" hidden="1">#REF!</definedName>
    <definedName name="BEx94HZ5LURYM9ST744ALV6ZCKYP" localSheetId="4" hidden="1">#REF!</definedName>
    <definedName name="BEx94HZ5LURYM9ST744ALV6ZCKYP" localSheetId="1" hidden="1">#REF!</definedName>
    <definedName name="BEx94HZ5LURYM9ST744ALV6ZCKYP" localSheetId="9" hidden="1">#REF!</definedName>
    <definedName name="BEx94HZ5LURYM9ST744ALV6ZCKYP" hidden="1">#REF!</definedName>
    <definedName name="BEx94IQ75E90YUMWJ9N591LR7DQQ" localSheetId="56" hidden="1">#REF!</definedName>
    <definedName name="BEx94IQ75E90YUMWJ9N591LR7DQQ" localSheetId="55" hidden="1">#REF!</definedName>
    <definedName name="BEx94IQ75E90YUMWJ9N591LR7DQQ" localSheetId="4" hidden="1">#REF!</definedName>
    <definedName name="BEx94IQ75E90YUMWJ9N591LR7DQQ" localSheetId="1" hidden="1">#REF!</definedName>
    <definedName name="BEx94IQ75E90YUMWJ9N591LR7DQQ" localSheetId="9" hidden="1">#REF!</definedName>
    <definedName name="BEx94IQ75E90YUMWJ9N591LR7DQQ" hidden="1">#REF!</definedName>
    <definedName name="BEx94N7W5T3U7UOE97D6OVIBUCXS" localSheetId="56" hidden="1">#REF!</definedName>
    <definedName name="BEx94N7W5T3U7UOE97D6OVIBUCXS" localSheetId="55" hidden="1">#REF!</definedName>
    <definedName name="BEx94N7W5T3U7UOE97D6OVIBUCXS" localSheetId="4" hidden="1">#REF!</definedName>
    <definedName name="BEx94N7W5T3U7UOE97D6OVIBUCXS" localSheetId="1" hidden="1">#REF!</definedName>
    <definedName name="BEx94N7W5T3U7UOE97D6OVIBUCXS" localSheetId="9" hidden="1">#REF!</definedName>
    <definedName name="BEx94N7W5T3U7UOE97D6OVIBUCXS" hidden="1">#REF!</definedName>
    <definedName name="BEx955NIAWX5OLAHMTV6QFUZPR30" localSheetId="56" hidden="1">#REF!</definedName>
    <definedName name="BEx955NIAWX5OLAHMTV6QFUZPR30" localSheetId="55" hidden="1">#REF!</definedName>
    <definedName name="BEx955NIAWX5OLAHMTV6QFUZPR30" localSheetId="4" hidden="1">#REF!</definedName>
    <definedName name="BEx955NIAWX5OLAHMTV6QFUZPR30" localSheetId="1" hidden="1">#REF!</definedName>
    <definedName name="BEx955NIAWX5OLAHMTV6QFUZPR30" localSheetId="9" hidden="1">#REF!</definedName>
    <definedName name="BEx955NIAWX5OLAHMTV6QFUZPR30" hidden="1">#REF!</definedName>
    <definedName name="BEx9581TYVI2M5TT4ISDAJV4W7Z6" localSheetId="56" hidden="1">#REF!</definedName>
    <definedName name="BEx9581TYVI2M5TT4ISDAJV4W7Z6" localSheetId="55" hidden="1">#REF!</definedName>
    <definedName name="BEx9581TYVI2M5TT4ISDAJV4W7Z6" localSheetId="4" hidden="1">#REF!</definedName>
    <definedName name="BEx9581TYVI2M5TT4ISDAJV4W7Z6" localSheetId="1" hidden="1">#REF!</definedName>
    <definedName name="BEx9581TYVI2M5TT4ISDAJV4W7Z6" localSheetId="9" hidden="1">#REF!</definedName>
    <definedName name="BEx9581TYVI2M5TT4ISDAJV4W7Z6" hidden="1">#REF!</definedName>
    <definedName name="BEx95G55NR99FDSE95CXDI4DKWSV" localSheetId="56" hidden="1">#REF!</definedName>
    <definedName name="BEx95G55NR99FDSE95CXDI4DKWSV" localSheetId="55" hidden="1">#REF!</definedName>
    <definedName name="BEx95G55NR99FDSE95CXDI4DKWSV" localSheetId="4" hidden="1">#REF!</definedName>
    <definedName name="BEx95G55NR99FDSE95CXDI4DKWSV" localSheetId="1" hidden="1">#REF!</definedName>
    <definedName name="BEx95G55NR99FDSE95CXDI4DKWSV" localSheetId="9" hidden="1">#REF!</definedName>
    <definedName name="BEx95G55NR99FDSE95CXDI4DKWSV" hidden="1">#REF!</definedName>
    <definedName name="BEx95NHF4RVUE0YDOAFZEIVBYJXD" localSheetId="56" hidden="1">#REF!</definedName>
    <definedName name="BEx95NHF4RVUE0YDOAFZEIVBYJXD" localSheetId="55" hidden="1">#REF!</definedName>
    <definedName name="BEx95NHF4RVUE0YDOAFZEIVBYJXD" localSheetId="4" hidden="1">#REF!</definedName>
    <definedName name="BEx95NHF4RVUE0YDOAFZEIVBYJXD" localSheetId="1" hidden="1">#REF!</definedName>
    <definedName name="BEx95NHF4RVUE0YDOAFZEIVBYJXD" localSheetId="9" hidden="1">#REF!</definedName>
    <definedName name="BEx95NHF4RVUE0YDOAFZEIVBYJXD" hidden="1">#REF!</definedName>
    <definedName name="BEx95QBZMG0E2KQ9BERJ861QLYN3" localSheetId="56" hidden="1">#REF!</definedName>
    <definedName name="BEx95QBZMG0E2KQ9BERJ861QLYN3" localSheetId="55" hidden="1">#REF!</definedName>
    <definedName name="BEx95QBZMG0E2KQ9BERJ861QLYN3" localSheetId="4" hidden="1">#REF!</definedName>
    <definedName name="BEx95QBZMG0E2KQ9BERJ861QLYN3" localSheetId="1" hidden="1">#REF!</definedName>
    <definedName name="BEx95QBZMG0E2KQ9BERJ861QLYN3" localSheetId="9" hidden="1">#REF!</definedName>
    <definedName name="BEx95QBZMG0E2KQ9BERJ861QLYN3" hidden="1">#REF!</definedName>
    <definedName name="BEx95QHBVDN795UNQJLRXG3RDU49" localSheetId="56" hidden="1">#REF!</definedName>
    <definedName name="BEx95QHBVDN795UNQJLRXG3RDU49" localSheetId="55" hidden="1">#REF!</definedName>
    <definedName name="BEx95QHBVDN795UNQJLRXG3RDU49" localSheetId="4" hidden="1">#REF!</definedName>
    <definedName name="BEx95QHBVDN795UNQJLRXG3RDU49" localSheetId="1" hidden="1">#REF!</definedName>
    <definedName name="BEx95QHBVDN795UNQJLRXG3RDU49" localSheetId="9" hidden="1">#REF!</definedName>
    <definedName name="BEx95QHBVDN795UNQJLRXG3RDU49" hidden="1">#REF!</definedName>
    <definedName name="BEx95TBVUWV7L7OMFMZDQEXGVHU6" localSheetId="56" hidden="1">#REF!</definedName>
    <definedName name="BEx95TBVUWV7L7OMFMZDQEXGVHU6" localSheetId="55" hidden="1">#REF!</definedName>
    <definedName name="BEx95TBVUWV7L7OMFMZDQEXGVHU6" localSheetId="4" hidden="1">#REF!</definedName>
    <definedName name="BEx95TBVUWV7L7OMFMZDQEXGVHU6" localSheetId="1" hidden="1">#REF!</definedName>
    <definedName name="BEx95TBVUWV7L7OMFMZDQEXGVHU6" localSheetId="9" hidden="1">#REF!</definedName>
    <definedName name="BEx95TBVUWV7L7OMFMZDQEXGVHU6" hidden="1">#REF!</definedName>
    <definedName name="BEx95U89DZZSVO39TGS62CX8G9N4" localSheetId="56" hidden="1">#REF!</definedName>
    <definedName name="BEx95U89DZZSVO39TGS62CX8G9N4" localSheetId="55" hidden="1">#REF!</definedName>
    <definedName name="BEx95U89DZZSVO39TGS62CX8G9N4" localSheetId="4" hidden="1">#REF!</definedName>
    <definedName name="BEx95U89DZZSVO39TGS62CX8G9N4" localSheetId="1" hidden="1">#REF!</definedName>
    <definedName name="BEx95U89DZZSVO39TGS62CX8G9N4" localSheetId="9" hidden="1">#REF!</definedName>
    <definedName name="BEx95U89DZZSVO39TGS62CX8G9N4" hidden="1">#REF!</definedName>
    <definedName name="BEx95XTPKKKJG67C45LRX0T25I06" localSheetId="56" hidden="1">#REF!</definedName>
    <definedName name="BEx95XTPKKKJG67C45LRX0T25I06" localSheetId="55" hidden="1">#REF!</definedName>
    <definedName name="BEx95XTPKKKJG67C45LRX0T25I06" localSheetId="4" hidden="1">#REF!</definedName>
    <definedName name="BEx95XTPKKKJG67C45LRX0T25I06" localSheetId="1" hidden="1">#REF!</definedName>
    <definedName name="BEx95XTPKKKJG67C45LRX0T25I06" localSheetId="9" hidden="1">#REF!</definedName>
    <definedName name="BEx95XTPKKKJG67C45LRX0T25I06" hidden="1">#REF!</definedName>
    <definedName name="BEx9602K2GHNBUEUVT9ONRQU1GMD" localSheetId="56" hidden="1">#REF!</definedName>
    <definedName name="BEx9602K2GHNBUEUVT9ONRQU1GMD" localSheetId="55" hidden="1">#REF!</definedName>
    <definedName name="BEx9602K2GHNBUEUVT9ONRQU1GMD" localSheetId="4" hidden="1">#REF!</definedName>
    <definedName name="BEx9602K2GHNBUEUVT9ONRQU1GMD" localSheetId="1" hidden="1">#REF!</definedName>
    <definedName name="BEx9602K2GHNBUEUVT9ONRQU1GMD" localSheetId="9" hidden="1">#REF!</definedName>
    <definedName name="BEx9602K2GHNBUEUVT9ONRQU1GMD" hidden="1">#REF!</definedName>
    <definedName name="BEx9602LTEI8BPC79BGMRK6S0RP8" localSheetId="56" hidden="1">#REF!</definedName>
    <definedName name="BEx9602LTEI8BPC79BGMRK6S0RP8" localSheetId="55" hidden="1">#REF!</definedName>
    <definedName name="BEx9602LTEI8BPC79BGMRK6S0RP8" localSheetId="4" hidden="1">#REF!</definedName>
    <definedName name="BEx9602LTEI8BPC79BGMRK6S0RP8" localSheetId="1" hidden="1">#REF!</definedName>
    <definedName name="BEx9602LTEI8BPC79BGMRK6S0RP8" localSheetId="9" hidden="1">#REF!</definedName>
    <definedName name="BEx9602LTEI8BPC79BGMRK6S0RP8" hidden="1">#REF!</definedName>
    <definedName name="BEx962BL3Y4LA53EBYI64ZYMZE8U" localSheetId="56" hidden="1">#REF!</definedName>
    <definedName name="BEx962BL3Y4LA53EBYI64ZYMZE8U" localSheetId="55" hidden="1">#REF!</definedName>
    <definedName name="BEx962BL3Y4LA53EBYI64ZYMZE8U" localSheetId="4" hidden="1">#REF!</definedName>
    <definedName name="BEx962BL3Y4LA53EBYI64ZYMZE8U" localSheetId="1" hidden="1">#REF!</definedName>
    <definedName name="BEx962BL3Y4LA53EBYI64ZYMZE8U" localSheetId="9" hidden="1">#REF!</definedName>
    <definedName name="BEx962BL3Y4LA53EBYI64ZYMZE8U" hidden="1">#REF!</definedName>
    <definedName name="BEx96HAWZ2EMMI7VJ5NQXGK044OO" localSheetId="56" hidden="1">#REF!</definedName>
    <definedName name="BEx96HAWZ2EMMI7VJ5NQXGK044OO" localSheetId="55" hidden="1">#REF!</definedName>
    <definedName name="BEx96HAWZ2EMMI7VJ5NQXGK044OO" localSheetId="4" hidden="1">#REF!</definedName>
    <definedName name="BEx96HAWZ2EMMI7VJ5NQXGK044OO" localSheetId="1" hidden="1">#REF!</definedName>
    <definedName name="BEx96HAWZ2EMMI7VJ5NQXGK044OO" localSheetId="9" hidden="1">#REF!</definedName>
    <definedName name="BEx96HAWZ2EMMI7VJ5NQXGK044OO" hidden="1">#REF!</definedName>
    <definedName name="BEx96KR21O7H9R29TN0S45Y3QPUK" localSheetId="56" hidden="1">#REF!</definedName>
    <definedName name="BEx96KR21O7H9R29TN0S45Y3QPUK" localSheetId="55" hidden="1">#REF!</definedName>
    <definedName name="BEx96KR21O7H9R29TN0S45Y3QPUK" localSheetId="4" hidden="1">#REF!</definedName>
    <definedName name="BEx96KR21O7H9R29TN0S45Y3QPUK" localSheetId="1" hidden="1">#REF!</definedName>
    <definedName name="BEx96KR21O7H9R29TN0S45Y3QPUK" localSheetId="9" hidden="1">#REF!</definedName>
    <definedName name="BEx96KR21O7H9R29TN0S45Y3QPUK" hidden="1">#REF!</definedName>
    <definedName name="BEx96SUFKHHFE8XQ6UUO6ILDOXHO" localSheetId="56" hidden="1">#REF!</definedName>
    <definedName name="BEx96SUFKHHFE8XQ6UUO6ILDOXHO" localSheetId="55" hidden="1">#REF!</definedName>
    <definedName name="BEx96SUFKHHFE8XQ6UUO6ILDOXHO" localSheetId="4" hidden="1">#REF!</definedName>
    <definedName name="BEx96SUFKHHFE8XQ6UUO6ILDOXHO" localSheetId="1" hidden="1">#REF!</definedName>
    <definedName name="BEx96SUFKHHFE8XQ6UUO6ILDOXHO" localSheetId="9" hidden="1">#REF!</definedName>
    <definedName name="BEx96SUFKHHFE8XQ6UUO6ILDOXHO" hidden="1">#REF!</definedName>
    <definedName name="BEx96UN4YWXBDEZ1U1ZUIPP41Z7I" localSheetId="56" hidden="1">#REF!</definedName>
    <definedName name="BEx96UN4YWXBDEZ1U1ZUIPP41Z7I" localSheetId="55" hidden="1">#REF!</definedName>
    <definedName name="BEx96UN4YWXBDEZ1U1ZUIPP41Z7I" localSheetId="4" hidden="1">#REF!</definedName>
    <definedName name="BEx96UN4YWXBDEZ1U1ZUIPP41Z7I" localSheetId="1" hidden="1">#REF!</definedName>
    <definedName name="BEx96UN4YWXBDEZ1U1ZUIPP41Z7I" localSheetId="9" hidden="1">#REF!</definedName>
    <definedName name="BEx96UN4YWXBDEZ1U1ZUIPP41Z7I" hidden="1">#REF!</definedName>
    <definedName name="BEx978KSD61YJH3S9DGO050R2EHA" localSheetId="56" hidden="1">#REF!</definedName>
    <definedName name="BEx978KSD61YJH3S9DGO050R2EHA" localSheetId="55" hidden="1">#REF!</definedName>
    <definedName name="BEx978KSD61YJH3S9DGO050R2EHA" localSheetId="4" hidden="1">#REF!</definedName>
    <definedName name="BEx978KSD61YJH3S9DGO050R2EHA" localSheetId="1" hidden="1">#REF!</definedName>
    <definedName name="BEx978KSD61YJH3S9DGO050R2EHA" localSheetId="9" hidden="1">#REF!</definedName>
    <definedName name="BEx978KSD61YJH3S9DGO050R2EHA" hidden="1">#REF!</definedName>
    <definedName name="BEx97H9O1NAKAPK4MX4PKO34ICL5" localSheetId="56" hidden="1">#REF!</definedName>
    <definedName name="BEx97H9O1NAKAPK4MX4PKO34ICL5" localSheetId="55" hidden="1">#REF!</definedName>
    <definedName name="BEx97H9O1NAKAPK4MX4PKO34ICL5" localSheetId="4" hidden="1">#REF!</definedName>
    <definedName name="BEx97H9O1NAKAPK4MX4PKO34ICL5" localSheetId="1" hidden="1">#REF!</definedName>
    <definedName name="BEx97H9O1NAKAPK4MX4PKO34ICL5" localSheetId="9" hidden="1">#REF!</definedName>
    <definedName name="BEx97H9O1NAKAPK4MX4PKO34ICL5" hidden="1">#REF!</definedName>
    <definedName name="BEx97MNUZQ1Z0AO2FL7XQYVNCPR7" localSheetId="56" hidden="1">#REF!</definedName>
    <definedName name="BEx97MNUZQ1Z0AO2FL7XQYVNCPR7" localSheetId="55" hidden="1">#REF!</definedName>
    <definedName name="BEx97MNUZQ1Z0AO2FL7XQYVNCPR7" localSheetId="4" hidden="1">#REF!</definedName>
    <definedName name="BEx97MNUZQ1Z0AO2FL7XQYVNCPR7" localSheetId="1" hidden="1">#REF!</definedName>
    <definedName name="BEx97MNUZQ1Z0AO2FL7XQYVNCPR7" localSheetId="9" hidden="1">#REF!</definedName>
    <definedName name="BEx97MNUZQ1Z0AO2FL7XQYVNCPR7" hidden="1">#REF!</definedName>
    <definedName name="BEx97NPQBACJVD9K1YXI08RTW9E2" localSheetId="56" hidden="1">#REF!</definedName>
    <definedName name="BEx97NPQBACJVD9K1YXI08RTW9E2" localSheetId="55" hidden="1">#REF!</definedName>
    <definedName name="BEx97NPQBACJVD9K1YXI08RTW9E2" localSheetId="4" hidden="1">#REF!</definedName>
    <definedName name="BEx97NPQBACJVD9K1YXI08RTW9E2" localSheetId="1" hidden="1">#REF!</definedName>
    <definedName name="BEx97NPQBACJVD9K1YXI08RTW9E2" localSheetId="9" hidden="1">#REF!</definedName>
    <definedName name="BEx97NPQBACJVD9K1YXI08RTW9E2" hidden="1">#REF!</definedName>
    <definedName name="BEx97RWQLXS0OORDCN69IGA58CWU" localSheetId="56" hidden="1">#REF!</definedName>
    <definedName name="BEx97RWQLXS0OORDCN69IGA58CWU" localSheetId="55" hidden="1">#REF!</definedName>
    <definedName name="BEx97RWQLXS0OORDCN69IGA58CWU" localSheetId="4" hidden="1">#REF!</definedName>
    <definedName name="BEx97RWQLXS0OORDCN69IGA58CWU" localSheetId="1" hidden="1">#REF!</definedName>
    <definedName name="BEx97RWQLXS0OORDCN69IGA58CWU" localSheetId="9" hidden="1">#REF!</definedName>
    <definedName name="BEx97RWQLXS0OORDCN69IGA58CWU" hidden="1">#REF!</definedName>
    <definedName name="BEx97YNGGDFIXHTMGFL2IHAQX9MI" localSheetId="56" hidden="1">#REF!</definedName>
    <definedName name="BEx97YNGGDFIXHTMGFL2IHAQX9MI" localSheetId="55" hidden="1">#REF!</definedName>
    <definedName name="BEx97YNGGDFIXHTMGFL2IHAQX9MI" localSheetId="4" hidden="1">#REF!</definedName>
    <definedName name="BEx97YNGGDFIXHTMGFL2IHAQX9MI" localSheetId="1" hidden="1">#REF!</definedName>
    <definedName name="BEx97YNGGDFIXHTMGFL2IHAQX9MI" localSheetId="9" hidden="1">#REF!</definedName>
    <definedName name="BEx97YNGGDFIXHTMGFL2IHAQX9MI" hidden="1">#REF!</definedName>
    <definedName name="BEx9805E16VCDEWPM3404WTQS6ZK" localSheetId="56" hidden="1">#REF!</definedName>
    <definedName name="BEx9805E16VCDEWPM3404WTQS6ZK" localSheetId="55" hidden="1">#REF!</definedName>
    <definedName name="BEx9805E16VCDEWPM3404WTQS6ZK" localSheetId="4" hidden="1">#REF!</definedName>
    <definedName name="BEx9805E16VCDEWPM3404WTQS6ZK" localSheetId="1" hidden="1">#REF!</definedName>
    <definedName name="BEx9805E16VCDEWPM3404WTQS6ZK" localSheetId="9" hidden="1">#REF!</definedName>
    <definedName name="BEx9805E16VCDEWPM3404WTQS6ZK" hidden="1">#REF!</definedName>
    <definedName name="BEx981HW73BUZWT14TBTZHC0ZTJ4" localSheetId="56" hidden="1">#REF!</definedName>
    <definedName name="BEx981HW73BUZWT14TBTZHC0ZTJ4" localSheetId="55" hidden="1">#REF!</definedName>
    <definedName name="BEx981HW73BUZWT14TBTZHC0ZTJ4" localSheetId="4" hidden="1">#REF!</definedName>
    <definedName name="BEx981HW73BUZWT14TBTZHC0ZTJ4" localSheetId="1" hidden="1">#REF!</definedName>
    <definedName name="BEx981HW73BUZWT14TBTZHC0ZTJ4" localSheetId="9" hidden="1">#REF!</definedName>
    <definedName name="BEx981HW73BUZWT14TBTZHC0ZTJ4" hidden="1">#REF!</definedName>
    <definedName name="BEx9871KU0N99P0900EAK69VFYT2" localSheetId="56" hidden="1">#REF!</definedName>
    <definedName name="BEx9871KU0N99P0900EAK69VFYT2" localSheetId="55" hidden="1">#REF!</definedName>
    <definedName name="BEx9871KU0N99P0900EAK69VFYT2" localSheetId="4" hidden="1">#REF!</definedName>
    <definedName name="BEx9871KU0N99P0900EAK69VFYT2" localSheetId="1" hidden="1">#REF!</definedName>
    <definedName name="BEx9871KU0N99P0900EAK69VFYT2" localSheetId="9" hidden="1">#REF!</definedName>
    <definedName name="BEx9871KU0N99P0900EAK69VFYT2" hidden="1">#REF!</definedName>
    <definedName name="BEx98IFKNJFGZFLID1YTRFEG1SXY" localSheetId="56" hidden="1">#REF!</definedName>
    <definedName name="BEx98IFKNJFGZFLID1YTRFEG1SXY" localSheetId="55" hidden="1">#REF!</definedName>
    <definedName name="BEx98IFKNJFGZFLID1YTRFEG1SXY" localSheetId="4" hidden="1">#REF!</definedName>
    <definedName name="BEx98IFKNJFGZFLID1YTRFEG1SXY" localSheetId="1" hidden="1">#REF!</definedName>
    <definedName name="BEx98IFKNJFGZFLID1YTRFEG1SXY" localSheetId="9" hidden="1">#REF!</definedName>
    <definedName name="BEx98IFKNJFGZFLID1YTRFEG1SXY" hidden="1">#REF!</definedName>
    <definedName name="BEx98T7ZEF0HKRFLBVK3BNKCG3CJ" localSheetId="56" hidden="1">#REF!</definedName>
    <definedName name="BEx98T7ZEF0HKRFLBVK3BNKCG3CJ" localSheetId="55" hidden="1">#REF!</definedName>
    <definedName name="BEx98T7ZEF0HKRFLBVK3BNKCG3CJ" localSheetId="4" hidden="1">#REF!</definedName>
    <definedName name="BEx98T7ZEF0HKRFLBVK3BNKCG3CJ" localSheetId="1" hidden="1">#REF!</definedName>
    <definedName name="BEx98T7ZEF0HKRFLBVK3BNKCG3CJ" localSheetId="9" hidden="1">#REF!</definedName>
    <definedName name="BEx98T7ZEF0HKRFLBVK3BNKCG3CJ" hidden="1">#REF!</definedName>
    <definedName name="BEx98WYSAS39FWGYTMQ8QGIT81TF" localSheetId="56" hidden="1">#REF!</definedName>
    <definedName name="BEx98WYSAS39FWGYTMQ8QGIT81TF" localSheetId="55" hidden="1">#REF!</definedName>
    <definedName name="BEx98WYSAS39FWGYTMQ8QGIT81TF" localSheetId="4" hidden="1">#REF!</definedName>
    <definedName name="BEx98WYSAS39FWGYTMQ8QGIT81TF" localSheetId="1" hidden="1">#REF!</definedName>
    <definedName name="BEx98WYSAS39FWGYTMQ8QGIT81TF" localSheetId="9" hidden="1">#REF!</definedName>
    <definedName name="BEx98WYSAS39FWGYTMQ8QGIT81TF" hidden="1">#REF!</definedName>
    <definedName name="BEx990461P2YAJ7BRK25INFYZ7RQ" localSheetId="56" hidden="1">#REF!</definedName>
    <definedName name="BEx990461P2YAJ7BRK25INFYZ7RQ" localSheetId="55" hidden="1">#REF!</definedName>
    <definedName name="BEx990461P2YAJ7BRK25INFYZ7RQ" localSheetId="4" hidden="1">#REF!</definedName>
    <definedName name="BEx990461P2YAJ7BRK25INFYZ7RQ" localSheetId="1" hidden="1">#REF!</definedName>
    <definedName name="BEx990461P2YAJ7BRK25INFYZ7RQ" localSheetId="9" hidden="1">#REF!</definedName>
    <definedName name="BEx990461P2YAJ7BRK25INFYZ7RQ" hidden="1">#REF!</definedName>
    <definedName name="BEx9915UVD4G7RA3IMLFZ0LG3UA2" localSheetId="56" hidden="1">#REF!</definedName>
    <definedName name="BEx9915UVD4G7RA3IMLFZ0LG3UA2" localSheetId="55" hidden="1">#REF!</definedName>
    <definedName name="BEx9915UVD4G7RA3IMLFZ0LG3UA2" localSheetId="4" hidden="1">#REF!</definedName>
    <definedName name="BEx9915UVD4G7RA3IMLFZ0LG3UA2" localSheetId="1" hidden="1">#REF!</definedName>
    <definedName name="BEx9915UVD4G7RA3IMLFZ0LG3UA2" localSheetId="9" hidden="1">#REF!</definedName>
    <definedName name="BEx9915UVD4G7RA3IMLFZ0LG3UA2" hidden="1">#REF!</definedName>
    <definedName name="BEx991M410V3S2PKCJGQ30O6JT6H" localSheetId="56" hidden="1">#REF!</definedName>
    <definedName name="BEx991M410V3S2PKCJGQ30O6JT6H" localSheetId="55" hidden="1">#REF!</definedName>
    <definedName name="BEx991M410V3S2PKCJGQ30O6JT6H" localSheetId="4" hidden="1">#REF!</definedName>
    <definedName name="BEx991M410V3S2PKCJGQ30O6JT6H" localSheetId="1" hidden="1">#REF!</definedName>
    <definedName name="BEx991M410V3S2PKCJGQ30O6JT6H" localSheetId="9" hidden="1">#REF!</definedName>
    <definedName name="BEx991M410V3S2PKCJGQ30O6JT6H" hidden="1">#REF!</definedName>
    <definedName name="BEx992CZON8AO7U7V88VN1JBO0MG" localSheetId="56" hidden="1">#REF!</definedName>
    <definedName name="BEx992CZON8AO7U7V88VN1JBO0MG" localSheetId="55" hidden="1">#REF!</definedName>
    <definedName name="BEx992CZON8AO7U7V88VN1JBO0MG" localSheetId="4" hidden="1">#REF!</definedName>
    <definedName name="BEx992CZON8AO7U7V88VN1JBO0MG" localSheetId="1" hidden="1">#REF!</definedName>
    <definedName name="BEx992CZON8AO7U7V88VN1JBO0MG" localSheetId="9" hidden="1">#REF!</definedName>
    <definedName name="BEx992CZON8AO7U7V88VN1JBO0MG" hidden="1">#REF!</definedName>
    <definedName name="BEx9952469XMFGSPXL7CMXHPJF90" localSheetId="56" hidden="1">#REF!</definedName>
    <definedName name="BEx9952469XMFGSPXL7CMXHPJF90" localSheetId="55" hidden="1">#REF!</definedName>
    <definedName name="BEx9952469XMFGSPXL7CMXHPJF90" localSheetId="4" hidden="1">#REF!</definedName>
    <definedName name="BEx9952469XMFGSPXL7CMXHPJF90" localSheetId="1" hidden="1">#REF!</definedName>
    <definedName name="BEx9952469XMFGSPXL7CMXHPJF90" localSheetId="9" hidden="1">#REF!</definedName>
    <definedName name="BEx9952469XMFGSPXL7CMXHPJF90" hidden="1">#REF!</definedName>
    <definedName name="BEx99B77I7TUSHRR4HIZ9FU2EIUT" localSheetId="56" hidden="1">#REF!</definedName>
    <definedName name="BEx99B77I7TUSHRR4HIZ9FU2EIUT" localSheetId="55" hidden="1">#REF!</definedName>
    <definedName name="BEx99B77I7TUSHRR4HIZ9FU2EIUT" localSheetId="4" hidden="1">#REF!</definedName>
    <definedName name="BEx99B77I7TUSHRR4HIZ9FU2EIUT" localSheetId="1" hidden="1">#REF!</definedName>
    <definedName name="BEx99B77I7TUSHRR4HIZ9FU2EIUT" localSheetId="9" hidden="1">#REF!</definedName>
    <definedName name="BEx99B77I7TUSHRR4HIZ9FU2EIUT" hidden="1">#REF!</definedName>
    <definedName name="BEx99EHWKKHZB66Q30C7QIXU3BVM" localSheetId="56" hidden="1">#REF!</definedName>
    <definedName name="BEx99EHWKKHZB66Q30C7QIXU3BVM" localSheetId="55" hidden="1">#REF!</definedName>
    <definedName name="BEx99EHWKKHZB66Q30C7QIXU3BVM" localSheetId="4" hidden="1">#REF!</definedName>
    <definedName name="BEx99EHWKKHZB66Q30C7QIXU3BVM" localSheetId="1" hidden="1">#REF!</definedName>
    <definedName name="BEx99EHWKKHZB66Q30C7QIXU3BVM" localSheetId="9" hidden="1">#REF!</definedName>
    <definedName name="BEx99EHWKKHZB66Q30C7QIXU3BVM" hidden="1">#REF!</definedName>
    <definedName name="BEx99IE6TEODZ443HP0AYCXVTNOV" localSheetId="56" hidden="1">#REF!</definedName>
    <definedName name="BEx99IE6TEODZ443HP0AYCXVTNOV" localSheetId="55" hidden="1">#REF!</definedName>
    <definedName name="BEx99IE6TEODZ443HP0AYCXVTNOV" localSheetId="4" hidden="1">#REF!</definedName>
    <definedName name="BEx99IE6TEODZ443HP0AYCXVTNOV" localSheetId="1" hidden="1">#REF!</definedName>
    <definedName name="BEx99IE6TEODZ443HP0AYCXVTNOV" localSheetId="9" hidden="1">#REF!</definedName>
    <definedName name="BEx99IE6TEODZ443HP0AYCXVTNOV" hidden="1">#REF!</definedName>
    <definedName name="BEx99Q6PH5F3OQKCCAAO75PYDEFN" localSheetId="56" hidden="1">#REF!</definedName>
    <definedName name="BEx99Q6PH5F3OQKCCAAO75PYDEFN" localSheetId="55" hidden="1">#REF!</definedName>
    <definedName name="BEx99Q6PH5F3OQKCCAAO75PYDEFN" localSheetId="4" hidden="1">#REF!</definedName>
    <definedName name="BEx99Q6PH5F3OQKCCAAO75PYDEFN" localSheetId="1" hidden="1">#REF!</definedName>
    <definedName name="BEx99Q6PH5F3OQKCCAAO75PYDEFN" localSheetId="9" hidden="1">#REF!</definedName>
    <definedName name="BEx99Q6PH5F3OQKCCAAO75PYDEFN" hidden="1">#REF!</definedName>
    <definedName name="BEx99RU5I4O0109P2FW9DN4IU3QX" localSheetId="56" hidden="1">#REF!</definedName>
    <definedName name="BEx99RU5I4O0109P2FW9DN4IU3QX" localSheetId="55" hidden="1">#REF!</definedName>
    <definedName name="BEx99RU5I4O0109P2FW9DN4IU3QX" localSheetId="4" hidden="1">#REF!</definedName>
    <definedName name="BEx99RU5I4O0109P2FW9DN4IU3QX" localSheetId="1" hidden="1">#REF!</definedName>
    <definedName name="BEx99RU5I4O0109P2FW9DN4IU3QX" localSheetId="9" hidden="1">#REF!</definedName>
    <definedName name="BEx99RU5I4O0109P2FW9DN4IU3QX" hidden="1">#REF!</definedName>
    <definedName name="BEx99WBYT2D6UUC1PT7A40ENYID4" localSheetId="56" hidden="1">#REF!</definedName>
    <definedName name="BEx99WBYT2D6UUC1PT7A40ENYID4" localSheetId="55" hidden="1">#REF!</definedName>
    <definedName name="BEx99WBYT2D6UUC1PT7A40ENYID4" localSheetId="4" hidden="1">#REF!</definedName>
    <definedName name="BEx99WBYT2D6UUC1PT7A40ENYID4" localSheetId="1" hidden="1">#REF!</definedName>
    <definedName name="BEx99WBYT2D6UUC1PT7A40ENYID4" localSheetId="9" hidden="1">#REF!</definedName>
    <definedName name="BEx99WBYT2D6UUC1PT7A40ENYID4" hidden="1">#REF!</definedName>
    <definedName name="BEx99WS2X3RTQE9O764SS5G2FPE6" localSheetId="56" hidden="1">#REF!</definedName>
    <definedName name="BEx99WS2X3RTQE9O764SS5G2FPE6" localSheetId="55" hidden="1">#REF!</definedName>
    <definedName name="BEx99WS2X3RTQE9O764SS5G2FPE6" localSheetId="4" hidden="1">#REF!</definedName>
    <definedName name="BEx99WS2X3RTQE9O764SS5G2FPE6" localSheetId="1" hidden="1">#REF!</definedName>
    <definedName name="BEx99WS2X3RTQE9O764SS5G2FPE6" localSheetId="9" hidden="1">#REF!</definedName>
    <definedName name="BEx99WS2X3RTQE9O764SS5G2FPE6" hidden="1">#REF!</definedName>
    <definedName name="BEx99ZRZ4I7FHDPGRAT5VW7NVBPU" localSheetId="56" hidden="1">#REF!</definedName>
    <definedName name="BEx99ZRZ4I7FHDPGRAT5VW7NVBPU" localSheetId="55" hidden="1">#REF!</definedName>
    <definedName name="BEx99ZRZ4I7FHDPGRAT5VW7NVBPU" localSheetId="4" hidden="1">#REF!</definedName>
    <definedName name="BEx99ZRZ4I7FHDPGRAT5VW7NVBPU" localSheetId="1" hidden="1">#REF!</definedName>
    <definedName name="BEx99ZRZ4I7FHDPGRAT5VW7NVBPU" localSheetId="9" hidden="1">#REF!</definedName>
    <definedName name="BEx99ZRZ4I7FHDPGRAT5VW7NVBPU" hidden="1">#REF!</definedName>
    <definedName name="BEx9AT5E3ZSHKSOL35O38L8HF9TH" localSheetId="56" hidden="1">#REF!</definedName>
    <definedName name="BEx9AT5E3ZSHKSOL35O38L8HF9TH" localSheetId="55" hidden="1">#REF!</definedName>
    <definedName name="BEx9AT5E3ZSHKSOL35O38L8HF9TH" localSheetId="4" hidden="1">#REF!</definedName>
    <definedName name="BEx9AT5E3ZSHKSOL35O38L8HF9TH" localSheetId="1" hidden="1">#REF!</definedName>
    <definedName name="BEx9AT5E3ZSHKSOL35O38L8HF9TH" localSheetId="9" hidden="1">#REF!</definedName>
    <definedName name="BEx9AT5E3ZSHKSOL35O38L8HF9TH" hidden="1">#REF!</definedName>
    <definedName name="BEx9ATW9WB5CNKQR5HKK7Y2GHYGR" localSheetId="56" hidden="1">#REF!</definedName>
    <definedName name="BEx9ATW9WB5CNKQR5HKK7Y2GHYGR" localSheetId="55" hidden="1">#REF!</definedName>
    <definedName name="BEx9ATW9WB5CNKQR5HKK7Y2GHYGR" localSheetId="4" hidden="1">#REF!</definedName>
    <definedName name="BEx9ATW9WB5CNKQR5HKK7Y2GHYGR" localSheetId="1" hidden="1">#REF!</definedName>
    <definedName name="BEx9ATW9WB5CNKQR5HKK7Y2GHYGR" localSheetId="9" hidden="1">#REF!</definedName>
    <definedName name="BEx9ATW9WB5CNKQR5HKK7Y2GHYGR" hidden="1">#REF!</definedName>
    <definedName name="BEx9AV8W1FAWF5BHATYEN47X12JN" localSheetId="56" hidden="1">#REF!</definedName>
    <definedName name="BEx9AV8W1FAWF5BHATYEN47X12JN" localSheetId="55" hidden="1">#REF!</definedName>
    <definedName name="BEx9AV8W1FAWF5BHATYEN47X12JN" localSheetId="4" hidden="1">#REF!</definedName>
    <definedName name="BEx9AV8W1FAWF5BHATYEN47X12JN" localSheetId="1" hidden="1">#REF!</definedName>
    <definedName name="BEx9AV8W1FAWF5BHATYEN47X12JN" localSheetId="9" hidden="1">#REF!</definedName>
    <definedName name="BEx9AV8W1FAWF5BHATYEN47X12JN" hidden="1">#REF!</definedName>
    <definedName name="BEx9B8A5186FNTQQNLIO5LK02ABI" localSheetId="56" hidden="1">#REF!</definedName>
    <definedName name="BEx9B8A5186FNTQQNLIO5LK02ABI" localSheetId="55" hidden="1">#REF!</definedName>
    <definedName name="BEx9B8A5186FNTQQNLIO5LK02ABI" localSheetId="4" hidden="1">#REF!</definedName>
    <definedName name="BEx9B8A5186FNTQQNLIO5LK02ABI" localSheetId="1" hidden="1">#REF!</definedName>
    <definedName name="BEx9B8A5186FNTQQNLIO5LK02ABI" localSheetId="9" hidden="1">#REF!</definedName>
    <definedName name="BEx9B8A5186FNTQQNLIO5LK02ABI" hidden="1">#REF!</definedName>
    <definedName name="BEx9B8VR20E2CILU4CDQUQQ9ONXK" localSheetId="56" hidden="1">#REF!</definedName>
    <definedName name="BEx9B8VR20E2CILU4CDQUQQ9ONXK" localSheetId="55" hidden="1">#REF!</definedName>
    <definedName name="BEx9B8VR20E2CILU4CDQUQQ9ONXK" localSheetId="4" hidden="1">#REF!</definedName>
    <definedName name="BEx9B8VR20E2CILU4CDQUQQ9ONXK" localSheetId="1" hidden="1">#REF!</definedName>
    <definedName name="BEx9B8VR20E2CILU4CDQUQQ9ONXK" localSheetId="9" hidden="1">#REF!</definedName>
    <definedName name="BEx9B8VR20E2CILU4CDQUQQ9ONXK" hidden="1">#REF!</definedName>
    <definedName name="BEx9B917EUP13X6FQ3NPQL76XM5V" localSheetId="56" hidden="1">#REF!</definedName>
    <definedName name="BEx9B917EUP13X6FQ3NPQL76XM5V" localSheetId="55" hidden="1">#REF!</definedName>
    <definedName name="BEx9B917EUP13X6FQ3NPQL76XM5V" localSheetId="4" hidden="1">#REF!</definedName>
    <definedName name="BEx9B917EUP13X6FQ3NPQL76XM5V" localSheetId="1" hidden="1">#REF!</definedName>
    <definedName name="BEx9B917EUP13X6FQ3NPQL76XM5V" localSheetId="9" hidden="1">#REF!</definedName>
    <definedName name="BEx9B917EUP13X6FQ3NPQL76XM5V" hidden="1">#REF!</definedName>
    <definedName name="BEx9BAJ5WYEQ623HUT9NNCMP3RUG" localSheetId="56" hidden="1">#REF!</definedName>
    <definedName name="BEx9BAJ5WYEQ623HUT9NNCMP3RUG" localSheetId="55" hidden="1">#REF!</definedName>
    <definedName name="BEx9BAJ5WYEQ623HUT9NNCMP3RUG" localSheetId="4" hidden="1">#REF!</definedName>
    <definedName name="BEx9BAJ5WYEQ623HUT9NNCMP3RUG" localSheetId="1" hidden="1">#REF!</definedName>
    <definedName name="BEx9BAJ5WYEQ623HUT9NNCMP3RUG" localSheetId="9" hidden="1">#REF!</definedName>
    <definedName name="BEx9BAJ5WYEQ623HUT9NNCMP3RUG" hidden="1">#REF!</definedName>
    <definedName name="BEx9BE9Z7EFJCFDYJJOY5KFTGDF4" localSheetId="56" hidden="1">#REF!</definedName>
    <definedName name="BEx9BE9Z7EFJCFDYJJOY5KFTGDF4" localSheetId="55" hidden="1">#REF!</definedName>
    <definedName name="BEx9BE9Z7EFJCFDYJJOY5KFTGDF4" localSheetId="4" hidden="1">#REF!</definedName>
    <definedName name="BEx9BE9Z7EFJCFDYJJOY5KFTGDF4" localSheetId="1" hidden="1">#REF!</definedName>
    <definedName name="BEx9BE9Z7EFJCFDYJJOY5KFTGDF4" localSheetId="9" hidden="1">#REF!</definedName>
    <definedName name="BEx9BE9Z7EFJCFDYJJOY5KFTGDF4" hidden="1">#REF!</definedName>
    <definedName name="BEx9BSIJN2O0MG8CXAMCAOADEMTO" localSheetId="56" hidden="1">#REF!</definedName>
    <definedName name="BEx9BSIJN2O0MG8CXAMCAOADEMTO" localSheetId="55" hidden="1">#REF!</definedName>
    <definedName name="BEx9BSIJN2O0MG8CXAMCAOADEMTO" localSheetId="4" hidden="1">#REF!</definedName>
    <definedName name="BEx9BSIJN2O0MG8CXAMCAOADEMTO" localSheetId="1" hidden="1">#REF!</definedName>
    <definedName name="BEx9BSIJN2O0MG8CXAMCAOADEMTO" localSheetId="9" hidden="1">#REF!</definedName>
    <definedName name="BEx9BSIJN2O0MG8CXAMCAOADEMTO" hidden="1">#REF!</definedName>
    <definedName name="BEx9BU0BBJO3ITPCO4T9FIVEVJY7" localSheetId="56" hidden="1">#REF!</definedName>
    <definedName name="BEx9BU0BBJO3ITPCO4T9FIVEVJY7" localSheetId="55" hidden="1">#REF!</definedName>
    <definedName name="BEx9BU0BBJO3ITPCO4T9FIVEVJY7" localSheetId="4" hidden="1">#REF!</definedName>
    <definedName name="BEx9BU0BBJO3ITPCO4T9FIVEVJY7" localSheetId="1" hidden="1">#REF!</definedName>
    <definedName name="BEx9BU0BBJO3ITPCO4T9FIVEVJY7" localSheetId="9" hidden="1">#REF!</definedName>
    <definedName name="BEx9BU0BBJO3ITPCO4T9FIVEVJY7" hidden="1">#REF!</definedName>
    <definedName name="BEx9BYSYW7QCPXS2NAVLFAU5Y2Z2" localSheetId="56" hidden="1">#REF!</definedName>
    <definedName name="BEx9BYSYW7QCPXS2NAVLFAU5Y2Z2" localSheetId="55" hidden="1">#REF!</definedName>
    <definedName name="BEx9BYSYW7QCPXS2NAVLFAU5Y2Z2" localSheetId="4" hidden="1">#REF!</definedName>
    <definedName name="BEx9BYSYW7QCPXS2NAVLFAU5Y2Z2" localSheetId="1" hidden="1">#REF!</definedName>
    <definedName name="BEx9BYSYW7QCPXS2NAVLFAU5Y2Z2" localSheetId="9" hidden="1">#REF!</definedName>
    <definedName name="BEx9BYSYW7QCPXS2NAVLFAU5Y2Z2" hidden="1">#REF!</definedName>
    <definedName name="BEx9C590HJ2O31IWJB73C1HR74AI" localSheetId="56" hidden="1">#REF!</definedName>
    <definedName name="BEx9C590HJ2O31IWJB73C1HR74AI" localSheetId="55" hidden="1">#REF!</definedName>
    <definedName name="BEx9C590HJ2O31IWJB73C1HR74AI" localSheetId="4" hidden="1">#REF!</definedName>
    <definedName name="BEx9C590HJ2O31IWJB73C1HR74AI" localSheetId="1" hidden="1">#REF!</definedName>
    <definedName name="BEx9C590HJ2O31IWJB73C1HR74AI" localSheetId="9" hidden="1">#REF!</definedName>
    <definedName name="BEx9C590HJ2O31IWJB73C1HR74AI" hidden="1">#REF!</definedName>
    <definedName name="BEx9CCQRMYYOGIOYTOM73VKDIPS1" localSheetId="56" hidden="1">#REF!</definedName>
    <definedName name="BEx9CCQRMYYOGIOYTOM73VKDIPS1" localSheetId="55" hidden="1">#REF!</definedName>
    <definedName name="BEx9CCQRMYYOGIOYTOM73VKDIPS1" localSheetId="4" hidden="1">#REF!</definedName>
    <definedName name="BEx9CCQRMYYOGIOYTOM73VKDIPS1" localSheetId="1" hidden="1">#REF!</definedName>
    <definedName name="BEx9CCQRMYYOGIOYTOM73VKDIPS1" localSheetId="9" hidden="1">#REF!</definedName>
    <definedName name="BEx9CCQRMYYOGIOYTOM73VKDIPS1" hidden="1">#REF!</definedName>
    <definedName name="BEx9CM6JVXIG9S6EAZMR899UW190" localSheetId="56" hidden="1">#REF!</definedName>
    <definedName name="BEx9CM6JVXIG9S6EAZMR899UW190" localSheetId="55" hidden="1">#REF!</definedName>
    <definedName name="BEx9CM6JVXIG9S6EAZMR899UW190" localSheetId="4" hidden="1">#REF!</definedName>
    <definedName name="BEx9CM6JVXIG9S6EAZMR899UW190" localSheetId="1" hidden="1">#REF!</definedName>
    <definedName name="BEx9CM6JVXIG9S6EAZMR899UW190" localSheetId="9" hidden="1">#REF!</definedName>
    <definedName name="BEx9CM6JVXIG9S6EAZMR899UW190" hidden="1">#REF!</definedName>
    <definedName name="BEx9D160NRGTDVT2ML4H9A7UKR4T" localSheetId="56" hidden="1">#REF!</definedName>
    <definedName name="BEx9D160NRGTDVT2ML4H9A7UKR4T" localSheetId="55" hidden="1">#REF!</definedName>
    <definedName name="BEx9D160NRGTDVT2ML4H9A7UKR4T" localSheetId="4" hidden="1">#REF!</definedName>
    <definedName name="BEx9D160NRGTDVT2ML4H9A7UKR4T" localSheetId="1" hidden="1">#REF!</definedName>
    <definedName name="BEx9D160NRGTDVT2ML4H9A7UKR4T" localSheetId="9" hidden="1">#REF!</definedName>
    <definedName name="BEx9D160NRGTDVT2ML4H9A7UKR4T" hidden="1">#REF!</definedName>
    <definedName name="BEx9D1BC9FT19KY0INAABNDBAMR1" localSheetId="56" hidden="1">#REF!</definedName>
    <definedName name="BEx9D1BC9FT19KY0INAABNDBAMR1" localSheetId="55" hidden="1">#REF!</definedName>
    <definedName name="BEx9D1BC9FT19KY0INAABNDBAMR1" localSheetId="4" hidden="1">#REF!</definedName>
    <definedName name="BEx9D1BC9FT19KY0INAABNDBAMR1" localSheetId="1" hidden="1">#REF!</definedName>
    <definedName name="BEx9D1BC9FT19KY0INAABNDBAMR1" localSheetId="9" hidden="1">#REF!</definedName>
    <definedName name="BEx9D1BC9FT19KY0INAABNDBAMR1" hidden="1">#REF!</definedName>
    <definedName name="BEx9D1MB15VSARB7IKBMZYU0JJBI" localSheetId="56" hidden="1">#REF!</definedName>
    <definedName name="BEx9D1MB15VSARB7IKBMZYU0JJBI" localSheetId="55" hidden="1">#REF!</definedName>
    <definedName name="BEx9D1MB15VSARB7IKBMZYU0JJBI" localSheetId="4" hidden="1">#REF!</definedName>
    <definedName name="BEx9D1MB15VSARB7IKBMZYU0JJBI" localSheetId="1" hidden="1">#REF!</definedName>
    <definedName name="BEx9D1MB15VSARB7IKBMZYU0JJBI" localSheetId="9" hidden="1">#REF!</definedName>
    <definedName name="BEx9D1MB15VSARB7IKBMZYU0JJBI" hidden="1">#REF!</definedName>
    <definedName name="BEx9DN6ZMF18Q39MPMXSDJTZQNJ3" localSheetId="56" hidden="1">#REF!</definedName>
    <definedName name="BEx9DN6ZMF18Q39MPMXSDJTZQNJ3" localSheetId="55" hidden="1">#REF!</definedName>
    <definedName name="BEx9DN6ZMF18Q39MPMXSDJTZQNJ3" localSheetId="4" hidden="1">#REF!</definedName>
    <definedName name="BEx9DN6ZMF18Q39MPMXSDJTZQNJ3" localSheetId="1" hidden="1">#REF!</definedName>
    <definedName name="BEx9DN6ZMF18Q39MPMXSDJTZQNJ3" localSheetId="9" hidden="1">#REF!</definedName>
    <definedName name="BEx9DN6ZMF18Q39MPMXSDJTZQNJ3" hidden="1">#REF!</definedName>
    <definedName name="BEx9DZXN85O544CD9O60K126YYAU" localSheetId="56" hidden="1">#REF!</definedName>
    <definedName name="BEx9DZXN85O544CD9O60K126YYAU" localSheetId="55" hidden="1">#REF!</definedName>
    <definedName name="BEx9DZXN85O544CD9O60K126YYAU" localSheetId="4" hidden="1">#REF!</definedName>
    <definedName name="BEx9DZXN85O544CD9O60K126YYAU" localSheetId="1" hidden="1">#REF!</definedName>
    <definedName name="BEx9DZXN85O544CD9O60K126YYAU" localSheetId="9" hidden="1">#REF!</definedName>
    <definedName name="BEx9DZXN85O544CD9O60K126YYAU" hidden="1">#REF!</definedName>
    <definedName name="BEx9E14TDNSEMI784W0OTIEQMWN6" localSheetId="56" hidden="1">#REF!</definedName>
    <definedName name="BEx9E14TDNSEMI784W0OTIEQMWN6" localSheetId="55" hidden="1">#REF!</definedName>
    <definedName name="BEx9E14TDNSEMI784W0OTIEQMWN6" localSheetId="4" hidden="1">#REF!</definedName>
    <definedName name="BEx9E14TDNSEMI784W0OTIEQMWN6" localSheetId="1" hidden="1">#REF!</definedName>
    <definedName name="BEx9E14TDNSEMI784W0OTIEQMWN6" localSheetId="9" hidden="1">#REF!</definedName>
    <definedName name="BEx9E14TDNSEMI784W0OTIEQMWN6" hidden="1">#REF!</definedName>
    <definedName name="BEx9E14TGNBYGMDDG9NETDK4SYAW" localSheetId="56" hidden="1">#REF!</definedName>
    <definedName name="BEx9E14TGNBYGMDDG9NETDK4SYAW" localSheetId="55" hidden="1">#REF!</definedName>
    <definedName name="BEx9E14TGNBYGMDDG9NETDK4SYAW" localSheetId="4" hidden="1">#REF!</definedName>
    <definedName name="BEx9E14TGNBYGMDDG9NETDK4SYAW" localSheetId="1" hidden="1">#REF!</definedName>
    <definedName name="BEx9E14TGNBYGMDDG9NETDK4SYAW" localSheetId="9" hidden="1">#REF!</definedName>
    <definedName name="BEx9E14TGNBYGMDDG9NETDK4SYAW" hidden="1">#REF!</definedName>
    <definedName name="BEx9E2BZ2B1R41FMGJCJ7JLGLUAJ" localSheetId="56" hidden="1">#REF!</definedName>
    <definedName name="BEx9E2BZ2B1R41FMGJCJ7JLGLUAJ" localSheetId="55" hidden="1">#REF!</definedName>
    <definedName name="BEx9E2BZ2B1R41FMGJCJ7JLGLUAJ" localSheetId="4" hidden="1">#REF!</definedName>
    <definedName name="BEx9E2BZ2B1R41FMGJCJ7JLGLUAJ" localSheetId="1" hidden="1">#REF!</definedName>
    <definedName name="BEx9E2BZ2B1R41FMGJCJ7JLGLUAJ" localSheetId="9" hidden="1">#REF!</definedName>
    <definedName name="BEx9E2BZ2B1R41FMGJCJ7JLGLUAJ" hidden="1">#REF!</definedName>
    <definedName name="BEx9EG9KBJ77M8LEOR9ITOKN5KXY" localSheetId="56" hidden="1">#REF!</definedName>
    <definedName name="BEx9EG9KBJ77M8LEOR9ITOKN5KXY" localSheetId="55" hidden="1">#REF!</definedName>
    <definedName name="BEx9EG9KBJ77M8LEOR9ITOKN5KXY" localSheetId="4" hidden="1">#REF!</definedName>
    <definedName name="BEx9EG9KBJ77M8LEOR9ITOKN5KXY" localSheetId="1" hidden="1">#REF!</definedName>
    <definedName name="BEx9EG9KBJ77M8LEOR9ITOKN5KXY" localSheetId="9" hidden="1">#REF!</definedName>
    <definedName name="BEx9EG9KBJ77M8LEOR9ITOKN5KXY" hidden="1">#REF!</definedName>
    <definedName name="BEx9EMK6HAJJMVYZTN5AUIV7O1E6" localSheetId="56" hidden="1">#REF!</definedName>
    <definedName name="BEx9EMK6HAJJMVYZTN5AUIV7O1E6" localSheetId="55" hidden="1">#REF!</definedName>
    <definedName name="BEx9EMK6HAJJMVYZTN5AUIV7O1E6" localSheetId="4" hidden="1">#REF!</definedName>
    <definedName name="BEx9EMK6HAJJMVYZTN5AUIV7O1E6" localSheetId="1" hidden="1">#REF!</definedName>
    <definedName name="BEx9EMK6HAJJMVYZTN5AUIV7O1E6" localSheetId="9" hidden="1">#REF!</definedName>
    <definedName name="BEx9EMK6HAJJMVYZTN5AUIV7O1E6" hidden="1">#REF!</definedName>
    <definedName name="BEx9ENB8RPU9FA3QW16IGB6LK1CH" localSheetId="56" hidden="1">#REF!</definedName>
    <definedName name="BEx9ENB8RPU9FA3QW16IGB6LK1CH" localSheetId="55" hidden="1">#REF!</definedName>
    <definedName name="BEx9ENB8RPU9FA3QW16IGB6LK1CH" localSheetId="4" hidden="1">#REF!</definedName>
    <definedName name="BEx9ENB8RPU9FA3QW16IGB6LK1CH" localSheetId="1" hidden="1">#REF!</definedName>
    <definedName name="BEx9ENB8RPU9FA3QW16IGB6LK1CH" localSheetId="9" hidden="1">#REF!</definedName>
    <definedName name="BEx9ENB8RPU9FA3QW16IGB6LK1CH" hidden="1">#REF!</definedName>
    <definedName name="BEx9EQLVZHYQ1TPX7WH3SOWXCZLE" localSheetId="56" hidden="1">#REF!</definedName>
    <definedName name="BEx9EQLVZHYQ1TPX7WH3SOWXCZLE" localSheetId="55" hidden="1">#REF!</definedName>
    <definedName name="BEx9EQLVZHYQ1TPX7WH3SOWXCZLE" localSheetId="4" hidden="1">#REF!</definedName>
    <definedName name="BEx9EQLVZHYQ1TPX7WH3SOWXCZLE" localSheetId="1" hidden="1">#REF!</definedName>
    <definedName name="BEx9EQLVZHYQ1TPX7WH3SOWXCZLE" localSheetId="9" hidden="1">#REF!</definedName>
    <definedName name="BEx9EQLVZHYQ1TPX7WH3SOWXCZLE" hidden="1">#REF!</definedName>
    <definedName name="BEx9ETLU0EK5LGEM1QCNYN2S8O5F" localSheetId="56" hidden="1">#REF!</definedName>
    <definedName name="BEx9ETLU0EK5LGEM1QCNYN2S8O5F" localSheetId="55" hidden="1">#REF!</definedName>
    <definedName name="BEx9ETLU0EK5LGEM1QCNYN2S8O5F" localSheetId="4" hidden="1">#REF!</definedName>
    <definedName name="BEx9ETLU0EK5LGEM1QCNYN2S8O5F" localSheetId="1" hidden="1">#REF!</definedName>
    <definedName name="BEx9ETLU0EK5LGEM1QCNYN2S8O5F" localSheetId="9" hidden="1">#REF!</definedName>
    <definedName name="BEx9ETLU0EK5LGEM1QCNYN2S8O5F" hidden="1">#REF!</definedName>
    <definedName name="BEx9F0710LGLAU3161O0O346N58H" localSheetId="56" hidden="1">#REF!</definedName>
    <definedName name="BEx9F0710LGLAU3161O0O346N58H" localSheetId="55" hidden="1">#REF!</definedName>
    <definedName name="BEx9F0710LGLAU3161O0O346N58H" localSheetId="4" hidden="1">#REF!</definedName>
    <definedName name="BEx9F0710LGLAU3161O0O346N58H" localSheetId="1" hidden="1">#REF!</definedName>
    <definedName name="BEx9F0710LGLAU3161O0O346N58H" localSheetId="9" hidden="1">#REF!</definedName>
    <definedName name="BEx9F0710LGLAU3161O0O346N58H" hidden="1">#REF!</definedName>
    <definedName name="BEx9F0Y2ESUNE3U7TQDLMPE9BO67" localSheetId="56" hidden="1">#REF!</definedName>
    <definedName name="BEx9F0Y2ESUNE3U7TQDLMPE9BO67" localSheetId="55" hidden="1">#REF!</definedName>
    <definedName name="BEx9F0Y2ESUNE3U7TQDLMPE9BO67" localSheetId="4" hidden="1">#REF!</definedName>
    <definedName name="BEx9F0Y2ESUNE3U7TQDLMPE9BO67" localSheetId="1" hidden="1">#REF!</definedName>
    <definedName name="BEx9F0Y2ESUNE3U7TQDLMPE9BO67" localSheetId="9" hidden="1">#REF!</definedName>
    <definedName name="BEx9F0Y2ESUNE3U7TQDLMPE9BO67" hidden="1">#REF!</definedName>
    <definedName name="BEx9F439L1R726MJFX2EP39XIBPY" localSheetId="56" hidden="1">#REF!</definedName>
    <definedName name="BEx9F439L1R726MJFX2EP39XIBPY" localSheetId="55" hidden="1">#REF!</definedName>
    <definedName name="BEx9F439L1R726MJFX2EP39XIBPY" localSheetId="4" hidden="1">#REF!</definedName>
    <definedName name="BEx9F439L1R726MJFX2EP39XIBPY" localSheetId="1" hidden="1">#REF!</definedName>
    <definedName name="BEx9F439L1R726MJFX2EP39XIBPY" localSheetId="9" hidden="1">#REF!</definedName>
    <definedName name="BEx9F439L1R726MJFX2EP39XIBPY" hidden="1">#REF!</definedName>
    <definedName name="BEx9F5W18ZGFOKGRE8PR6T1MO6GT" localSheetId="56" hidden="1">#REF!</definedName>
    <definedName name="BEx9F5W18ZGFOKGRE8PR6T1MO6GT" localSheetId="55" hidden="1">#REF!</definedName>
    <definedName name="BEx9F5W18ZGFOKGRE8PR6T1MO6GT" localSheetId="4" hidden="1">#REF!</definedName>
    <definedName name="BEx9F5W18ZGFOKGRE8PR6T1MO6GT" localSheetId="1" hidden="1">#REF!</definedName>
    <definedName name="BEx9F5W18ZGFOKGRE8PR6T1MO6GT" localSheetId="9" hidden="1">#REF!</definedName>
    <definedName name="BEx9F5W18ZGFOKGRE8PR6T1MO6GT" hidden="1">#REF!</definedName>
    <definedName name="BEx9F78N4HY0XFGBQ4UJRD52L1EI" localSheetId="56" hidden="1">#REF!</definedName>
    <definedName name="BEx9F78N4HY0XFGBQ4UJRD52L1EI" localSheetId="55" hidden="1">#REF!</definedName>
    <definedName name="BEx9F78N4HY0XFGBQ4UJRD52L1EI" localSheetId="4" hidden="1">#REF!</definedName>
    <definedName name="BEx9F78N4HY0XFGBQ4UJRD52L1EI" localSheetId="1" hidden="1">#REF!</definedName>
    <definedName name="BEx9F78N4HY0XFGBQ4UJRD52L1EI" localSheetId="9" hidden="1">#REF!</definedName>
    <definedName name="BEx9F78N4HY0XFGBQ4UJRD52L1EI" hidden="1">#REF!</definedName>
    <definedName name="BEx9FF16LOQP5QIR4UHW5EIFGQB8" localSheetId="56" hidden="1">#REF!</definedName>
    <definedName name="BEx9FF16LOQP5QIR4UHW5EIFGQB8" localSheetId="55" hidden="1">#REF!</definedName>
    <definedName name="BEx9FF16LOQP5QIR4UHW5EIFGQB8" localSheetId="4" hidden="1">#REF!</definedName>
    <definedName name="BEx9FF16LOQP5QIR4UHW5EIFGQB8" localSheetId="1" hidden="1">#REF!</definedName>
    <definedName name="BEx9FF16LOQP5QIR4UHW5EIFGQB8" localSheetId="9" hidden="1">#REF!</definedName>
    <definedName name="BEx9FF16LOQP5QIR4UHW5EIFGQB8" hidden="1">#REF!</definedName>
    <definedName name="BEx9FJTSRCZ3ZXT3QVBJT5NF8T7V" localSheetId="56" hidden="1">#REF!</definedName>
    <definedName name="BEx9FJTSRCZ3ZXT3QVBJT5NF8T7V" localSheetId="55" hidden="1">#REF!</definedName>
    <definedName name="BEx9FJTSRCZ3ZXT3QVBJT5NF8T7V" localSheetId="4" hidden="1">#REF!</definedName>
    <definedName name="BEx9FJTSRCZ3ZXT3QVBJT5NF8T7V" localSheetId="1" hidden="1">#REF!</definedName>
    <definedName name="BEx9FJTSRCZ3ZXT3QVBJT5NF8T7V" localSheetId="9" hidden="1">#REF!</definedName>
    <definedName name="BEx9FJTSRCZ3ZXT3QVBJT5NF8T7V" hidden="1">#REF!</definedName>
    <definedName name="BEx9FRBEEYPS5HLS3XT34AKZN94G" localSheetId="56" hidden="1">#REF!</definedName>
    <definedName name="BEx9FRBEEYPS5HLS3XT34AKZN94G" localSheetId="55" hidden="1">#REF!</definedName>
    <definedName name="BEx9FRBEEYPS5HLS3XT34AKZN94G" localSheetId="4" hidden="1">#REF!</definedName>
    <definedName name="BEx9FRBEEYPS5HLS3XT34AKZN94G" localSheetId="1" hidden="1">#REF!</definedName>
    <definedName name="BEx9FRBEEYPS5HLS3XT34AKZN94G" localSheetId="9" hidden="1">#REF!</definedName>
    <definedName name="BEx9FRBEEYPS5HLS3XT34AKZN94G" hidden="1">#REF!</definedName>
    <definedName name="BEx9G5USBCNYNA7HGVW92D800SKX" localSheetId="56" hidden="1">#REF!</definedName>
    <definedName name="BEx9G5USBCNYNA7HGVW92D800SKX" localSheetId="55" hidden="1">#REF!</definedName>
    <definedName name="BEx9G5USBCNYNA7HGVW92D800SKX" localSheetId="4" hidden="1">#REF!</definedName>
    <definedName name="BEx9G5USBCNYNA7HGVW92D800SKX" localSheetId="1" hidden="1">#REF!</definedName>
    <definedName name="BEx9G5USBCNYNA7HGVW92D800SKX" localSheetId="9" hidden="1">#REF!</definedName>
    <definedName name="BEx9G5USBCNYNA7HGVW92D800SKX" hidden="1">#REF!</definedName>
    <definedName name="BEx9G7CPXG7HR6N6FHPU2DBBUIKG" localSheetId="56" hidden="1">#REF!</definedName>
    <definedName name="BEx9G7CPXG7HR6N6FHPU2DBBUIKG" localSheetId="55" hidden="1">#REF!</definedName>
    <definedName name="BEx9G7CPXG7HR6N6FHPU2DBBUIKG" localSheetId="4" hidden="1">#REF!</definedName>
    <definedName name="BEx9G7CPXG7HR6N6FHPU2DBBUIKG" localSheetId="1" hidden="1">#REF!</definedName>
    <definedName name="BEx9G7CPXG7HR6N6FHPU2DBBUIKG" localSheetId="9" hidden="1">#REF!</definedName>
    <definedName name="BEx9G7CPXG7HR6N6FHPU2DBBUIKG" hidden="1">#REF!</definedName>
    <definedName name="BEx9GDY4D8ZPQJCYFIMYM0V0C51Y" localSheetId="56" hidden="1">#REF!</definedName>
    <definedName name="BEx9GDY4D8ZPQJCYFIMYM0V0C51Y" localSheetId="55" hidden="1">#REF!</definedName>
    <definedName name="BEx9GDY4D8ZPQJCYFIMYM0V0C51Y" localSheetId="4" hidden="1">#REF!</definedName>
    <definedName name="BEx9GDY4D8ZPQJCYFIMYM0V0C51Y" localSheetId="1" hidden="1">#REF!</definedName>
    <definedName name="BEx9GDY4D8ZPQJCYFIMYM0V0C51Y" localSheetId="9" hidden="1">#REF!</definedName>
    <definedName name="BEx9GDY4D8ZPQJCYFIMYM0V0C51Y" hidden="1">#REF!</definedName>
    <definedName name="BEx9GGY04V0ZWI6O9KZH4KSBB389" localSheetId="56" hidden="1">#REF!</definedName>
    <definedName name="BEx9GGY04V0ZWI6O9KZH4KSBB389" localSheetId="55" hidden="1">#REF!</definedName>
    <definedName name="BEx9GGY04V0ZWI6O9KZH4KSBB389" localSheetId="4" hidden="1">#REF!</definedName>
    <definedName name="BEx9GGY04V0ZWI6O9KZH4KSBB389" localSheetId="1" hidden="1">#REF!</definedName>
    <definedName name="BEx9GGY04V0ZWI6O9KZH4KSBB389" localSheetId="9" hidden="1">#REF!</definedName>
    <definedName name="BEx9GGY04V0ZWI6O9KZH4KSBB389" hidden="1">#REF!</definedName>
    <definedName name="BEx9GMC7TE8SDTCO5PHODBUF4SM1" localSheetId="56" hidden="1">#REF!</definedName>
    <definedName name="BEx9GMC7TE8SDTCO5PHODBUF4SM1" localSheetId="55" hidden="1">#REF!</definedName>
    <definedName name="BEx9GMC7TE8SDTCO5PHODBUF4SM1" localSheetId="4" hidden="1">#REF!</definedName>
    <definedName name="BEx9GMC7TE8SDTCO5PHODBUF4SM1" localSheetId="1" hidden="1">#REF!</definedName>
    <definedName name="BEx9GMC7TE8SDTCO5PHODBUF4SM1" localSheetId="9" hidden="1">#REF!</definedName>
    <definedName name="BEx9GMC7TE8SDTCO5PHODBUF4SM1" hidden="1">#REF!</definedName>
    <definedName name="BEx9GMN0B495HEAOG6JQK9D7HUPC" localSheetId="56" hidden="1">#REF!</definedName>
    <definedName name="BEx9GMN0B495HEAOG6JQK9D7HUPC" localSheetId="55" hidden="1">#REF!</definedName>
    <definedName name="BEx9GMN0B495HEAOG6JQK9D7HUPC" localSheetId="4" hidden="1">#REF!</definedName>
    <definedName name="BEx9GMN0B495HEAOG6JQK9D7HUPC" localSheetId="1" hidden="1">#REF!</definedName>
    <definedName name="BEx9GMN0B495HEAOG6JQK9D7HUPC" localSheetId="9" hidden="1">#REF!</definedName>
    <definedName name="BEx9GMN0B495HEAOG6JQK9D7HUPC" hidden="1">#REF!</definedName>
    <definedName name="BEx9GNOPB6OZ2RH3FCDNJR38RJOS" localSheetId="56" hidden="1">#REF!</definedName>
    <definedName name="BEx9GNOPB6OZ2RH3FCDNJR38RJOS" localSheetId="55" hidden="1">#REF!</definedName>
    <definedName name="BEx9GNOPB6OZ2RH3FCDNJR38RJOS" localSheetId="4" hidden="1">#REF!</definedName>
    <definedName name="BEx9GNOPB6OZ2RH3FCDNJR38RJOS" localSheetId="1" hidden="1">#REF!</definedName>
    <definedName name="BEx9GNOPB6OZ2RH3FCDNJR38RJOS" localSheetId="9" hidden="1">#REF!</definedName>
    <definedName name="BEx9GNOPB6OZ2RH3FCDNJR38RJOS" hidden="1">#REF!</definedName>
    <definedName name="BEx9GUQALUWCD30UKUQGSWW8KBQ7" localSheetId="56" hidden="1">#REF!</definedName>
    <definedName name="BEx9GUQALUWCD30UKUQGSWW8KBQ7" localSheetId="55" hidden="1">#REF!</definedName>
    <definedName name="BEx9GUQALUWCD30UKUQGSWW8KBQ7" localSheetId="4" hidden="1">#REF!</definedName>
    <definedName name="BEx9GUQALUWCD30UKUQGSWW8KBQ7" localSheetId="1" hidden="1">#REF!</definedName>
    <definedName name="BEx9GUQALUWCD30UKUQGSWW8KBQ7" localSheetId="9" hidden="1">#REF!</definedName>
    <definedName name="BEx9GUQALUWCD30UKUQGSWW8KBQ7" hidden="1">#REF!</definedName>
    <definedName name="BEx9GY6BVFQGCLMOWVT6PIC9WP5X" localSheetId="56" hidden="1">#REF!</definedName>
    <definedName name="BEx9GY6BVFQGCLMOWVT6PIC9WP5X" localSheetId="55" hidden="1">#REF!</definedName>
    <definedName name="BEx9GY6BVFQGCLMOWVT6PIC9WP5X" localSheetId="4" hidden="1">#REF!</definedName>
    <definedName name="BEx9GY6BVFQGCLMOWVT6PIC9WP5X" localSheetId="1" hidden="1">#REF!</definedName>
    <definedName name="BEx9GY6BVFQGCLMOWVT6PIC9WP5X" localSheetId="9" hidden="1">#REF!</definedName>
    <definedName name="BEx9GY6BVFQGCLMOWVT6PIC9WP5X" hidden="1">#REF!</definedName>
    <definedName name="BEx9GZ2P3FDHKXEBXX2VS0BG2NP2" localSheetId="56" hidden="1">#REF!</definedName>
    <definedName name="BEx9GZ2P3FDHKXEBXX2VS0BG2NP2" localSheetId="55" hidden="1">#REF!</definedName>
    <definedName name="BEx9GZ2P3FDHKXEBXX2VS0BG2NP2" localSheetId="4" hidden="1">#REF!</definedName>
    <definedName name="BEx9GZ2P3FDHKXEBXX2VS0BG2NP2" localSheetId="1" hidden="1">#REF!</definedName>
    <definedName name="BEx9GZ2P3FDHKXEBXX2VS0BG2NP2" localSheetId="9" hidden="1">#REF!</definedName>
    <definedName name="BEx9GZ2P3FDHKXEBXX2VS0BG2NP2" hidden="1">#REF!</definedName>
    <definedName name="BEx9H04IB14E1437FF2OIRRWBSD7" localSheetId="56" hidden="1">#REF!</definedName>
    <definedName name="BEx9H04IB14E1437FF2OIRRWBSD7" localSheetId="55" hidden="1">#REF!</definedName>
    <definedName name="BEx9H04IB14E1437FF2OIRRWBSD7" localSheetId="4" hidden="1">#REF!</definedName>
    <definedName name="BEx9H04IB14E1437FF2OIRRWBSD7" localSheetId="1" hidden="1">#REF!</definedName>
    <definedName name="BEx9H04IB14E1437FF2OIRRWBSD7" localSheetId="9" hidden="1">#REF!</definedName>
    <definedName name="BEx9H04IB14E1437FF2OIRRWBSD7" hidden="1">#REF!</definedName>
    <definedName name="BEx9H5O1KDZJCW91Q29VRPY5YS6P" localSheetId="56" hidden="1">#REF!</definedName>
    <definedName name="BEx9H5O1KDZJCW91Q29VRPY5YS6P" localSheetId="55" hidden="1">#REF!</definedName>
    <definedName name="BEx9H5O1KDZJCW91Q29VRPY5YS6P" localSheetId="4" hidden="1">#REF!</definedName>
    <definedName name="BEx9H5O1KDZJCW91Q29VRPY5YS6P" localSheetId="1" hidden="1">#REF!</definedName>
    <definedName name="BEx9H5O1KDZJCW91Q29VRPY5YS6P" localSheetId="9" hidden="1">#REF!</definedName>
    <definedName name="BEx9H5O1KDZJCW91Q29VRPY5YS6P" hidden="1">#REF!</definedName>
    <definedName name="BEx9H8YR0E906F1JXZMBX3LNT004" localSheetId="56" hidden="1">#REF!</definedName>
    <definedName name="BEx9H8YR0E906F1JXZMBX3LNT004" localSheetId="55" hidden="1">#REF!</definedName>
    <definedName name="BEx9H8YR0E906F1JXZMBX3LNT004" localSheetId="4" hidden="1">#REF!</definedName>
    <definedName name="BEx9H8YR0E906F1JXZMBX3LNT004" localSheetId="1" hidden="1">#REF!</definedName>
    <definedName name="BEx9H8YR0E906F1JXZMBX3LNT004" localSheetId="9" hidden="1">#REF!</definedName>
    <definedName name="BEx9H8YR0E906F1JXZMBX3LNT004" hidden="1">#REF!</definedName>
    <definedName name="BEx9I1QKLI6OOUPQLUQ0EF0355X6" localSheetId="56" hidden="1">#REF!</definedName>
    <definedName name="BEx9I1QKLI6OOUPQLUQ0EF0355X6" localSheetId="55" hidden="1">#REF!</definedName>
    <definedName name="BEx9I1QKLI6OOUPQLUQ0EF0355X6" localSheetId="4" hidden="1">#REF!</definedName>
    <definedName name="BEx9I1QKLI6OOUPQLUQ0EF0355X6" localSheetId="1" hidden="1">#REF!</definedName>
    <definedName name="BEx9I1QKLI6OOUPQLUQ0EF0355X6" localSheetId="9" hidden="1">#REF!</definedName>
    <definedName name="BEx9I1QKLI6OOUPQLUQ0EF0355X6" hidden="1">#REF!</definedName>
    <definedName name="BEx9I8XIG7E5NB48QQHXP23FIN60" localSheetId="56" hidden="1">#REF!</definedName>
    <definedName name="BEx9I8XIG7E5NB48QQHXP23FIN60" localSheetId="55" hidden="1">#REF!</definedName>
    <definedName name="BEx9I8XIG7E5NB48QQHXP23FIN60" localSheetId="4" hidden="1">#REF!</definedName>
    <definedName name="BEx9I8XIG7E5NB48QQHXP23FIN60" localSheetId="1" hidden="1">#REF!</definedName>
    <definedName name="BEx9I8XIG7E5NB48QQHXP23FIN60" localSheetId="9" hidden="1">#REF!</definedName>
    <definedName name="BEx9I8XIG7E5NB48QQHXP23FIN60" hidden="1">#REF!</definedName>
    <definedName name="BEx9IQRF01ATLVK0YE60ARKQJ68L" localSheetId="56" hidden="1">#REF!</definedName>
    <definedName name="BEx9IQRF01ATLVK0YE60ARKQJ68L" localSheetId="55" hidden="1">#REF!</definedName>
    <definedName name="BEx9IQRF01ATLVK0YE60ARKQJ68L" localSheetId="4" hidden="1">#REF!</definedName>
    <definedName name="BEx9IQRF01ATLVK0YE60ARKQJ68L" localSheetId="1" hidden="1">#REF!</definedName>
    <definedName name="BEx9IQRF01ATLVK0YE60ARKQJ68L" localSheetId="9" hidden="1">#REF!</definedName>
    <definedName name="BEx9IQRF01ATLVK0YE60ARKQJ68L" hidden="1">#REF!</definedName>
    <definedName name="BEx9IT5QNZWKM6YQ5WER0DC2PMMU" localSheetId="56" hidden="1">#REF!</definedName>
    <definedName name="BEx9IT5QNZWKM6YQ5WER0DC2PMMU" localSheetId="55" hidden="1">#REF!</definedName>
    <definedName name="BEx9IT5QNZWKM6YQ5WER0DC2PMMU" localSheetId="4" hidden="1">#REF!</definedName>
    <definedName name="BEx9IT5QNZWKM6YQ5WER0DC2PMMU" localSheetId="1" hidden="1">#REF!</definedName>
    <definedName name="BEx9IT5QNZWKM6YQ5WER0DC2PMMU" localSheetId="9" hidden="1">#REF!</definedName>
    <definedName name="BEx9IT5QNZWKM6YQ5WER0DC2PMMU" hidden="1">#REF!</definedName>
    <definedName name="BEx9IUICG3HZWG57MG3NXCEX4LQI" localSheetId="56" hidden="1">#REF!</definedName>
    <definedName name="BEx9IUICG3HZWG57MG3NXCEX4LQI" localSheetId="55" hidden="1">#REF!</definedName>
    <definedName name="BEx9IUICG3HZWG57MG3NXCEX4LQI" localSheetId="4" hidden="1">#REF!</definedName>
    <definedName name="BEx9IUICG3HZWG57MG3NXCEX4LQI" localSheetId="1" hidden="1">#REF!</definedName>
    <definedName name="BEx9IUICG3HZWG57MG3NXCEX4LQI" localSheetId="9" hidden="1">#REF!</definedName>
    <definedName name="BEx9IUICG3HZWG57MG3NXCEX4LQI" hidden="1">#REF!</definedName>
    <definedName name="BEx9IW5LYJF40GS78FJNXO9O667A" localSheetId="56" hidden="1">#REF!</definedName>
    <definedName name="BEx9IW5LYJF40GS78FJNXO9O667A" localSheetId="55" hidden="1">#REF!</definedName>
    <definedName name="BEx9IW5LYJF40GS78FJNXO9O667A" localSheetId="4" hidden="1">#REF!</definedName>
    <definedName name="BEx9IW5LYJF40GS78FJNXO9O667A" localSheetId="1" hidden="1">#REF!</definedName>
    <definedName name="BEx9IW5LYJF40GS78FJNXO9O667A" localSheetId="9" hidden="1">#REF!</definedName>
    <definedName name="BEx9IW5LYJF40GS78FJNXO9O667A" hidden="1">#REF!</definedName>
    <definedName name="BEx9IW5MFLXTVCJHVUZTUH93AXOS" localSheetId="56" hidden="1">#REF!</definedName>
    <definedName name="BEx9IW5MFLXTVCJHVUZTUH93AXOS" localSheetId="55" hidden="1">#REF!</definedName>
    <definedName name="BEx9IW5MFLXTVCJHVUZTUH93AXOS" localSheetId="4" hidden="1">#REF!</definedName>
    <definedName name="BEx9IW5MFLXTVCJHVUZTUH93AXOS" localSheetId="1" hidden="1">#REF!</definedName>
    <definedName name="BEx9IW5MFLXTVCJHVUZTUH93AXOS" localSheetId="9" hidden="1">#REF!</definedName>
    <definedName name="BEx9IW5MFLXTVCJHVUZTUH93AXOS" hidden="1">#REF!</definedName>
    <definedName name="BEx9IXCSPSZC80YZUPRCYTG326KV" localSheetId="56" hidden="1">#REF!</definedName>
    <definedName name="BEx9IXCSPSZC80YZUPRCYTG326KV" localSheetId="55" hidden="1">#REF!</definedName>
    <definedName name="BEx9IXCSPSZC80YZUPRCYTG326KV" localSheetId="4" hidden="1">#REF!</definedName>
    <definedName name="BEx9IXCSPSZC80YZUPRCYTG326KV" localSheetId="1" hidden="1">#REF!</definedName>
    <definedName name="BEx9IXCSPSZC80YZUPRCYTG326KV" localSheetId="9" hidden="1">#REF!</definedName>
    <definedName name="BEx9IXCSPSZC80YZUPRCYTG326KV" hidden="1">#REF!</definedName>
    <definedName name="BEx9IYUQSBZ0GG9ZT1QKX83F42F1" localSheetId="56" hidden="1">#REF!</definedName>
    <definedName name="BEx9IYUQSBZ0GG9ZT1QKX83F42F1" localSheetId="55" hidden="1">#REF!</definedName>
    <definedName name="BEx9IYUQSBZ0GG9ZT1QKX83F42F1" localSheetId="4" hidden="1">#REF!</definedName>
    <definedName name="BEx9IYUQSBZ0GG9ZT1QKX83F42F1" localSheetId="1" hidden="1">#REF!</definedName>
    <definedName name="BEx9IYUQSBZ0GG9ZT1QKX83F42F1" localSheetId="9" hidden="1">#REF!</definedName>
    <definedName name="BEx9IYUQSBZ0GG9ZT1QKX83F42F1" hidden="1">#REF!</definedName>
    <definedName name="BEx9IZR39NHDGOM97H4E6F81RTQW" localSheetId="56" hidden="1">#REF!</definedName>
    <definedName name="BEx9IZR39NHDGOM97H4E6F81RTQW" localSheetId="55" hidden="1">#REF!</definedName>
    <definedName name="BEx9IZR39NHDGOM97H4E6F81RTQW" localSheetId="4" hidden="1">#REF!</definedName>
    <definedName name="BEx9IZR39NHDGOM97H4E6F81RTQW" localSheetId="1" hidden="1">#REF!</definedName>
    <definedName name="BEx9IZR39NHDGOM97H4E6F81RTQW" localSheetId="9" hidden="1">#REF!</definedName>
    <definedName name="BEx9IZR39NHDGOM97H4E6F81RTQW" hidden="1">#REF!</definedName>
    <definedName name="BEx9J6CH5E7YZPER7HXEIOIKGPCA" localSheetId="56" hidden="1">#REF!</definedName>
    <definedName name="BEx9J6CH5E7YZPER7HXEIOIKGPCA" localSheetId="55" hidden="1">#REF!</definedName>
    <definedName name="BEx9J6CH5E7YZPER7HXEIOIKGPCA" localSheetId="4" hidden="1">#REF!</definedName>
    <definedName name="BEx9J6CH5E7YZPER7HXEIOIKGPCA" localSheetId="1" hidden="1">#REF!</definedName>
    <definedName name="BEx9J6CH5E7YZPER7HXEIOIKGPCA" localSheetId="9" hidden="1">#REF!</definedName>
    <definedName name="BEx9J6CH5E7YZPER7HXEIOIKGPCA" hidden="1">#REF!</definedName>
    <definedName name="BEx9JJTZKVUJAVPTRE0RAVTEH41G" localSheetId="56" hidden="1">#REF!</definedName>
    <definedName name="BEx9JJTZKVUJAVPTRE0RAVTEH41G" localSheetId="55" hidden="1">#REF!</definedName>
    <definedName name="BEx9JJTZKVUJAVPTRE0RAVTEH41G" localSheetId="4" hidden="1">#REF!</definedName>
    <definedName name="BEx9JJTZKVUJAVPTRE0RAVTEH41G" localSheetId="1" hidden="1">#REF!</definedName>
    <definedName name="BEx9JJTZKVUJAVPTRE0RAVTEH41G" localSheetId="9" hidden="1">#REF!</definedName>
    <definedName name="BEx9JJTZKVUJAVPTRE0RAVTEH41G" hidden="1">#REF!</definedName>
    <definedName name="BEx9JLBYK239B3F841C7YG1GT7ST" localSheetId="56" hidden="1">#REF!</definedName>
    <definedName name="BEx9JLBYK239B3F841C7YG1GT7ST" localSheetId="55" hidden="1">#REF!</definedName>
    <definedName name="BEx9JLBYK239B3F841C7YG1GT7ST" localSheetId="4" hidden="1">#REF!</definedName>
    <definedName name="BEx9JLBYK239B3F841C7YG1GT7ST" localSheetId="1" hidden="1">#REF!</definedName>
    <definedName name="BEx9JLBYK239B3F841C7YG1GT7ST" localSheetId="9" hidden="1">#REF!</definedName>
    <definedName name="BEx9JLBYK239B3F841C7YG1GT7ST" hidden="1">#REF!</definedName>
    <definedName name="BExAW4IIW5D0MDY6TJ3G4FOLPYIR" localSheetId="56" hidden="1">#REF!</definedName>
    <definedName name="BExAW4IIW5D0MDY6TJ3G4FOLPYIR" localSheetId="55" hidden="1">#REF!</definedName>
    <definedName name="BExAW4IIW5D0MDY6TJ3G4FOLPYIR" localSheetId="4" hidden="1">#REF!</definedName>
    <definedName name="BExAW4IIW5D0MDY6TJ3G4FOLPYIR" localSheetId="1" hidden="1">#REF!</definedName>
    <definedName name="BExAW4IIW5D0MDY6TJ3G4FOLPYIR" localSheetId="9" hidden="1">#REF!</definedName>
    <definedName name="BExAW4IIW5D0MDY6TJ3G4FOLPYIR" hidden="1">#REF!</definedName>
    <definedName name="BExAWNP1B2E9Q88TW48NH41C0FTZ" localSheetId="56" hidden="1">#REF!</definedName>
    <definedName name="BExAWNP1B2E9Q88TW48NH41C0FTZ" localSheetId="55" hidden="1">#REF!</definedName>
    <definedName name="BExAWNP1B2E9Q88TW48NH41C0FTZ" localSheetId="4" hidden="1">#REF!</definedName>
    <definedName name="BExAWNP1B2E9Q88TW48NH41C0FTZ" localSheetId="1" hidden="1">#REF!</definedName>
    <definedName name="BExAWNP1B2E9Q88TW48NH41C0FTZ" localSheetId="9" hidden="1">#REF!</definedName>
    <definedName name="BExAWNP1B2E9Q88TW48NH41C0FTZ" hidden="1">#REF!</definedName>
    <definedName name="BExAWUFQXTIPQ308ERZPSVPTUMYN" localSheetId="56" hidden="1">#REF!</definedName>
    <definedName name="BExAWUFQXTIPQ308ERZPSVPTUMYN" localSheetId="55" hidden="1">#REF!</definedName>
    <definedName name="BExAWUFQXTIPQ308ERZPSVPTUMYN" localSheetId="4" hidden="1">#REF!</definedName>
    <definedName name="BExAWUFQXTIPQ308ERZPSVPTUMYN" localSheetId="1" hidden="1">#REF!</definedName>
    <definedName name="BExAWUFQXTIPQ308ERZPSVPTUMYN" localSheetId="9" hidden="1">#REF!</definedName>
    <definedName name="BExAWUFQXTIPQ308ERZPSVPTUMYN" hidden="1">#REF!</definedName>
    <definedName name="BExAWY6O96OQO2R036QK2DI37EKV" localSheetId="56" hidden="1">#REF!</definedName>
    <definedName name="BExAWY6O96OQO2R036QK2DI37EKV" localSheetId="55" hidden="1">#REF!</definedName>
    <definedName name="BExAWY6O96OQO2R036QK2DI37EKV" localSheetId="4" hidden="1">#REF!</definedName>
    <definedName name="BExAWY6O96OQO2R036QK2DI37EKV" localSheetId="1" hidden="1">#REF!</definedName>
    <definedName name="BExAWY6O96OQO2R036QK2DI37EKV" localSheetId="9" hidden="1">#REF!</definedName>
    <definedName name="BExAWY6O96OQO2R036QK2DI37EKV" hidden="1">#REF!</definedName>
    <definedName name="BExAX410NB4F2XOB84OR2197H8M5" localSheetId="56" hidden="1">#REF!</definedName>
    <definedName name="BExAX410NB4F2XOB84OR2197H8M5" localSheetId="55" hidden="1">#REF!</definedName>
    <definedName name="BExAX410NB4F2XOB84OR2197H8M5" localSheetId="4" hidden="1">#REF!</definedName>
    <definedName name="BExAX410NB4F2XOB84OR2197H8M5" localSheetId="1" hidden="1">#REF!</definedName>
    <definedName name="BExAX410NB4F2XOB84OR2197H8M5" localSheetId="9" hidden="1">#REF!</definedName>
    <definedName name="BExAX410NB4F2XOB84OR2197H8M5" hidden="1">#REF!</definedName>
    <definedName name="BExAX8TNG8LQ5Q4904SAYQIPGBSV" localSheetId="56" hidden="1">#REF!</definedName>
    <definedName name="BExAX8TNG8LQ5Q4904SAYQIPGBSV" localSheetId="55" hidden="1">#REF!</definedName>
    <definedName name="BExAX8TNG8LQ5Q4904SAYQIPGBSV" localSheetId="4" hidden="1">#REF!</definedName>
    <definedName name="BExAX8TNG8LQ5Q4904SAYQIPGBSV" localSheetId="1" hidden="1">#REF!</definedName>
    <definedName name="BExAX8TNG8LQ5Q4904SAYQIPGBSV" localSheetId="9" hidden="1">#REF!</definedName>
    <definedName name="BExAX8TNG8LQ5Q4904SAYQIPGBSV" hidden="1">#REF!</definedName>
    <definedName name="BExAX9KPAVIVUVU3XREDCV1BIYZL" localSheetId="56" hidden="1">#REF!</definedName>
    <definedName name="BExAX9KPAVIVUVU3XREDCV1BIYZL" localSheetId="55" hidden="1">#REF!</definedName>
    <definedName name="BExAX9KPAVIVUVU3XREDCV1BIYZL" localSheetId="4" hidden="1">#REF!</definedName>
    <definedName name="BExAX9KPAVIVUVU3XREDCV1BIYZL" localSheetId="1" hidden="1">#REF!</definedName>
    <definedName name="BExAX9KPAVIVUVU3XREDCV1BIYZL" localSheetId="9" hidden="1">#REF!</definedName>
    <definedName name="BExAX9KPAVIVUVU3XREDCV1BIYZL" hidden="1">#REF!</definedName>
    <definedName name="BExAXPB35BNVXZYF2XS6UP3LP0QH" localSheetId="56" hidden="1">#REF!</definedName>
    <definedName name="BExAXPB35BNVXZYF2XS6UP3LP0QH" localSheetId="55" hidden="1">#REF!</definedName>
    <definedName name="BExAXPB35BNVXZYF2XS6UP3LP0QH" localSheetId="4" hidden="1">#REF!</definedName>
    <definedName name="BExAXPB35BNVXZYF2XS6UP3LP0QH" localSheetId="1" hidden="1">#REF!</definedName>
    <definedName name="BExAXPB35BNVXZYF2XS6UP3LP0QH" localSheetId="9" hidden="1">#REF!</definedName>
    <definedName name="BExAXPB35BNVXZYF2XS6UP3LP0QH" hidden="1">#REF!</definedName>
    <definedName name="BExAXWSRVPK0GCZ2UFU10UOP01IY" localSheetId="56" hidden="1">#REF!</definedName>
    <definedName name="BExAXWSRVPK0GCZ2UFU10UOP01IY" localSheetId="55" hidden="1">#REF!</definedName>
    <definedName name="BExAXWSRVPK0GCZ2UFU10UOP01IY" localSheetId="4" hidden="1">#REF!</definedName>
    <definedName name="BExAXWSRVPK0GCZ2UFU10UOP01IY" localSheetId="1" hidden="1">#REF!</definedName>
    <definedName name="BExAXWSRVPK0GCZ2UFU10UOP01IY" localSheetId="9" hidden="1">#REF!</definedName>
    <definedName name="BExAXWSRVPK0GCZ2UFU10UOP01IY" hidden="1">#REF!</definedName>
    <definedName name="BExAY0EAT2LXR5MFGM0DLIB45PLO" localSheetId="56" hidden="1">#REF!</definedName>
    <definedName name="BExAY0EAT2LXR5MFGM0DLIB45PLO" localSheetId="55" hidden="1">#REF!</definedName>
    <definedName name="BExAY0EAT2LXR5MFGM0DLIB45PLO" localSheetId="4" hidden="1">#REF!</definedName>
    <definedName name="BExAY0EAT2LXR5MFGM0DLIB45PLO" localSheetId="1" hidden="1">#REF!</definedName>
    <definedName name="BExAY0EAT2LXR5MFGM0DLIB45PLO" localSheetId="9" hidden="1">#REF!</definedName>
    <definedName name="BExAY0EAT2LXR5MFGM0DLIB45PLO" hidden="1">#REF!</definedName>
    <definedName name="BExAY6JK0AK9EBIJSPEJNOIDE40W" localSheetId="56" hidden="1">#REF!</definedName>
    <definedName name="BExAY6JK0AK9EBIJSPEJNOIDE40W" localSheetId="55" hidden="1">#REF!</definedName>
    <definedName name="BExAY6JK0AK9EBIJSPEJNOIDE40W" localSheetId="4" hidden="1">#REF!</definedName>
    <definedName name="BExAY6JK0AK9EBIJSPEJNOIDE40W" localSheetId="1" hidden="1">#REF!</definedName>
    <definedName name="BExAY6JK0AK9EBIJSPEJNOIDE40W" localSheetId="9" hidden="1">#REF!</definedName>
    <definedName name="BExAY6JK0AK9EBIJSPEJNOIDE40W" hidden="1">#REF!</definedName>
    <definedName name="BExAYE6LNIEBR9DSNI5JGNITGKIT" localSheetId="56" hidden="1">#REF!</definedName>
    <definedName name="BExAYE6LNIEBR9DSNI5JGNITGKIT" localSheetId="55" hidden="1">#REF!</definedName>
    <definedName name="BExAYE6LNIEBR9DSNI5JGNITGKIT" localSheetId="4" hidden="1">#REF!</definedName>
    <definedName name="BExAYE6LNIEBR9DSNI5JGNITGKIT" localSheetId="1" hidden="1">#REF!</definedName>
    <definedName name="BExAYE6LNIEBR9DSNI5JGNITGKIT" localSheetId="9" hidden="1">#REF!</definedName>
    <definedName name="BExAYE6LNIEBR9DSNI5JGNITGKIT" hidden="1">#REF!</definedName>
    <definedName name="BExAYHMLXGGO25P8HYB2S75DEB4F" localSheetId="56" hidden="1">#REF!</definedName>
    <definedName name="BExAYHMLXGGO25P8HYB2S75DEB4F" localSheetId="55" hidden="1">#REF!</definedName>
    <definedName name="BExAYHMLXGGO25P8HYB2S75DEB4F" localSheetId="4" hidden="1">#REF!</definedName>
    <definedName name="BExAYHMLXGGO25P8HYB2S75DEB4F" localSheetId="1" hidden="1">#REF!</definedName>
    <definedName name="BExAYHMLXGGO25P8HYB2S75DEB4F" localSheetId="9" hidden="1">#REF!</definedName>
    <definedName name="BExAYHMLXGGO25P8HYB2S75DEB4F" hidden="1">#REF!</definedName>
    <definedName name="BExAYKXAUWGDOPG952TEJ2UKZKWN" localSheetId="56" hidden="1">#REF!</definedName>
    <definedName name="BExAYKXAUWGDOPG952TEJ2UKZKWN" localSheetId="55" hidden="1">#REF!</definedName>
    <definedName name="BExAYKXAUWGDOPG952TEJ2UKZKWN" localSheetId="4" hidden="1">#REF!</definedName>
    <definedName name="BExAYKXAUWGDOPG952TEJ2UKZKWN" localSheetId="1" hidden="1">#REF!</definedName>
    <definedName name="BExAYKXAUWGDOPG952TEJ2UKZKWN" localSheetId="9" hidden="1">#REF!</definedName>
    <definedName name="BExAYKXAUWGDOPG952TEJ2UKZKWN" hidden="1">#REF!</definedName>
    <definedName name="BExAYP9TDTI2MBP6EYE0H39CPMXN" localSheetId="56" hidden="1">#REF!</definedName>
    <definedName name="BExAYP9TDTI2MBP6EYE0H39CPMXN" localSheetId="55" hidden="1">#REF!</definedName>
    <definedName name="BExAYP9TDTI2MBP6EYE0H39CPMXN" localSheetId="4" hidden="1">#REF!</definedName>
    <definedName name="BExAYP9TDTI2MBP6EYE0H39CPMXN" localSheetId="1" hidden="1">#REF!</definedName>
    <definedName name="BExAYP9TDTI2MBP6EYE0H39CPMXN" localSheetId="9" hidden="1">#REF!</definedName>
    <definedName name="BExAYP9TDTI2MBP6EYE0H39CPMXN" hidden="1">#REF!</definedName>
    <definedName name="BExAYPPWJPWDKU59O051WMGB7O0J" localSheetId="56" hidden="1">#REF!</definedName>
    <definedName name="BExAYPPWJPWDKU59O051WMGB7O0J" localSheetId="55" hidden="1">#REF!</definedName>
    <definedName name="BExAYPPWJPWDKU59O051WMGB7O0J" localSheetId="4" hidden="1">#REF!</definedName>
    <definedName name="BExAYPPWJPWDKU59O051WMGB7O0J" localSheetId="1" hidden="1">#REF!</definedName>
    <definedName name="BExAYPPWJPWDKU59O051WMGB7O0J" localSheetId="9" hidden="1">#REF!</definedName>
    <definedName name="BExAYPPWJPWDKU59O051WMGB7O0J" hidden="1">#REF!</definedName>
    <definedName name="BExAYR2JZCJBUH6F1LZC2A7JIVRJ" localSheetId="56" hidden="1">#REF!</definedName>
    <definedName name="BExAYR2JZCJBUH6F1LZC2A7JIVRJ" localSheetId="55" hidden="1">#REF!</definedName>
    <definedName name="BExAYR2JZCJBUH6F1LZC2A7JIVRJ" localSheetId="4" hidden="1">#REF!</definedName>
    <definedName name="BExAYR2JZCJBUH6F1LZC2A7JIVRJ" localSheetId="1" hidden="1">#REF!</definedName>
    <definedName name="BExAYR2JZCJBUH6F1LZC2A7JIVRJ" localSheetId="9" hidden="1">#REF!</definedName>
    <definedName name="BExAYR2JZCJBUH6F1LZC2A7JIVRJ" hidden="1">#REF!</definedName>
    <definedName name="BExAYTGVRD3DLKO75RFPMBKCIWB8" localSheetId="56" hidden="1">#REF!</definedName>
    <definedName name="BExAYTGVRD3DLKO75RFPMBKCIWB8" localSheetId="55" hidden="1">#REF!</definedName>
    <definedName name="BExAYTGVRD3DLKO75RFPMBKCIWB8" localSheetId="4" hidden="1">#REF!</definedName>
    <definedName name="BExAYTGVRD3DLKO75RFPMBKCIWB8" localSheetId="1" hidden="1">#REF!</definedName>
    <definedName name="BExAYTGVRD3DLKO75RFPMBKCIWB8" localSheetId="9" hidden="1">#REF!</definedName>
    <definedName name="BExAYTGVRD3DLKO75RFPMBKCIWB8" hidden="1">#REF!</definedName>
    <definedName name="BExAYY9H9COOT46HJLPVDLTO12UL" localSheetId="56" hidden="1">#REF!</definedName>
    <definedName name="BExAYY9H9COOT46HJLPVDLTO12UL" localSheetId="55" hidden="1">#REF!</definedName>
    <definedName name="BExAYY9H9COOT46HJLPVDLTO12UL" localSheetId="4" hidden="1">#REF!</definedName>
    <definedName name="BExAYY9H9COOT46HJLPVDLTO12UL" localSheetId="1" hidden="1">#REF!</definedName>
    <definedName name="BExAYY9H9COOT46HJLPVDLTO12UL" localSheetId="9" hidden="1">#REF!</definedName>
    <definedName name="BExAYY9H9COOT46HJLPVDLTO12UL" hidden="1">#REF!</definedName>
    <definedName name="BExAYYKAQA3KDMQ890FIE5M9SPBL" localSheetId="56" hidden="1">#REF!</definedName>
    <definedName name="BExAYYKAQA3KDMQ890FIE5M9SPBL" localSheetId="55" hidden="1">#REF!</definedName>
    <definedName name="BExAYYKAQA3KDMQ890FIE5M9SPBL" localSheetId="4" hidden="1">#REF!</definedName>
    <definedName name="BExAYYKAQA3KDMQ890FIE5M9SPBL" localSheetId="1" hidden="1">#REF!</definedName>
    <definedName name="BExAYYKAQA3KDMQ890FIE5M9SPBL" localSheetId="9" hidden="1">#REF!</definedName>
    <definedName name="BExAYYKAQA3KDMQ890FIE5M9SPBL" hidden="1">#REF!</definedName>
    <definedName name="BExAZ6SY0EU69GC3CWI5EOO0YLFG" localSheetId="56" hidden="1">#REF!</definedName>
    <definedName name="BExAZ6SY0EU69GC3CWI5EOO0YLFG" localSheetId="55" hidden="1">#REF!</definedName>
    <definedName name="BExAZ6SY0EU69GC3CWI5EOO0YLFG" localSheetId="4" hidden="1">#REF!</definedName>
    <definedName name="BExAZ6SY0EU69GC3CWI5EOO0YLFG" localSheetId="1" hidden="1">#REF!</definedName>
    <definedName name="BExAZ6SY0EU69GC3CWI5EOO0YLFG" localSheetId="9" hidden="1">#REF!</definedName>
    <definedName name="BExAZ6SY0EU69GC3CWI5EOO0YLFG" hidden="1">#REF!</definedName>
    <definedName name="BExAZ6YEEBJV0PCKFE137K2Y3A8M" localSheetId="56" hidden="1">#REF!</definedName>
    <definedName name="BExAZ6YEEBJV0PCKFE137K2Y3A8M" localSheetId="55" hidden="1">#REF!</definedName>
    <definedName name="BExAZ6YEEBJV0PCKFE137K2Y3A8M" localSheetId="4" hidden="1">#REF!</definedName>
    <definedName name="BExAZ6YEEBJV0PCKFE137K2Y3A8M" localSheetId="1" hidden="1">#REF!</definedName>
    <definedName name="BExAZ6YEEBJV0PCKFE137K2Y3A8M" localSheetId="9" hidden="1">#REF!</definedName>
    <definedName name="BExAZ6YEEBJV0PCKFE137K2Y3A8M" hidden="1">#REF!</definedName>
    <definedName name="BExAZAP844MJ4GSAIYNYHQ7FECC3" localSheetId="56" hidden="1">#REF!</definedName>
    <definedName name="BExAZAP844MJ4GSAIYNYHQ7FECC3" localSheetId="55" hidden="1">#REF!</definedName>
    <definedName name="BExAZAP844MJ4GSAIYNYHQ7FECC3" localSheetId="4" hidden="1">#REF!</definedName>
    <definedName name="BExAZAP844MJ4GSAIYNYHQ7FECC3" localSheetId="1" hidden="1">#REF!</definedName>
    <definedName name="BExAZAP844MJ4GSAIYNYHQ7FECC3" localSheetId="9" hidden="1">#REF!</definedName>
    <definedName name="BExAZAP844MJ4GSAIYNYHQ7FECC3" hidden="1">#REF!</definedName>
    <definedName name="BExAZCNEGB4JYHC8CZ51KTN890US" localSheetId="56" hidden="1">#REF!</definedName>
    <definedName name="BExAZCNEGB4JYHC8CZ51KTN890US" localSheetId="55" hidden="1">#REF!</definedName>
    <definedName name="BExAZCNEGB4JYHC8CZ51KTN890US" localSheetId="4" hidden="1">#REF!</definedName>
    <definedName name="BExAZCNEGB4JYHC8CZ51KTN890US" localSheetId="1" hidden="1">#REF!</definedName>
    <definedName name="BExAZCNEGB4JYHC8CZ51KTN890US" localSheetId="9" hidden="1">#REF!</definedName>
    <definedName name="BExAZCNEGB4JYHC8CZ51KTN890US" hidden="1">#REF!</definedName>
    <definedName name="BExAZFCI302YFYRDJYQDWQQL0Q0O" localSheetId="56" hidden="1">#REF!</definedName>
    <definedName name="BExAZFCI302YFYRDJYQDWQQL0Q0O" localSheetId="55" hidden="1">#REF!</definedName>
    <definedName name="BExAZFCI302YFYRDJYQDWQQL0Q0O" localSheetId="4" hidden="1">#REF!</definedName>
    <definedName name="BExAZFCI302YFYRDJYQDWQQL0Q0O" localSheetId="1" hidden="1">#REF!</definedName>
    <definedName name="BExAZFCI302YFYRDJYQDWQQL0Q0O" localSheetId="9" hidden="1">#REF!</definedName>
    <definedName name="BExAZFCI302YFYRDJYQDWQQL0Q0O" hidden="1">#REF!</definedName>
    <definedName name="BExAZJE2UOL40XUAU2RB53X5K20P" localSheetId="56" hidden="1">#REF!</definedName>
    <definedName name="BExAZJE2UOL40XUAU2RB53X5K20P" localSheetId="55" hidden="1">#REF!</definedName>
    <definedName name="BExAZJE2UOL40XUAU2RB53X5K20P" localSheetId="4" hidden="1">#REF!</definedName>
    <definedName name="BExAZJE2UOL40XUAU2RB53X5K20P" localSheetId="1" hidden="1">#REF!</definedName>
    <definedName name="BExAZJE2UOL40XUAU2RB53X5K20P" localSheetId="9" hidden="1">#REF!</definedName>
    <definedName name="BExAZJE2UOL40XUAU2RB53X5K20P" hidden="1">#REF!</definedName>
    <definedName name="BExAZLHLST9OP89R1HJMC1POQG8H" localSheetId="56" hidden="1">#REF!</definedName>
    <definedName name="BExAZLHLST9OP89R1HJMC1POQG8H" localSheetId="55" hidden="1">#REF!</definedName>
    <definedName name="BExAZLHLST9OP89R1HJMC1POQG8H" localSheetId="4" hidden="1">#REF!</definedName>
    <definedName name="BExAZLHLST9OP89R1HJMC1POQG8H" localSheetId="1" hidden="1">#REF!</definedName>
    <definedName name="BExAZLHLST9OP89R1HJMC1POQG8H" localSheetId="9" hidden="1">#REF!</definedName>
    <definedName name="BExAZLHLST9OP89R1HJMC1POQG8H" hidden="1">#REF!</definedName>
    <definedName name="BExAZMDYMIAA7RX1BMCKU1VLBRGY" localSheetId="56" hidden="1">#REF!</definedName>
    <definedName name="BExAZMDYMIAA7RX1BMCKU1VLBRGY" localSheetId="55" hidden="1">#REF!</definedName>
    <definedName name="BExAZMDYMIAA7RX1BMCKU1VLBRGY" localSheetId="4" hidden="1">#REF!</definedName>
    <definedName name="BExAZMDYMIAA7RX1BMCKU1VLBRGY" localSheetId="1" hidden="1">#REF!</definedName>
    <definedName name="BExAZMDYMIAA7RX1BMCKU1VLBRGY" localSheetId="9" hidden="1">#REF!</definedName>
    <definedName name="BExAZMDYMIAA7RX1BMCKU1VLBRGY" hidden="1">#REF!</definedName>
    <definedName name="BExAZNL6BHI8DCQWXOX4I2P839UX" localSheetId="56" hidden="1">#REF!</definedName>
    <definedName name="BExAZNL6BHI8DCQWXOX4I2P839UX" localSheetId="55" hidden="1">#REF!</definedName>
    <definedName name="BExAZNL6BHI8DCQWXOX4I2P839UX" localSheetId="4" hidden="1">#REF!</definedName>
    <definedName name="BExAZNL6BHI8DCQWXOX4I2P839UX" localSheetId="1" hidden="1">#REF!</definedName>
    <definedName name="BExAZNL6BHI8DCQWXOX4I2P839UX" localSheetId="9" hidden="1">#REF!</definedName>
    <definedName name="BExAZNL6BHI8DCQWXOX4I2P839UX" hidden="1">#REF!</definedName>
    <definedName name="BExAZRMWSONMCG9KDUM4KAQ7BONM" localSheetId="56" hidden="1">#REF!</definedName>
    <definedName name="BExAZRMWSONMCG9KDUM4KAQ7BONM" localSheetId="55" hidden="1">#REF!</definedName>
    <definedName name="BExAZRMWSONMCG9KDUM4KAQ7BONM" localSheetId="4" hidden="1">#REF!</definedName>
    <definedName name="BExAZRMWSONMCG9KDUM4KAQ7BONM" localSheetId="1" hidden="1">#REF!</definedName>
    <definedName name="BExAZRMWSONMCG9KDUM4KAQ7BONM" localSheetId="9" hidden="1">#REF!</definedName>
    <definedName name="BExAZRMWSONMCG9KDUM4KAQ7BONM" hidden="1">#REF!</definedName>
    <definedName name="BExAZSOJNQ5N3LM4XA17IH7NIY7G" localSheetId="56" hidden="1">#REF!</definedName>
    <definedName name="BExAZSOJNQ5N3LM4XA17IH7NIY7G" localSheetId="55" hidden="1">#REF!</definedName>
    <definedName name="BExAZSOJNQ5N3LM4XA17IH7NIY7G" localSheetId="4" hidden="1">#REF!</definedName>
    <definedName name="BExAZSOJNQ5N3LM4XA17IH7NIY7G" localSheetId="1" hidden="1">#REF!</definedName>
    <definedName name="BExAZSOJNQ5N3LM4XA17IH7NIY7G" localSheetId="9" hidden="1">#REF!</definedName>
    <definedName name="BExAZSOJNQ5N3LM4XA17IH7NIY7G" hidden="1">#REF!</definedName>
    <definedName name="BExAZTFG4SJRG4TW6JXRF7N08JFI" localSheetId="56" hidden="1">#REF!</definedName>
    <definedName name="BExAZTFG4SJRG4TW6JXRF7N08JFI" localSheetId="55" hidden="1">#REF!</definedName>
    <definedName name="BExAZTFG4SJRG4TW6JXRF7N08JFI" localSheetId="4" hidden="1">#REF!</definedName>
    <definedName name="BExAZTFG4SJRG4TW6JXRF7N08JFI" localSheetId="1" hidden="1">#REF!</definedName>
    <definedName name="BExAZTFG4SJRG4TW6JXRF7N08JFI" localSheetId="9" hidden="1">#REF!</definedName>
    <definedName name="BExAZTFG4SJRG4TW6JXRF7N08JFI" hidden="1">#REF!</definedName>
    <definedName name="BExAZUS4A8OHDZK0MWAOCCCKTH73" localSheetId="56" hidden="1">#REF!</definedName>
    <definedName name="BExAZUS4A8OHDZK0MWAOCCCKTH73" localSheetId="55" hidden="1">#REF!</definedName>
    <definedName name="BExAZUS4A8OHDZK0MWAOCCCKTH73" localSheetId="4" hidden="1">#REF!</definedName>
    <definedName name="BExAZUS4A8OHDZK0MWAOCCCKTH73" localSheetId="1" hidden="1">#REF!</definedName>
    <definedName name="BExAZUS4A8OHDZK0MWAOCCCKTH73" localSheetId="9" hidden="1">#REF!</definedName>
    <definedName name="BExAZUS4A8OHDZK0MWAOCCCKTH73" hidden="1">#REF!</definedName>
    <definedName name="BExAZX6FECVK3E07KXM2XPYKGM6U" localSheetId="56" hidden="1">#REF!</definedName>
    <definedName name="BExAZX6FECVK3E07KXM2XPYKGM6U" localSheetId="55" hidden="1">#REF!</definedName>
    <definedName name="BExAZX6FECVK3E07KXM2XPYKGM6U" localSheetId="4" hidden="1">#REF!</definedName>
    <definedName name="BExAZX6FECVK3E07KXM2XPYKGM6U" localSheetId="1" hidden="1">#REF!</definedName>
    <definedName name="BExAZX6FECVK3E07KXM2XPYKGM6U" localSheetId="9" hidden="1">#REF!</definedName>
    <definedName name="BExAZX6FECVK3E07KXM2XPYKGM6U" hidden="1">#REF!</definedName>
    <definedName name="BExB012NJ8GASTNNPBRRFTLHIOC9" localSheetId="56" hidden="1">#REF!</definedName>
    <definedName name="BExB012NJ8GASTNNPBRRFTLHIOC9" localSheetId="55" hidden="1">#REF!</definedName>
    <definedName name="BExB012NJ8GASTNNPBRRFTLHIOC9" localSheetId="4" hidden="1">#REF!</definedName>
    <definedName name="BExB012NJ8GASTNNPBRRFTLHIOC9" localSheetId="1" hidden="1">#REF!</definedName>
    <definedName name="BExB012NJ8GASTNNPBRRFTLHIOC9" localSheetId="9" hidden="1">#REF!</definedName>
    <definedName name="BExB012NJ8GASTNNPBRRFTLHIOC9" hidden="1">#REF!</definedName>
    <definedName name="BExB072HHXVMUC0VYNGG48GRSH5Q" localSheetId="56" hidden="1">#REF!</definedName>
    <definedName name="BExB072HHXVMUC0VYNGG48GRSH5Q" localSheetId="55" hidden="1">#REF!</definedName>
    <definedName name="BExB072HHXVMUC0VYNGG48GRSH5Q" localSheetId="4" hidden="1">#REF!</definedName>
    <definedName name="BExB072HHXVMUC0VYNGG48GRSH5Q" localSheetId="1" hidden="1">#REF!</definedName>
    <definedName name="BExB072HHXVMUC0VYNGG48GRSH5Q" localSheetId="9" hidden="1">#REF!</definedName>
    <definedName name="BExB072HHXVMUC0VYNGG48GRSH5Q" hidden="1">#REF!</definedName>
    <definedName name="BExB0FRDEYDEUEAB1W8KD6D965XA" localSheetId="56" hidden="1">#REF!</definedName>
    <definedName name="BExB0FRDEYDEUEAB1W8KD6D965XA" localSheetId="55" hidden="1">#REF!</definedName>
    <definedName name="BExB0FRDEYDEUEAB1W8KD6D965XA" localSheetId="4" hidden="1">#REF!</definedName>
    <definedName name="BExB0FRDEYDEUEAB1W8KD6D965XA" localSheetId="1" hidden="1">#REF!</definedName>
    <definedName name="BExB0FRDEYDEUEAB1W8KD6D965XA" localSheetId="9" hidden="1">#REF!</definedName>
    <definedName name="BExB0FRDEYDEUEAB1W8KD6D965XA" hidden="1">#REF!</definedName>
    <definedName name="BExB0GIGLDV7P55ZR51C0HG15PA2" localSheetId="56" hidden="1">#REF!</definedName>
    <definedName name="BExB0GIGLDV7P55ZR51C0HG15PA2" localSheetId="55" hidden="1">#REF!</definedName>
    <definedName name="BExB0GIGLDV7P55ZR51C0HG15PA2" localSheetId="4" hidden="1">#REF!</definedName>
    <definedName name="BExB0GIGLDV7P55ZR51C0HG15PA2" localSheetId="1" hidden="1">#REF!</definedName>
    <definedName name="BExB0GIGLDV7P55ZR51C0HG15PA2" localSheetId="9" hidden="1">#REF!</definedName>
    <definedName name="BExB0GIGLDV7P55ZR51C0HG15PA2" hidden="1">#REF!</definedName>
    <definedName name="BExB0KPCN7YJORQAYUCF4YKIKPMC" localSheetId="56" hidden="1">#REF!</definedName>
    <definedName name="BExB0KPCN7YJORQAYUCF4YKIKPMC" localSheetId="55" hidden="1">#REF!</definedName>
    <definedName name="BExB0KPCN7YJORQAYUCF4YKIKPMC" localSheetId="4" hidden="1">#REF!</definedName>
    <definedName name="BExB0KPCN7YJORQAYUCF4YKIKPMC" localSheetId="1" hidden="1">#REF!</definedName>
    <definedName name="BExB0KPCN7YJORQAYUCF4YKIKPMC" localSheetId="9" hidden="1">#REF!</definedName>
    <definedName name="BExB0KPCN7YJORQAYUCF4YKIKPMC" hidden="1">#REF!</definedName>
    <definedName name="BExB0VHQD6ORZS0MIC86QWHCE4UC" localSheetId="56" hidden="1">#REF!</definedName>
    <definedName name="BExB0VHQD6ORZS0MIC86QWHCE4UC" localSheetId="55" hidden="1">#REF!</definedName>
    <definedName name="BExB0VHQD6ORZS0MIC86QWHCE4UC" localSheetId="4" hidden="1">#REF!</definedName>
    <definedName name="BExB0VHQD6ORZS0MIC86QWHCE4UC" localSheetId="1" hidden="1">#REF!</definedName>
    <definedName name="BExB0VHQD6ORZS0MIC86QWHCE4UC" localSheetId="9" hidden="1">#REF!</definedName>
    <definedName name="BExB0VHQD6ORZS0MIC86QWHCE4UC" hidden="1">#REF!</definedName>
    <definedName name="BExB0WE4PI3NOBXXVO9CTEN4DIU2" localSheetId="56" hidden="1">#REF!</definedName>
    <definedName name="BExB0WE4PI3NOBXXVO9CTEN4DIU2" localSheetId="55" hidden="1">#REF!</definedName>
    <definedName name="BExB0WE4PI3NOBXXVO9CTEN4DIU2" localSheetId="4" hidden="1">#REF!</definedName>
    <definedName name="BExB0WE4PI3NOBXXVO9CTEN4DIU2" localSheetId="1" hidden="1">#REF!</definedName>
    <definedName name="BExB0WE4PI3NOBXXVO9CTEN4DIU2" localSheetId="9" hidden="1">#REF!</definedName>
    <definedName name="BExB0WE4PI3NOBXXVO9CTEN4DIU2" hidden="1">#REF!</definedName>
    <definedName name="BExB0Z8O1CQF2CWFBBHE8SNISDAO" localSheetId="56" hidden="1">#REF!</definedName>
    <definedName name="BExB0Z8O1CQF2CWFBBHE8SNISDAO" localSheetId="55" hidden="1">#REF!</definedName>
    <definedName name="BExB0Z8O1CQF2CWFBBHE8SNISDAO" localSheetId="4" hidden="1">#REF!</definedName>
    <definedName name="BExB0Z8O1CQF2CWFBBHE8SNISDAO" localSheetId="1" hidden="1">#REF!</definedName>
    <definedName name="BExB0Z8O1CQF2CWFBBHE8SNISDAO" localSheetId="9" hidden="1">#REF!</definedName>
    <definedName name="BExB0Z8O1CQF2CWFBBHE8SNISDAO" hidden="1">#REF!</definedName>
    <definedName name="BExB10QNIVITUYS55OAEKK3VLJFE" localSheetId="56" hidden="1">#REF!</definedName>
    <definedName name="BExB10QNIVITUYS55OAEKK3VLJFE" localSheetId="55" hidden="1">#REF!</definedName>
    <definedName name="BExB10QNIVITUYS55OAEKK3VLJFE" localSheetId="4" hidden="1">#REF!</definedName>
    <definedName name="BExB10QNIVITUYS55OAEKK3VLJFE" localSheetId="1" hidden="1">#REF!</definedName>
    <definedName name="BExB10QNIVITUYS55OAEKK3VLJFE" localSheetId="9" hidden="1">#REF!</definedName>
    <definedName name="BExB10QNIVITUYS55OAEKK3VLJFE" hidden="1">#REF!</definedName>
    <definedName name="BExB15ZDRY4CIJ911DONP0KCY9KU" localSheetId="56" hidden="1">#REF!</definedName>
    <definedName name="BExB15ZDRY4CIJ911DONP0KCY9KU" localSheetId="55" hidden="1">#REF!</definedName>
    <definedName name="BExB15ZDRY4CIJ911DONP0KCY9KU" localSheetId="4" hidden="1">#REF!</definedName>
    <definedName name="BExB15ZDRY4CIJ911DONP0KCY9KU" localSheetId="1" hidden="1">#REF!</definedName>
    <definedName name="BExB15ZDRY4CIJ911DONP0KCY9KU" localSheetId="9" hidden="1">#REF!</definedName>
    <definedName name="BExB15ZDRY4CIJ911DONP0KCY9KU" hidden="1">#REF!</definedName>
    <definedName name="BExB16VQY0O0RLZYJFU3OFEONVTE" localSheetId="56" hidden="1">#REF!</definedName>
    <definedName name="BExB16VQY0O0RLZYJFU3OFEONVTE" localSheetId="55" hidden="1">#REF!</definedName>
    <definedName name="BExB16VQY0O0RLZYJFU3OFEONVTE" localSheetId="4" hidden="1">#REF!</definedName>
    <definedName name="BExB16VQY0O0RLZYJFU3OFEONVTE" localSheetId="1" hidden="1">#REF!</definedName>
    <definedName name="BExB16VQY0O0RLZYJFU3OFEONVTE" localSheetId="9" hidden="1">#REF!</definedName>
    <definedName name="BExB16VQY0O0RLZYJFU3OFEONVTE" hidden="1">#REF!</definedName>
    <definedName name="BExB1FKNY2UO4W5FUGFHJOA2WFGG" localSheetId="56" hidden="1">#REF!</definedName>
    <definedName name="BExB1FKNY2UO4W5FUGFHJOA2WFGG" localSheetId="55" hidden="1">#REF!</definedName>
    <definedName name="BExB1FKNY2UO4W5FUGFHJOA2WFGG" localSheetId="4" hidden="1">#REF!</definedName>
    <definedName name="BExB1FKNY2UO4W5FUGFHJOA2WFGG" localSheetId="1" hidden="1">#REF!</definedName>
    <definedName name="BExB1FKNY2UO4W5FUGFHJOA2WFGG" localSheetId="9" hidden="1">#REF!</definedName>
    <definedName name="BExB1FKNY2UO4W5FUGFHJOA2WFGG" hidden="1">#REF!</definedName>
    <definedName name="BExB1GMD0PIDGTFBGQOPRWQSP9I4" localSheetId="56" hidden="1">#REF!</definedName>
    <definedName name="BExB1GMD0PIDGTFBGQOPRWQSP9I4" localSheetId="55" hidden="1">#REF!</definedName>
    <definedName name="BExB1GMD0PIDGTFBGQOPRWQSP9I4" localSheetId="4" hidden="1">#REF!</definedName>
    <definedName name="BExB1GMD0PIDGTFBGQOPRWQSP9I4" localSheetId="1" hidden="1">#REF!</definedName>
    <definedName name="BExB1GMD0PIDGTFBGQOPRWQSP9I4" localSheetId="9" hidden="1">#REF!</definedName>
    <definedName name="BExB1GMD0PIDGTFBGQOPRWQSP9I4" hidden="1">#REF!</definedName>
    <definedName name="BExB1HZ0FHGNOS2URJWFD5G55OMO" localSheetId="56" hidden="1">#REF!</definedName>
    <definedName name="BExB1HZ0FHGNOS2URJWFD5G55OMO" localSheetId="55" hidden="1">#REF!</definedName>
    <definedName name="BExB1HZ0FHGNOS2URJWFD5G55OMO" localSheetId="4" hidden="1">#REF!</definedName>
    <definedName name="BExB1HZ0FHGNOS2URJWFD5G55OMO" localSheetId="1" hidden="1">#REF!</definedName>
    <definedName name="BExB1HZ0FHGNOS2URJWFD5G55OMO" localSheetId="9" hidden="1">#REF!</definedName>
    <definedName name="BExB1HZ0FHGNOS2URJWFD5G55OMO" hidden="1">#REF!</definedName>
    <definedName name="BExB1Q29OO6LNFNT1EQLA3KYE7MX" localSheetId="56" hidden="1">#REF!</definedName>
    <definedName name="BExB1Q29OO6LNFNT1EQLA3KYE7MX" localSheetId="55" hidden="1">#REF!</definedName>
    <definedName name="BExB1Q29OO6LNFNT1EQLA3KYE7MX" localSheetId="4" hidden="1">#REF!</definedName>
    <definedName name="BExB1Q29OO6LNFNT1EQLA3KYE7MX" localSheetId="1" hidden="1">#REF!</definedName>
    <definedName name="BExB1Q29OO6LNFNT1EQLA3KYE7MX" localSheetId="9" hidden="1">#REF!</definedName>
    <definedName name="BExB1Q29OO6LNFNT1EQLA3KYE7MX" hidden="1">#REF!</definedName>
    <definedName name="BExB1TNRV5EBWZEHYLHI76T0FVA7" localSheetId="56" hidden="1">#REF!</definedName>
    <definedName name="BExB1TNRV5EBWZEHYLHI76T0FVA7" localSheetId="55" hidden="1">#REF!</definedName>
    <definedName name="BExB1TNRV5EBWZEHYLHI76T0FVA7" localSheetId="4" hidden="1">#REF!</definedName>
    <definedName name="BExB1TNRV5EBWZEHYLHI76T0FVA7" localSheetId="1" hidden="1">#REF!</definedName>
    <definedName name="BExB1TNRV5EBWZEHYLHI76T0FVA7" localSheetId="9" hidden="1">#REF!</definedName>
    <definedName name="BExB1TNRV5EBWZEHYLHI76T0FVA7" hidden="1">#REF!</definedName>
    <definedName name="BExB1WI6M8I0EEP1ANUQZCFY24EV" localSheetId="56" hidden="1">#REF!</definedName>
    <definedName name="BExB1WI6M8I0EEP1ANUQZCFY24EV" localSheetId="55" hidden="1">#REF!</definedName>
    <definedName name="BExB1WI6M8I0EEP1ANUQZCFY24EV" localSheetId="4" hidden="1">#REF!</definedName>
    <definedName name="BExB1WI6M8I0EEP1ANUQZCFY24EV" localSheetId="1" hidden="1">#REF!</definedName>
    <definedName name="BExB1WI6M8I0EEP1ANUQZCFY24EV" localSheetId="9" hidden="1">#REF!</definedName>
    <definedName name="BExB1WI6M8I0EEP1ANUQZCFY24EV" hidden="1">#REF!</definedName>
    <definedName name="BExB203OWC9QZA3BYOKQ18L4FUJE" localSheetId="56" hidden="1">#REF!</definedName>
    <definedName name="BExB203OWC9QZA3BYOKQ18L4FUJE" localSheetId="55" hidden="1">#REF!</definedName>
    <definedName name="BExB203OWC9QZA3BYOKQ18L4FUJE" localSheetId="4" hidden="1">#REF!</definedName>
    <definedName name="BExB203OWC9QZA3BYOKQ18L4FUJE" localSheetId="1" hidden="1">#REF!</definedName>
    <definedName name="BExB203OWC9QZA3BYOKQ18L4FUJE" localSheetId="9" hidden="1">#REF!</definedName>
    <definedName name="BExB203OWC9QZA3BYOKQ18L4FUJE" hidden="1">#REF!</definedName>
    <definedName name="BExB2CJHTU7C591BR4WRL5L2F2K6" localSheetId="56" hidden="1">#REF!</definedName>
    <definedName name="BExB2CJHTU7C591BR4WRL5L2F2K6" localSheetId="55" hidden="1">#REF!</definedName>
    <definedName name="BExB2CJHTU7C591BR4WRL5L2F2K6" localSheetId="4" hidden="1">#REF!</definedName>
    <definedName name="BExB2CJHTU7C591BR4WRL5L2F2K6" localSheetId="1" hidden="1">#REF!</definedName>
    <definedName name="BExB2CJHTU7C591BR4WRL5L2F2K6" localSheetId="9" hidden="1">#REF!</definedName>
    <definedName name="BExB2CJHTU7C591BR4WRL5L2F2K6" hidden="1">#REF!</definedName>
    <definedName name="BExB2K1AV4PGNS1O6C7D7AO411AX" localSheetId="56" hidden="1">#REF!</definedName>
    <definedName name="BExB2K1AV4PGNS1O6C7D7AO411AX" localSheetId="55" hidden="1">#REF!</definedName>
    <definedName name="BExB2K1AV4PGNS1O6C7D7AO411AX" localSheetId="4" hidden="1">#REF!</definedName>
    <definedName name="BExB2K1AV4PGNS1O6C7D7AO411AX" localSheetId="1" hidden="1">#REF!</definedName>
    <definedName name="BExB2K1AV4PGNS1O6C7D7AO411AX" localSheetId="9" hidden="1">#REF!</definedName>
    <definedName name="BExB2K1AV4PGNS1O6C7D7AO411AX" hidden="1">#REF!</definedName>
    <definedName name="BExB2O2UYHKI324YE324E1N7FVIB" localSheetId="56" hidden="1">#REF!</definedName>
    <definedName name="BExB2O2UYHKI324YE324E1N7FVIB" localSheetId="55" hidden="1">#REF!</definedName>
    <definedName name="BExB2O2UYHKI324YE324E1N7FVIB" localSheetId="4" hidden="1">#REF!</definedName>
    <definedName name="BExB2O2UYHKI324YE324E1N7FVIB" localSheetId="1" hidden="1">#REF!</definedName>
    <definedName name="BExB2O2UYHKI324YE324E1N7FVIB" localSheetId="9" hidden="1">#REF!</definedName>
    <definedName name="BExB2O2UYHKI324YE324E1N7FVIB" hidden="1">#REF!</definedName>
    <definedName name="BExB2Q0VJ0MU2URO3JOVUAVHEI3V" localSheetId="56" hidden="1">#REF!</definedName>
    <definedName name="BExB2Q0VJ0MU2URO3JOVUAVHEI3V" localSheetId="55" hidden="1">#REF!</definedName>
    <definedName name="BExB2Q0VJ0MU2URO3JOVUAVHEI3V" localSheetId="4" hidden="1">#REF!</definedName>
    <definedName name="BExB2Q0VJ0MU2URO3JOVUAVHEI3V" localSheetId="1" hidden="1">#REF!</definedName>
    <definedName name="BExB2Q0VJ0MU2URO3JOVUAVHEI3V" localSheetId="9" hidden="1">#REF!</definedName>
    <definedName name="BExB2Q0VJ0MU2URO3JOVUAVHEI3V" hidden="1">#REF!</definedName>
    <definedName name="BExB30IP1DNKNQ6PZ5ERUGR5MK4Z" localSheetId="56" hidden="1">#REF!</definedName>
    <definedName name="BExB30IP1DNKNQ6PZ5ERUGR5MK4Z" localSheetId="55" hidden="1">#REF!</definedName>
    <definedName name="BExB30IP1DNKNQ6PZ5ERUGR5MK4Z" localSheetId="4" hidden="1">#REF!</definedName>
    <definedName name="BExB30IP1DNKNQ6PZ5ERUGR5MK4Z" localSheetId="1" hidden="1">#REF!</definedName>
    <definedName name="BExB30IP1DNKNQ6PZ5ERUGR5MK4Z" localSheetId="9" hidden="1">#REF!</definedName>
    <definedName name="BExB30IP1DNKNQ6PZ5ERUGR5MK4Z" hidden="1">#REF!</definedName>
    <definedName name="BExB385QW2BSSBXS953SSQN2ISSW" localSheetId="56" hidden="1">#REF!</definedName>
    <definedName name="BExB385QW2BSSBXS953SSQN2ISSW" localSheetId="55" hidden="1">#REF!</definedName>
    <definedName name="BExB385QW2BSSBXS953SSQN2ISSW" localSheetId="4" hidden="1">#REF!</definedName>
    <definedName name="BExB385QW2BSSBXS953SSQN2ISSW" localSheetId="1" hidden="1">#REF!</definedName>
    <definedName name="BExB385QW2BSSBXS953SSQN2ISSW" localSheetId="9" hidden="1">#REF!</definedName>
    <definedName name="BExB385QW2BSSBXS953SSQN2ISSW" hidden="1">#REF!</definedName>
    <definedName name="BExB3DEMEV5D9G8FDHD4NQ9X2YNT" localSheetId="56" hidden="1">#REF!</definedName>
    <definedName name="BExB3DEMEV5D9G8FDHD4NQ9X2YNT" localSheetId="55" hidden="1">#REF!</definedName>
    <definedName name="BExB3DEMEV5D9G8FDHD4NQ9X2YNT" localSheetId="4" hidden="1">#REF!</definedName>
    <definedName name="BExB3DEMEV5D9G8FDHD4NQ9X2YNT" localSheetId="1" hidden="1">#REF!</definedName>
    <definedName name="BExB3DEMEV5D9G8FDHD4NQ9X2YNT" localSheetId="9" hidden="1">#REF!</definedName>
    <definedName name="BExB3DEMEV5D9G8FDHD4NQ9X2YNT" hidden="1">#REF!</definedName>
    <definedName name="BExB3RXU8AJQ86I5RXEWLGGR7R7C" localSheetId="56" hidden="1">#REF!</definedName>
    <definedName name="BExB3RXU8AJQ86I5RXEWLGGR7R7C" localSheetId="55" hidden="1">#REF!</definedName>
    <definedName name="BExB3RXU8AJQ86I5RXEWLGGR7R7C" localSheetId="4" hidden="1">#REF!</definedName>
    <definedName name="BExB3RXU8AJQ86I5RXEWLGGR7R7C" localSheetId="1" hidden="1">#REF!</definedName>
    <definedName name="BExB3RXU8AJQ86I5RXEWLGGR7R7C" localSheetId="9" hidden="1">#REF!</definedName>
    <definedName name="BExB3RXU8AJQ86I5RXEWLGGR7R7C" hidden="1">#REF!</definedName>
    <definedName name="BExB442RX0T3L6HUL6X5T21CENW6" localSheetId="56" hidden="1">#REF!</definedName>
    <definedName name="BExB442RX0T3L6HUL6X5T21CENW6" localSheetId="55" hidden="1">#REF!</definedName>
    <definedName name="BExB442RX0T3L6HUL6X5T21CENW6" localSheetId="4" hidden="1">#REF!</definedName>
    <definedName name="BExB442RX0T3L6HUL6X5T21CENW6" localSheetId="1" hidden="1">#REF!</definedName>
    <definedName name="BExB442RX0T3L6HUL6X5T21CENW6" localSheetId="9" hidden="1">#REF!</definedName>
    <definedName name="BExB442RX0T3L6HUL6X5T21CENW6" hidden="1">#REF!</definedName>
    <definedName name="BExB4ADD0L7417CII901XTFKXD1J" localSheetId="56" hidden="1">#REF!</definedName>
    <definedName name="BExB4ADD0L7417CII901XTFKXD1J" localSheetId="55" hidden="1">#REF!</definedName>
    <definedName name="BExB4ADD0L7417CII901XTFKXD1J" localSheetId="4" hidden="1">#REF!</definedName>
    <definedName name="BExB4ADD0L7417CII901XTFKXD1J" localSheetId="1" hidden="1">#REF!</definedName>
    <definedName name="BExB4ADD0L7417CII901XTFKXD1J" localSheetId="9" hidden="1">#REF!</definedName>
    <definedName name="BExB4ADD0L7417CII901XTFKXD1J" hidden="1">#REF!</definedName>
    <definedName name="BExB4DYU06HCGRIPBSWRCXK804UM" localSheetId="56" hidden="1">#REF!</definedName>
    <definedName name="BExB4DYU06HCGRIPBSWRCXK804UM" localSheetId="55" hidden="1">#REF!</definedName>
    <definedName name="BExB4DYU06HCGRIPBSWRCXK804UM" localSheetId="4" hidden="1">#REF!</definedName>
    <definedName name="BExB4DYU06HCGRIPBSWRCXK804UM" localSheetId="1" hidden="1">#REF!</definedName>
    <definedName name="BExB4DYU06HCGRIPBSWRCXK804UM" localSheetId="9" hidden="1">#REF!</definedName>
    <definedName name="BExB4DYU06HCGRIPBSWRCXK804UM" hidden="1">#REF!</definedName>
    <definedName name="BExB4HEZO4E597Q5M4M10LT8TLY3" localSheetId="56" hidden="1">#REF!</definedName>
    <definedName name="BExB4HEZO4E597Q5M4M10LT8TLY3" localSheetId="55" hidden="1">#REF!</definedName>
    <definedName name="BExB4HEZO4E597Q5M4M10LT8TLY3" localSheetId="4" hidden="1">#REF!</definedName>
    <definedName name="BExB4HEZO4E597Q5M4M10LT8TLY3" localSheetId="1" hidden="1">#REF!</definedName>
    <definedName name="BExB4HEZO4E597Q5M4M10LT8TLY3" localSheetId="9" hidden="1">#REF!</definedName>
    <definedName name="BExB4HEZO4E597Q5M4M10LT8TLY3" hidden="1">#REF!</definedName>
    <definedName name="BExB4X01APD3Z8ZW6MVX1P8NAO7G" localSheetId="56" hidden="1">#REF!</definedName>
    <definedName name="BExB4X01APD3Z8ZW6MVX1P8NAO7G" localSheetId="55" hidden="1">#REF!</definedName>
    <definedName name="BExB4X01APD3Z8ZW6MVX1P8NAO7G" localSheetId="4" hidden="1">#REF!</definedName>
    <definedName name="BExB4X01APD3Z8ZW6MVX1P8NAO7G" localSheetId="1" hidden="1">#REF!</definedName>
    <definedName name="BExB4X01APD3Z8ZW6MVX1P8NAO7G" localSheetId="9" hidden="1">#REF!</definedName>
    <definedName name="BExB4X01APD3Z8ZW6MVX1P8NAO7G" hidden="1">#REF!</definedName>
    <definedName name="BExB4Z3EZBGYYI33U0KQ8NEIH8PY" localSheetId="56" hidden="1">#REF!</definedName>
    <definedName name="BExB4Z3EZBGYYI33U0KQ8NEIH8PY" localSheetId="55" hidden="1">#REF!</definedName>
    <definedName name="BExB4Z3EZBGYYI33U0KQ8NEIH8PY" localSheetId="4" hidden="1">#REF!</definedName>
    <definedName name="BExB4Z3EZBGYYI33U0KQ8NEIH8PY" localSheetId="1" hidden="1">#REF!</definedName>
    <definedName name="BExB4Z3EZBGYYI33U0KQ8NEIH8PY" localSheetId="9" hidden="1">#REF!</definedName>
    <definedName name="BExB4Z3EZBGYYI33U0KQ8NEIH8PY" hidden="1">#REF!</definedName>
    <definedName name="BExB4ZJOLU1PXBMG4TPCCLTRMNRE" localSheetId="56" hidden="1">#REF!</definedName>
    <definedName name="BExB4ZJOLU1PXBMG4TPCCLTRMNRE" localSheetId="55" hidden="1">#REF!</definedName>
    <definedName name="BExB4ZJOLU1PXBMG4TPCCLTRMNRE" localSheetId="4" hidden="1">#REF!</definedName>
    <definedName name="BExB4ZJOLU1PXBMG4TPCCLTRMNRE" localSheetId="1" hidden="1">#REF!</definedName>
    <definedName name="BExB4ZJOLU1PXBMG4TPCCLTRMNRE" localSheetId="9" hidden="1">#REF!</definedName>
    <definedName name="BExB4ZJOLU1PXBMG4TPCCLTRMNRE" hidden="1">#REF!</definedName>
    <definedName name="BExB4ZZSDPL4Q05BMVT5TUN0IGKT" localSheetId="56" hidden="1">#REF!</definedName>
    <definedName name="BExB4ZZSDPL4Q05BMVT5TUN0IGKT" localSheetId="55" hidden="1">#REF!</definedName>
    <definedName name="BExB4ZZSDPL4Q05BMVT5TUN0IGKT" localSheetId="4" hidden="1">#REF!</definedName>
    <definedName name="BExB4ZZSDPL4Q05BMVT5TUN0IGKT" localSheetId="1" hidden="1">#REF!</definedName>
    <definedName name="BExB4ZZSDPL4Q05BMVT5TUN0IGKT" localSheetId="9" hidden="1">#REF!</definedName>
    <definedName name="BExB4ZZSDPL4Q05BMVT5TUN0IGKT" hidden="1">#REF!</definedName>
    <definedName name="BExB55368XW7UX657ZSPC6BFE92S" localSheetId="56" hidden="1">#REF!</definedName>
    <definedName name="BExB55368XW7UX657ZSPC6BFE92S" localSheetId="55" hidden="1">#REF!</definedName>
    <definedName name="BExB55368XW7UX657ZSPC6BFE92S" localSheetId="4" hidden="1">#REF!</definedName>
    <definedName name="BExB55368XW7UX657ZSPC6BFE92S" localSheetId="1" hidden="1">#REF!</definedName>
    <definedName name="BExB55368XW7UX657ZSPC6BFE92S" localSheetId="9" hidden="1">#REF!</definedName>
    <definedName name="BExB55368XW7UX657ZSPC6BFE92S" hidden="1">#REF!</definedName>
    <definedName name="BExB57MZEPL2SA2ONPK66YFLZWJU" localSheetId="56" hidden="1">#REF!</definedName>
    <definedName name="BExB57MZEPL2SA2ONPK66YFLZWJU" localSheetId="55" hidden="1">#REF!</definedName>
    <definedName name="BExB57MZEPL2SA2ONPK66YFLZWJU" localSheetId="4" hidden="1">#REF!</definedName>
    <definedName name="BExB57MZEPL2SA2ONPK66YFLZWJU" localSheetId="1" hidden="1">#REF!</definedName>
    <definedName name="BExB57MZEPL2SA2ONPK66YFLZWJU" localSheetId="9" hidden="1">#REF!</definedName>
    <definedName name="BExB57MZEPL2SA2ONPK66YFLZWJU" hidden="1">#REF!</definedName>
    <definedName name="BExB5833OAOJ22VK1YK47FHUSVK2" localSheetId="56" hidden="1">#REF!</definedName>
    <definedName name="BExB5833OAOJ22VK1YK47FHUSVK2" localSheetId="55" hidden="1">#REF!</definedName>
    <definedName name="BExB5833OAOJ22VK1YK47FHUSVK2" localSheetId="4" hidden="1">#REF!</definedName>
    <definedName name="BExB5833OAOJ22VK1YK47FHUSVK2" localSheetId="1" hidden="1">#REF!</definedName>
    <definedName name="BExB5833OAOJ22VK1YK47FHUSVK2" localSheetId="9" hidden="1">#REF!</definedName>
    <definedName name="BExB5833OAOJ22VK1YK47FHUSVK2" hidden="1">#REF!</definedName>
    <definedName name="BExB58JDIHS42JZT9DJJMKA8QFCO" localSheetId="56" hidden="1">#REF!</definedName>
    <definedName name="BExB58JDIHS42JZT9DJJMKA8QFCO" localSheetId="55" hidden="1">#REF!</definedName>
    <definedName name="BExB58JDIHS42JZT9DJJMKA8QFCO" localSheetId="4" hidden="1">#REF!</definedName>
    <definedName name="BExB58JDIHS42JZT9DJJMKA8QFCO" localSheetId="1" hidden="1">#REF!</definedName>
    <definedName name="BExB58JDIHS42JZT9DJJMKA8QFCO" localSheetId="9" hidden="1">#REF!</definedName>
    <definedName name="BExB58JDIHS42JZT9DJJMKA8QFCO" hidden="1">#REF!</definedName>
    <definedName name="BExB58U5FQC5JWV9CGC83HLLZUZI" localSheetId="56" hidden="1">#REF!</definedName>
    <definedName name="BExB58U5FQC5JWV9CGC83HLLZUZI" localSheetId="55" hidden="1">#REF!</definedName>
    <definedName name="BExB58U5FQC5JWV9CGC83HLLZUZI" localSheetId="4" hidden="1">#REF!</definedName>
    <definedName name="BExB58U5FQC5JWV9CGC83HLLZUZI" localSheetId="1" hidden="1">#REF!</definedName>
    <definedName name="BExB58U5FQC5JWV9CGC83HLLZUZI" localSheetId="9" hidden="1">#REF!</definedName>
    <definedName name="BExB58U5FQC5JWV9CGC83HLLZUZI" hidden="1">#REF!</definedName>
    <definedName name="BExB5EDO9XUKHF74X3HAU2WPPHZH" localSheetId="56" hidden="1">#REF!</definedName>
    <definedName name="BExB5EDO9XUKHF74X3HAU2WPPHZH" localSheetId="55" hidden="1">#REF!</definedName>
    <definedName name="BExB5EDO9XUKHF74X3HAU2WPPHZH" localSheetId="4" hidden="1">#REF!</definedName>
    <definedName name="BExB5EDO9XUKHF74X3HAU2WPPHZH" localSheetId="1" hidden="1">#REF!</definedName>
    <definedName name="BExB5EDO9XUKHF74X3HAU2WPPHZH" localSheetId="9" hidden="1">#REF!</definedName>
    <definedName name="BExB5EDO9XUKHF74X3HAU2WPPHZH" hidden="1">#REF!</definedName>
    <definedName name="BExB5EDOQKZIQXT13IG1KLCZ474G" localSheetId="56" hidden="1">#REF!</definedName>
    <definedName name="BExB5EDOQKZIQXT13IG1KLCZ474G" localSheetId="55" hidden="1">#REF!</definedName>
    <definedName name="BExB5EDOQKZIQXT13IG1KLCZ474G" localSheetId="4" hidden="1">#REF!</definedName>
    <definedName name="BExB5EDOQKZIQXT13IG1KLCZ474G" localSheetId="1" hidden="1">#REF!</definedName>
    <definedName name="BExB5EDOQKZIQXT13IG1KLCZ474G" localSheetId="9" hidden="1">#REF!</definedName>
    <definedName name="BExB5EDOQKZIQXT13IG1KLCZ474G" hidden="1">#REF!</definedName>
    <definedName name="BExB5G6EH68AYEP1UT0GHUEL3SLN" localSheetId="56" hidden="1">#REF!</definedName>
    <definedName name="BExB5G6EH68AYEP1UT0GHUEL3SLN" localSheetId="55" hidden="1">#REF!</definedName>
    <definedName name="BExB5G6EH68AYEP1UT0GHUEL3SLN" localSheetId="4" hidden="1">#REF!</definedName>
    <definedName name="BExB5G6EH68AYEP1UT0GHUEL3SLN" localSheetId="1" hidden="1">#REF!</definedName>
    <definedName name="BExB5G6EH68AYEP1UT0GHUEL3SLN" localSheetId="9" hidden="1">#REF!</definedName>
    <definedName name="BExB5G6EH68AYEP1UT0GHUEL3SLN" hidden="1">#REF!</definedName>
    <definedName name="BExB5LVGGXMNUN3D3452G3J62MKF" localSheetId="56" hidden="1">#REF!</definedName>
    <definedName name="BExB5LVGGXMNUN3D3452G3J62MKF" localSheetId="55" hidden="1">#REF!</definedName>
    <definedName name="BExB5LVGGXMNUN3D3452G3J62MKF" localSheetId="4" hidden="1">#REF!</definedName>
    <definedName name="BExB5LVGGXMNUN3D3452G3J62MKF" localSheetId="1" hidden="1">#REF!</definedName>
    <definedName name="BExB5LVGGXMNUN3D3452G3J62MKF" localSheetId="9" hidden="1">#REF!</definedName>
    <definedName name="BExB5LVGGXMNUN3D3452G3J62MKF" hidden="1">#REF!</definedName>
    <definedName name="BExB5QYVEZWFE5DQVHAM760EV05X" localSheetId="56" hidden="1">#REF!</definedName>
    <definedName name="BExB5QYVEZWFE5DQVHAM760EV05X" localSheetId="55" hidden="1">#REF!</definedName>
    <definedName name="BExB5QYVEZWFE5DQVHAM760EV05X" localSheetId="4" hidden="1">#REF!</definedName>
    <definedName name="BExB5QYVEZWFE5DQVHAM760EV05X" localSheetId="1" hidden="1">#REF!</definedName>
    <definedName name="BExB5QYVEZWFE5DQVHAM760EV05X" localSheetId="9" hidden="1">#REF!</definedName>
    <definedName name="BExB5QYVEZWFE5DQVHAM760EV05X" hidden="1">#REF!</definedName>
    <definedName name="BExB5U9IRH14EMOE0YGIE3WIVLFS" localSheetId="56" hidden="1">#REF!</definedName>
    <definedName name="BExB5U9IRH14EMOE0YGIE3WIVLFS" localSheetId="55" hidden="1">#REF!</definedName>
    <definedName name="BExB5U9IRH14EMOE0YGIE3WIVLFS" localSheetId="4" hidden="1">#REF!</definedName>
    <definedName name="BExB5U9IRH14EMOE0YGIE3WIVLFS" localSheetId="1" hidden="1">#REF!</definedName>
    <definedName name="BExB5U9IRH14EMOE0YGIE3WIVLFS" localSheetId="9" hidden="1">#REF!</definedName>
    <definedName name="BExB5U9IRH14EMOE0YGIE3WIVLFS" hidden="1">#REF!</definedName>
    <definedName name="BExB5V5WWQYPK4GCSYZQALJYGC94" localSheetId="56" hidden="1">#REF!</definedName>
    <definedName name="BExB5V5WWQYPK4GCSYZQALJYGC94" localSheetId="55" hidden="1">#REF!</definedName>
    <definedName name="BExB5V5WWQYPK4GCSYZQALJYGC94" localSheetId="4" hidden="1">#REF!</definedName>
    <definedName name="BExB5V5WWQYPK4GCSYZQALJYGC94" localSheetId="1" hidden="1">#REF!</definedName>
    <definedName name="BExB5V5WWQYPK4GCSYZQALJYGC94" localSheetId="9" hidden="1">#REF!</definedName>
    <definedName name="BExB5V5WWQYPK4GCSYZQALJYGC94" hidden="1">#REF!</definedName>
    <definedName name="BExB5VWYMOV6BAIH7XUBBVPU7MMD" localSheetId="56" hidden="1">#REF!</definedName>
    <definedName name="BExB5VWYMOV6BAIH7XUBBVPU7MMD" localSheetId="55" hidden="1">#REF!</definedName>
    <definedName name="BExB5VWYMOV6BAIH7XUBBVPU7MMD" localSheetId="4" hidden="1">#REF!</definedName>
    <definedName name="BExB5VWYMOV6BAIH7XUBBVPU7MMD" localSheetId="1" hidden="1">#REF!</definedName>
    <definedName name="BExB5VWYMOV6BAIH7XUBBVPU7MMD" localSheetId="9" hidden="1">#REF!</definedName>
    <definedName name="BExB5VWYMOV6BAIH7XUBBVPU7MMD" hidden="1">#REF!</definedName>
    <definedName name="BExB610DZWIJP1B72U9QM42COH2B" localSheetId="56" hidden="1">#REF!</definedName>
    <definedName name="BExB610DZWIJP1B72U9QM42COH2B" localSheetId="55" hidden="1">#REF!</definedName>
    <definedName name="BExB610DZWIJP1B72U9QM42COH2B" localSheetId="4" hidden="1">#REF!</definedName>
    <definedName name="BExB610DZWIJP1B72U9QM42COH2B" localSheetId="1" hidden="1">#REF!</definedName>
    <definedName name="BExB610DZWIJP1B72U9QM42COH2B" localSheetId="9" hidden="1">#REF!</definedName>
    <definedName name="BExB610DZWIJP1B72U9QM42COH2B" hidden="1">#REF!</definedName>
    <definedName name="BExB64AX81KEVMGZDXB25NB459SW" localSheetId="56" hidden="1">#REF!</definedName>
    <definedName name="BExB64AX81KEVMGZDXB25NB459SW" localSheetId="55" hidden="1">#REF!</definedName>
    <definedName name="BExB64AX81KEVMGZDXB25NB459SW" localSheetId="4" hidden="1">#REF!</definedName>
    <definedName name="BExB64AX81KEVMGZDXB25NB459SW" localSheetId="1" hidden="1">#REF!</definedName>
    <definedName name="BExB64AX81KEVMGZDXB25NB459SW" localSheetId="9" hidden="1">#REF!</definedName>
    <definedName name="BExB64AX81KEVMGZDXB25NB459SW" hidden="1">#REF!</definedName>
    <definedName name="BExB6C3FUAKK9ML5T767NMWGA9YB" localSheetId="56" hidden="1">#REF!</definedName>
    <definedName name="BExB6C3FUAKK9ML5T767NMWGA9YB" localSheetId="55" hidden="1">#REF!</definedName>
    <definedName name="BExB6C3FUAKK9ML5T767NMWGA9YB" localSheetId="4" hidden="1">#REF!</definedName>
    <definedName name="BExB6C3FUAKK9ML5T767NMWGA9YB" localSheetId="1" hidden="1">#REF!</definedName>
    <definedName name="BExB6C3FUAKK9ML5T767NMWGA9YB" localSheetId="9" hidden="1">#REF!</definedName>
    <definedName name="BExB6C3FUAKK9ML5T767NMWGA9YB" hidden="1">#REF!</definedName>
    <definedName name="BExB6C8X6JYRLKZKK17VE3QUNL3D" localSheetId="56" hidden="1">#REF!</definedName>
    <definedName name="BExB6C8X6JYRLKZKK17VE3QUNL3D" localSheetId="55" hidden="1">#REF!</definedName>
    <definedName name="BExB6C8X6JYRLKZKK17VE3QUNL3D" localSheetId="4" hidden="1">#REF!</definedName>
    <definedName name="BExB6C8X6JYRLKZKK17VE3QUNL3D" localSheetId="1" hidden="1">#REF!</definedName>
    <definedName name="BExB6C8X6JYRLKZKK17VE3QUNL3D" localSheetId="9" hidden="1">#REF!</definedName>
    <definedName name="BExB6C8X6JYRLKZKK17VE3QUNL3D" hidden="1">#REF!</definedName>
    <definedName name="BExB6HN3QRFPXM71MDUK21BKM7PF" localSheetId="56" hidden="1">#REF!</definedName>
    <definedName name="BExB6HN3QRFPXM71MDUK21BKM7PF" localSheetId="55" hidden="1">#REF!</definedName>
    <definedName name="BExB6HN3QRFPXM71MDUK21BKM7PF" localSheetId="4" hidden="1">#REF!</definedName>
    <definedName name="BExB6HN3QRFPXM71MDUK21BKM7PF" localSheetId="1" hidden="1">#REF!</definedName>
    <definedName name="BExB6HN3QRFPXM71MDUK21BKM7PF" localSheetId="9" hidden="1">#REF!</definedName>
    <definedName name="BExB6HN3QRFPXM71MDUK21BKM7PF" hidden="1">#REF!</definedName>
    <definedName name="BExB6I39SKL5BMHHDD9EED7FQD9Z" localSheetId="56" hidden="1">#REF!</definedName>
    <definedName name="BExB6I39SKL5BMHHDD9EED7FQD9Z" localSheetId="55" hidden="1">#REF!</definedName>
    <definedName name="BExB6I39SKL5BMHHDD9EED7FQD9Z" localSheetId="4" hidden="1">#REF!</definedName>
    <definedName name="BExB6I39SKL5BMHHDD9EED7FQD9Z" localSheetId="1" hidden="1">#REF!</definedName>
    <definedName name="BExB6I39SKL5BMHHDD9EED7FQD9Z" localSheetId="9" hidden="1">#REF!</definedName>
    <definedName name="BExB6I39SKL5BMHHDD9EED7FQD9Z" hidden="1">#REF!</definedName>
    <definedName name="BExB6IZMHCZ3LB7N73KD90YB1HBZ" localSheetId="56" hidden="1">#REF!</definedName>
    <definedName name="BExB6IZMHCZ3LB7N73KD90YB1HBZ" localSheetId="55" hidden="1">#REF!</definedName>
    <definedName name="BExB6IZMHCZ3LB7N73KD90YB1HBZ" localSheetId="4" hidden="1">#REF!</definedName>
    <definedName name="BExB6IZMHCZ3LB7N73KD90YB1HBZ" localSheetId="1" hidden="1">#REF!</definedName>
    <definedName name="BExB6IZMHCZ3LB7N73KD90YB1HBZ" localSheetId="9" hidden="1">#REF!</definedName>
    <definedName name="BExB6IZMHCZ3LB7N73KD90YB1HBZ" hidden="1">#REF!</definedName>
    <definedName name="BExB719SGNX4Y8NE6JEXC555K596" localSheetId="56" hidden="1">#REF!</definedName>
    <definedName name="BExB719SGNX4Y8NE6JEXC555K596" localSheetId="55" hidden="1">#REF!</definedName>
    <definedName name="BExB719SGNX4Y8NE6JEXC555K596" localSheetId="4" hidden="1">#REF!</definedName>
    <definedName name="BExB719SGNX4Y8NE6JEXC555K596" localSheetId="1" hidden="1">#REF!</definedName>
    <definedName name="BExB719SGNX4Y8NE6JEXC555K596" localSheetId="9" hidden="1">#REF!</definedName>
    <definedName name="BExB719SGNX4Y8NE6JEXC555K596" hidden="1">#REF!</definedName>
    <definedName name="BExB7265DCHKS7V2OWRBXCZTEIW9" localSheetId="56" hidden="1">#REF!</definedName>
    <definedName name="BExB7265DCHKS7V2OWRBXCZTEIW9" localSheetId="55" hidden="1">#REF!</definedName>
    <definedName name="BExB7265DCHKS7V2OWRBXCZTEIW9" localSheetId="4" hidden="1">#REF!</definedName>
    <definedName name="BExB7265DCHKS7V2OWRBXCZTEIW9" localSheetId="1" hidden="1">#REF!</definedName>
    <definedName name="BExB7265DCHKS7V2OWRBXCZTEIW9" localSheetId="9" hidden="1">#REF!</definedName>
    <definedName name="BExB7265DCHKS7V2OWRBXCZTEIW9" hidden="1">#REF!</definedName>
    <definedName name="BExB74PS5P9G0P09Y6DZSCX0FLTJ" localSheetId="56" hidden="1">#REF!</definedName>
    <definedName name="BExB74PS5P9G0P09Y6DZSCX0FLTJ" localSheetId="55" hidden="1">#REF!</definedName>
    <definedName name="BExB74PS5P9G0P09Y6DZSCX0FLTJ" localSheetId="4" hidden="1">#REF!</definedName>
    <definedName name="BExB74PS5P9G0P09Y6DZSCX0FLTJ" localSheetId="1" hidden="1">#REF!</definedName>
    <definedName name="BExB74PS5P9G0P09Y6DZSCX0FLTJ" localSheetId="9" hidden="1">#REF!</definedName>
    <definedName name="BExB74PS5P9G0P09Y6DZSCX0FLTJ" hidden="1">#REF!</definedName>
    <definedName name="BExB78RH79J0MIF7H8CAZ0CFE88Q" localSheetId="56" hidden="1">#REF!</definedName>
    <definedName name="BExB78RH79J0MIF7H8CAZ0CFE88Q" localSheetId="55" hidden="1">#REF!</definedName>
    <definedName name="BExB78RH79J0MIF7H8CAZ0CFE88Q" localSheetId="4" hidden="1">#REF!</definedName>
    <definedName name="BExB78RH79J0MIF7H8CAZ0CFE88Q" localSheetId="1" hidden="1">#REF!</definedName>
    <definedName name="BExB78RH79J0MIF7H8CAZ0CFE88Q" localSheetId="9" hidden="1">#REF!</definedName>
    <definedName name="BExB78RH79J0MIF7H8CAZ0CFE88Q" hidden="1">#REF!</definedName>
    <definedName name="BExB7ELT09HGDVO5BJC1ZY9D09GZ" localSheetId="56" hidden="1">#REF!</definedName>
    <definedName name="BExB7ELT09HGDVO5BJC1ZY9D09GZ" localSheetId="55" hidden="1">#REF!</definedName>
    <definedName name="BExB7ELT09HGDVO5BJC1ZY9D09GZ" localSheetId="4" hidden="1">#REF!</definedName>
    <definedName name="BExB7ELT09HGDVO5BJC1ZY9D09GZ" localSheetId="1" hidden="1">#REF!</definedName>
    <definedName name="BExB7ELT09HGDVO5BJC1ZY9D09GZ" localSheetId="9" hidden="1">#REF!</definedName>
    <definedName name="BExB7ELT09HGDVO5BJC1ZY9D09GZ" hidden="1">#REF!</definedName>
    <definedName name="BExB7F7EIHG0MYMQYUVG9HIZPHMZ" localSheetId="56" hidden="1">#REF!</definedName>
    <definedName name="BExB7F7EIHG0MYMQYUVG9HIZPHMZ" localSheetId="55" hidden="1">#REF!</definedName>
    <definedName name="BExB7F7EIHG0MYMQYUVG9HIZPHMZ" localSheetId="4" hidden="1">#REF!</definedName>
    <definedName name="BExB7F7EIHG0MYMQYUVG9HIZPHMZ" localSheetId="1" hidden="1">#REF!</definedName>
    <definedName name="BExB7F7EIHG0MYMQYUVG9HIZPHMZ" localSheetId="9" hidden="1">#REF!</definedName>
    <definedName name="BExB7F7EIHG0MYMQYUVG9HIZPHMZ" hidden="1">#REF!</definedName>
    <definedName name="BExB806PAXX70XUTA3ZI7OORD78R" localSheetId="56" hidden="1">#REF!</definedName>
    <definedName name="BExB806PAXX70XUTA3ZI7OORD78R" localSheetId="55" hidden="1">#REF!</definedName>
    <definedName name="BExB806PAXX70XUTA3ZI7OORD78R" localSheetId="4" hidden="1">#REF!</definedName>
    <definedName name="BExB806PAXX70XUTA3ZI7OORD78R" localSheetId="1" hidden="1">#REF!</definedName>
    <definedName name="BExB806PAXX70XUTA3ZI7OORD78R" localSheetId="9" hidden="1">#REF!</definedName>
    <definedName name="BExB806PAXX70XUTA3ZI7OORD78R" hidden="1">#REF!</definedName>
    <definedName name="BExB83199EQQS6I5HE7WADNCK8OE" localSheetId="56" hidden="1">#REF!</definedName>
    <definedName name="BExB83199EQQS6I5HE7WADNCK8OE" localSheetId="55" hidden="1">#REF!</definedName>
    <definedName name="BExB83199EQQS6I5HE7WADNCK8OE" localSheetId="4" hidden="1">#REF!</definedName>
    <definedName name="BExB83199EQQS6I5HE7WADNCK8OE" localSheetId="1" hidden="1">#REF!</definedName>
    <definedName name="BExB83199EQQS6I5HE7WADNCK8OE" localSheetId="9" hidden="1">#REF!</definedName>
    <definedName name="BExB83199EQQS6I5HE7WADNCK8OE" hidden="1">#REF!</definedName>
    <definedName name="BExB8HF4UBVZKQCSRFRUQL2EE6VL" localSheetId="56" hidden="1">#REF!</definedName>
    <definedName name="BExB8HF4UBVZKQCSRFRUQL2EE6VL" localSheetId="55" hidden="1">#REF!</definedName>
    <definedName name="BExB8HF4UBVZKQCSRFRUQL2EE6VL" localSheetId="4" hidden="1">#REF!</definedName>
    <definedName name="BExB8HF4UBVZKQCSRFRUQL2EE6VL" localSheetId="1" hidden="1">#REF!</definedName>
    <definedName name="BExB8HF4UBVZKQCSRFRUQL2EE6VL" localSheetId="9" hidden="1">#REF!</definedName>
    <definedName name="BExB8HF4UBVZKQCSRFRUQL2EE6VL" hidden="1">#REF!</definedName>
    <definedName name="BExB8HKHKZ1ORJZUYGG2M4VSCC39" localSheetId="56" hidden="1">#REF!</definedName>
    <definedName name="BExB8HKHKZ1ORJZUYGG2M4VSCC39" localSheetId="55" hidden="1">#REF!</definedName>
    <definedName name="BExB8HKHKZ1ORJZUYGG2M4VSCC39" localSheetId="4" hidden="1">#REF!</definedName>
    <definedName name="BExB8HKHKZ1ORJZUYGG2M4VSCC39" localSheetId="1" hidden="1">#REF!</definedName>
    <definedName name="BExB8HKHKZ1ORJZUYGG2M4VSCC39" localSheetId="9" hidden="1">#REF!</definedName>
    <definedName name="BExB8HKHKZ1ORJZUYGG2M4VSCC39" hidden="1">#REF!</definedName>
    <definedName name="BExB8HV9YUS1Q77M9SNFRKDLU5HS" localSheetId="56" hidden="1">#REF!</definedName>
    <definedName name="BExB8HV9YUS1Q77M9SNFRKDLU5HS" localSheetId="55" hidden="1">#REF!</definedName>
    <definedName name="BExB8HV9YUS1Q77M9SNFRKDLU5HS" localSheetId="4" hidden="1">#REF!</definedName>
    <definedName name="BExB8HV9YUS1Q77M9SNFRKDLU5HS" localSheetId="1" hidden="1">#REF!</definedName>
    <definedName name="BExB8HV9YUS1Q77M9SNFRKDLU5HS" localSheetId="9" hidden="1">#REF!</definedName>
    <definedName name="BExB8HV9YUS1Q77M9SNFRKDLU5HS" hidden="1">#REF!</definedName>
    <definedName name="BExB8QPH8DC5BESEVPSMBCWVN6PO" localSheetId="56" hidden="1">#REF!</definedName>
    <definedName name="BExB8QPH8DC5BESEVPSMBCWVN6PO" localSheetId="55" hidden="1">#REF!</definedName>
    <definedName name="BExB8QPH8DC5BESEVPSMBCWVN6PO" localSheetId="4" hidden="1">#REF!</definedName>
    <definedName name="BExB8QPH8DC5BESEVPSMBCWVN6PO" localSheetId="1" hidden="1">#REF!</definedName>
    <definedName name="BExB8QPH8DC5BESEVPSMBCWVN6PO" localSheetId="9" hidden="1">#REF!</definedName>
    <definedName name="BExB8QPH8DC5BESEVPSMBCWVN6PO" hidden="1">#REF!</definedName>
    <definedName name="BExB8U5N0D85YR8APKN3PPKG0FWP" localSheetId="56" hidden="1">#REF!</definedName>
    <definedName name="BExB8U5N0D85YR8APKN3PPKG0FWP" localSheetId="55" hidden="1">#REF!</definedName>
    <definedName name="BExB8U5N0D85YR8APKN3PPKG0FWP" localSheetId="4" hidden="1">#REF!</definedName>
    <definedName name="BExB8U5N0D85YR8APKN3PPKG0FWP" localSheetId="1" hidden="1">#REF!</definedName>
    <definedName name="BExB8U5N0D85YR8APKN3PPKG0FWP" localSheetId="9" hidden="1">#REF!</definedName>
    <definedName name="BExB8U5N0D85YR8APKN3PPKG0FWP" hidden="1">#REF!</definedName>
    <definedName name="BExB93G413CK5DKO7925ZHSOBGIN" localSheetId="56" hidden="1">#REF!</definedName>
    <definedName name="BExB93G413CK5DKO7925ZHSOBGIN" localSheetId="55" hidden="1">#REF!</definedName>
    <definedName name="BExB93G413CK5DKO7925ZHSOBGIN" localSheetId="4" hidden="1">#REF!</definedName>
    <definedName name="BExB93G413CK5DKO7925ZHSOBGIN" localSheetId="1" hidden="1">#REF!</definedName>
    <definedName name="BExB93G413CK5DKO7925ZHSOBGIN" localSheetId="9" hidden="1">#REF!</definedName>
    <definedName name="BExB93G413CK5DKO7925ZHSOBGIN" hidden="1">#REF!</definedName>
    <definedName name="BExB96LBXL1JW5A4PP93UJ9UDLKZ" localSheetId="56" hidden="1">#REF!</definedName>
    <definedName name="BExB96LBXL1JW5A4PP93UJ9UDLKZ" localSheetId="55" hidden="1">#REF!</definedName>
    <definedName name="BExB96LBXL1JW5A4PP93UJ9UDLKZ" localSheetId="4" hidden="1">#REF!</definedName>
    <definedName name="BExB96LBXL1JW5A4PP93UJ9UDLKZ" localSheetId="1" hidden="1">#REF!</definedName>
    <definedName name="BExB96LBXL1JW5A4PP93UJ9UDLKZ" localSheetId="9" hidden="1">#REF!</definedName>
    <definedName name="BExB96LBXL1JW5A4PP93UJ9UDLKZ" hidden="1">#REF!</definedName>
    <definedName name="BExB9DHI5I2TJ2LXYPM98EE81L27" localSheetId="56" hidden="1">#REF!</definedName>
    <definedName name="BExB9DHI5I2TJ2LXYPM98EE81L27" localSheetId="55" hidden="1">#REF!</definedName>
    <definedName name="BExB9DHI5I2TJ2LXYPM98EE81L27" localSheetId="4" hidden="1">#REF!</definedName>
    <definedName name="BExB9DHI5I2TJ2LXYPM98EE81L27" localSheetId="1" hidden="1">#REF!</definedName>
    <definedName name="BExB9DHI5I2TJ2LXYPM98EE81L27" localSheetId="9" hidden="1">#REF!</definedName>
    <definedName name="BExB9DHI5I2TJ2LXYPM98EE81L27" hidden="1">#REF!</definedName>
    <definedName name="BExB9G6LZG5OQUY0GZLHX066V3D4" localSheetId="56" hidden="1">#REF!</definedName>
    <definedName name="BExB9G6LZG5OQUY0GZLHX066V3D4" localSheetId="55" hidden="1">#REF!</definedName>
    <definedName name="BExB9G6LZG5OQUY0GZLHX066V3D4" localSheetId="4" hidden="1">#REF!</definedName>
    <definedName name="BExB9G6LZG5OQUY0GZLHX066V3D4" localSheetId="1" hidden="1">#REF!</definedName>
    <definedName name="BExB9G6LZG5OQUY0GZLHX066V3D4" localSheetId="9" hidden="1">#REF!</definedName>
    <definedName name="BExB9G6LZG5OQUY0GZLHX066V3D4" hidden="1">#REF!</definedName>
    <definedName name="BExB9IFG9FW3RQUDIMDFKIYDB4HE" localSheetId="56" hidden="1">#REF!</definedName>
    <definedName name="BExB9IFG9FW3RQUDIMDFKIYDB4HE" localSheetId="55" hidden="1">#REF!</definedName>
    <definedName name="BExB9IFG9FW3RQUDIMDFKIYDB4HE" localSheetId="4" hidden="1">#REF!</definedName>
    <definedName name="BExB9IFG9FW3RQUDIMDFKIYDB4HE" localSheetId="1" hidden="1">#REF!</definedName>
    <definedName name="BExB9IFG9FW3RQUDIMDFKIYDB4HE" localSheetId="9" hidden="1">#REF!</definedName>
    <definedName name="BExB9IFG9FW3RQUDIMDFKIYDB4HE" hidden="1">#REF!</definedName>
    <definedName name="BExB9NDIZ7LGMTL8351GRA6VK2K0" localSheetId="56" hidden="1">#REF!</definedName>
    <definedName name="BExB9NDIZ7LGMTL8351GRA6VK2K0" localSheetId="55" hidden="1">#REF!</definedName>
    <definedName name="BExB9NDIZ7LGMTL8351GRA6VK2K0" localSheetId="4" hidden="1">#REF!</definedName>
    <definedName name="BExB9NDIZ7LGMTL8351GRA6VK2K0" localSheetId="1" hidden="1">#REF!</definedName>
    <definedName name="BExB9NDIZ7LGMTL8351GRA6VK2K0" localSheetId="9" hidden="1">#REF!</definedName>
    <definedName name="BExB9NDIZ7LGMTL8351GRA6VK2K0" hidden="1">#REF!</definedName>
    <definedName name="BExB9Q2MZZHBGW8QQKVEYIMJBPIE" localSheetId="56" hidden="1">#REF!</definedName>
    <definedName name="BExB9Q2MZZHBGW8QQKVEYIMJBPIE" localSheetId="55" hidden="1">#REF!</definedName>
    <definedName name="BExB9Q2MZZHBGW8QQKVEYIMJBPIE" localSheetId="4" hidden="1">#REF!</definedName>
    <definedName name="BExB9Q2MZZHBGW8QQKVEYIMJBPIE" localSheetId="1" hidden="1">#REF!</definedName>
    <definedName name="BExB9Q2MZZHBGW8QQKVEYIMJBPIE" localSheetId="9" hidden="1">#REF!</definedName>
    <definedName name="BExB9Q2MZZHBGW8QQKVEYIMJBPIE" hidden="1">#REF!</definedName>
    <definedName name="BExBA1GON0EZRJ20UYPILAPLNQWM" localSheetId="56" hidden="1">#REF!</definedName>
    <definedName name="BExBA1GON0EZRJ20UYPILAPLNQWM" localSheetId="55" hidden="1">#REF!</definedName>
    <definedName name="BExBA1GON0EZRJ20UYPILAPLNQWM" localSheetId="4" hidden="1">#REF!</definedName>
    <definedName name="BExBA1GON0EZRJ20UYPILAPLNQWM" localSheetId="1" hidden="1">#REF!</definedName>
    <definedName name="BExBA1GON0EZRJ20UYPILAPLNQWM" localSheetId="9" hidden="1">#REF!</definedName>
    <definedName name="BExBA1GON0EZRJ20UYPILAPLNQWM" hidden="1">#REF!</definedName>
    <definedName name="BExBA525BALJ5HMTDMMSM5WWJ1YW" localSheetId="56" hidden="1">#REF!</definedName>
    <definedName name="BExBA525BALJ5HMTDMMSM5WWJ1YW" localSheetId="55" hidden="1">#REF!</definedName>
    <definedName name="BExBA525BALJ5HMTDMMSM5WWJ1YW" localSheetId="4" hidden="1">#REF!</definedName>
    <definedName name="BExBA525BALJ5HMTDMMSM5WWJ1YW" localSheetId="1" hidden="1">#REF!</definedName>
    <definedName name="BExBA525BALJ5HMTDMMSM5WWJ1YW" localSheetId="9" hidden="1">#REF!</definedName>
    <definedName name="BExBA525BALJ5HMTDMMSM5WWJ1YW" hidden="1">#REF!</definedName>
    <definedName name="BExBA69ASGYRZW1G1DYIS9QRRTBN" localSheetId="56" hidden="1">#REF!</definedName>
    <definedName name="BExBA69ASGYRZW1G1DYIS9QRRTBN" localSheetId="55" hidden="1">#REF!</definedName>
    <definedName name="BExBA69ASGYRZW1G1DYIS9QRRTBN" localSheetId="4" hidden="1">#REF!</definedName>
    <definedName name="BExBA69ASGYRZW1G1DYIS9QRRTBN" localSheetId="1" hidden="1">#REF!</definedName>
    <definedName name="BExBA69ASGYRZW1G1DYIS9QRRTBN" localSheetId="9" hidden="1">#REF!</definedName>
    <definedName name="BExBA69ASGYRZW1G1DYIS9QRRTBN" hidden="1">#REF!</definedName>
    <definedName name="BExBA6K42582A14WFFWQ3Q8QQWB6" localSheetId="56" hidden="1">#REF!</definedName>
    <definedName name="BExBA6K42582A14WFFWQ3Q8QQWB6" localSheetId="55" hidden="1">#REF!</definedName>
    <definedName name="BExBA6K42582A14WFFWQ3Q8QQWB6" localSheetId="4" hidden="1">#REF!</definedName>
    <definedName name="BExBA6K42582A14WFFWQ3Q8QQWB6" localSheetId="1" hidden="1">#REF!</definedName>
    <definedName name="BExBA6K42582A14WFFWQ3Q8QQWB6" localSheetId="9" hidden="1">#REF!</definedName>
    <definedName name="BExBA6K42582A14WFFWQ3Q8QQWB6" hidden="1">#REF!</definedName>
    <definedName name="BExBA8I5D4R8R2PYQ1K16TWGTOEP" localSheetId="56" hidden="1">#REF!</definedName>
    <definedName name="BExBA8I5D4R8R2PYQ1K16TWGTOEP" localSheetId="55" hidden="1">#REF!</definedName>
    <definedName name="BExBA8I5D4R8R2PYQ1K16TWGTOEP" localSheetId="4" hidden="1">#REF!</definedName>
    <definedName name="BExBA8I5D4R8R2PYQ1K16TWGTOEP" localSheetId="1" hidden="1">#REF!</definedName>
    <definedName name="BExBA8I5D4R8R2PYQ1K16TWGTOEP" localSheetId="9" hidden="1">#REF!</definedName>
    <definedName name="BExBA8I5D4R8R2PYQ1K16TWGTOEP" hidden="1">#REF!</definedName>
    <definedName name="BExBA93PE0DGUUTA7LLSIGBIXWE5" localSheetId="56" hidden="1">#REF!</definedName>
    <definedName name="BExBA93PE0DGUUTA7LLSIGBIXWE5" localSheetId="55" hidden="1">#REF!</definedName>
    <definedName name="BExBA93PE0DGUUTA7LLSIGBIXWE5" localSheetId="4" hidden="1">#REF!</definedName>
    <definedName name="BExBA93PE0DGUUTA7LLSIGBIXWE5" localSheetId="1" hidden="1">#REF!</definedName>
    <definedName name="BExBA93PE0DGUUTA7LLSIGBIXWE5" localSheetId="9" hidden="1">#REF!</definedName>
    <definedName name="BExBA93PE0DGUUTA7LLSIGBIXWE5" hidden="1">#REF!</definedName>
    <definedName name="BExBABCQMR685CQ1SC8CECO7GTGB" localSheetId="56" hidden="1">#REF!</definedName>
    <definedName name="BExBABCQMR685CQ1SC8CECO7GTGB" localSheetId="55" hidden="1">#REF!</definedName>
    <definedName name="BExBABCQMR685CQ1SC8CECO7GTGB" localSheetId="4" hidden="1">#REF!</definedName>
    <definedName name="BExBABCQMR685CQ1SC8CECO7GTGB" localSheetId="1" hidden="1">#REF!</definedName>
    <definedName name="BExBABCQMR685CQ1SC8CECO7GTGB" localSheetId="9" hidden="1">#REF!</definedName>
    <definedName name="BExBABCQMR685CQ1SC8CECO7GTGB" hidden="1">#REF!</definedName>
    <definedName name="BExBAI8X0FKDQJ6YZJQDTTG4ZCWY" localSheetId="56" hidden="1">#REF!</definedName>
    <definedName name="BExBAI8X0FKDQJ6YZJQDTTG4ZCWY" localSheetId="55" hidden="1">#REF!</definedName>
    <definedName name="BExBAI8X0FKDQJ6YZJQDTTG4ZCWY" localSheetId="4" hidden="1">#REF!</definedName>
    <definedName name="BExBAI8X0FKDQJ6YZJQDTTG4ZCWY" localSheetId="1" hidden="1">#REF!</definedName>
    <definedName name="BExBAI8X0FKDQJ6YZJQDTTG4ZCWY" localSheetId="9" hidden="1">#REF!</definedName>
    <definedName name="BExBAI8X0FKDQJ6YZJQDTTG4ZCWY" hidden="1">#REF!</definedName>
    <definedName name="BExBAKN7XIBAXCF9PCNVS038PCQO" localSheetId="56" hidden="1">#REF!</definedName>
    <definedName name="BExBAKN7XIBAXCF9PCNVS038PCQO" localSheetId="55" hidden="1">#REF!</definedName>
    <definedName name="BExBAKN7XIBAXCF9PCNVS038PCQO" localSheetId="4" hidden="1">#REF!</definedName>
    <definedName name="BExBAKN7XIBAXCF9PCNVS038PCQO" localSheetId="1" hidden="1">#REF!</definedName>
    <definedName name="BExBAKN7XIBAXCF9PCNVS038PCQO" localSheetId="9" hidden="1">#REF!</definedName>
    <definedName name="BExBAKN7XIBAXCF9PCNVS038PCQO" hidden="1">#REF!</definedName>
    <definedName name="BExBAKXZ7PBW3DDKKA5MWC1ZUC7O" localSheetId="56" hidden="1">#REF!</definedName>
    <definedName name="BExBAKXZ7PBW3DDKKA5MWC1ZUC7O" localSheetId="55" hidden="1">#REF!</definedName>
    <definedName name="BExBAKXZ7PBW3DDKKA5MWC1ZUC7O" localSheetId="4" hidden="1">#REF!</definedName>
    <definedName name="BExBAKXZ7PBW3DDKKA5MWC1ZUC7O" localSheetId="1" hidden="1">#REF!</definedName>
    <definedName name="BExBAKXZ7PBW3DDKKA5MWC1ZUC7O" localSheetId="9" hidden="1">#REF!</definedName>
    <definedName name="BExBAKXZ7PBW3DDKKA5MWC1ZUC7O" hidden="1">#REF!</definedName>
    <definedName name="BExBAO8NLXZXHO6KCIECSFCH3RR0" localSheetId="56" hidden="1">#REF!</definedName>
    <definedName name="BExBAO8NLXZXHO6KCIECSFCH3RR0" localSheetId="55" hidden="1">#REF!</definedName>
    <definedName name="BExBAO8NLXZXHO6KCIECSFCH3RR0" localSheetId="4" hidden="1">#REF!</definedName>
    <definedName name="BExBAO8NLXZXHO6KCIECSFCH3RR0" localSheetId="1" hidden="1">#REF!</definedName>
    <definedName name="BExBAO8NLXZXHO6KCIECSFCH3RR0" localSheetId="9" hidden="1">#REF!</definedName>
    <definedName name="BExBAO8NLXZXHO6KCIECSFCH3RR0" hidden="1">#REF!</definedName>
    <definedName name="BExBAOOT1KBSIEISN1ADL4RMY879" localSheetId="56" hidden="1">#REF!</definedName>
    <definedName name="BExBAOOT1KBSIEISN1ADL4RMY879" localSheetId="55" hidden="1">#REF!</definedName>
    <definedName name="BExBAOOT1KBSIEISN1ADL4RMY879" localSheetId="4" hidden="1">#REF!</definedName>
    <definedName name="BExBAOOT1KBSIEISN1ADL4RMY879" localSheetId="1" hidden="1">#REF!</definedName>
    <definedName name="BExBAOOT1KBSIEISN1ADL4RMY879" localSheetId="9" hidden="1">#REF!</definedName>
    <definedName name="BExBAOOT1KBSIEISN1ADL4RMY879" hidden="1">#REF!</definedName>
    <definedName name="BExBAVKX8Q09370X1GCZWJ4E91YJ" localSheetId="56" hidden="1">#REF!</definedName>
    <definedName name="BExBAVKX8Q09370X1GCZWJ4E91YJ" localSheetId="55" hidden="1">#REF!</definedName>
    <definedName name="BExBAVKX8Q09370X1GCZWJ4E91YJ" localSheetId="4" hidden="1">#REF!</definedName>
    <definedName name="BExBAVKX8Q09370X1GCZWJ4E91YJ" localSheetId="1" hidden="1">#REF!</definedName>
    <definedName name="BExBAVKX8Q09370X1GCZWJ4E91YJ" localSheetId="9" hidden="1">#REF!</definedName>
    <definedName name="BExBAVKX8Q09370X1GCZWJ4E91YJ" hidden="1">#REF!</definedName>
    <definedName name="BExBAX2X2ENJYO4QTR5VAIQ86L7B" localSheetId="56" hidden="1">#REF!</definedName>
    <definedName name="BExBAX2X2ENJYO4QTR5VAIQ86L7B" localSheetId="55" hidden="1">#REF!</definedName>
    <definedName name="BExBAX2X2ENJYO4QTR5VAIQ86L7B" localSheetId="4" hidden="1">#REF!</definedName>
    <definedName name="BExBAX2X2ENJYO4QTR5VAIQ86L7B" localSheetId="1" hidden="1">#REF!</definedName>
    <definedName name="BExBAX2X2ENJYO4QTR5VAIQ86L7B" localSheetId="9" hidden="1">#REF!</definedName>
    <definedName name="BExBAX2X2ENJYO4QTR5VAIQ86L7B" hidden="1">#REF!</definedName>
    <definedName name="BExBAZ13D3F1DVJQ6YJ8JGUYEYJE" localSheetId="56" hidden="1">#REF!</definedName>
    <definedName name="BExBAZ13D3F1DVJQ6YJ8JGUYEYJE" localSheetId="55" hidden="1">#REF!</definedName>
    <definedName name="BExBAZ13D3F1DVJQ6YJ8JGUYEYJE" localSheetId="4" hidden="1">#REF!</definedName>
    <definedName name="BExBAZ13D3F1DVJQ6YJ8JGUYEYJE" localSheetId="1" hidden="1">#REF!</definedName>
    <definedName name="BExBAZ13D3F1DVJQ6YJ8JGUYEYJE" localSheetId="9" hidden="1">#REF!</definedName>
    <definedName name="BExBAZ13D3F1DVJQ6YJ8JGUYEYJE" hidden="1">#REF!</definedName>
    <definedName name="BExBBMPCB1QOZY8WWEX4J21JDE6U" localSheetId="56" hidden="1">#REF!</definedName>
    <definedName name="BExBBMPCB1QOZY8WWEX4J21JDE6U" localSheetId="55" hidden="1">#REF!</definedName>
    <definedName name="BExBBMPCB1QOZY8WWEX4J21JDE6U" localSheetId="4" hidden="1">#REF!</definedName>
    <definedName name="BExBBMPCB1QOZY8WWEX4J21JDE6U" localSheetId="1" hidden="1">#REF!</definedName>
    <definedName name="BExBBMPCB1QOZY8WWEX4J21JDE6U" localSheetId="9" hidden="1">#REF!</definedName>
    <definedName name="BExBBMPCB1QOZY8WWEX4J21JDE6U" hidden="1">#REF!</definedName>
    <definedName name="BExBBU1QQWUE0YFG7O1TN0RFLSSG" localSheetId="56" hidden="1">#REF!</definedName>
    <definedName name="BExBBU1QQWUE0YFG7O1TN0RFLSSG" localSheetId="55" hidden="1">#REF!</definedName>
    <definedName name="BExBBU1QQWUE0YFG7O1TN0RFLSSG" localSheetId="4" hidden="1">#REF!</definedName>
    <definedName name="BExBBU1QQWUE0YFG7O1TN0RFLSSG" localSheetId="1" hidden="1">#REF!</definedName>
    <definedName name="BExBBU1QQWUE0YFG7O1TN0RFLSSG" localSheetId="9" hidden="1">#REF!</definedName>
    <definedName name="BExBBU1QQWUE0YFG7O1TN0RFLSSG" hidden="1">#REF!</definedName>
    <definedName name="BExBBUCJQRR74Q7GPWDEZXYK2KJL" localSheetId="56" hidden="1">#REF!</definedName>
    <definedName name="BExBBUCJQRR74Q7GPWDEZXYK2KJL" localSheetId="55" hidden="1">#REF!</definedName>
    <definedName name="BExBBUCJQRR74Q7GPWDEZXYK2KJL" localSheetId="4" hidden="1">#REF!</definedName>
    <definedName name="BExBBUCJQRR74Q7GPWDEZXYK2KJL" localSheetId="1" hidden="1">#REF!</definedName>
    <definedName name="BExBBUCJQRR74Q7GPWDEZXYK2KJL" localSheetId="9" hidden="1">#REF!</definedName>
    <definedName name="BExBBUCJQRR74Q7GPWDEZXYK2KJL" hidden="1">#REF!</definedName>
    <definedName name="BExBBV8XVMD9CKZY711T0BN7H3PM" localSheetId="56" hidden="1">#REF!</definedName>
    <definedName name="BExBBV8XVMD9CKZY711T0BN7H3PM" localSheetId="55" hidden="1">#REF!</definedName>
    <definedName name="BExBBV8XVMD9CKZY711T0BN7H3PM" localSheetId="4" hidden="1">#REF!</definedName>
    <definedName name="BExBBV8XVMD9CKZY711T0BN7H3PM" localSheetId="1" hidden="1">#REF!</definedName>
    <definedName name="BExBBV8XVMD9CKZY711T0BN7H3PM" localSheetId="9" hidden="1">#REF!</definedName>
    <definedName name="BExBBV8XVMD9CKZY711T0BN7H3PM" hidden="1">#REF!</definedName>
    <definedName name="BExBC78HXWXHO3XAB6E8NVTBGLJS" localSheetId="56" hidden="1">#REF!</definedName>
    <definedName name="BExBC78HXWXHO3XAB6E8NVTBGLJS" localSheetId="55" hidden="1">#REF!</definedName>
    <definedName name="BExBC78HXWXHO3XAB6E8NVTBGLJS" localSheetId="4" hidden="1">#REF!</definedName>
    <definedName name="BExBC78HXWXHO3XAB6E8NVTBGLJS" localSheetId="1" hidden="1">#REF!</definedName>
    <definedName name="BExBC78HXWXHO3XAB6E8NVTBGLJS" localSheetId="9" hidden="1">#REF!</definedName>
    <definedName name="BExBC78HXWXHO3XAB6E8NVTBGLJS" hidden="1">#REF!</definedName>
    <definedName name="BExBCFH3SMGZ2IPHFB6BCM9O3W0H" localSheetId="56" hidden="1">#REF!</definedName>
    <definedName name="BExBCFH3SMGZ2IPHFB6BCM9O3W0H" localSheetId="55" hidden="1">#REF!</definedName>
    <definedName name="BExBCFH3SMGZ2IPHFB6BCM9O3W0H" localSheetId="4" hidden="1">#REF!</definedName>
    <definedName name="BExBCFH3SMGZ2IPHFB6BCM9O3W0H" localSheetId="1" hidden="1">#REF!</definedName>
    <definedName name="BExBCFH3SMGZ2IPHFB6BCM9O3W0H" localSheetId="9" hidden="1">#REF!</definedName>
    <definedName name="BExBCFH3SMGZ2IPHFB6BCM9O3W0H" hidden="1">#REF!</definedName>
    <definedName name="BExBCK9SCAABKOT9IP6TEPRR7YDT" localSheetId="56" hidden="1">#REF!</definedName>
    <definedName name="BExBCK9SCAABKOT9IP6TEPRR7YDT" localSheetId="55" hidden="1">#REF!</definedName>
    <definedName name="BExBCK9SCAABKOT9IP6TEPRR7YDT" localSheetId="4" hidden="1">#REF!</definedName>
    <definedName name="BExBCK9SCAABKOT9IP6TEPRR7YDT" localSheetId="1" hidden="1">#REF!</definedName>
    <definedName name="BExBCK9SCAABKOT9IP6TEPRR7YDT" localSheetId="9" hidden="1">#REF!</definedName>
    <definedName name="BExBCK9SCAABKOT9IP6TEPRR7YDT" hidden="1">#REF!</definedName>
    <definedName name="BExBCKKJTIRKC1RZJRTK65HHLX4W" localSheetId="56" hidden="1">#REF!</definedName>
    <definedName name="BExBCKKJTIRKC1RZJRTK65HHLX4W" localSheetId="55" hidden="1">#REF!</definedName>
    <definedName name="BExBCKKJTIRKC1RZJRTK65HHLX4W" localSheetId="4" hidden="1">#REF!</definedName>
    <definedName name="BExBCKKJTIRKC1RZJRTK65HHLX4W" localSheetId="1" hidden="1">#REF!</definedName>
    <definedName name="BExBCKKJTIRKC1RZJRTK65HHLX4W" localSheetId="9" hidden="1">#REF!</definedName>
    <definedName name="BExBCKKJTIRKC1RZJRTK65HHLX4W" hidden="1">#REF!</definedName>
    <definedName name="BExBCLMEPAN3XXX174TU8SS0627Q" localSheetId="56" hidden="1">#REF!</definedName>
    <definedName name="BExBCLMEPAN3XXX174TU8SS0627Q" localSheetId="55" hidden="1">#REF!</definedName>
    <definedName name="BExBCLMEPAN3XXX174TU8SS0627Q" localSheetId="4" hidden="1">#REF!</definedName>
    <definedName name="BExBCLMEPAN3XXX174TU8SS0627Q" localSheetId="1" hidden="1">#REF!</definedName>
    <definedName name="BExBCLMEPAN3XXX174TU8SS0627Q" localSheetId="9" hidden="1">#REF!</definedName>
    <definedName name="BExBCLMEPAN3XXX174TU8SS0627Q" hidden="1">#REF!</definedName>
    <definedName name="BExBCRBEYR2KZ8FAQFZ2NHY13WIY" localSheetId="56" hidden="1">#REF!</definedName>
    <definedName name="BExBCRBEYR2KZ8FAQFZ2NHY13WIY" localSheetId="55" hidden="1">#REF!</definedName>
    <definedName name="BExBCRBEYR2KZ8FAQFZ2NHY13WIY" localSheetId="4" hidden="1">#REF!</definedName>
    <definedName name="BExBCRBEYR2KZ8FAQFZ2NHY13WIY" localSheetId="1" hidden="1">#REF!</definedName>
    <definedName name="BExBCRBEYR2KZ8FAQFZ2NHY13WIY" localSheetId="9" hidden="1">#REF!</definedName>
    <definedName name="BExBCRBEYR2KZ8FAQFZ2NHY13WIY" hidden="1">#REF!</definedName>
    <definedName name="BExBD4I559NXSV6J07Q343TKYMVJ" localSheetId="56" hidden="1">#REF!</definedName>
    <definedName name="BExBD4I559NXSV6J07Q343TKYMVJ" localSheetId="55" hidden="1">#REF!</definedName>
    <definedName name="BExBD4I559NXSV6J07Q343TKYMVJ" localSheetId="4" hidden="1">#REF!</definedName>
    <definedName name="BExBD4I559NXSV6J07Q343TKYMVJ" localSheetId="1" hidden="1">#REF!</definedName>
    <definedName name="BExBD4I559NXSV6J07Q343TKYMVJ" localSheetId="9" hidden="1">#REF!</definedName>
    <definedName name="BExBD4I559NXSV6J07Q343TKYMVJ" hidden="1">#REF!</definedName>
    <definedName name="BExBD9W8C0W9N6L1AFL18JP4H94W" localSheetId="56" hidden="1">#REF!</definedName>
    <definedName name="BExBD9W8C0W9N6L1AFL18JP4H94W" localSheetId="55" hidden="1">#REF!</definedName>
    <definedName name="BExBD9W8C0W9N6L1AFL18JP4H94W" localSheetId="4" hidden="1">#REF!</definedName>
    <definedName name="BExBD9W8C0W9N6L1AFL18JP4H94W" localSheetId="1" hidden="1">#REF!</definedName>
    <definedName name="BExBD9W8C0W9N6L1AFL18JP4H94W" localSheetId="9" hidden="1">#REF!</definedName>
    <definedName name="BExBD9W8C0W9N6L1AFL18JP4H94W" hidden="1">#REF!</definedName>
    <definedName name="BExBDBZQLTX3OGFYGULQFK5WEZU5" localSheetId="56" hidden="1">#REF!</definedName>
    <definedName name="BExBDBZQLTX3OGFYGULQFK5WEZU5" localSheetId="55" hidden="1">#REF!</definedName>
    <definedName name="BExBDBZQLTX3OGFYGULQFK5WEZU5" localSheetId="4" hidden="1">#REF!</definedName>
    <definedName name="BExBDBZQLTX3OGFYGULQFK5WEZU5" localSheetId="1" hidden="1">#REF!</definedName>
    <definedName name="BExBDBZQLTX3OGFYGULQFK5WEZU5" localSheetId="9" hidden="1">#REF!</definedName>
    <definedName name="BExBDBZQLTX3OGFYGULQFK5WEZU5" hidden="1">#REF!</definedName>
    <definedName name="BExBDJS9TUEU8Z84IV59E5V4T8K6" localSheetId="56" hidden="1">#REF!</definedName>
    <definedName name="BExBDJS9TUEU8Z84IV59E5V4T8K6" localSheetId="55" hidden="1">#REF!</definedName>
    <definedName name="BExBDJS9TUEU8Z84IV59E5V4T8K6" localSheetId="4" hidden="1">#REF!</definedName>
    <definedName name="BExBDJS9TUEU8Z84IV59E5V4T8K6" localSheetId="1" hidden="1">#REF!</definedName>
    <definedName name="BExBDJS9TUEU8Z84IV59E5V4T8K6" localSheetId="9" hidden="1">#REF!</definedName>
    <definedName name="BExBDJS9TUEU8Z84IV59E5V4T8K6" hidden="1">#REF!</definedName>
    <definedName name="BExBDKOMSVH4XMH52CFJ3F028I9R" localSheetId="56" hidden="1">#REF!</definedName>
    <definedName name="BExBDKOMSVH4XMH52CFJ3F028I9R" localSheetId="55" hidden="1">#REF!</definedName>
    <definedName name="BExBDKOMSVH4XMH52CFJ3F028I9R" localSheetId="4" hidden="1">#REF!</definedName>
    <definedName name="BExBDKOMSVH4XMH52CFJ3F028I9R" localSheetId="1" hidden="1">#REF!</definedName>
    <definedName name="BExBDKOMSVH4XMH52CFJ3F028I9R" localSheetId="9" hidden="1">#REF!</definedName>
    <definedName name="BExBDKOMSVH4XMH52CFJ3F028I9R" hidden="1">#REF!</definedName>
    <definedName name="BExBDSRXVZQ0W5WXQMP5XD00GRRL" localSheetId="56" hidden="1">#REF!</definedName>
    <definedName name="BExBDSRXVZQ0W5WXQMP5XD00GRRL" localSheetId="55" hidden="1">#REF!</definedName>
    <definedName name="BExBDSRXVZQ0W5WXQMP5XD00GRRL" localSheetId="4" hidden="1">#REF!</definedName>
    <definedName name="BExBDSRXVZQ0W5WXQMP5XD00GRRL" localSheetId="1" hidden="1">#REF!</definedName>
    <definedName name="BExBDSRXVZQ0W5WXQMP5XD00GRRL" localSheetId="9" hidden="1">#REF!</definedName>
    <definedName name="BExBDSRXVZQ0W5WXQMP5XD00GRRL" hidden="1">#REF!</definedName>
    <definedName name="BExBDTJ0J7XEHB9OATXFF5I8FZBJ" localSheetId="56" hidden="1">#REF!</definedName>
    <definedName name="BExBDTJ0J7XEHB9OATXFF5I8FZBJ" localSheetId="55" hidden="1">#REF!</definedName>
    <definedName name="BExBDTJ0J7XEHB9OATXFF5I8FZBJ" localSheetId="4" hidden="1">#REF!</definedName>
    <definedName name="BExBDTJ0J7XEHB9OATXFF5I8FZBJ" localSheetId="1" hidden="1">#REF!</definedName>
    <definedName name="BExBDTJ0J7XEHB9OATXFF5I8FZBJ" localSheetId="9" hidden="1">#REF!</definedName>
    <definedName name="BExBDTJ0J7XEHB9OATXFF5I8FZBJ" hidden="1">#REF!</definedName>
    <definedName name="BExBDUVGK3E1J4JY9ZYTS7V14BLY" localSheetId="56" hidden="1">#REF!</definedName>
    <definedName name="BExBDUVGK3E1J4JY9ZYTS7V14BLY" localSheetId="55" hidden="1">#REF!</definedName>
    <definedName name="BExBDUVGK3E1J4JY9ZYTS7V14BLY" localSheetId="4" hidden="1">#REF!</definedName>
    <definedName name="BExBDUVGK3E1J4JY9ZYTS7V14BLY" localSheetId="1" hidden="1">#REF!</definedName>
    <definedName name="BExBDUVGK3E1J4JY9ZYTS7V14BLY" localSheetId="9" hidden="1">#REF!</definedName>
    <definedName name="BExBDUVGK3E1J4JY9ZYTS7V14BLY" hidden="1">#REF!</definedName>
    <definedName name="BExBE0KGY14GSWOGPU4HSJRLD2UD" localSheetId="56" hidden="1">#REF!</definedName>
    <definedName name="BExBE0KGY14GSWOGPU4HSJRLD2UD" localSheetId="55" hidden="1">#REF!</definedName>
    <definedName name="BExBE0KGY14GSWOGPU4HSJRLD2UD" localSheetId="4" hidden="1">#REF!</definedName>
    <definedName name="BExBE0KGY14GSWOGPU4HSJRLD2UD" localSheetId="1" hidden="1">#REF!</definedName>
    <definedName name="BExBE0KGY14GSWOGPU4HSJRLD2UD" localSheetId="9" hidden="1">#REF!</definedName>
    <definedName name="BExBE0KGY14GSWOGPU4HSJRLD2UD" hidden="1">#REF!</definedName>
    <definedName name="BExBE162OSBKD30I7T1DKKPT3I9I" localSheetId="56" hidden="1">#REF!</definedName>
    <definedName name="BExBE162OSBKD30I7T1DKKPT3I9I" localSheetId="55" hidden="1">#REF!</definedName>
    <definedName name="BExBE162OSBKD30I7T1DKKPT3I9I" localSheetId="4" hidden="1">#REF!</definedName>
    <definedName name="BExBE162OSBKD30I7T1DKKPT3I9I" localSheetId="1" hidden="1">#REF!</definedName>
    <definedName name="BExBE162OSBKD30I7T1DKKPT3I9I" localSheetId="9" hidden="1">#REF!</definedName>
    <definedName name="BExBE162OSBKD30I7T1DKKPT3I9I" hidden="1">#REF!</definedName>
    <definedName name="BExBEC9ATLQZF86W1M3APSM4HEOH" localSheetId="56" hidden="1">#REF!</definedName>
    <definedName name="BExBEC9ATLQZF86W1M3APSM4HEOH" localSheetId="55" hidden="1">#REF!</definedName>
    <definedName name="BExBEC9ATLQZF86W1M3APSM4HEOH" localSheetId="4" hidden="1">#REF!</definedName>
    <definedName name="BExBEC9ATLQZF86W1M3APSM4HEOH" localSheetId="1" hidden="1">#REF!</definedName>
    <definedName name="BExBEC9ATLQZF86W1M3APSM4HEOH" localSheetId="9" hidden="1">#REF!</definedName>
    <definedName name="BExBEC9ATLQZF86W1M3APSM4HEOH" hidden="1">#REF!</definedName>
    <definedName name="BExBEXU4CFCM1P5CTZ4NE14PBGDA" localSheetId="56" hidden="1">#REF!</definedName>
    <definedName name="BExBEXU4CFCM1P5CTZ4NE14PBGDA" localSheetId="55" hidden="1">#REF!</definedName>
    <definedName name="BExBEXU4CFCM1P5CTZ4NE14PBGDA" localSheetId="4" hidden="1">#REF!</definedName>
    <definedName name="BExBEXU4CFCM1P5CTZ4NE14PBGDA" localSheetId="1" hidden="1">#REF!</definedName>
    <definedName name="BExBEXU4CFCM1P5CTZ4NE14PBGDA" localSheetId="9" hidden="1">#REF!</definedName>
    <definedName name="BExBEXU4CFCM1P5CTZ4NE14PBGDA" hidden="1">#REF!</definedName>
    <definedName name="BExBEYFQJE9YK12A6JBMRFKEC7RN" localSheetId="56" hidden="1">#REF!</definedName>
    <definedName name="BExBEYFQJE9YK12A6JBMRFKEC7RN" localSheetId="55" hidden="1">#REF!</definedName>
    <definedName name="BExBEYFQJE9YK12A6JBMRFKEC7RN" localSheetId="4" hidden="1">#REF!</definedName>
    <definedName name="BExBEYFQJE9YK12A6JBMRFKEC7RN" localSheetId="1" hidden="1">#REF!</definedName>
    <definedName name="BExBEYFQJE9YK12A6JBMRFKEC7RN" localSheetId="9" hidden="1">#REF!</definedName>
    <definedName name="BExBEYFQJE9YK12A6JBMRFKEC7RN" hidden="1">#REF!</definedName>
    <definedName name="BExBG1ED81J2O4A2S5F5Y3BPHMCR" localSheetId="56" hidden="1">#REF!</definedName>
    <definedName name="BExBG1ED81J2O4A2S5F5Y3BPHMCR" localSheetId="55" hidden="1">#REF!</definedName>
    <definedName name="BExBG1ED81J2O4A2S5F5Y3BPHMCR" localSheetId="4" hidden="1">#REF!</definedName>
    <definedName name="BExBG1ED81J2O4A2S5F5Y3BPHMCR" localSheetId="1" hidden="1">#REF!</definedName>
    <definedName name="BExBG1ED81J2O4A2S5F5Y3BPHMCR" localSheetId="9" hidden="1">#REF!</definedName>
    <definedName name="BExBG1ED81J2O4A2S5F5Y3BPHMCR" hidden="1">#REF!</definedName>
    <definedName name="BExCRK0K58VDM9V35DGI6VK8C92V" localSheetId="56" hidden="1">#REF!</definedName>
    <definedName name="BExCRK0K58VDM9V35DGI6VK8C92V" localSheetId="55" hidden="1">#REF!</definedName>
    <definedName name="BExCRK0K58VDM9V35DGI6VK8C92V" localSheetId="4" hidden="1">#REF!</definedName>
    <definedName name="BExCRK0K58VDM9V35DGI6VK8C92V" localSheetId="1" hidden="1">#REF!</definedName>
    <definedName name="BExCRK0K58VDM9V35DGI6VK8C92V" localSheetId="9" hidden="1">#REF!</definedName>
    <definedName name="BExCRK0K58VDM9V35DGI6VK8C92V" hidden="1">#REF!</definedName>
    <definedName name="BExCRLIHS7466WFJ3RPIUGGXYESZ" localSheetId="56" hidden="1">#REF!</definedName>
    <definedName name="BExCRLIHS7466WFJ3RPIUGGXYESZ" localSheetId="55" hidden="1">#REF!</definedName>
    <definedName name="BExCRLIHS7466WFJ3RPIUGGXYESZ" localSheetId="4" hidden="1">#REF!</definedName>
    <definedName name="BExCRLIHS7466WFJ3RPIUGGXYESZ" localSheetId="1" hidden="1">#REF!</definedName>
    <definedName name="BExCRLIHS7466WFJ3RPIUGGXYESZ" localSheetId="9" hidden="1">#REF!</definedName>
    <definedName name="BExCRLIHS7466WFJ3RPIUGGXYESZ" hidden="1">#REF!</definedName>
    <definedName name="BExCRXSXMF4LHAQZHN64FXJPMVZ7" localSheetId="56" hidden="1">#REF!</definedName>
    <definedName name="BExCRXSXMF4LHAQZHN64FXJPMVZ7" localSheetId="55" hidden="1">#REF!</definedName>
    <definedName name="BExCRXSXMF4LHAQZHN64FXJPMVZ7" localSheetId="4" hidden="1">#REF!</definedName>
    <definedName name="BExCRXSXMF4LHAQZHN64FXJPMVZ7" localSheetId="1" hidden="1">#REF!</definedName>
    <definedName name="BExCRXSXMF4LHAQZHN64FXJPMVZ7" localSheetId="9" hidden="1">#REF!</definedName>
    <definedName name="BExCRXSXMF4LHAQZHN64FXJPMVZ7" hidden="1">#REF!</definedName>
    <definedName name="BExCS1EDDUEAEWHVYXHIP9I1WCJH" localSheetId="56" hidden="1">#REF!</definedName>
    <definedName name="BExCS1EDDUEAEWHVYXHIP9I1WCJH" localSheetId="55" hidden="1">#REF!</definedName>
    <definedName name="BExCS1EDDUEAEWHVYXHIP9I1WCJH" localSheetId="4" hidden="1">#REF!</definedName>
    <definedName name="BExCS1EDDUEAEWHVYXHIP9I1WCJH" localSheetId="1" hidden="1">#REF!</definedName>
    <definedName name="BExCS1EDDUEAEWHVYXHIP9I1WCJH" localSheetId="9" hidden="1">#REF!</definedName>
    <definedName name="BExCS1EDDUEAEWHVYXHIP9I1WCJH" hidden="1">#REF!</definedName>
    <definedName name="BExCS1P5QG0X3OTHKX07RALOE5T5" localSheetId="56" hidden="1">#REF!</definedName>
    <definedName name="BExCS1P5QG0X3OTHKX07RALOE5T5" localSheetId="55" hidden="1">#REF!</definedName>
    <definedName name="BExCS1P5QG0X3OTHKX07RALOE5T5" localSheetId="4" hidden="1">#REF!</definedName>
    <definedName name="BExCS1P5QG0X3OTHKX07RALOE5T5" localSheetId="1" hidden="1">#REF!</definedName>
    <definedName name="BExCS1P5QG0X3OTHKX07RALOE5T5" localSheetId="9" hidden="1">#REF!</definedName>
    <definedName name="BExCS1P5QG0X3OTHKX07RALOE5T5" hidden="1">#REF!</definedName>
    <definedName name="BExCS7ZPMHFJ4UJDAL8CQOLSZ13B" localSheetId="56" hidden="1">#REF!</definedName>
    <definedName name="BExCS7ZPMHFJ4UJDAL8CQOLSZ13B" localSheetId="55" hidden="1">#REF!</definedName>
    <definedName name="BExCS7ZPMHFJ4UJDAL8CQOLSZ13B" localSheetId="4" hidden="1">#REF!</definedName>
    <definedName name="BExCS7ZPMHFJ4UJDAL8CQOLSZ13B" localSheetId="1" hidden="1">#REF!</definedName>
    <definedName name="BExCS7ZPMHFJ4UJDAL8CQOLSZ13B" localSheetId="9" hidden="1">#REF!</definedName>
    <definedName name="BExCS7ZPMHFJ4UJDAL8CQOLSZ13B" hidden="1">#REF!</definedName>
    <definedName name="BExCS8W4NJUZH9S1CYB6XSDLEPBW" localSheetId="56" hidden="1">#REF!</definedName>
    <definedName name="BExCS8W4NJUZH9S1CYB6XSDLEPBW" localSheetId="55" hidden="1">#REF!</definedName>
    <definedName name="BExCS8W4NJUZH9S1CYB6XSDLEPBW" localSheetId="4" hidden="1">#REF!</definedName>
    <definedName name="BExCS8W4NJUZH9S1CYB6XSDLEPBW" localSheetId="1" hidden="1">#REF!</definedName>
    <definedName name="BExCS8W4NJUZH9S1CYB6XSDLEPBW" localSheetId="9" hidden="1">#REF!</definedName>
    <definedName name="BExCS8W4NJUZH9S1CYB6XSDLEPBW" hidden="1">#REF!</definedName>
    <definedName name="BExCSAE1M6G20R41J0Y24YNN0YC1" localSheetId="56" hidden="1">#REF!</definedName>
    <definedName name="BExCSAE1M6G20R41J0Y24YNN0YC1" localSheetId="55" hidden="1">#REF!</definedName>
    <definedName name="BExCSAE1M6G20R41J0Y24YNN0YC1" localSheetId="4" hidden="1">#REF!</definedName>
    <definedName name="BExCSAE1M6G20R41J0Y24YNN0YC1" localSheetId="1" hidden="1">#REF!</definedName>
    <definedName name="BExCSAE1M6G20R41J0Y24YNN0YC1" localSheetId="9" hidden="1">#REF!</definedName>
    <definedName name="BExCSAE1M6G20R41J0Y24YNN0YC1" hidden="1">#REF!</definedName>
    <definedName name="BExCSAOUZOYKHN7HV511TO8VDJ02" localSheetId="56" hidden="1">#REF!</definedName>
    <definedName name="BExCSAOUZOYKHN7HV511TO8VDJ02" localSheetId="55" hidden="1">#REF!</definedName>
    <definedName name="BExCSAOUZOYKHN7HV511TO8VDJ02" localSheetId="4" hidden="1">#REF!</definedName>
    <definedName name="BExCSAOUZOYKHN7HV511TO8VDJ02" localSheetId="1" hidden="1">#REF!</definedName>
    <definedName name="BExCSAOUZOYKHN7HV511TO8VDJ02" localSheetId="9" hidden="1">#REF!</definedName>
    <definedName name="BExCSAOUZOYKHN7HV511TO8VDJ02" hidden="1">#REF!</definedName>
    <definedName name="BExCSJ2XVKHN6ULCF7JML0TCRKEO" localSheetId="56" hidden="1">#REF!</definedName>
    <definedName name="BExCSJ2XVKHN6ULCF7JML0TCRKEO" localSheetId="55" hidden="1">#REF!</definedName>
    <definedName name="BExCSJ2XVKHN6ULCF7JML0TCRKEO" localSheetId="4" hidden="1">#REF!</definedName>
    <definedName name="BExCSJ2XVKHN6ULCF7JML0TCRKEO" localSheetId="1" hidden="1">#REF!</definedName>
    <definedName name="BExCSJ2XVKHN6ULCF7JML0TCRKEO" localSheetId="9" hidden="1">#REF!</definedName>
    <definedName name="BExCSJ2XVKHN6ULCF7JML0TCRKEO" hidden="1">#REF!</definedName>
    <definedName name="BExCSMOFTXSUEC1T46LR1UPYRCX5" localSheetId="56" hidden="1">#REF!</definedName>
    <definedName name="BExCSMOFTXSUEC1T46LR1UPYRCX5" localSheetId="55" hidden="1">#REF!</definedName>
    <definedName name="BExCSMOFTXSUEC1T46LR1UPYRCX5" localSheetId="4" hidden="1">#REF!</definedName>
    <definedName name="BExCSMOFTXSUEC1T46LR1UPYRCX5" localSheetId="1" hidden="1">#REF!</definedName>
    <definedName name="BExCSMOFTXSUEC1T46LR1UPYRCX5" localSheetId="9" hidden="1">#REF!</definedName>
    <definedName name="BExCSMOFTXSUEC1T46LR1UPYRCX5" hidden="1">#REF!</definedName>
    <definedName name="BExCSSDG3TM6TPKS19E9QYJEELZ6" localSheetId="56" hidden="1">#REF!</definedName>
    <definedName name="BExCSSDG3TM6TPKS19E9QYJEELZ6" localSheetId="55" hidden="1">#REF!</definedName>
    <definedName name="BExCSSDG3TM6TPKS19E9QYJEELZ6" localSheetId="4" hidden="1">#REF!</definedName>
    <definedName name="BExCSSDG3TM6TPKS19E9QYJEELZ6" localSheetId="1" hidden="1">#REF!</definedName>
    <definedName name="BExCSSDG3TM6TPKS19E9QYJEELZ6" localSheetId="9" hidden="1">#REF!</definedName>
    <definedName name="BExCSSDG3TM6TPKS19E9QYJEELZ6" hidden="1">#REF!</definedName>
    <definedName name="BExCSZV7U67UWXL2HKJNM5W1E4OO" localSheetId="56" hidden="1">#REF!</definedName>
    <definedName name="BExCSZV7U67UWXL2HKJNM5W1E4OO" localSheetId="55" hidden="1">#REF!</definedName>
    <definedName name="BExCSZV7U67UWXL2HKJNM5W1E4OO" localSheetId="4" hidden="1">#REF!</definedName>
    <definedName name="BExCSZV7U67UWXL2HKJNM5W1E4OO" localSheetId="1" hidden="1">#REF!</definedName>
    <definedName name="BExCSZV7U67UWXL2HKJNM5W1E4OO" localSheetId="9" hidden="1">#REF!</definedName>
    <definedName name="BExCSZV7U67UWXL2HKJNM5W1E4OO" hidden="1">#REF!</definedName>
    <definedName name="BExCT4NSDT61OCH04Y2QIFIOP75H" localSheetId="56" hidden="1">#REF!</definedName>
    <definedName name="BExCT4NSDT61OCH04Y2QIFIOP75H" localSheetId="55" hidden="1">#REF!</definedName>
    <definedName name="BExCT4NSDT61OCH04Y2QIFIOP75H" localSheetId="4" hidden="1">#REF!</definedName>
    <definedName name="BExCT4NSDT61OCH04Y2QIFIOP75H" localSheetId="1" hidden="1">#REF!</definedName>
    <definedName name="BExCT4NSDT61OCH04Y2QIFIOP75H" localSheetId="9" hidden="1">#REF!</definedName>
    <definedName name="BExCT4NSDT61OCH04Y2QIFIOP75H" hidden="1">#REF!</definedName>
    <definedName name="BExCTHZWIPJVLE56GATEFKPIKLK2" localSheetId="56" hidden="1">#REF!</definedName>
    <definedName name="BExCTHZWIPJVLE56GATEFKPIKLK2" localSheetId="55" hidden="1">#REF!</definedName>
    <definedName name="BExCTHZWIPJVLE56GATEFKPIKLK2" localSheetId="4" hidden="1">#REF!</definedName>
    <definedName name="BExCTHZWIPJVLE56GATEFKPIKLK2" localSheetId="1" hidden="1">#REF!</definedName>
    <definedName name="BExCTHZWIPJVLE56GATEFKPIKLK2" localSheetId="9" hidden="1">#REF!</definedName>
    <definedName name="BExCTHZWIPJVLE56GATEFKPIKLK2" hidden="1">#REF!</definedName>
    <definedName name="BExCTW8G3VCZ55S09HTUGXKB1P2M" localSheetId="56" hidden="1">#REF!</definedName>
    <definedName name="BExCTW8G3VCZ55S09HTUGXKB1P2M" localSheetId="55" hidden="1">#REF!</definedName>
    <definedName name="BExCTW8G3VCZ55S09HTUGXKB1P2M" localSheetId="4" hidden="1">#REF!</definedName>
    <definedName name="BExCTW8G3VCZ55S09HTUGXKB1P2M" localSheetId="1" hidden="1">#REF!</definedName>
    <definedName name="BExCTW8G3VCZ55S09HTUGXKB1P2M" localSheetId="9" hidden="1">#REF!</definedName>
    <definedName name="BExCTW8G3VCZ55S09HTUGXKB1P2M" hidden="1">#REF!</definedName>
    <definedName name="BExCTYS2KX0QANOLT8LGZ9WV3S3T" localSheetId="56" hidden="1">#REF!</definedName>
    <definedName name="BExCTYS2KX0QANOLT8LGZ9WV3S3T" localSheetId="55" hidden="1">#REF!</definedName>
    <definedName name="BExCTYS2KX0QANOLT8LGZ9WV3S3T" localSheetId="4" hidden="1">#REF!</definedName>
    <definedName name="BExCTYS2KX0QANOLT8LGZ9WV3S3T" localSheetId="1" hidden="1">#REF!</definedName>
    <definedName name="BExCTYS2KX0QANOLT8LGZ9WV3S3T" localSheetId="9" hidden="1">#REF!</definedName>
    <definedName name="BExCTYS2KX0QANOLT8LGZ9WV3S3T" hidden="1">#REF!</definedName>
    <definedName name="BExCTZ2V6H9TT6LFGK3SADZ2TIGQ" localSheetId="56" hidden="1">#REF!</definedName>
    <definedName name="BExCTZ2V6H9TT6LFGK3SADZ2TIGQ" localSheetId="55" hidden="1">#REF!</definedName>
    <definedName name="BExCTZ2V6H9TT6LFGK3SADZ2TIGQ" localSheetId="4" hidden="1">#REF!</definedName>
    <definedName name="BExCTZ2V6H9TT6LFGK3SADZ2TIGQ" localSheetId="1" hidden="1">#REF!</definedName>
    <definedName name="BExCTZ2V6H9TT6LFGK3SADZ2TIGQ" localSheetId="9" hidden="1">#REF!</definedName>
    <definedName name="BExCTZ2V6H9TT6LFGK3SADZ2TIGQ" hidden="1">#REF!</definedName>
    <definedName name="BExCTZZ9JNES4EDHW97NP0EGQALX" localSheetId="56" hidden="1">#REF!</definedName>
    <definedName name="BExCTZZ9JNES4EDHW97NP0EGQALX" localSheetId="55" hidden="1">#REF!</definedName>
    <definedName name="BExCTZZ9JNES4EDHW97NP0EGQALX" localSheetId="4" hidden="1">#REF!</definedName>
    <definedName name="BExCTZZ9JNES4EDHW97NP0EGQALX" localSheetId="1" hidden="1">#REF!</definedName>
    <definedName name="BExCTZZ9JNES4EDHW97NP0EGQALX" localSheetId="9" hidden="1">#REF!</definedName>
    <definedName name="BExCTZZ9JNES4EDHW97NP0EGQALX" hidden="1">#REF!</definedName>
    <definedName name="BExCU0A1V6NMZQ9ASYJ8QIVQ5UR2" localSheetId="56" hidden="1">#REF!</definedName>
    <definedName name="BExCU0A1V6NMZQ9ASYJ8QIVQ5UR2" localSheetId="55" hidden="1">#REF!</definedName>
    <definedName name="BExCU0A1V6NMZQ9ASYJ8QIVQ5UR2" localSheetId="4" hidden="1">#REF!</definedName>
    <definedName name="BExCU0A1V6NMZQ9ASYJ8QIVQ5UR2" localSheetId="1" hidden="1">#REF!</definedName>
    <definedName name="BExCU0A1V6NMZQ9ASYJ8QIVQ5UR2" localSheetId="9" hidden="1">#REF!</definedName>
    <definedName name="BExCU0A1V6NMZQ9ASYJ8QIVQ5UR2" hidden="1">#REF!</definedName>
    <definedName name="BExCU2834920JBHSPCRC4UF80OLL" localSheetId="56" hidden="1">#REF!</definedName>
    <definedName name="BExCU2834920JBHSPCRC4UF80OLL" localSheetId="55" hidden="1">#REF!</definedName>
    <definedName name="BExCU2834920JBHSPCRC4UF80OLL" localSheetId="4" hidden="1">#REF!</definedName>
    <definedName name="BExCU2834920JBHSPCRC4UF80OLL" localSheetId="1" hidden="1">#REF!</definedName>
    <definedName name="BExCU2834920JBHSPCRC4UF80OLL" localSheetId="9" hidden="1">#REF!</definedName>
    <definedName name="BExCU2834920JBHSPCRC4UF80OLL" hidden="1">#REF!</definedName>
    <definedName name="BExCU8O54I3P3WRYWY1CRP3S78QY" localSheetId="56" hidden="1">#REF!</definedName>
    <definedName name="BExCU8O54I3P3WRYWY1CRP3S78QY" localSheetId="55" hidden="1">#REF!</definedName>
    <definedName name="BExCU8O54I3P3WRYWY1CRP3S78QY" localSheetId="4" hidden="1">#REF!</definedName>
    <definedName name="BExCU8O54I3P3WRYWY1CRP3S78QY" localSheetId="1" hidden="1">#REF!</definedName>
    <definedName name="BExCU8O54I3P3WRYWY1CRP3S78QY" localSheetId="9" hidden="1">#REF!</definedName>
    <definedName name="BExCU8O54I3P3WRYWY1CRP3S78QY" hidden="1">#REF!</definedName>
    <definedName name="BExCUDRJO23YOKT8GPWOVQ4XEHF5" localSheetId="56" hidden="1">#REF!</definedName>
    <definedName name="BExCUDRJO23YOKT8GPWOVQ4XEHF5" localSheetId="55" hidden="1">#REF!</definedName>
    <definedName name="BExCUDRJO23YOKT8GPWOVQ4XEHF5" localSheetId="4" hidden="1">#REF!</definedName>
    <definedName name="BExCUDRJO23YOKT8GPWOVQ4XEHF5" localSheetId="1" hidden="1">#REF!</definedName>
    <definedName name="BExCUDRJO23YOKT8GPWOVQ4XEHF5" localSheetId="9" hidden="1">#REF!</definedName>
    <definedName name="BExCUDRJO23YOKT8GPWOVQ4XEHF5" hidden="1">#REF!</definedName>
    <definedName name="BExCULEOALM7SEHVMQC4B4N25MRM" localSheetId="56" hidden="1">#REF!</definedName>
    <definedName name="BExCULEOALM7SEHVMQC4B4N25MRM" localSheetId="55" hidden="1">#REF!</definedName>
    <definedName name="BExCULEOALM7SEHVMQC4B4N25MRM" localSheetId="4" hidden="1">#REF!</definedName>
    <definedName name="BExCULEOALM7SEHVMQC4B4N25MRM" localSheetId="1" hidden="1">#REF!</definedName>
    <definedName name="BExCULEOALM7SEHVMQC4B4N25MRM" localSheetId="9" hidden="1">#REF!</definedName>
    <definedName name="BExCULEOALM7SEHVMQC4B4N25MRM" hidden="1">#REF!</definedName>
    <definedName name="BExCUPAXFR16YMWL30ME3F3BSRDZ" localSheetId="56" hidden="1">#REF!</definedName>
    <definedName name="BExCUPAXFR16YMWL30ME3F3BSRDZ" localSheetId="55" hidden="1">#REF!</definedName>
    <definedName name="BExCUPAXFR16YMWL30ME3F3BSRDZ" localSheetId="4" hidden="1">#REF!</definedName>
    <definedName name="BExCUPAXFR16YMWL30ME3F3BSRDZ" localSheetId="1" hidden="1">#REF!</definedName>
    <definedName name="BExCUPAXFR16YMWL30ME3F3BSRDZ" localSheetId="9" hidden="1">#REF!</definedName>
    <definedName name="BExCUPAXFR16YMWL30ME3F3BSRDZ" hidden="1">#REF!</definedName>
    <definedName name="BExCUR94DHCE47PUUWEMT5QZOYR2" localSheetId="56" hidden="1">#REF!</definedName>
    <definedName name="BExCUR94DHCE47PUUWEMT5QZOYR2" localSheetId="55" hidden="1">#REF!</definedName>
    <definedName name="BExCUR94DHCE47PUUWEMT5QZOYR2" localSheetId="4" hidden="1">#REF!</definedName>
    <definedName name="BExCUR94DHCE47PUUWEMT5QZOYR2" localSheetId="1" hidden="1">#REF!</definedName>
    <definedName name="BExCUR94DHCE47PUUWEMT5QZOYR2" localSheetId="9" hidden="1">#REF!</definedName>
    <definedName name="BExCUR94DHCE47PUUWEMT5QZOYR2" hidden="1">#REF!</definedName>
    <definedName name="BExCV5HJSTBNPQZVGYJY9AZ4IJ26" localSheetId="56" hidden="1">#REF!</definedName>
    <definedName name="BExCV5HJSTBNPQZVGYJY9AZ4IJ26" localSheetId="55" hidden="1">#REF!</definedName>
    <definedName name="BExCV5HJSTBNPQZVGYJY9AZ4IJ26" localSheetId="4" hidden="1">#REF!</definedName>
    <definedName name="BExCV5HJSTBNPQZVGYJY9AZ4IJ26" localSheetId="1" hidden="1">#REF!</definedName>
    <definedName name="BExCV5HJSTBNPQZVGYJY9AZ4IJ26" localSheetId="9" hidden="1">#REF!</definedName>
    <definedName name="BExCV5HJSTBNPQZVGYJY9AZ4IJ26" hidden="1">#REF!</definedName>
    <definedName name="BExCV634L7SVHGB0UDDTRRQ2Q72H" localSheetId="56" hidden="1">#REF!</definedName>
    <definedName name="BExCV634L7SVHGB0UDDTRRQ2Q72H" localSheetId="55" hidden="1">#REF!</definedName>
    <definedName name="BExCV634L7SVHGB0UDDTRRQ2Q72H" localSheetId="4" hidden="1">#REF!</definedName>
    <definedName name="BExCV634L7SVHGB0UDDTRRQ2Q72H" localSheetId="1" hidden="1">#REF!</definedName>
    <definedName name="BExCV634L7SVHGB0UDDTRRQ2Q72H" localSheetId="9" hidden="1">#REF!</definedName>
    <definedName name="BExCV634L7SVHGB0UDDTRRQ2Q72H" hidden="1">#REF!</definedName>
    <definedName name="BExCVBXGSXT9FWJRG62PX9S1RK83" localSheetId="56" hidden="1">#REF!</definedName>
    <definedName name="BExCVBXGSXT9FWJRG62PX9S1RK83" localSheetId="55" hidden="1">#REF!</definedName>
    <definedName name="BExCVBXGSXT9FWJRG62PX9S1RK83" localSheetId="4" hidden="1">#REF!</definedName>
    <definedName name="BExCVBXGSXT9FWJRG62PX9S1RK83" localSheetId="1" hidden="1">#REF!</definedName>
    <definedName name="BExCVBXGSXT9FWJRG62PX9S1RK83" localSheetId="9" hidden="1">#REF!</definedName>
    <definedName name="BExCVBXGSXT9FWJRG62PX9S1RK83" hidden="1">#REF!</definedName>
    <definedName name="BExCVHBNLOHNFS0JAV3I1XGPNH9W" localSheetId="56" hidden="1">#REF!</definedName>
    <definedName name="BExCVHBNLOHNFS0JAV3I1XGPNH9W" localSheetId="55" hidden="1">#REF!</definedName>
    <definedName name="BExCVHBNLOHNFS0JAV3I1XGPNH9W" localSheetId="4" hidden="1">#REF!</definedName>
    <definedName name="BExCVHBNLOHNFS0JAV3I1XGPNH9W" localSheetId="1" hidden="1">#REF!</definedName>
    <definedName name="BExCVHBNLOHNFS0JAV3I1XGPNH9W" localSheetId="9" hidden="1">#REF!</definedName>
    <definedName name="BExCVHBNLOHNFS0JAV3I1XGPNH9W" hidden="1">#REF!</definedName>
    <definedName name="BExCVI86R31A2IOZIEBY1FJLVILD" localSheetId="56" hidden="1">#REF!</definedName>
    <definedName name="BExCVI86R31A2IOZIEBY1FJLVILD" localSheetId="55" hidden="1">#REF!</definedName>
    <definedName name="BExCVI86R31A2IOZIEBY1FJLVILD" localSheetId="4" hidden="1">#REF!</definedName>
    <definedName name="BExCVI86R31A2IOZIEBY1FJLVILD" localSheetId="1" hidden="1">#REF!</definedName>
    <definedName name="BExCVI86R31A2IOZIEBY1FJLVILD" localSheetId="9" hidden="1">#REF!</definedName>
    <definedName name="BExCVI86R31A2IOZIEBY1FJLVILD" hidden="1">#REF!</definedName>
    <definedName name="BExCVKGZXE0I9EIXKBZVSGSEY2RR" localSheetId="56" hidden="1">#REF!</definedName>
    <definedName name="BExCVKGZXE0I9EIXKBZVSGSEY2RR" localSheetId="55" hidden="1">#REF!</definedName>
    <definedName name="BExCVKGZXE0I9EIXKBZVSGSEY2RR" localSheetId="4" hidden="1">#REF!</definedName>
    <definedName name="BExCVKGZXE0I9EIXKBZVSGSEY2RR" localSheetId="1" hidden="1">#REF!</definedName>
    <definedName name="BExCVKGZXE0I9EIXKBZVSGSEY2RR" localSheetId="9" hidden="1">#REF!</definedName>
    <definedName name="BExCVKGZXE0I9EIXKBZVSGSEY2RR" hidden="1">#REF!</definedName>
    <definedName name="BExCVNROVORCSNX9HKHKPHY0URS3" localSheetId="56" hidden="1">#REF!</definedName>
    <definedName name="BExCVNROVORCSNX9HKHKPHY0URS3" localSheetId="55" hidden="1">#REF!</definedName>
    <definedName name="BExCVNROVORCSNX9HKHKPHY0URS3" localSheetId="4" hidden="1">#REF!</definedName>
    <definedName name="BExCVNROVORCSNX9HKHKPHY0URS3" localSheetId="1" hidden="1">#REF!</definedName>
    <definedName name="BExCVNROVORCSNX9HKHKPHY0URS3" localSheetId="9" hidden="1">#REF!</definedName>
    <definedName name="BExCVNROVORCSNX9HKHKPHY0URS3" hidden="1">#REF!</definedName>
    <definedName name="BExCVPEZON7VV6NOWII8VZMONPCJ" localSheetId="56" hidden="1">#REF!</definedName>
    <definedName name="BExCVPEZON7VV6NOWII8VZMONPCJ" localSheetId="55" hidden="1">#REF!</definedName>
    <definedName name="BExCVPEZON7VV6NOWII8VZMONPCJ" localSheetId="4" hidden="1">#REF!</definedName>
    <definedName name="BExCVPEZON7VV6NOWII8VZMONPCJ" localSheetId="1" hidden="1">#REF!</definedName>
    <definedName name="BExCVPEZON7VV6NOWII8VZMONPCJ" localSheetId="9" hidden="1">#REF!</definedName>
    <definedName name="BExCVPEZON7VV6NOWII8VZMONPCJ" hidden="1">#REF!</definedName>
    <definedName name="BExCVV44WY5807WGMTGKPW0GT256" localSheetId="56" hidden="1">#REF!</definedName>
    <definedName name="BExCVV44WY5807WGMTGKPW0GT256" localSheetId="55" hidden="1">#REF!</definedName>
    <definedName name="BExCVV44WY5807WGMTGKPW0GT256" localSheetId="4" hidden="1">#REF!</definedName>
    <definedName name="BExCVV44WY5807WGMTGKPW0GT256" localSheetId="1" hidden="1">#REF!</definedName>
    <definedName name="BExCVV44WY5807WGMTGKPW0GT256" localSheetId="9" hidden="1">#REF!</definedName>
    <definedName name="BExCVV44WY5807WGMTGKPW0GT256" hidden="1">#REF!</definedName>
    <definedName name="BExCVZ5PN4V6MRBZ04PZJW3GEF8S" localSheetId="56" hidden="1">#REF!</definedName>
    <definedName name="BExCVZ5PN4V6MRBZ04PZJW3GEF8S" localSheetId="55" hidden="1">#REF!</definedName>
    <definedName name="BExCVZ5PN4V6MRBZ04PZJW3GEF8S" localSheetId="4" hidden="1">#REF!</definedName>
    <definedName name="BExCVZ5PN4V6MRBZ04PZJW3GEF8S" localSheetId="1" hidden="1">#REF!</definedName>
    <definedName name="BExCVZ5PN4V6MRBZ04PZJW3GEF8S" localSheetId="9" hidden="1">#REF!</definedName>
    <definedName name="BExCVZ5PN4V6MRBZ04PZJW3GEF8S" hidden="1">#REF!</definedName>
    <definedName name="BExCW13R0GWJYGXZBNCPAHQN4NR2" localSheetId="56" hidden="1">#REF!</definedName>
    <definedName name="BExCW13R0GWJYGXZBNCPAHQN4NR2" localSheetId="55" hidden="1">#REF!</definedName>
    <definedName name="BExCW13R0GWJYGXZBNCPAHQN4NR2" localSheetId="4" hidden="1">#REF!</definedName>
    <definedName name="BExCW13R0GWJYGXZBNCPAHQN4NR2" localSheetId="1" hidden="1">#REF!</definedName>
    <definedName name="BExCW13R0GWJYGXZBNCPAHQN4NR2" localSheetId="9" hidden="1">#REF!</definedName>
    <definedName name="BExCW13R0GWJYGXZBNCPAHQN4NR2" hidden="1">#REF!</definedName>
    <definedName name="BExCW9Y5HWU4RJTNX74O6L24VGCK" localSheetId="56" hidden="1">#REF!</definedName>
    <definedName name="BExCW9Y5HWU4RJTNX74O6L24VGCK" localSheetId="55" hidden="1">#REF!</definedName>
    <definedName name="BExCW9Y5HWU4RJTNX74O6L24VGCK" localSheetId="4" hidden="1">#REF!</definedName>
    <definedName name="BExCW9Y5HWU4RJTNX74O6L24VGCK" localSheetId="1" hidden="1">#REF!</definedName>
    <definedName name="BExCW9Y5HWU4RJTNX74O6L24VGCK" localSheetId="9" hidden="1">#REF!</definedName>
    <definedName name="BExCW9Y5HWU4RJTNX74O6L24VGCK" hidden="1">#REF!</definedName>
    <definedName name="BExCWHADQJRXWFDGV2KMANWIY1YN" localSheetId="56" hidden="1">#REF!</definedName>
    <definedName name="BExCWHADQJRXWFDGV2KMANWIY1YN" localSheetId="55" hidden="1">#REF!</definedName>
    <definedName name="BExCWHADQJRXWFDGV2KMANWIY1YN" localSheetId="4" hidden="1">#REF!</definedName>
    <definedName name="BExCWHADQJRXWFDGV2KMANWIY1YN" localSheetId="1" hidden="1">#REF!</definedName>
    <definedName name="BExCWHADQJRXWFDGV2KMANWIY1YN" localSheetId="9" hidden="1">#REF!</definedName>
    <definedName name="BExCWHADQJRXWFDGV2KMANWIY1YN" hidden="1">#REF!</definedName>
    <definedName name="BExCWPDPESGZS07QGBLSBWDNVJLZ" localSheetId="56" hidden="1">#REF!</definedName>
    <definedName name="BExCWPDPESGZS07QGBLSBWDNVJLZ" localSheetId="55" hidden="1">#REF!</definedName>
    <definedName name="BExCWPDPESGZS07QGBLSBWDNVJLZ" localSheetId="4" hidden="1">#REF!</definedName>
    <definedName name="BExCWPDPESGZS07QGBLSBWDNVJLZ" localSheetId="1" hidden="1">#REF!</definedName>
    <definedName name="BExCWPDPESGZS07QGBLSBWDNVJLZ" localSheetId="9" hidden="1">#REF!</definedName>
    <definedName name="BExCWPDPESGZS07QGBLSBWDNVJLZ" hidden="1">#REF!</definedName>
    <definedName name="BExCWTVKHIVCRHF8GC39KI58YM5K" localSheetId="56" hidden="1">#REF!</definedName>
    <definedName name="BExCWTVKHIVCRHF8GC39KI58YM5K" localSheetId="55" hidden="1">#REF!</definedName>
    <definedName name="BExCWTVKHIVCRHF8GC39KI58YM5K" localSheetId="4" hidden="1">#REF!</definedName>
    <definedName name="BExCWTVKHIVCRHF8GC39KI58YM5K" localSheetId="1" hidden="1">#REF!</definedName>
    <definedName name="BExCWTVKHIVCRHF8GC39KI58YM5K" localSheetId="9" hidden="1">#REF!</definedName>
    <definedName name="BExCWTVKHIVCRHF8GC39KI58YM5K" hidden="1">#REF!</definedName>
    <definedName name="BExCX2KGRZBRVLZNM8SUSIE6A0RL" localSheetId="56" hidden="1">#REF!</definedName>
    <definedName name="BExCX2KGRZBRVLZNM8SUSIE6A0RL" localSheetId="55" hidden="1">#REF!</definedName>
    <definedName name="BExCX2KGRZBRVLZNM8SUSIE6A0RL" localSheetId="4" hidden="1">#REF!</definedName>
    <definedName name="BExCX2KGRZBRVLZNM8SUSIE6A0RL" localSheetId="1" hidden="1">#REF!</definedName>
    <definedName name="BExCX2KGRZBRVLZNM8SUSIE6A0RL" localSheetId="9" hidden="1">#REF!</definedName>
    <definedName name="BExCX2KGRZBRVLZNM8SUSIE6A0RL" hidden="1">#REF!</definedName>
    <definedName name="BExCX3X451T70LZ1VF95L7W4Y4TM" localSheetId="56" hidden="1">#REF!</definedName>
    <definedName name="BExCX3X451T70LZ1VF95L7W4Y4TM" localSheetId="55" hidden="1">#REF!</definedName>
    <definedName name="BExCX3X451T70LZ1VF95L7W4Y4TM" localSheetId="4" hidden="1">#REF!</definedName>
    <definedName name="BExCX3X451T70LZ1VF95L7W4Y4TM" localSheetId="1" hidden="1">#REF!</definedName>
    <definedName name="BExCX3X451T70LZ1VF95L7W4Y4TM" localSheetId="9" hidden="1">#REF!</definedName>
    <definedName name="BExCX3X451T70LZ1VF95L7W4Y4TM" hidden="1">#REF!</definedName>
    <definedName name="BExCX4NZ2N1OUGXM7EV0U7VULJMM" localSheetId="56" hidden="1">#REF!</definedName>
    <definedName name="BExCX4NZ2N1OUGXM7EV0U7VULJMM" localSheetId="55" hidden="1">#REF!</definedName>
    <definedName name="BExCX4NZ2N1OUGXM7EV0U7VULJMM" localSheetId="4" hidden="1">#REF!</definedName>
    <definedName name="BExCX4NZ2N1OUGXM7EV0U7VULJMM" localSheetId="1" hidden="1">#REF!</definedName>
    <definedName name="BExCX4NZ2N1OUGXM7EV0U7VULJMM" localSheetId="9" hidden="1">#REF!</definedName>
    <definedName name="BExCX4NZ2N1OUGXM7EV0U7VULJMM" hidden="1">#REF!</definedName>
    <definedName name="BExCXILMURGYMAH6N5LF5DV6K3GM" localSheetId="56" hidden="1">#REF!</definedName>
    <definedName name="BExCXILMURGYMAH6N5LF5DV6K3GM" localSheetId="55" hidden="1">#REF!</definedName>
    <definedName name="BExCXILMURGYMAH6N5LF5DV6K3GM" localSheetId="4" hidden="1">#REF!</definedName>
    <definedName name="BExCXILMURGYMAH6N5LF5DV6K3GM" localSheetId="1" hidden="1">#REF!</definedName>
    <definedName name="BExCXILMURGYMAH6N5LF5DV6K3GM" localSheetId="9" hidden="1">#REF!</definedName>
    <definedName name="BExCXILMURGYMAH6N5LF5DV6K3GM" hidden="1">#REF!</definedName>
    <definedName name="BExCXQUFBMXQ1650735H48B1AZT3" localSheetId="56" hidden="1">#REF!</definedName>
    <definedName name="BExCXQUFBMXQ1650735H48B1AZT3" localSheetId="55" hidden="1">#REF!</definedName>
    <definedName name="BExCXQUFBMXQ1650735H48B1AZT3" localSheetId="4" hidden="1">#REF!</definedName>
    <definedName name="BExCXQUFBMXQ1650735H48B1AZT3" localSheetId="1" hidden="1">#REF!</definedName>
    <definedName name="BExCXQUFBMXQ1650735H48B1AZT3" localSheetId="9" hidden="1">#REF!</definedName>
    <definedName name="BExCXQUFBMXQ1650735H48B1AZT3" hidden="1">#REF!</definedName>
    <definedName name="BExCXYSBKJ9SZQD7XS2WUS6SVBJO" localSheetId="56" hidden="1">#REF!</definedName>
    <definedName name="BExCXYSBKJ9SZQD7XS2WUS6SVBJO" localSheetId="55" hidden="1">#REF!</definedName>
    <definedName name="BExCXYSBKJ9SZQD7XS2WUS6SVBJO" localSheetId="4" hidden="1">#REF!</definedName>
    <definedName name="BExCXYSBKJ9SZQD7XS2WUS6SVBJO" localSheetId="1" hidden="1">#REF!</definedName>
    <definedName name="BExCXYSBKJ9SZQD7XS2WUS6SVBJO" localSheetId="9" hidden="1">#REF!</definedName>
    <definedName name="BExCXYSBKJ9SZQD7XS2WUS6SVBJO" hidden="1">#REF!</definedName>
    <definedName name="BExCXZ8DGK5ZE8467LFEHX6JNQHJ" localSheetId="56" hidden="1">#REF!</definedName>
    <definedName name="BExCXZ8DGK5ZE8467LFEHX6JNQHJ" localSheetId="55" hidden="1">#REF!</definedName>
    <definedName name="BExCXZ8DGK5ZE8467LFEHX6JNQHJ" localSheetId="4" hidden="1">#REF!</definedName>
    <definedName name="BExCXZ8DGK5ZE8467LFEHX6JNQHJ" localSheetId="1" hidden="1">#REF!</definedName>
    <definedName name="BExCXZ8DGK5ZE8467LFEHX6JNQHJ" localSheetId="9" hidden="1">#REF!</definedName>
    <definedName name="BExCXZ8DGK5ZE8467LFEHX6JNQHJ" hidden="1">#REF!</definedName>
    <definedName name="BExCY2DQO9VLA77Q7EG3T0XNXX4F" localSheetId="56" hidden="1">#REF!</definedName>
    <definedName name="BExCY2DQO9VLA77Q7EG3T0XNXX4F" localSheetId="55" hidden="1">#REF!</definedName>
    <definedName name="BExCY2DQO9VLA77Q7EG3T0XNXX4F" localSheetId="4" hidden="1">#REF!</definedName>
    <definedName name="BExCY2DQO9VLA77Q7EG3T0XNXX4F" localSheetId="1" hidden="1">#REF!</definedName>
    <definedName name="BExCY2DQO9VLA77Q7EG3T0XNXX4F" localSheetId="9" hidden="1">#REF!</definedName>
    <definedName name="BExCY2DQO9VLA77Q7EG3T0XNXX4F" hidden="1">#REF!</definedName>
    <definedName name="BExCY5Z7X93Z8XUOEASK50W08S36" localSheetId="56" hidden="1">#REF!</definedName>
    <definedName name="BExCY5Z7X93Z8XUOEASK50W08S36" localSheetId="55" hidden="1">#REF!</definedName>
    <definedName name="BExCY5Z7X93Z8XUOEASK50W08S36" localSheetId="4" hidden="1">#REF!</definedName>
    <definedName name="BExCY5Z7X93Z8XUOEASK50W08S36" localSheetId="1" hidden="1">#REF!</definedName>
    <definedName name="BExCY5Z7X93Z8XUOEASK50W08S36" localSheetId="9" hidden="1">#REF!</definedName>
    <definedName name="BExCY5Z7X93Z8XUOEASK50W08S36" hidden="1">#REF!</definedName>
    <definedName name="BExCY6VMJ68MX3C981R5Q0BX5791" localSheetId="56" hidden="1">#REF!</definedName>
    <definedName name="BExCY6VMJ68MX3C981R5Q0BX5791" localSheetId="55" hidden="1">#REF!</definedName>
    <definedName name="BExCY6VMJ68MX3C981R5Q0BX5791" localSheetId="4" hidden="1">#REF!</definedName>
    <definedName name="BExCY6VMJ68MX3C981R5Q0BX5791" localSheetId="1" hidden="1">#REF!</definedName>
    <definedName name="BExCY6VMJ68MX3C981R5Q0BX5791" localSheetId="9" hidden="1">#REF!</definedName>
    <definedName name="BExCY6VMJ68MX3C981R5Q0BX5791" hidden="1">#REF!</definedName>
    <definedName name="BExCYAH2SAZCPW6XCB7V7PMMCAWO" localSheetId="56" hidden="1">#REF!</definedName>
    <definedName name="BExCYAH2SAZCPW6XCB7V7PMMCAWO" localSheetId="55" hidden="1">#REF!</definedName>
    <definedName name="BExCYAH2SAZCPW6XCB7V7PMMCAWO" localSheetId="4" hidden="1">#REF!</definedName>
    <definedName name="BExCYAH2SAZCPW6XCB7V7PMMCAWO" localSheetId="1" hidden="1">#REF!</definedName>
    <definedName name="BExCYAH2SAZCPW6XCB7V7PMMCAWO" localSheetId="9" hidden="1">#REF!</definedName>
    <definedName name="BExCYAH2SAZCPW6XCB7V7PMMCAWO" hidden="1">#REF!</definedName>
    <definedName name="BExCYDGYM1UGUNTB331L2E4L5F34" localSheetId="56" hidden="1">#REF!</definedName>
    <definedName name="BExCYDGYM1UGUNTB331L2E4L5F34" localSheetId="55" hidden="1">#REF!</definedName>
    <definedName name="BExCYDGYM1UGUNTB331L2E4L5F34" localSheetId="4" hidden="1">#REF!</definedName>
    <definedName name="BExCYDGYM1UGUNTB331L2E4L5F34" localSheetId="1" hidden="1">#REF!</definedName>
    <definedName name="BExCYDGYM1UGUNTB331L2E4L5F34" localSheetId="9" hidden="1">#REF!</definedName>
    <definedName name="BExCYDGYM1UGUNTB331L2E4L5F34" hidden="1">#REF!</definedName>
    <definedName name="BExCYN7KCKU1F6EXMNPQPTKNOT6A" localSheetId="56" hidden="1">#REF!</definedName>
    <definedName name="BExCYN7KCKU1F6EXMNPQPTKNOT6A" localSheetId="55" hidden="1">#REF!</definedName>
    <definedName name="BExCYN7KCKU1F6EXMNPQPTKNOT6A" localSheetId="4" hidden="1">#REF!</definedName>
    <definedName name="BExCYN7KCKU1F6EXMNPQPTKNOT6A" localSheetId="1" hidden="1">#REF!</definedName>
    <definedName name="BExCYN7KCKU1F6EXMNPQPTKNOT6A" localSheetId="9" hidden="1">#REF!</definedName>
    <definedName name="BExCYN7KCKU1F6EXMNPQPTKNOT6A" hidden="1">#REF!</definedName>
    <definedName name="BExCYPRC5HJE6N2XQTHCT6NXGP8N" localSheetId="56" hidden="1">#REF!</definedName>
    <definedName name="BExCYPRC5HJE6N2XQTHCT6NXGP8N" localSheetId="55" hidden="1">#REF!</definedName>
    <definedName name="BExCYPRC5HJE6N2XQTHCT6NXGP8N" localSheetId="4" hidden="1">#REF!</definedName>
    <definedName name="BExCYPRC5HJE6N2XQTHCT6NXGP8N" localSheetId="1" hidden="1">#REF!</definedName>
    <definedName name="BExCYPRC5HJE6N2XQTHCT6NXGP8N" localSheetId="9" hidden="1">#REF!</definedName>
    <definedName name="BExCYPRC5HJE6N2XQTHCT6NXGP8N" hidden="1">#REF!</definedName>
    <definedName name="BExCYQCX9ES8ZWW2L35B12WDNT73" localSheetId="56" hidden="1">#REF!</definedName>
    <definedName name="BExCYQCX9ES8ZWW2L35B12WDNT73" localSheetId="55" hidden="1">#REF!</definedName>
    <definedName name="BExCYQCX9ES8ZWW2L35B12WDNT73" localSheetId="4" hidden="1">#REF!</definedName>
    <definedName name="BExCYQCX9ES8ZWW2L35B12WDNT73" localSheetId="1" hidden="1">#REF!</definedName>
    <definedName name="BExCYQCX9ES8ZWW2L35B12WDNT73" localSheetId="9" hidden="1">#REF!</definedName>
    <definedName name="BExCYQCX9ES8ZWW2L35B12WDNT73" hidden="1">#REF!</definedName>
    <definedName name="BExCYSLQY2CYU7DQ3QI07UGGS6OW" localSheetId="56" hidden="1">#REF!</definedName>
    <definedName name="BExCYSLQY2CYU7DQ3QI07UGGS6OW" localSheetId="55" hidden="1">#REF!</definedName>
    <definedName name="BExCYSLQY2CYU7DQ3QI07UGGS6OW" localSheetId="4" hidden="1">#REF!</definedName>
    <definedName name="BExCYSLQY2CYU7DQ3QI07UGGS6OW" localSheetId="1" hidden="1">#REF!</definedName>
    <definedName name="BExCYSLQY2CYU7DQ3QI07UGGS6OW" localSheetId="9" hidden="1">#REF!</definedName>
    <definedName name="BExCYSLQY2CYU7DQ3QI07UGGS6OW" hidden="1">#REF!</definedName>
    <definedName name="BExCYUK0I3UEXZNFDW71G6Z6D8XR" localSheetId="56" hidden="1">#REF!</definedName>
    <definedName name="BExCYUK0I3UEXZNFDW71G6Z6D8XR" localSheetId="55" hidden="1">#REF!</definedName>
    <definedName name="BExCYUK0I3UEXZNFDW71G6Z6D8XR" localSheetId="4" hidden="1">#REF!</definedName>
    <definedName name="BExCYUK0I3UEXZNFDW71G6Z6D8XR" localSheetId="1" hidden="1">#REF!</definedName>
    <definedName name="BExCYUK0I3UEXZNFDW71G6Z6D8XR" localSheetId="9" hidden="1">#REF!</definedName>
    <definedName name="BExCYUK0I3UEXZNFDW71G6Z6D8XR" hidden="1">#REF!</definedName>
    <definedName name="BExCZFZCXMLY5DWESYJ9NGTJYQ8M" localSheetId="56" hidden="1">#REF!</definedName>
    <definedName name="BExCZFZCXMLY5DWESYJ9NGTJYQ8M" localSheetId="55" hidden="1">#REF!</definedName>
    <definedName name="BExCZFZCXMLY5DWESYJ9NGTJYQ8M" localSheetId="4" hidden="1">#REF!</definedName>
    <definedName name="BExCZFZCXMLY5DWESYJ9NGTJYQ8M" localSheetId="1" hidden="1">#REF!</definedName>
    <definedName name="BExCZFZCXMLY5DWESYJ9NGTJYQ8M" localSheetId="9" hidden="1">#REF!</definedName>
    <definedName name="BExCZFZCXMLY5DWESYJ9NGTJYQ8M" hidden="1">#REF!</definedName>
    <definedName name="BExCZJ4P8WS0BDT31WDXI0ROE7D6" localSheetId="56" hidden="1">#REF!</definedName>
    <definedName name="BExCZJ4P8WS0BDT31WDXI0ROE7D6" localSheetId="55" hidden="1">#REF!</definedName>
    <definedName name="BExCZJ4P8WS0BDT31WDXI0ROE7D6" localSheetId="4" hidden="1">#REF!</definedName>
    <definedName name="BExCZJ4P8WS0BDT31WDXI0ROE7D6" localSheetId="1" hidden="1">#REF!</definedName>
    <definedName name="BExCZJ4P8WS0BDT31WDXI0ROE7D6" localSheetId="9" hidden="1">#REF!</definedName>
    <definedName name="BExCZJ4P8WS0BDT31WDXI0ROE7D6" hidden="1">#REF!</definedName>
    <definedName name="BExCZKH6NI0EE02L995IFVBD1J59" localSheetId="56" hidden="1">#REF!</definedName>
    <definedName name="BExCZKH6NI0EE02L995IFVBD1J59" localSheetId="55" hidden="1">#REF!</definedName>
    <definedName name="BExCZKH6NI0EE02L995IFVBD1J59" localSheetId="4" hidden="1">#REF!</definedName>
    <definedName name="BExCZKH6NI0EE02L995IFVBD1J59" localSheetId="1" hidden="1">#REF!</definedName>
    <definedName name="BExCZKH6NI0EE02L995IFVBD1J59" localSheetId="9" hidden="1">#REF!</definedName>
    <definedName name="BExCZKH6NI0EE02L995IFVBD1J59" hidden="1">#REF!</definedName>
    <definedName name="BExCZNRWARGGHWLSC1PEDZFLF3JV" localSheetId="56" hidden="1">#REF!</definedName>
    <definedName name="BExCZNRWARGGHWLSC1PEDZFLF3JV" localSheetId="55" hidden="1">#REF!</definedName>
    <definedName name="BExCZNRWARGGHWLSC1PEDZFLF3JV" localSheetId="4" hidden="1">#REF!</definedName>
    <definedName name="BExCZNRWARGGHWLSC1PEDZFLF3JV" localSheetId="1" hidden="1">#REF!</definedName>
    <definedName name="BExCZNRWARGGHWLSC1PEDZFLF3JV" localSheetId="9" hidden="1">#REF!</definedName>
    <definedName name="BExCZNRWARGGHWLSC1PEDZFLF3JV" hidden="1">#REF!</definedName>
    <definedName name="BExCZP9TBB61HISZ2U5QMQSO2LBE" localSheetId="56" hidden="1">#REF!</definedName>
    <definedName name="BExCZP9TBB61HISZ2U5QMQSO2LBE" localSheetId="55" hidden="1">#REF!</definedName>
    <definedName name="BExCZP9TBB61HISZ2U5QMQSO2LBE" localSheetId="4" hidden="1">#REF!</definedName>
    <definedName name="BExCZP9TBB61HISZ2U5QMQSO2LBE" localSheetId="1" hidden="1">#REF!</definedName>
    <definedName name="BExCZP9TBB61HISZ2U5QMQSO2LBE" localSheetId="9" hidden="1">#REF!</definedName>
    <definedName name="BExCZP9TBB61HISZ2U5QMQSO2LBE" hidden="1">#REF!</definedName>
    <definedName name="BExCZUD9FEOJBKDJ51Z3JON9LKJ8" localSheetId="56" hidden="1">#REF!</definedName>
    <definedName name="BExCZUD9FEOJBKDJ51Z3JON9LKJ8" localSheetId="55" hidden="1">#REF!</definedName>
    <definedName name="BExCZUD9FEOJBKDJ51Z3JON9LKJ8" localSheetId="4" hidden="1">#REF!</definedName>
    <definedName name="BExCZUD9FEOJBKDJ51Z3JON9LKJ8" localSheetId="1" hidden="1">#REF!</definedName>
    <definedName name="BExCZUD9FEOJBKDJ51Z3JON9LKJ8" localSheetId="9" hidden="1">#REF!</definedName>
    <definedName name="BExCZUD9FEOJBKDJ51Z3JON9LKJ8" hidden="1">#REF!</definedName>
    <definedName name="BExD0AUOVQT3UL53T2KUVJNGD0QF" localSheetId="56" hidden="1">#REF!</definedName>
    <definedName name="BExD0AUOVQT3UL53T2KUVJNGD0QF" localSheetId="55" hidden="1">#REF!</definedName>
    <definedName name="BExD0AUOVQT3UL53T2KUVJNGD0QF" localSheetId="4" hidden="1">#REF!</definedName>
    <definedName name="BExD0AUOVQT3UL53T2KUVJNGD0QF" localSheetId="1" hidden="1">#REF!</definedName>
    <definedName name="BExD0AUOVQT3UL53T2KUVJNGD0QF" localSheetId="9" hidden="1">#REF!</definedName>
    <definedName name="BExD0AUOVQT3UL53T2KUVJNGD0QF" hidden="1">#REF!</definedName>
    <definedName name="BExD0HALIN0JR4JTPGDEVAEE5EX5" localSheetId="56" hidden="1">#REF!</definedName>
    <definedName name="BExD0HALIN0JR4JTPGDEVAEE5EX5" localSheetId="55" hidden="1">#REF!</definedName>
    <definedName name="BExD0HALIN0JR4JTPGDEVAEE5EX5" localSheetId="4" hidden="1">#REF!</definedName>
    <definedName name="BExD0HALIN0JR4JTPGDEVAEE5EX5" localSheetId="1" hidden="1">#REF!</definedName>
    <definedName name="BExD0HALIN0JR4JTPGDEVAEE5EX5" localSheetId="9" hidden="1">#REF!</definedName>
    <definedName name="BExD0HALIN0JR4JTPGDEVAEE5EX5" hidden="1">#REF!</definedName>
    <definedName name="BExD0LCCDPG16YLY5WQSZF1XI5DA" localSheetId="56" hidden="1">#REF!</definedName>
    <definedName name="BExD0LCCDPG16YLY5WQSZF1XI5DA" localSheetId="55" hidden="1">#REF!</definedName>
    <definedName name="BExD0LCCDPG16YLY5WQSZF1XI5DA" localSheetId="4" hidden="1">#REF!</definedName>
    <definedName name="BExD0LCCDPG16YLY5WQSZF1XI5DA" localSheetId="1" hidden="1">#REF!</definedName>
    <definedName name="BExD0LCCDPG16YLY5WQSZF1XI5DA" localSheetId="9" hidden="1">#REF!</definedName>
    <definedName name="BExD0LCCDPG16YLY5WQSZF1XI5DA" hidden="1">#REF!</definedName>
    <definedName name="BExD0RMWSB4TRECEHTH6NN4K9DFZ" localSheetId="56" hidden="1">#REF!</definedName>
    <definedName name="BExD0RMWSB4TRECEHTH6NN4K9DFZ" localSheetId="55" hidden="1">#REF!</definedName>
    <definedName name="BExD0RMWSB4TRECEHTH6NN4K9DFZ" localSheetId="4" hidden="1">#REF!</definedName>
    <definedName name="BExD0RMWSB4TRECEHTH6NN4K9DFZ" localSheetId="1" hidden="1">#REF!</definedName>
    <definedName name="BExD0RMWSB4TRECEHTH6NN4K9DFZ" localSheetId="9" hidden="1">#REF!</definedName>
    <definedName name="BExD0RMWSB4TRECEHTH6NN4K9DFZ" hidden="1">#REF!</definedName>
    <definedName name="BExD0U6KG10QGVDI1XSHK0J10A2V" localSheetId="56" hidden="1">#REF!</definedName>
    <definedName name="BExD0U6KG10QGVDI1XSHK0J10A2V" localSheetId="55" hidden="1">#REF!</definedName>
    <definedName name="BExD0U6KG10QGVDI1XSHK0J10A2V" localSheetId="4" hidden="1">#REF!</definedName>
    <definedName name="BExD0U6KG10QGVDI1XSHK0J10A2V" localSheetId="1" hidden="1">#REF!</definedName>
    <definedName name="BExD0U6KG10QGVDI1XSHK0J10A2V" localSheetId="9" hidden="1">#REF!</definedName>
    <definedName name="BExD0U6KG10QGVDI1XSHK0J10A2V" hidden="1">#REF!</definedName>
    <definedName name="BExD0WQ6EQ2G82IAJI3FDQKGZH18" localSheetId="56" hidden="1">#REF!</definedName>
    <definedName name="BExD0WQ6EQ2G82IAJI3FDQKGZH18" localSheetId="55" hidden="1">#REF!</definedName>
    <definedName name="BExD0WQ6EQ2G82IAJI3FDQKGZH18" localSheetId="4" hidden="1">#REF!</definedName>
    <definedName name="BExD0WQ6EQ2G82IAJI3FDQKGZH18" localSheetId="1" hidden="1">#REF!</definedName>
    <definedName name="BExD0WQ6EQ2G82IAJI3FDQKGZH18" localSheetId="9" hidden="1">#REF!</definedName>
    <definedName name="BExD0WQ6EQ2G82IAJI3FDQKGZH18" hidden="1">#REF!</definedName>
    <definedName name="BExD13RUIBGRXDL4QDZ305UKUR12" localSheetId="56" hidden="1">#REF!</definedName>
    <definedName name="BExD13RUIBGRXDL4QDZ305UKUR12" localSheetId="55" hidden="1">#REF!</definedName>
    <definedName name="BExD13RUIBGRXDL4QDZ305UKUR12" localSheetId="4" hidden="1">#REF!</definedName>
    <definedName name="BExD13RUIBGRXDL4QDZ305UKUR12" localSheetId="1" hidden="1">#REF!</definedName>
    <definedName name="BExD13RUIBGRXDL4QDZ305UKUR12" localSheetId="9" hidden="1">#REF!</definedName>
    <definedName name="BExD13RUIBGRXDL4QDZ305UKUR12" hidden="1">#REF!</definedName>
    <definedName name="BExD14DETV5R4OOTMAXD5NAKWRO3" localSheetId="56" hidden="1">#REF!</definedName>
    <definedName name="BExD14DETV5R4OOTMAXD5NAKWRO3" localSheetId="55" hidden="1">#REF!</definedName>
    <definedName name="BExD14DETV5R4OOTMAXD5NAKWRO3" localSheetId="4" hidden="1">#REF!</definedName>
    <definedName name="BExD14DETV5R4OOTMAXD5NAKWRO3" localSheetId="1" hidden="1">#REF!</definedName>
    <definedName name="BExD14DETV5R4OOTMAXD5NAKWRO3" localSheetId="9" hidden="1">#REF!</definedName>
    <definedName name="BExD14DETV5R4OOTMAXD5NAKWRO3" hidden="1">#REF!</definedName>
    <definedName name="BExD1MI40YRCBI7KT4S9YHQJUO06" localSheetId="56" hidden="1">#REF!</definedName>
    <definedName name="BExD1MI40YRCBI7KT4S9YHQJUO06" localSheetId="55" hidden="1">#REF!</definedName>
    <definedName name="BExD1MI40YRCBI7KT4S9YHQJUO06" localSheetId="4" hidden="1">#REF!</definedName>
    <definedName name="BExD1MI40YRCBI7KT4S9YHQJUO06" localSheetId="1" hidden="1">#REF!</definedName>
    <definedName name="BExD1MI40YRCBI7KT4S9YHQJUO06" localSheetId="9" hidden="1">#REF!</definedName>
    <definedName name="BExD1MI40YRCBI7KT4S9YHQJUO06" hidden="1">#REF!</definedName>
    <definedName name="BExD1OAU9OXQAZA4D70HP72CU6GB" localSheetId="56" hidden="1">#REF!</definedName>
    <definedName name="BExD1OAU9OXQAZA4D70HP72CU6GB" localSheetId="55" hidden="1">#REF!</definedName>
    <definedName name="BExD1OAU9OXQAZA4D70HP72CU6GB" localSheetId="4" hidden="1">#REF!</definedName>
    <definedName name="BExD1OAU9OXQAZA4D70HP72CU6GB" localSheetId="1" hidden="1">#REF!</definedName>
    <definedName name="BExD1OAU9OXQAZA4D70HP72CU6GB" localSheetId="9" hidden="1">#REF!</definedName>
    <definedName name="BExD1OAU9OXQAZA4D70HP72CU6GB" hidden="1">#REF!</definedName>
    <definedName name="BExD1T8WPV0G6YOX7WMAIZD8XNBK" localSheetId="56" hidden="1">#REF!</definedName>
    <definedName name="BExD1T8WPV0G6YOX7WMAIZD8XNBK" localSheetId="55" hidden="1">#REF!</definedName>
    <definedName name="BExD1T8WPV0G6YOX7WMAIZD8XNBK" localSheetId="4" hidden="1">#REF!</definedName>
    <definedName name="BExD1T8WPV0G6YOX7WMAIZD8XNBK" localSheetId="1" hidden="1">#REF!</definedName>
    <definedName name="BExD1T8WPV0G6YOX7WMAIZD8XNBK" localSheetId="9" hidden="1">#REF!</definedName>
    <definedName name="BExD1T8WPV0G6YOX7WMAIZD8XNBK" hidden="1">#REF!</definedName>
    <definedName name="BExD1Y1JV61416YA1XRQHKWPZIE7" localSheetId="56" hidden="1">#REF!</definedName>
    <definedName name="BExD1Y1JV61416YA1XRQHKWPZIE7" localSheetId="55" hidden="1">#REF!</definedName>
    <definedName name="BExD1Y1JV61416YA1XRQHKWPZIE7" localSheetId="4" hidden="1">#REF!</definedName>
    <definedName name="BExD1Y1JV61416YA1XRQHKWPZIE7" localSheetId="1" hidden="1">#REF!</definedName>
    <definedName name="BExD1Y1JV61416YA1XRQHKWPZIE7" localSheetId="9" hidden="1">#REF!</definedName>
    <definedName name="BExD1Y1JV61416YA1XRQHKWPZIE7" hidden="1">#REF!</definedName>
    <definedName name="BExD2CFHIRMBKN5KXE5QP4XXEWFS" localSheetId="56" hidden="1">#REF!</definedName>
    <definedName name="BExD2CFHIRMBKN5KXE5QP4XXEWFS" localSheetId="55" hidden="1">#REF!</definedName>
    <definedName name="BExD2CFHIRMBKN5KXE5QP4XXEWFS" localSheetId="4" hidden="1">#REF!</definedName>
    <definedName name="BExD2CFHIRMBKN5KXE5QP4XXEWFS" localSheetId="1" hidden="1">#REF!</definedName>
    <definedName name="BExD2CFHIRMBKN5KXE5QP4XXEWFS" localSheetId="9" hidden="1">#REF!</definedName>
    <definedName name="BExD2CFHIRMBKN5KXE5QP4XXEWFS" hidden="1">#REF!</definedName>
    <definedName name="BExD2DMHH1HWXQ9W0YYMDP8AAX8Q" localSheetId="56" hidden="1">#REF!</definedName>
    <definedName name="BExD2DMHH1HWXQ9W0YYMDP8AAX8Q" localSheetId="55" hidden="1">#REF!</definedName>
    <definedName name="BExD2DMHH1HWXQ9W0YYMDP8AAX8Q" localSheetId="4" hidden="1">#REF!</definedName>
    <definedName name="BExD2DMHH1HWXQ9W0YYMDP8AAX8Q" localSheetId="1" hidden="1">#REF!</definedName>
    <definedName name="BExD2DMHH1HWXQ9W0YYMDP8AAX8Q" localSheetId="9" hidden="1">#REF!</definedName>
    <definedName name="BExD2DMHH1HWXQ9W0YYMDP8AAX8Q" hidden="1">#REF!</definedName>
    <definedName name="BExD2HTPC7IWBAU6OSQ67MQA8BYZ" localSheetId="56" hidden="1">#REF!</definedName>
    <definedName name="BExD2HTPC7IWBAU6OSQ67MQA8BYZ" localSheetId="55" hidden="1">#REF!</definedName>
    <definedName name="BExD2HTPC7IWBAU6OSQ67MQA8BYZ" localSheetId="4" hidden="1">#REF!</definedName>
    <definedName name="BExD2HTPC7IWBAU6OSQ67MQA8BYZ" localSheetId="1" hidden="1">#REF!</definedName>
    <definedName name="BExD2HTPC7IWBAU6OSQ67MQA8BYZ" localSheetId="9" hidden="1">#REF!</definedName>
    <definedName name="BExD2HTPC7IWBAU6OSQ67MQA8BYZ" hidden="1">#REF!</definedName>
    <definedName name="BExD2PWTVQ2CXNG6B7UDL8FIMXBH" localSheetId="56" hidden="1">#REF!</definedName>
    <definedName name="BExD2PWTVQ2CXNG6B7UDL8FIMXBH" localSheetId="55" hidden="1">#REF!</definedName>
    <definedName name="BExD2PWTVQ2CXNG6B7UDL8FIMXBH" localSheetId="4" hidden="1">#REF!</definedName>
    <definedName name="BExD2PWTVQ2CXNG6B7UDL8FIMXBH" localSheetId="1" hidden="1">#REF!</definedName>
    <definedName name="BExD2PWTVQ2CXNG6B7UDL8FIMXBH" localSheetId="9" hidden="1">#REF!</definedName>
    <definedName name="BExD2PWTVQ2CXNG6B7UDL8FIMXBH" hidden="1">#REF!</definedName>
    <definedName name="BExD2X9AQ03EX1AVVX44CXLXRPTI" localSheetId="56" hidden="1">#REF!</definedName>
    <definedName name="BExD2X9AQ03EX1AVVX44CXLXRPTI" localSheetId="55" hidden="1">#REF!</definedName>
    <definedName name="BExD2X9AQ03EX1AVVX44CXLXRPTI" localSheetId="4" hidden="1">#REF!</definedName>
    <definedName name="BExD2X9AQ03EX1AVVX44CXLXRPTI" localSheetId="1" hidden="1">#REF!</definedName>
    <definedName name="BExD2X9AQ03EX1AVVX44CXLXRPTI" localSheetId="9" hidden="1">#REF!</definedName>
    <definedName name="BExD2X9AQ03EX1AVVX44CXLXRPTI" hidden="1">#REF!</definedName>
    <definedName name="BExD2ZNL9MWJOEL2575KJZBDP2A6" localSheetId="56" hidden="1">#REF!</definedName>
    <definedName name="BExD2ZNL9MWJOEL2575KJZBDP2A6" localSheetId="55" hidden="1">#REF!</definedName>
    <definedName name="BExD2ZNL9MWJOEL2575KJZBDP2A6" localSheetId="4" hidden="1">#REF!</definedName>
    <definedName name="BExD2ZNL9MWJOEL2575KJZBDP2A6" localSheetId="1" hidden="1">#REF!</definedName>
    <definedName name="BExD2ZNL9MWJOEL2575KJZBDP2A6" localSheetId="9" hidden="1">#REF!</definedName>
    <definedName name="BExD2ZNL9MWJOEL2575KJZBDP2A6" hidden="1">#REF!</definedName>
    <definedName name="BExD34G79JRMB8BZRVN81P1H9MSB" localSheetId="56" hidden="1">#REF!</definedName>
    <definedName name="BExD34G79JRMB8BZRVN81P1H9MSB" localSheetId="55" hidden="1">#REF!</definedName>
    <definedName name="BExD34G79JRMB8BZRVN81P1H9MSB" localSheetId="4" hidden="1">#REF!</definedName>
    <definedName name="BExD34G79JRMB8BZRVN81P1H9MSB" localSheetId="1" hidden="1">#REF!</definedName>
    <definedName name="BExD34G79JRMB8BZRVN81P1H9MSB" localSheetId="9" hidden="1">#REF!</definedName>
    <definedName name="BExD34G79JRMB8BZRVN81P1H9MSB" hidden="1">#REF!</definedName>
    <definedName name="BExD35CL2NULPPEHAM954ETQIJA2" localSheetId="56" hidden="1">#REF!</definedName>
    <definedName name="BExD35CL2NULPPEHAM954ETQIJA2" localSheetId="55" hidden="1">#REF!</definedName>
    <definedName name="BExD35CL2NULPPEHAM954ETQIJA2" localSheetId="4" hidden="1">#REF!</definedName>
    <definedName name="BExD35CL2NULPPEHAM954ETQIJA2" localSheetId="1" hidden="1">#REF!</definedName>
    <definedName name="BExD35CL2NULPPEHAM954ETQIJA2" localSheetId="9" hidden="1">#REF!</definedName>
    <definedName name="BExD35CL2NULPPEHAM954ETQIJA2" hidden="1">#REF!</definedName>
    <definedName name="BExD363H2VGFIQUCE6LS4AC5J0ZT" localSheetId="56" hidden="1">#REF!</definedName>
    <definedName name="BExD363H2VGFIQUCE6LS4AC5J0ZT" localSheetId="55" hidden="1">#REF!</definedName>
    <definedName name="BExD363H2VGFIQUCE6LS4AC5J0ZT" localSheetId="4" hidden="1">#REF!</definedName>
    <definedName name="BExD363H2VGFIQUCE6LS4AC5J0ZT" localSheetId="1" hidden="1">#REF!</definedName>
    <definedName name="BExD363H2VGFIQUCE6LS4AC5J0ZT" localSheetId="9" hidden="1">#REF!</definedName>
    <definedName name="BExD363H2VGFIQUCE6LS4AC5J0ZT" hidden="1">#REF!</definedName>
    <definedName name="BExD3A588E939V61P1XEW0FI5Q0S" localSheetId="56" hidden="1">#REF!</definedName>
    <definedName name="BExD3A588E939V61P1XEW0FI5Q0S" localSheetId="55" hidden="1">#REF!</definedName>
    <definedName name="BExD3A588E939V61P1XEW0FI5Q0S" localSheetId="4" hidden="1">#REF!</definedName>
    <definedName name="BExD3A588E939V61P1XEW0FI5Q0S" localSheetId="1" hidden="1">#REF!</definedName>
    <definedName name="BExD3A588E939V61P1XEW0FI5Q0S" localSheetId="9" hidden="1">#REF!</definedName>
    <definedName name="BExD3A588E939V61P1XEW0FI5Q0S" hidden="1">#REF!</definedName>
    <definedName name="BExD3CJJDKVR9M18XI3WDZH80WL6" localSheetId="56" hidden="1">#REF!</definedName>
    <definedName name="BExD3CJJDKVR9M18XI3WDZH80WL6" localSheetId="55" hidden="1">#REF!</definedName>
    <definedName name="BExD3CJJDKVR9M18XI3WDZH80WL6" localSheetId="4" hidden="1">#REF!</definedName>
    <definedName name="BExD3CJJDKVR9M18XI3WDZH80WL6" localSheetId="1" hidden="1">#REF!</definedName>
    <definedName name="BExD3CJJDKVR9M18XI3WDZH80WL6" localSheetId="9" hidden="1">#REF!</definedName>
    <definedName name="BExD3CJJDKVR9M18XI3WDZH80WL6" hidden="1">#REF!</definedName>
    <definedName name="BExD3ESD9WYJIB3TRDPJ1CKXRAVL" localSheetId="56" hidden="1">#REF!</definedName>
    <definedName name="BExD3ESD9WYJIB3TRDPJ1CKXRAVL" localSheetId="55" hidden="1">#REF!</definedName>
    <definedName name="BExD3ESD9WYJIB3TRDPJ1CKXRAVL" localSheetId="4" hidden="1">#REF!</definedName>
    <definedName name="BExD3ESD9WYJIB3TRDPJ1CKXRAVL" localSheetId="1" hidden="1">#REF!</definedName>
    <definedName name="BExD3ESD9WYJIB3TRDPJ1CKXRAVL" localSheetId="9" hidden="1">#REF!</definedName>
    <definedName name="BExD3ESD9WYJIB3TRDPJ1CKXRAVL" hidden="1">#REF!</definedName>
    <definedName name="BExD3F368X5S25MWSUNIV57RDB57" localSheetId="56" hidden="1">#REF!</definedName>
    <definedName name="BExD3F368X5S25MWSUNIV57RDB57" localSheetId="55" hidden="1">#REF!</definedName>
    <definedName name="BExD3F368X5S25MWSUNIV57RDB57" localSheetId="4" hidden="1">#REF!</definedName>
    <definedName name="BExD3F368X5S25MWSUNIV57RDB57" localSheetId="1" hidden="1">#REF!</definedName>
    <definedName name="BExD3F368X5S25MWSUNIV57RDB57" localSheetId="9" hidden="1">#REF!</definedName>
    <definedName name="BExD3F368X5S25MWSUNIV57RDB57" hidden="1">#REF!</definedName>
    <definedName name="BExD3I8JTNF4LTMFY6GRVDJ6VLGG" localSheetId="56" hidden="1">#REF!</definedName>
    <definedName name="BExD3I8JTNF4LTMFY6GRVDJ6VLGG" localSheetId="55" hidden="1">#REF!</definedName>
    <definedName name="BExD3I8JTNF4LTMFY6GRVDJ6VLGG" localSheetId="4" hidden="1">#REF!</definedName>
    <definedName name="BExD3I8JTNF4LTMFY6GRVDJ6VLGG" localSheetId="1" hidden="1">#REF!</definedName>
    <definedName name="BExD3I8JTNF4LTMFY6GRVDJ6VLGG" localSheetId="9" hidden="1">#REF!</definedName>
    <definedName name="BExD3I8JTNF4LTMFY6GRVDJ6VLGG" hidden="1">#REF!</definedName>
    <definedName name="BExD3IJ5IT335SOSNV9L85WKAOSI" localSheetId="56" hidden="1">#REF!</definedName>
    <definedName name="BExD3IJ5IT335SOSNV9L85WKAOSI" localSheetId="55" hidden="1">#REF!</definedName>
    <definedName name="BExD3IJ5IT335SOSNV9L85WKAOSI" localSheetId="4" hidden="1">#REF!</definedName>
    <definedName name="BExD3IJ5IT335SOSNV9L85WKAOSI" localSheetId="1" hidden="1">#REF!</definedName>
    <definedName name="BExD3IJ5IT335SOSNV9L85WKAOSI" localSheetId="9" hidden="1">#REF!</definedName>
    <definedName name="BExD3IJ5IT335SOSNV9L85WKAOSI" hidden="1">#REF!</definedName>
    <definedName name="BExD3KBVUY57GMMQTOFEU6S6G1AY" localSheetId="56" hidden="1">#REF!</definedName>
    <definedName name="BExD3KBVUY57GMMQTOFEU6S6G1AY" localSheetId="55" hidden="1">#REF!</definedName>
    <definedName name="BExD3KBVUY57GMMQTOFEU6S6G1AY" localSheetId="4" hidden="1">#REF!</definedName>
    <definedName name="BExD3KBVUY57GMMQTOFEU6S6G1AY" localSheetId="1" hidden="1">#REF!</definedName>
    <definedName name="BExD3KBVUY57GMMQTOFEU6S6G1AY" localSheetId="9" hidden="1">#REF!</definedName>
    <definedName name="BExD3KBVUY57GMMQTOFEU6S6G1AY" hidden="1">#REF!</definedName>
    <definedName name="BExD3NMR7AW2Z6V8SC79VQR37NA6" localSheetId="56" hidden="1">#REF!</definedName>
    <definedName name="BExD3NMR7AW2Z6V8SC79VQR37NA6" localSheetId="55" hidden="1">#REF!</definedName>
    <definedName name="BExD3NMR7AW2Z6V8SC79VQR37NA6" localSheetId="4" hidden="1">#REF!</definedName>
    <definedName name="BExD3NMR7AW2Z6V8SC79VQR37NA6" localSheetId="1" hidden="1">#REF!</definedName>
    <definedName name="BExD3NMR7AW2Z6V8SC79VQR37NA6" localSheetId="9" hidden="1">#REF!</definedName>
    <definedName name="BExD3NMR7AW2Z6V8SC79VQR37NA6" hidden="1">#REF!</definedName>
    <definedName name="BExD3QXA2UQ2W4N7NYLUEOG40BZB" localSheetId="56" hidden="1">#REF!</definedName>
    <definedName name="BExD3QXA2UQ2W4N7NYLUEOG40BZB" localSheetId="55" hidden="1">#REF!</definedName>
    <definedName name="BExD3QXA2UQ2W4N7NYLUEOG40BZB" localSheetId="4" hidden="1">#REF!</definedName>
    <definedName name="BExD3QXA2UQ2W4N7NYLUEOG40BZB" localSheetId="1" hidden="1">#REF!</definedName>
    <definedName name="BExD3QXA2UQ2W4N7NYLUEOG40BZB" localSheetId="9" hidden="1">#REF!</definedName>
    <definedName name="BExD3QXA2UQ2W4N7NYLUEOG40BZB" hidden="1">#REF!</definedName>
    <definedName name="BExD3U2N041TEJ7GCN005UTPHNXY" localSheetId="56" hidden="1">#REF!</definedName>
    <definedName name="BExD3U2N041TEJ7GCN005UTPHNXY" localSheetId="55" hidden="1">#REF!</definedName>
    <definedName name="BExD3U2N041TEJ7GCN005UTPHNXY" localSheetId="4" hidden="1">#REF!</definedName>
    <definedName name="BExD3U2N041TEJ7GCN005UTPHNXY" localSheetId="1" hidden="1">#REF!</definedName>
    <definedName name="BExD3U2N041TEJ7GCN005UTPHNXY" localSheetId="9" hidden="1">#REF!</definedName>
    <definedName name="BExD3U2N041TEJ7GCN005UTPHNXY" hidden="1">#REF!</definedName>
    <definedName name="BExD3VPY5VEI1LLQ4I16T16251DT" localSheetId="56" hidden="1">#REF!</definedName>
    <definedName name="BExD3VPY5VEI1LLQ4I16T16251DT" localSheetId="55" hidden="1">#REF!</definedName>
    <definedName name="BExD3VPY5VEI1LLQ4I16T16251DT" localSheetId="4" hidden="1">#REF!</definedName>
    <definedName name="BExD3VPY5VEI1LLQ4I16T16251DT" localSheetId="1" hidden="1">#REF!</definedName>
    <definedName name="BExD3VPY5VEI1LLQ4I16T16251DT" localSheetId="9" hidden="1">#REF!</definedName>
    <definedName name="BExD3VPY5VEI1LLQ4I16T16251DT" hidden="1">#REF!</definedName>
    <definedName name="BExD3XIUEZZ1KIHV7CPS7DKUGIN8" localSheetId="56" hidden="1">#REF!</definedName>
    <definedName name="BExD3XIUEZZ1KIHV7CPS7DKUGIN8" localSheetId="55" hidden="1">#REF!</definedName>
    <definedName name="BExD3XIUEZZ1KIHV7CPS7DKUGIN8" localSheetId="4" hidden="1">#REF!</definedName>
    <definedName name="BExD3XIUEZZ1KIHV7CPS7DKUGIN8" localSheetId="1" hidden="1">#REF!</definedName>
    <definedName name="BExD3XIUEZZ1KIHV7CPS7DKUGIN8" localSheetId="9" hidden="1">#REF!</definedName>
    <definedName name="BExD3XIUEZZ1KIHV7CPS7DKUGIN8" hidden="1">#REF!</definedName>
    <definedName name="BExD40O0CFTNJFOFMMM1KH0P7BUI" localSheetId="56" hidden="1">#REF!</definedName>
    <definedName name="BExD40O0CFTNJFOFMMM1KH0P7BUI" localSheetId="55" hidden="1">#REF!</definedName>
    <definedName name="BExD40O0CFTNJFOFMMM1KH0P7BUI" localSheetId="4" hidden="1">#REF!</definedName>
    <definedName name="BExD40O0CFTNJFOFMMM1KH0P7BUI" localSheetId="1" hidden="1">#REF!</definedName>
    <definedName name="BExD40O0CFTNJFOFMMM1KH0P7BUI" localSheetId="9" hidden="1">#REF!</definedName>
    <definedName name="BExD40O0CFTNJFOFMMM1KH0P7BUI" hidden="1">#REF!</definedName>
    <definedName name="BExD47UYINTJY1PDIW2S1FZ8ZMIO" localSheetId="56" hidden="1">#REF!</definedName>
    <definedName name="BExD47UYINTJY1PDIW2S1FZ8ZMIO" localSheetId="55" hidden="1">#REF!</definedName>
    <definedName name="BExD47UYINTJY1PDIW2S1FZ8ZMIO" localSheetId="4" hidden="1">#REF!</definedName>
    <definedName name="BExD47UYINTJY1PDIW2S1FZ8ZMIO" localSheetId="1" hidden="1">#REF!</definedName>
    <definedName name="BExD47UYINTJY1PDIW2S1FZ8ZMIO" localSheetId="9" hidden="1">#REF!</definedName>
    <definedName name="BExD47UYINTJY1PDIW2S1FZ8ZMIO" hidden="1">#REF!</definedName>
    <definedName name="BExD4BR9HJ3MWWZ5KLVZWX9FJAUS" localSheetId="56" hidden="1">#REF!</definedName>
    <definedName name="BExD4BR9HJ3MWWZ5KLVZWX9FJAUS" localSheetId="55" hidden="1">#REF!</definedName>
    <definedName name="BExD4BR9HJ3MWWZ5KLVZWX9FJAUS" localSheetId="4" hidden="1">#REF!</definedName>
    <definedName name="BExD4BR9HJ3MWWZ5KLVZWX9FJAUS" localSheetId="1" hidden="1">#REF!</definedName>
    <definedName name="BExD4BR9HJ3MWWZ5KLVZWX9FJAUS" localSheetId="9" hidden="1">#REF!</definedName>
    <definedName name="BExD4BR9HJ3MWWZ5KLVZWX9FJAUS" hidden="1">#REF!</definedName>
    <definedName name="BExD4F1WTKT3H0N9MF4H1LX7MBSY" localSheetId="56" hidden="1">#REF!</definedName>
    <definedName name="BExD4F1WTKT3H0N9MF4H1LX7MBSY" localSheetId="55" hidden="1">#REF!</definedName>
    <definedName name="BExD4F1WTKT3H0N9MF4H1LX7MBSY" localSheetId="4" hidden="1">#REF!</definedName>
    <definedName name="BExD4F1WTKT3H0N9MF4H1LX7MBSY" localSheetId="1" hidden="1">#REF!</definedName>
    <definedName name="BExD4F1WTKT3H0N9MF4H1LX7MBSY" localSheetId="9" hidden="1">#REF!</definedName>
    <definedName name="BExD4F1WTKT3H0N9MF4H1LX7MBSY" hidden="1">#REF!</definedName>
    <definedName name="BExD4H5GQWXBS6LUL3TSP36DVO38" localSheetId="56" hidden="1">#REF!</definedName>
    <definedName name="BExD4H5GQWXBS6LUL3TSP36DVO38" localSheetId="55" hidden="1">#REF!</definedName>
    <definedName name="BExD4H5GQWXBS6LUL3TSP36DVO38" localSheetId="4" hidden="1">#REF!</definedName>
    <definedName name="BExD4H5GQWXBS6LUL3TSP36DVO38" localSheetId="1" hidden="1">#REF!</definedName>
    <definedName name="BExD4H5GQWXBS6LUL3TSP36DVO38" localSheetId="9" hidden="1">#REF!</definedName>
    <definedName name="BExD4H5GQWXBS6LUL3TSP36DVO38" hidden="1">#REF!</definedName>
    <definedName name="BExD4JJSS3QDBLABCJCHD45SRNPI" localSheetId="56" hidden="1">#REF!</definedName>
    <definedName name="BExD4JJSS3QDBLABCJCHD45SRNPI" localSheetId="55" hidden="1">#REF!</definedName>
    <definedName name="BExD4JJSS3QDBLABCJCHD45SRNPI" localSheetId="4" hidden="1">#REF!</definedName>
    <definedName name="BExD4JJSS3QDBLABCJCHD45SRNPI" localSheetId="1" hidden="1">#REF!</definedName>
    <definedName name="BExD4JJSS3QDBLABCJCHD45SRNPI" localSheetId="9" hidden="1">#REF!</definedName>
    <definedName name="BExD4JJSS3QDBLABCJCHD45SRNPI" hidden="1">#REF!</definedName>
    <definedName name="BExD4QQQ7V9LH5WWBJA3HKJXLVP6" localSheetId="56" hidden="1">#REF!</definedName>
    <definedName name="BExD4QQQ7V9LH5WWBJA3HKJXLVP6" localSheetId="55" hidden="1">#REF!</definedName>
    <definedName name="BExD4QQQ7V9LH5WWBJA3HKJXLVP6" localSheetId="4" hidden="1">#REF!</definedName>
    <definedName name="BExD4QQQ7V9LH5WWBJA3HKJXLVP6" localSheetId="1" hidden="1">#REF!</definedName>
    <definedName name="BExD4QQQ7V9LH5WWBJA3HKJXLVP6" localSheetId="9" hidden="1">#REF!</definedName>
    <definedName name="BExD4QQQ7V9LH5WWBJA3HKJXLVP6" hidden="1">#REF!</definedName>
    <definedName name="BExD4R1I0MKF033I5LPUYIMTZ6E8" localSheetId="56" hidden="1">#REF!</definedName>
    <definedName name="BExD4R1I0MKF033I5LPUYIMTZ6E8" localSheetId="55" hidden="1">#REF!</definedName>
    <definedName name="BExD4R1I0MKF033I5LPUYIMTZ6E8" localSheetId="4" hidden="1">#REF!</definedName>
    <definedName name="BExD4R1I0MKF033I5LPUYIMTZ6E8" localSheetId="1" hidden="1">#REF!</definedName>
    <definedName name="BExD4R1I0MKF033I5LPUYIMTZ6E8" localSheetId="9" hidden="1">#REF!</definedName>
    <definedName name="BExD4R1I0MKF033I5LPUYIMTZ6E8" hidden="1">#REF!</definedName>
    <definedName name="BExD50MT3M6XZLNUP9JL93EG6D9R" localSheetId="56" hidden="1">#REF!</definedName>
    <definedName name="BExD50MT3M6XZLNUP9JL93EG6D9R" localSheetId="55" hidden="1">#REF!</definedName>
    <definedName name="BExD50MT3M6XZLNUP9JL93EG6D9R" localSheetId="4" hidden="1">#REF!</definedName>
    <definedName name="BExD50MT3M6XZLNUP9JL93EG6D9R" localSheetId="1" hidden="1">#REF!</definedName>
    <definedName name="BExD50MT3M6XZLNUP9JL93EG6D9R" localSheetId="9" hidden="1">#REF!</definedName>
    <definedName name="BExD50MT3M6XZLNUP9JL93EG6D9R" hidden="1">#REF!</definedName>
    <definedName name="BExD5EV7KDSVF1CJT38M4IBPFLPY" localSheetId="56" hidden="1">#REF!</definedName>
    <definedName name="BExD5EV7KDSVF1CJT38M4IBPFLPY" localSheetId="55" hidden="1">#REF!</definedName>
    <definedName name="BExD5EV7KDSVF1CJT38M4IBPFLPY" localSheetId="4" hidden="1">#REF!</definedName>
    <definedName name="BExD5EV7KDSVF1CJT38M4IBPFLPY" localSheetId="1" hidden="1">#REF!</definedName>
    <definedName name="BExD5EV7KDSVF1CJT38M4IBPFLPY" localSheetId="9" hidden="1">#REF!</definedName>
    <definedName name="BExD5EV7KDSVF1CJT38M4IBPFLPY" hidden="1">#REF!</definedName>
    <definedName name="BExD5FRK547OESJRYAW574DZEZ7J" localSheetId="56" hidden="1">#REF!</definedName>
    <definedName name="BExD5FRK547OESJRYAW574DZEZ7J" localSheetId="55" hidden="1">#REF!</definedName>
    <definedName name="BExD5FRK547OESJRYAW574DZEZ7J" localSheetId="4" hidden="1">#REF!</definedName>
    <definedName name="BExD5FRK547OESJRYAW574DZEZ7J" localSheetId="1" hidden="1">#REF!</definedName>
    <definedName name="BExD5FRK547OESJRYAW574DZEZ7J" localSheetId="9" hidden="1">#REF!</definedName>
    <definedName name="BExD5FRK547OESJRYAW574DZEZ7J" hidden="1">#REF!</definedName>
    <definedName name="BExD5I5X2YA2YNCTCDSMEL4CWF4N" localSheetId="56" hidden="1">#REF!</definedName>
    <definedName name="BExD5I5X2YA2YNCTCDSMEL4CWF4N" localSheetId="55" hidden="1">#REF!</definedName>
    <definedName name="BExD5I5X2YA2YNCTCDSMEL4CWF4N" localSheetId="4" hidden="1">#REF!</definedName>
    <definedName name="BExD5I5X2YA2YNCTCDSMEL4CWF4N" localSheetId="1" hidden="1">#REF!</definedName>
    <definedName name="BExD5I5X2YA2YNCTCDSMEL4CWF4N" localSheetId="9" hidden="1">#REF!</definedName>
    <definedName name="BExD5I5X2YA2YNCTCDSMEL4CWF4N" hidden="1">#REF!</definedName>
    <definedName name="BExD5QUSRFJWRQ1ZM50WYLCF74DF" localSheetId="56" hidden="1">#REF!</definedName>
    <definedName name="BExD5QUSRFJWRQ1ZM50WYLCF74DF" localSheetId="55" hidden="1">#REF!</definedName>
    <definedName name="BExD5QUSRFJWRQ1ZM50WYLCF74DF" localSheetId="4" hidden="1">#REF!</definedName>
    <definedName name="BExD5QUSRFJWRQ1ZM50WYLCF74DF" localSheetId="1" hidden="1">#REF!</definedName>
    <definedName name="BExD5QUSRFJWRQ1ZM50WYLCF74DF" localSheetId="9" hidden="1">#REF!</definedName>
    <definedName name="BExD5QUSRFJWRQ1ZM50WYLCF74DF" hidden="1">#REF!</definedName>
    <definedName name="BExD5SSUIF6AJQHBHK8PNMFBPRYB" localSheetId="56" hidden="1">#REF!</definedName>
    <definedName name="BExD5SSUIF6AJQHBHK8PNMFBPRYB" localSheetId="55" hidden="1">#REF!</definedName>
    <definedName name="BExD5SSUIF6AJQHBHK8PNMFBPRYB" localSheetId="4" hidden="1">#REF!</definedName>
    <definedName name="BExD5SSUIF6AJQHBHK8PNMFBPRYB" localSheetId="1" hidden="1">#REF!</definedName>
    <definedName name="BExD5SSUIF6AJQHBHK8PNMFBPRYB" localSheetId="9" hidden="1">#REF!</definedName>
    <definedName name="BExD5SSUIF6AJQHBHK8PNMFBPRYB" hidden="1">#REF!</definedName>
    <definedName name="BExD623C9LRX18BE0W2V6SZLQUXX" localSheetId="56" hidden="1">#REF!</definedName>
    <definedName name="BExD623C9LRX18BE0W2V6SZLQUXX" localSheetId="55" hidden="1">#REF!</definedName>
    <definedName name="BExD623C9LRX18BE0W2V6SZLQUXX" localSheetId="4" hidden="1">#REF!</definedName>
    <definedName name="BExD623C9LRX18BE0W2V6SZLQUXX" localSheetId="1" hidden="1">#REF!</definedName>
    <definedName name="BExD623C9LRX18BE0W2V6SZLQUXX" localSheetId="9" hidden="1">#REF!</definedName>
    <definedName name="BExD623C9LRX18BE0W2V6SZLQUXX" hidden="1">#REF!</definedName>
    <definedName name="BExD6CQA7UMJBXV7AIFAIHUF2ICX" localSheetId="56" hidden="1">#REF!</definedName>
    <definedName name="BExD6CQA7UMJBXV7AIFAIHUF2ICX" localSheetId="55" hidden="1">#REF!</definedName>
    <definedName name="BExD6CQA7UMJBXV7AIFAIHUF2ICX" localSheetId="4" hidden="1">#REF!</definedName>
    <definedName name="BExD6CQA7UMJBXV7AIFAIHUF2ICX" localSheetId="1" hidden="1">#REF!</definedName>
    <definedName name="BExD6CQA7UMJBXV7AIFAIHUF2ICX" localSheetId="9" hidden="1">#REF!</definedName>
    <definedName name="BExD6CQA7UMJBXV7AIFAIHUF2ICX" hidden="1">#REF!</definedName>
    <definedName name="BExD6D18MCF5R8YJMPG21WE3GPJQ" localSheetId="56" hidden="1">#REF!</definedName>
    <definedName name="BExD6D18MCF5R8YJMPG21WE3GPJQ" localSheetId="55" hidden="1">#REF!</definedName>
    <definedName name="BExD6D18MCF5R8YJMPG21WE3GPJQ" localSheetId="4" hidden="1">#REF!</definedName>
    <definedName name="BExD6D18MCF5R8YJMPG21WE3GPJQ" localSheetId="1" hidden="1">#REF!</definedName>
    <definedName name="BExD6D18MCF5R8YJMPG21WE3GPJQ" localSheetId="9" hidden="1">#REF!</definedName>
    <definedName name="BExD6D18MCF5R8YJMPG21WE3GPJQ" hidden="1">#REF!</definedName>
    <definedName name="BExD6FKVK8WJWNYPVENR7Q8Q30PK" localSheetId="56" hidden="1">#REF!</definedName>
    <definedName name="BExD6FKVK8WJWNYPVENR7Q8Q30PK" localSheetId="55" hidden="1">#REF!</definedName>
    <definedName name="BExD6FKVK8WJWNYPVENR7Q8Q30PK" localSheetId="4" hidden="1">#REF!</definedName>
    <definedName name="BExD6FKVK8WJWNYPVENR7Q8Q30PK" localSheetId="1" hidden="1">#REF!</definedName>
    <definedName name="BExD6FKVK8WJWNYPVENR7Q8Q30PK" localSheetId="9" hidden="1">#REF!</definedName>
    <definedName name="BExD6FKVK8WJWNYPVENR7Q8Q30PK" hidden="1">#REF!</definedName>
    <definedName name="BExD6GMP0LK8WKVWMIT1NNH8CHLF" localSheetId="56" hidden="1">#REF!</definedName>
    <definedName name="BExD6GMP0LK8WKVWMIT1NNH8CHLF" localSheetId="55" hidden="1">#REF!</definedName>
    <definedName name="BExD6GMP0LK8WKVWMIT1NNH8CHLF" localSheetId="4" hidden="1">#REF!</definedName>
    <definedName name="BExD6GMP0LK8WKVWMIT1NNH8CHLF" localSheetId="1" hidden="1">#REF!</definedName>
    <definedName name="BExD6GMP0LK8WKVWMIT1NNH8CHLF" localSheetId="9" hidden="1">#REF!</definedName>
    <definedName name="BExD6GMP0LK8WKVWMIT1NNH8CHLF" hidden="1">#REF!</definedName>
    <definedName name="BExD6H2TE0WWAUIWVSSCLPZ6B88N" localSheetId="56" hidden="1">#REF!</definedName>
    <definedName name="BExD6H2TE0WWAUIWVSSCLPZ6B88N" localSheetId="55" hidden="1">#REF!</definedName>
    <definedName name="BExD6H2TE0WWAUIWVSSCLPZ6B88N" localSheetId="4" hidden="1">#REF!</definedName>
    <definedName name="BExD6H2TE0WWAUIWVSSCLPZ6B88N" localSheetId="1" hidden="1">#REF!</definedName>
    <definedName name="BExD6H2TE0WWAUIWVSSCLPZ6B88N" localSheetId="9" hidden="1">#REF!</definedName>
    <definedName name="BExD6H2TE0WWAUIWVSSCLPZ6B88N" hidden="1">#REF!</definedName>
    <definedName name="BExD71LTOE015TV5RSAHM8NT8GVW" localSheetId="56" hidden="1">#REF!</definedName>
    <definedName name="BExD71LTOE015TV5RSAHM8NT8GVW" localSheetId="55" hidden="1">#REF!</definedName>
    <definedName name="BExD71LTOE015TV5RSAHM8NT8GVW" localSheetId="4" hidden="1">#REF!</definedName>
    <definedName name="BExD71LTOE015TV5RSAHM8NT8GVW" localSheetId="1" hidden="1">#REF!</definedName>
    <definedName name="BExD71LTOE015TV5RSAHM8NT8GVW" localSheetId="9" hidden="1">#REF!</definedName>
    <definedName name="BExD71LTOE015TV5RSAHM8NT8GVW" hidden="1">#REF!</definedName>
    <definedName name="BExD73USXVADC7EHGHVTQNCT06ZA" localSheetId="56" hidden="1">#REF!</definedName>
    <definedName name="BExD73USXVADC7EHGHVTQNCT06ZA" localSheetId="55" hidden="1">#REF!</definedName>
    <definedName name="BExD73USXVADC7EHGHVTQNCT06ZA" localSheetId="4" hidden="1">#REF!</definedName>
    <definedName name="BExD73USXVADC7EHGHVTQNCT06ZA" localSheetId="1" hidden="1">#REF!</definedName>
    <definedName name="BExD73USXVADC7EHGHVTQNCT06ZA" localSheetId="9" hidden="1">#REF!</definedName>
    <definedName name="BExD73USXVADC7EHGHVTQNCT06ZA" hidden="1">#REF!</definedName>
    <definedName name="BExD7GAIGULTB3YHM1OS9RBQOTEC" localSheetId="56" hidden="1">#REF!</definedName>
    <definedName name="BExD7GAIGULTB3YHM1OS9RBQOTEC" localSheetId="55" hidden="1">#REF!</definedName>
    <definedName name="BExD7GAIGULTB3YHM1OS9RBQOTEC" localSheetId="4" hidden="1">#REF!</definedName>
    <definedName name="BExD7GAIGULTB3YHM1OS9RBQOTEC" localSheetId="1" hidden="1">#REF!</definedName>
    <definedName name="BExD7GAIGULTB3YHM1OS9RBQOTEC" localSheetId="9" hidden="1">#REF!</definedName>
    <definedName name="BExD7GAIGULTB3YHM1OS9RBQOTEC" hidden="1">#REF!</definedName>
    <definedName name="BExD7IE1DHIS52UFDCTSKPJQNRD5" localSheetId="56" hidden="1">#REF!</definedName>
    <definedName name="BExD7IE1DHIS52UFDCTSKPJQNRD5" localSheetId="55" hidden="1">#REF!</definedName>
    <definedName name="BExD7IE1DHIS52UFDCTSKPJQNRD5" localSheetId="4" hidden="1">#REF!</definedName>
    <definedName name="BExD7IE1DHIS52UFDCTSKPJQNRD5" localSheetId="1" hidden="1">#REF!</definedName>
    <definedName name="BExD7IE1DHIS52UFDCTSKPJQNRD5" localSheetId="9" hidden="1">#REF!</definedName>
    <definedName name="BExD7IE1DHIS52UFDCTSKPJQNRD5" hidden="1">#REF!</definedName>
    <definedName name="BExD7IUBGUWHYC9UNZ1IY5XFYKQN" localSheetId="56" hidden="1">#REF!</definedName>
    <definedName name="BExD7IUBGUWHYC9UNZ1IY5XFYKQN" localSheetId="55" hidden="1">#REF!</definedName>
    <definedName name="BExD7IUBGUWHYC9UNZ1IY5XFYKQN" localSheetId="4" hidden="1">#REF!</definedName>
    <definedName name="BExD7IUBGUWHYC9UNZ1IY5XFYKQN" localSheetId="1" hidden="1">#REF!</definedName>
    <definedName name="BExD7IUBGUWHYC9UNZ1IY5XFYKQN" localSheetId="9" hidden="1">#REF!</definedName>
    <definedName name="BExD7IUBGUWHYC9UNZ1IY5XFYKQN" hidden="1">#REF!</definedName>
    <definedName name="BExD7JQOJ35HGL8U2OCEI2P2JT7I" localSheetId="56" hidden="1">#REF!</definedName>
    <definedName name="BExD7JQOJ35HGL8U2OCEI2P2JT7I" localSheetId="55" hidden="1">#REF!</definedName>
    <definedName name="BExD7JQOJ35HGL8U2OCEI2P2JT7I" localSheetId="4" hidden="1">#REF!</definedName>
    <definedName name="BExD7JQOJ35HGL8U2OCEI2P2JT7I" localSheetId="1" hidden="1">#REF!</definedName>
    <definedName name="BExD7JQOJ35HGL8U2OCEI2P2JT7I" localSheetId="9" hidden="1">#REF!</definedName>
    <definedName name="BExD7JQOJ35HGL8U2OCEI2P2JT7I" hidden="1">#REF!</definedName>
    <definedName name="BExD7KSDKNDNH95NDT3S7GM3MUU2" localSheetId="56" hidden="1">#REF!</definedName>
    <definedName name="BExD7KSDKNDNH95NDT3S7GM3MUU2" localSheetId="55" hidden="1">#REF!</definedName>
    <definedName name="BExD7KSDKNDNH95NDT3S7GM3MUU2" localSheetId="4" hidden="1">#REF!</definedName>
    <definedName name="BExD7KSDKNDNH95NDT3S7GM3MUU2" localSheetId="1" hidden="1">#REF!</definedName>
    <definedName name="BExD7KSDKNDNH95NDT3S7GM3MUU2" localSheetId="9" hidden="1">#REF!</definedName>
    <definedName name="BExD7KSDKNDNH95NDT3S7GM3MUU2" hidden="1">#REF!</definedName>
    <definedName name="BExD8H5O087KQVWIVPUUID5VMGMS" localSheetId="56" hidden="1">#REF!</definedName>
    <definedName name="BExD8H5O087KQVWIVPUUID5VMGMS" localSheetId="55" hidden="1">#REF!</definedName>
    <definedName name="BExD8H5O087KQVWIVPUUID5VMGMS" localSheetId="4" hidden="1">#REF!</definedName>
    <definedName name="BExD8H5O087KQVWIVPUUID5VMGMS" localSheetId="1" hidden="1">#REF!</definedName>
    <definedName name="BExD8H5O087KQVWIVPUUID5VMGMS" localSheetId="9" hidden="1">#REF!</definedName>
    <definedName name="BExD8H5O087KQVWIVPUUID5VMGMS" hidden="1">#REF!</definedName>
    <definedName name="BExD8HLWJHFK6566YQLGOAPIWD7G" localSheetId="56" hidden="1">#REF!</definedName>
    <definedName name="BExD8HLWJHFK6566YQLGOAPIWD7G" localSheetId="55" hidden="1">#REF!</definedName>
    <definedName name="BExD8HLWJHFK6566YQLGOAPIWD7G" localSheetId="4" hidden="1">#REF!</definedName>
    <definedName name="BExD8HLWJHFK6566YQLGOAPIWD7G" localSheetId="1" hidden="1">#REF!</definedName>
    <definedName name="BExD8HLWJHFK6566YQLGOAPIWD7G" localSheetId="9" hidden="1">#REF!</definedName>
    <definedName name="BExD8HLWJHFK6566YQLGOAPIWD7G" hidden="1">#REF!</definedName>
    <definedName name="BExD8OCLZMFN5K3VZYI4Q4ITVKUA" localSheetId="56" hidden="1">#REF!</definedName>
    <definedName name="BExD8OCLZMFN5K3VZYI4Q4ITVKUA" localSheetId="55" hidden="1">#REF!</definedName>
    <definedName name="BExD8OCLZMFN5K3VZYI4Q4ITVKUA" localSheetId="4" hidden="1">#REF!</definedName>
    <definedName name="BExD8OCLZMFN5K3VZYI4Q4ITVKUA" localSheetId="1" hidden="1">#REF!</definedName>
    <definedName name="BExD8OCLZMFN5K3VZYI4Q4ITVKUA" localSheetId="9" hidden="1">#REF!</definedName>
    <definedName name="BExD8OCLZMFN5K3VZYI4Q4ITVKUA" hidden="1">#REF!</definedName>
    <definedName name="BExD93C1R6LC0631ECHVFYH0R0PD" localSheetId="56" hidden="1">#REF!</definedName>
    <definedName name="BExD93C1R6LC0631ECHVFYH0R0PD" localSheetId="55" hidden="1">#REF!</definedName>
    <definedName name="BExD93C1R6LC0631ECHVFYH0R0PD" localSheetId="4" hidden="1">#REF!</definedName>
    <definedName name="BExD93C1R6LC0631ECHVFYH0R0PD" localSheetId="1" hidden="1">#REF!</definedName>
    <definedName name="BExD93C1R6LC0631ECHVFYH0R0PD" localSheetId="9" hidden="1">#REF!</definedName>
    <definedName name="BExD93C1R6LC0631ECHVFYH0R0PD" hidden="1">#REF!</definedName>
    <definedName name="BExD97TXIO0COVNN4OH3DEJ33YLM" localSheetId="56" hidden="1">#REF!</definedName>
    <definedName name="BExD97TXIO0COVNN4OH3DEJ33YLM" localSheetId="55" hidden="1">#REF!</definedName>
    <definedName name="BExD97TXIO0COVNN4OH3DEJ33YLM" localSheetId="4" hidden="1">#REF!</definedName>
    <definedName name="BExD97TXIO0COVNN4OH3DEJ33YLM" localSheetId="1" hidden="1">#REF!</definedName>
    <definedName name="BExD97TXIO0COVNN4OH3DEJ33YLM" localSheetId="9" hidden="1">#REF!</definedName>
    <definedName name="BExD97TXIO0COVNN4OH3DEJ33YLM" hidden="1">#REF!</definedName>
    <definedName name="BExD99RZ1RFIMK6O1ZHSPJ68X9Y5" localSheetId="56" hidden="1">#REF!</definedName>
    <definedName name="BExD99RZ1RFIMK6O1ZHSPJ68X9Y5" localSheetId="55" hidden="1">#REF!</definedName>
    <definedName name="BExD99RZ1RFIMK6O1ZHSPJ68X9Y5" localSheetId="4" hidden="1">#REF!</definedName>
    <definedName name="BExD99RZ1RFIMK6O1ZHSPJ68X9Y5" localSheetId="1" hidden="1">#REF!</definedName>
    <definedName name="BExD99RZ1RFIMK6O1ZHSPJ68X9Y5" localSheetId="9" hidden="1">#REF!</definedName>
    <definedName name="BExD99RZ1RFIMK6O1ZHSPJ68X9Y5" hidden="1">#REF!</definedName>
    <definedName name="BExD9ATSNNU6SJVYYUCUG2AFS57W" localSheetId="56" hidden="1">#REF!</definedName>
    <definedName name="BExD9ATSNNU6SJVYYUCUG2AFS57W" localSheetId="55" hidden="1">#REF!</definedName>
    <definedName name="BExD9ATSNNU6SJVYYUCUG2AFS57W" localSheetId="4" hidden="1">#REF!</definedName>
    <definedName name="BExD9ATSNNU6SJVYYUCUG2AFS57W" localSheetId="1" hidden="1">#REF!</definedName>
    <definedName name="BExD9ATSNNU6SJVYYUCUG2AFS57W" localSheetId="9" hidden="1">#REF!</definedName>
    <definedName name="BExD9ATSNNU6SJVYYUCUG2AFS57W" hidden="1">#REF!</definedName>
    <definedName name="BExD9JO1QOKHUKL6DOEKDLUBPPKZ" localSheetId="56" hidden="1">#REF!</definedName>
    <definedName name="BExD9JO1QOKHUKL6DOEKDLUBPPKZ" localSheetId="55" hidden="1">#REF!</definedName>
    <definedName name="BExD9JO1QOKHUKL6DOEKDLUBPPKZ" localSheetId="4" hidden="1">#REF!</definedName>
    <definedName name="BExD9JO1QOKHUKL6DOEKDLUBPPKZ" localSheetId="1" hidden="1">#REF!</definedName>
    <definedName name="BExD9JO1QOKHUKL6DOEKDLUBPPKZ" localSheetId="9" hidden="1">#REF!</definedName>
    <definedName name="BExD9JO1QOKHUKL6DOEKDLUBPPKZ" hidden="1">#REF!</definedName>
    <definedName name="BExD9L0ID3VSOU609GKWYTA5BFMA" localSheetId="56" hidden="1">#REF!</definedName>
    <definedName name="BExD9L0ID3VSOU609GKWYTA5BFMA" localSheetId="55" hidden="1">#REF!</definedName>
    <definedName name="BExD9L0ID3VSOU609GKWYTA5BFMA" localSheetId="4" hidden="1">#REF!</definedName>
    <definedName name="BExD9L0ID3VSOU609GKWYTA5BFMA" localSheetId="1" hidden="1">#REF!</definedName>
    <definedName name="BExD9L0ID3VSOU609GKWYTA5BFMA" localSheetId="9" hidden="1">#REF!</definedName>
    <definedName name="BExD9L0ID3VSOU609GKWYTA5BFMA" hidden="1">#REF!</definedName>
    <definedName name="BExD9M7SEMG0JK2FUTTZXWIEBTKB" localSheetId="56" hidden="1">#REF!</definedName>
    <definedName name="BExD9M7SEMG0JK2FUTTZXWIEBTKB" localSheetId="55" hidden="1">#REF!</definedName>
    <definedName name="BExD9M7SEMG0JK2FUTTZXWIEBTKB" localSheetId="4" hidden="1">#REF!</definedName>
    <definedName name="BExD9M7SEMG0JK2FUTTZXWIEBTKB" localSheetId="1" hidden="1">#REF!</definedName>
    <definedName name="BExD9M7SEMG0JK2FUTTZXWIEBTKB" localSheetId="9" hidden="1">#REF!</definedName>
    <definedName name="BExD9M7SEMG0JK2FUTTZXWIEBTKB" hidden="1">#REF!</definedName>
    <definedName name="BExD9MNYBYB1AICQL5165G472IE2" localSheetId="56" hidden="1">#REF!</definedName>
    <definedName name="BExD9MNYBYB1AICQL5165G472IE2" localSheetId="55" hidden="1">#REF!</definedName>
    <definedName name="BExD9MNYBYB1AICQL5165G472IE2" localSheetId="4" hidden="1">#REF!</definedName>
    <definedName name="BExD9MNYBYB1AICQL5165G472IE2" localSheetId="1" hidden="1">#REF!</definedName>
    <definedName name="BExD9MNYBYB1AICQL5165G472IE2" localSheetId="9" hidden="1">#REF!</definedName>
    <definedName name="BExD9MNYBYB1AICQL5165G472IE2" hidden="1">#REF!</definedName>
    <definedName name="BExD9PNSYT7GASEGUVL48MUQ02WO" localSheetId="56" hidden="1">#REF!</definedName>
    <definedName name="BExD9PNSYT7GASEGUVL48MUQ02WO" localSheetId="55" hidden="1">#REF!</definedName>
    <definedName name="BExD9PNSYT7GASEGUVL48MUQ02WO" localSheetId="4" hidden="1">#REF!</definedName>
    <definedName name="BExD9PNSYT7GASEGUVL48MUQ02WO" localSheetId="1" hidden="1">#REF!</definedName>
    <definedName name="BExD9PNSYT7GASEGUVL48MUQ02WO" localSheetId="9" hidden="1">#REF!</definedName>
    <definedName name="BExD9PNSYT7GASEGUVL48MUQ02WO" hidden="1">#REF!</definedName>
    <definedName name="BExD9TK2MIWFH5SKUYU9ZKF4NPHQ" localSheetId="56" hidden="1">#REF!</definedName>
    <definedName name="BExD9TK2MIWFH5SKUYU9ZKF4NPHQ" localSheetId="55" hidden="1">#REF!</definedName>
    <definedName name="BExD9TK2MIWFH5SKUYU9ZKF4NPHQ" localSheetId="4" hidden="1">#REF!</definedName>
    <definedName name="BExD9TK2MIWFH5SKUYU9ZKF4NPHQ" localSheetId="1" hidden="1">#REF!</definedName>
    <definedName name="BExD9TK2MIWFH5SKUYU9ZKF4NPHQ" localSheetId="9" hidden="1">#REF!</definedName>
    <definedName name="BExD9TK2MIWFH5SKUYU9ZKF4NPHQ" hidden="1">#REF!</definedName>
    <definedName name="BExDA23J1UL1EN1K0BLX2TKAX4U0" localSheetId="56" hidden="1">#REF!</definedName>
    <definedName name="BExDA23J1UL1EN1K0BLX2TKAX4U0" localSheetId="55" hidden="1">#REF!</definedName>
    <definedName name="BExDA23J1UL1EN1K0BLX2TKAX4U0" localSheetId="4" hidden="1">#REF!</definedName>
    <definedName name="BExDA23J1UL1EN1K0BLX2TKAX4U0" localSheetId="1" hidden="1">#REF!</definedName>
    <definedName name="BExDA23J1UL1EN1K0BLX2TKAX4U0" localSheetId="9" hidden="1">#REF!</definedName>
    <definedName name="BExDA23J1UL1EN1K0BLX2TKAX4U0" hidden="1">#REF!</definedName>
    <definedName name="BExDA6594R2INH5X2F55YRZSKRND" localSheetId="56" hidden="1">#REF!</definedName>
    <definedName name="BExDA6594R2INH5X2F55YRZSKRND" localSheetId="55" hidden="1">#REF!</definedName>
    <definedName name="BExDA6594R2INH5X2F55YRZSKRND" localSheetId="4" hidden="1">#REF!</definedName>
    <definedName name="BExDA6594R2INH5X2F55YRZSKRND" localSheetId="1" hidden="1">#REF!</definedName>
    <definedName name="BExDA6594R2INH5X2F55YRZSKRND" localSheetId="9" hidden="1">#REF!</definedName>
    <definedName name="BExDA6594R2INH5X2F55YRZSKRND" hidden="1">#REF!</definedName>
    <definedName name="BExDA6LD9061UULVKUUI4QP8SK13" localSheetId="56" hidden="1">#REF!</definedName>
    <definedName name="BExDA6LD9061UULVKUUI4QP8SK13" localSheetId="55" hidden="1">#REF!</definedName>
    <definedName name="BExDA6LD9061UULVKUUI4QP8SK13" localSheetId="4" hidden="1">#REF!</definedName>
    <definedName name="BExDA6LD9061UULVKUUI4QP8SK13" localSheetId="1" hidden="1">#REF!</definedName>
    <definedName name="BExDA6LD9061UULVKUUI4QP8SK13" localSheetId="9" hidden="1">#REF!</definedName>
    <definedName name="BExDA6LD9061UULVKUUI4QP8SK13" hidden="1">#REF!</definedName>
    <definedName name="BExDAGMVMNLQ6QXASB9R6D8DIT12" localSheetId="56" hidden="1">#REF!</definedName>
    <definedName name="BExDAGMVMNLQ6QXASB9R6D8DIT12" localSheetId="55" hidden="1">#REF!</definedName>
    <definedName name="BExDAGMVMNLQ6QXASB9R6D8DIT12" localSheetId="4" hidden="1">#REF!</definedName>
    <definedName name="BExDAGMVMNLQ6QXASB9R6D8DIT12" localSheetId="1" hidden="1">#REF!</definedName>
    <definedName name="BExDAGMVMNLQ6QXASB9R6D8DIT12" localSheetId="9" hidden="1">#REF!</definedName>
    <definedName name="BExDAGMVMNLQ6QXASB9R6D8DIT12" hidden="1">#REF!</definedName>
    <definedName name="BExDAYBHU9ADLXI8VRC7F608RVGM" localSheetId="56" hidden="1">#REF!</definedName>
    <definedName name="BExDAYBHU9ADLXI8VRC7F608RVGM" localSheetId="55" hidden="1">#REF!</definedName>
    <definedName name="BExDAYBHU9ADLXI8VRC7F608RVGM" localSheetId="4" hidden="1">#REF!</definedName>
    <definedName name="BExDAYBHU9ADLXI8VRC7F608RVGM" localSheetId="1" hidden="1">#REF!</definedName>
    <definedName name="BExDAYBHU9ADLXI8VRC7F608RVGM" localSheetId="9" hidden="1">#REF!</definedName>
    <definedName name="BExDAYBHU9ADLXI8VRC7F608RVGM" hidden="1">#REF!</definedName>
    <definedName name="BExDBDR1XR0FV0CYUCB2OJ7CJCZU" localSheetId="56" hidden="1">#REF!</definedName>
    <definedName name="BExDBDR1XR0FV0CYUCB2OJ7CJCZU" localSheetId="55" hidden="1">#REF!</definedName>
    <definedName name="BExDBDR1XR0FV0CYUCB2OJ7CJCZU" localSheetId="4" hidden="1">#REF!</definedName>
    <definedName name="BExDBDR1XR0FV0CYUCB2OJ7CJCZU" localSheetId="1" hidden="1">#REF!</definedName>
    <definedName name="BExDBDR1XR0FV0CYUCB2OJ7CJCZU" localSheetId="9" hidden="1">#REF!</definedName>
    <definedName name="BExDBDR1XR0FV0CYUCB2OJ7CJCZU" hidden="1">#REF!</definedName>
    <definedName name="BExDC7F818VN0S18ID7XRCRVYPJ4" localSheetId="56" hidden="1">#REF!</definedName>
    <definedName name="BExDC7F818VN0S18ID7XRCRVYPJ4" localSheetId="55" hidden="1">#REF!</definedName>
    <definedName name="BExDC7F818VN0S18ID7XRCRVYPJ4" localSheetId="4" hidden="1">#REF!</definedName>
    <definedName name="BExDC7F818VN0S18ID7XRCRVYPJ4" localSheetId="1" hidden="1">#REF!</definedName>
    <definedName name="BExDC7F818VN0S18ID7XRCRVYPJ4" localSheetId="9" hidden="1">#REF!</definedName>
    <definedName name="BExDC7F818VN0S18ID7XRCRVYPJ4" hidden="1">#REF!</definedName>
    <definedName name="BExDCL7K96PC9VZYB70ZW3QPVIJE" localSheetId="56" hidden="1">#REF!</definedName>
    <definedName name="BExDCL7K96PC9VZYB70ZW3QPVIJE" localSheetId="55" hidden="1">#REF!</definedName>
    <definedName name="BExDCL7K96PC9VZYB70ZW3QPVIJE" localSheetId="4" hidden="1">#REF!</definedName>
    <definedName name="BExDCL7K96PC9VZYB70ZW3QPVIJE" localSheetId="1" hidden="1">#REF!</definedName>
    <definedName name="BExDCL7K96PC9VZYB70ZW3QPVIJE" localSheetId="9" hidden="1">#REF!</definedName>
    <definedName name="BExDCL7K96PC9VZYB70ZW3QPVIJE" hidden="1">#REF!</definedName>
    <definedName name="BExDCP3UZ3C2O4C1F7KMU0Z9U32N" localSheetId="56" hidden="1">#REF!</definedName>
    <definedName name="BExDCP3UZ3C2O4C1F7KMU0Z9U32N" localSheetId="55" hidden="1">#REF!</definedName>
    <definedName name="BExDCP3UZ3C2O4C1F7KMU0Z9U32N" localSheetId="4" hidden="1">#REF!</definedName>
    <definedName name="BExDCP3UZ3C2O4C1F7KMU0Z9U32N" localSheetId="1" hidden="1">#REF!</definedName>
    <definedName name="BExDCP3UZ3C2O4C1F7KMU0Z9U32N" localSheetId="9" hidden="1">#REF!</definedName>
    <definedName name="BExDCP3UZ3C2O4C1F7KMU0Z9U32N" hidden="1">#REF!</definedName>
    <definedName name="BExEO14OTKLVDBTNB2ONGZ4YB20H" localSheetId="56" hidden="1">#REF!</definedName>
    <definedName name="BExEO14OTKLVDBTNB2ONGZ4YB20H" localSheetId="55" hidden="1">#REF!</definedName>
    <definedName name="BExEO14OTKLVDBTNB2ONGZ4YB20H" localSheetId="4" hidden="1">#REF!</definedName>
    <definedName name="BExEO14OTKLVDBTNB2ONGZ4YB20H" localSheetId="1" hidden="1">#REF!</definedName>
    <definedName name="BExEO14OTKLVDBTNB2ONGZ4YB20H" localSheetId="9" hidden="1">#REF!</definedName>
    <definedName name="BExEO14OTKLVDBTNB2ONGZ4YB20H" hidden="1">#REF!</definedName>
    <definedName name="BExEO80UUNTK4DX33Z5TYLM8NYZM" localSheetId="56" hidden="1">#REF!</definedName>
    <definedName name="BExEO80UUNTK4DX33Z5TYLM8NYZM" localSheetId="55" hidden="1">#REF!</definedName>
    <definedName name="BExEO80UUNTK4DX33Z5TYLM8NYZM" localSheetId="4" hidden="1">#REF!</definedName>
    <definedName name="BExEO80UUNTK4DX33Z5TYLM8NYZM" localSheetId="1" hidden="1">#REF!</definedName>
    <definedName name="BExEO80UUNTK4DX33Z5TYLM8NYZM" localSheetId="9" hidden="1">#REF!</definedName>
    <definedName name="BExEO80UUNTK4DX33Z5TYLM8NYZM" hidden="1">#REF!</definedName>
    <definedName name="BExEOBX3WECDMYCV9RLN49APTXMM" localSheetId="56" hidden="1">#REF!</definedName>
    <definedName name="BExEOBX3WECDMYCV9RLN49APTXMM" localSheetId="55" hidden="1">#REF!</definedName>
    <definedName name="BExEOBX3WECDMYCV9RLN49APTXMM" localSheetId="4" hidden="1">#REF!</definedName>
    <definedName name="BExEOBX3WECDMYCV9RLN49APTXMM" localSheetId="1" hidden="1">#REF!</definedName>
    <definedName name="BExEOBX3WECDMYCV9RLN49APTXMM" localSheetId="9" hidden="1">#REF!</definedName>
    <definedName name="BExEOBX3WECDMYCV9RLN49APTXMM" hidden="1">#REF!</definedName>
    <definedName name="BExEPN9VIYI0FVL0HLZQXJFO6TT0" localSheetId="56" hidden="1">#REF!</definedName>
    <definedName name="BExEPN9VIYI0FVL0HLZQXJFO6TT0" localSheetId="55" hidden="1">#REF!</definedName>
    <definedName name="BExEPN9VIYI0FVL0HLZQXJFO6TT0" localSheetId="4" hidden="1">#REF!</definedName>
    <definedName name="BExEPN9VIYI0FVL0HLZQXJFO6TT0" localSheetId="1" hidden="1">#REF!</definedName>
    <definedName name="BExEPN9VIYI0FVL0HLZQXJFO6TT0" localSheetId="9" hidden="1">#REF!</definedName>
    <definedName name="BExEPN9VIYI0FVL0HLZQXJFO6TT0" hidden="1">#REF!</definedName>
    <definedName name="BExEPQPUOD4B6H60DKEB9159F7DR" localSheetId="56" hidden="1">#REF!</definedName>
    <definedName name="BExEPQPUOD4B6H60DKEB9159F7DR" localSheetId="55" hidden="1">#REF!</definedName>
    <definedName name="BExEPQPUOD4B6H60DKEB9159F7DR" localSheetId="4" hidden="1">#REF!</definedName>
    <definedName name="BExEPQPUOD4B6H60DKEB9159F7DR" localSheetId="1" hidden="1">#REF!</definedName>
    <definedName name="BExEPQPUOD4B6H60DKEB9159F7DR" localSheetId="9" hidden="1">#REF!</definedName>
    <definedName name="BExEPQPUOD4B6H60DKEB9159F7DR" hidden="1">#REF!</definedName>
    <definedName name="BExEPYT6VDSMR8MU2341Q5GM2Y9V" localSheetId="56" hidden="1">#REF!</definedName>
    <definedName name="BExEPYT6VDSMR8MU2341Q5GM2Y9V" localSheetId="55" hidden="1">#REF!</definedName>
    <definedName name="BExEPYT6VDSMR8MU2341Q5GM2Y9V" localSheetId="4" hidden="1">#REF!</definedName>
    <definedName name="BExEPYT6VDSMR8MU2341Q5GM2Y9V" localSheetId="1" hidden="1">#REF!</definedName>
    <definedName name="BExEPYT6VDSMR8MU2341Q5GM2Y9V" localSheetId="9" hidden="1">#REF!</definedName>
    <definedName name="BExEPYT6VDSMR8MU2341Q5GM2Y9V" hidden="1">#REF!</definedName>
    <definedName name="BExEQ2ENYLMY8K1796XBB31CJHNN" localSheetId="56" hidden="1">#REF!</definedName>
    <definedName name="BExEQ2ENYLMY8K1796XBB31CJHNN" localSheetId="55" hidden="1">#REF!</definedName>
    <definedName name="BExEQ2ENYLMY8K1796XBB31CJHNN" localSheetId="4" hidden="1">#REF!</definedName>
    <definedName name="BExEQ2ENYLMY8K1796XBB31CJHNN" localSheetId="1" hidden="1">#REF!</definedName>
    <definedName name="BExEQ2ENYLMY8K1796XBB31CJHNN" localSheetId="9" hidden="1">#REF!</definedName>
    <definedName name="BExEQ2ENYLMY8K1796XBB31CJHNN" hidden="1">#REF!</definedName>
    <definedName name="BExEQ2PFE4N40LEPGDPS90WDL6BN" localSheetId="56" hidden="1">#REF!</definedName>
    <definedName name="BExEQ2PFE4N40LEPGDPS90WDL6BN" localSheetId="55" hidden="1">#REF!</definedName>
    <definedName name="BExEQ2PFE4N40LEPGDPS90WDL6BN" localSheetId="4" hidden="1">#REF!</definedName>
    <definedName name="BExEQ2PFE4N40LEPGDPS90WDL6BN" localSheetId="1" hidden="1">#REF!</definedName>
    <definedName name="BExEQ2PFE4N40LEPGDPS90WDL6BN" localSheetId="9" hidden="1">#REF!</definedName>
    <definedName name="BExEQ2PFE4N40LEPGDPS90WDL6BN" hidden="1">#REF!</definedName>
    <definedName name="BExEQ2PFURT24NQYGYVE8NKX1EGA" localSheetId="56" hidden="1">#REF!</definedName>
    <definedName name="BExEQ2PFURT24NQYGYVE8NKX1EGA" localSheetId="55" hidden="1">#REF!</definedName>
    <definedName name="BExEQ2PFURT24NQYGYVE8NKX1EGA" localSheetId="4" hidden="1">#REF!</definedName>
    <definedName name="BExEQ2PFURT24NQYGYVE8NKX1EGA" localSheetId="1" hidden="1">#REF!</definedName>
    <definedName name="BExEQ2PFURT24NQYGYVE8NKX1EGA" localSheetId="9" hidden="1">#REF!</definedName>
    <definedName name="BExEQ2PFURT24NQYGYVE8NKX1EGA" hidden="1">#REF!</definedName>
    <definedName name="BExEQB8ZWXO6IIGOEPWTLOJGE2NR" localSheetId="56" hidden="1">#REF!</definedName>
    <definedName name="BExEQB8ZWXO6IIGOEPWTLOJGE2NR" localSheetId="55" hidden="1">#REF!</definedName>
    <definedName name="BExEQB8ZWXO6IIGOEPWTLOJGE2NR" localSheetId="4" hidden="1">#REF!</definedName>
    <definedName name="BExEQB8ZWXO6IIGOEPWTLOJGE2NR" localSheetId="1" hidden="1">#REF!</definedName>
    <definedName name="BExEQB8ZWXO6IIGOEPWTLOJGE2NR" localSheetId="9" hidden="1">#REF!</definedName>
    <definedName name="BExEQB8ZWXO6IIGOEPWTLOJGE2NR" hidden="1">#REF!</definedName>
    <definedName name="BExEQBZX0EL6LIKPY01197ACK65H" localSheetId="56" hidden="1">#REF!</definedName>
    <definedName name="BExEQBZX0EL6LIKPY01197ACK65H" localSheetId="55" hidden="1">#REF!</definedName>
    <definedName name="BExEQBZX0EL6LIKPY01197ACK65H" localSheetId="4" hidden="1">#REF!</definedName>
    <definedName name="BExEQBZX0EL6LIKPY01197ACK65H" localSheetId="1" hidden="1">#REF!</definedName>
    <definedName name="BExEQBZX0EL6LIKPY01197ACK65H" localSheetId="9" hidden="1">#REF!</definedName>
    <definedName name="BExEQBZX0EL6LIKPY01197ACK65H" hidden="1">#REF!</definedName>
    <definedName name="BExEQDXZALJLD4OBF74IKZBR13SR" localSheetId="56" hidden="1">#REF!</definedName>
    <definedName name="BExEQDXZALJLD4OBF74IKZBR13SR" localSheetId="55" hidden="1">#REF!</definedName>
    <definedName name="BExEQDXZALJLD4OBF74IKZBR13SR" localSheetId="4" hidden="1">#REF!</definedName>
    <definedName name="BExEQDXZALJLD4OBF74IKZBR13SR" localSheetId="1" hidden="1">#REF!</definedName>
    <definedName name="BExEQDXZALJLD4OBF74IKZBR13SR" localSheetId="9" hidden="1">#REF!</definedName>
    <definedName name="BExEQDXZALJLD4OBF74IKZBR13SR" hidden="1">#REF!</definedName>
    <definedName name="BExEQFLE2RPWGMWQAI4JMKUEFRPT" localSheetId="56" hidden="1">#REF!</definedName>
    <definedName name="BExEQFLE2RPWGMWQAI4JMKUEFRPT" localSheetId="55" hidden="1">#REF!</definedName>
    <definedName name="BExEQFLE2RPWGMWQAI4JMKUEFRPT" localSheetId="4" hidden="1">#REF!</definedName>
    <definedName name="BExEQFLE2RPWGMWQAI4JMKUEFRPT" localSheetId="1" hidden="1">#REF!</definedName>
    <definedName name="BExEQFLE2RPWGMWQAI4JMKUEFRPT" localSheetId="9" hidden="1">#REF!</definedName>
    <definedName name="BExEQFLE2RPWGMWQAI4JMKUEFRPT" hidden="1">#REF!</definedName>
    <definedName name="BExEQJHNJV9U65F5VGIGX0VM02VF" localSheetId="56" hidden="1">#REF!</definedName>
    <definedName name="BExEQJHNJV9U65F5VGIGX0VM02VF" localSheetId="55" hidden="1">#REF!</definedName>
    <definedName name="BExEQJHNJV9U65F5VGIGX0VM02VF" localSheetId="4" hidden="1">#REF!</definedName>
    <definedName name="BExEQJHNJV9U65F5VGIGX0VM02VF" localSheetId="1" hidden="1">#REF!</definedName>
    <definedName name="BExEQJHNJV9U65F5VGIGX0VM02VF" localSheetId="9" hidden="1">#REF!</definedName>
    <definedName name="BExEQJHNJV9U65F5VGIGX0VM02VF" hidden="1">#REF!</definedName>
    <definedName name="BExEQTZAP8R69U31W4LKGTKKGKQE" localSheetId="56" hidden="1">#REF!</definedName>
    <definedName name="BExEQTZAP8R69U31W4LKGTKKGKQE" localSheetId="55" hidden="1">#REF!</definedName>
    <definedName name="BExEQTZAP8R69U31W4LKGTKKGKQE" localSheetId="4" hidden="1">#REF!</definedName>
    <definedName name="BExEQTZAP8R69U31W4LKGTKKGKQE" localSheetId="1" hidden="1">#REF!</definedName>
    <definedName name="BExEQTZAP8R69U31W4LKGTKKGKQE" localSheetId="9" hidden="1">#REF!</definedName>
    <definedName name="BExEQTZAP8R69U31W4LKGTKKGKQE" hidden="1">#REF!</definedName>
    <definedName name="BExER2O72H1F9WV6S1J04C15PXX7" localSheetId="56" hidden="1">#REF!</definedName>
    <definedName name="BExER2O72H1F9WV6S1J04C15PXX7" localSheetId="55" hidden="1">#REF!</definedName>
    <definedName name="BExER2O72H1F9WV6S1J04C15PXX7" localSheetId="4" hidden="1">#REF!</definedName>
    <definedName name="BExER2O72H1F9WV6S1J04C15PXX7" localSheetId="1" hidden="1">#REF!</definedName>
    <definedName name="BExER2O72H1F9WV6S1J04C15PXX7" localSheetId="9" hidden="1">#REF!</definedName>
    <definedName name="BExER2O72H1F9WV6S1J04C15PXX7" hidden="1">#REF!</definedName>
    <definedName name="BExERIPCI7N2NW7JRL59DVT0TTSU" localSheetId="56" hidden="1">#REF!</definedName>
    <definedName name="BExERIPCI7N2NW7JRL59DVT0TTSU" localSheetId="55" hidden="1">#REF!</definedName>
    <definedName name="BExERIPCI7N2NW7JRL59DVT0TTSU" localSheetId="4" hidden="1">#REF!</definedName>
    <definedName name="BExERIPCI7N2NW7JRL59DVT0TTSU" localSheetId="1" hidden="1">#REF!</definedName>
    <definedName name="BExERIPCI7N2NW7JRL59DVT0TTSU" localSheetId="9" hidden="1">#REF!</definedName>
    <definedName name="BExERIPCI7N2NW7JRL59DVT0TTSU" hidden="1">#REF!</definedName>
    <definedName name="BExERRUIKIOATPZ9U4HQ0V52RJAU" localSheetId="56" hidden="1">#REF!</definedName>
    <definedName name="BExERRUIKIOATPZ9U4HQ0V52RJAU" localSheetId="55" hidden="1">#REF!</definedName>
    <definedName name="BExERRUIKIOATPZ9U4HQ0V52RJAU" localSheetId="4" hidden="1">#REF!</definedName>
    <definedName name="BExERRUIKIOATPZ9U4HQ0V52RJAU" localSheetId="1" hidden="1">#REF!</definedName>
    <definedName name="BExERRUIKIOATPZ9U4HQ0V52RJAU" localSheetId="9" hidden="1">#REF!</definedName>
    <definedName name="BExERRUIKIOATPZ9U4HQ0V52RJAU" hidden="1">#REF!</definedName>
    <definedName name="BExERSANFNM1O7T65PC5MJ301YET" localSheetId="56" hidden="1">#REF!</definedName>
    <definedName name="BExERSANFNM1O7T65PC5MJ301YET" localSheetId="55" hidden="1">#REF!</definedName>
    <definedName name="BExERSANFNM1O7T65PC5MJ301YET" localSheetId="4" hidden="1">#REF!</definedName>
    <definedName name="BExERSANFNM1O7T65PC5MJ301YET" localSheetId="1" hidden="1">#REF!</definedName>
    <definedName name="BExERSANFNM1O7T65PC5MJ301YET" localSheetId="9" hidden="1">#REF!</definedName>
    <definedName name="BExERSANFNM1O7T65PC5MJ301YET" hidden="1">#REF!</definedName>
    <definedName name="BExERU8P606C6QQZZL55U0ZQYQF1" localSheetId="56" hidden="1">#REF!</definedName>
    <definedName name="BExERU8P606C6QQZZL55U0ZQYQF1" localSheetId="55" hidden="1">#REF!</definedName>
    <definedName name="BExERU8P606C6QQZZL55U0ZQYQF1" localSheetId="4" hidden="1">#REF!</definedName>
    <definedName name="BExERU8P606C6QQZZL55U0ZQYQF1" localSheetId="1" hidden="1">#REF!</definedName>
    <definedName name="BExERU8P606C6QQZZL55U0ZQYQF1" localSheetId="9" hidden="1">#REF!</definedName>
    <definedName name="BExERU8P606C6QQZZL55U0ZQYQF1" hidden="1">#REF!</definedName>
    <definedName name="BExERWCEBKQRYWRQLYJ4UCMMKTHG" localSheetId="45" hidden="1">#REF!</definedName>
    <definedName name="BExERWCEBKQRYWRQLYJ4UCMMKTHG" localSheetId="51" hidden="1">#REF!</definedName>
    <definedName name="BExERWCEBKQRYWRQLYJ4UCMMKTHG" localSheetId="52" hidden="1">#REF!</definedName>
    <definedName name="BExERWCEBKQRYWRQLYJ4UCMMKTHG" localSheetId="56" hidden="1">#REF!</definedName>
    <definedName name="BExERWCEBKQRYWRQLYJ4UCMMKTHG" localSheetId="55" hidden="1">#REF!</definedName>
    <definedName name="BExERWCEBKQRYWRQLYJ4UCMMKTHG" localSheetId="53" hidden="1">#REF!</definedName>
    <definedName name="BExERWCEBKQRYWRQLYJ4UCMMKTHG" localSheetId="54" hidden="1">#REF!</definedName>
    <definedName name="BExERWCEBKQRYWRQLYJ4UCMMKTHG" localSheetId="4" hidden="1">#REF!</definedName>
    <definedName name="BExERWCEBKQRYWRQLYJ4UCMMKTHG" localSheetId="1" hidden="1">#REF!</definedName>
    <definedName name="BExERWCEBKQRYWRQLYJ4UCMMKTHG" localSheetId="9" hidden="1">#REF!</definedName>
    <definedName name="BExERWCEBKQRYWRQLYJ4UCMMKTHG" hidden="1">#REF!</definedName>
    <definedName name="BExERXE1QW042A2T25RI4DVUU59O" localSheetId="56" hidden="1">#REF!</definedName>
    <definedName name="BExERXE1QW042A2T25RI4DVUU59O" localSheetId="55" hidden="1">#REF!</definedName>
    <definedName name="BExERXE1QW042A2T25RI4DVUU59O" localSheetId="4" hidden="1">#REF!</definedName>
    <definedName name="BExERXE1QW042A2T25RI4DVUU59O" localSheetId="1" hidden="1">#REF!</definedName>
    <definedName name="BExERXE1QW042A2T25RI4DVUU59O" localSheetId="9" hidden="1">#REF!</definedName>
    <definedName name="BExERXE1QW042A2T25RI4DVUU59O" hidden="1">#REF!</definedName>
    <definedName name="BExES44RHHDL3V7FLV6M20834WF1" localSheetId="56" hidden="1">#REF!</definedName>
    <definedName name="BExES44RHHDL3V7FLV6M20834WF1" localSheetId="55" hidden="1">#REF!</definedName>
    <definedName name="BExES44RHHDL3V7FLV6M20834WF1" localSheetId="4" hidden="1">#REF!</definedName>
    <definedName name="BExES44RHHDL3V7FLV6M20834WF1" localSheetId="1" hidden="1">#REF!</definedName>
    <definedName name="BExES44RHHDL3V7FLV6M20834WF1" localSheetId="9" hidden="1">#REF!</definedName>
    <definedName name="BExES44RHHDL3V7FLV6M20834WF1" hidden="1">#REF!</definedName>
    <definedName name="BExES4A7VE2X3RYYTVRLKZD4I7WU" localSheetId="56" hidden="1">#REF!</definedName>
    <definedName name="BExES4A7VE2X3RYYTVRLKZD4I7WU" localSheetId="55" hidden="1">#REF!</definedName>
    <definedName name="BExES4A7VE2X3RYYTVRLKZD4I7WU" localSheetId="4" hidden="1">#REF!</definedName>
    <definedName name="BExES4A7VE2X3RYYTVRLKZD4I7WU" localSheetId="1" hidden="1">#REF!</definedName>
    <definedName name="BExES4A7VE2X3RYYTVRLKZD4I7WU" localSheetId="9" hidden="1">#REF!</definedName>
    <definedName name="BExES4A7VE2X3RYYTVRLKZD4I7WU" hidden="1">#REF!</definedName>
    <definedName name="BExESLYUFDACMPARVY264HKBCXLX" localSheetId="56" hidden="1">#REF!</definedName>
    <definedName name="BExESLYUFDACMPARVY264HKBCXLX" localSheetId="55" hidden="1">#REF!</definedName>
    <definedName name="BExESLYUFDACMPARVY264HKBCXLX" localSheetId="4" hidden="1">#REF!</definedName>
    <definedName name="BExESLYUFDACMPARVY264HKBCXLX" localSheetId="1" hidden="1">#REF!</definedName>
    <definedName name="BExESLYUFDACMPARVY264HKBCXLX" localSheetId="9" hidden="1">#REF!</definedName>
    <definedName name="BExESLYUFDACMPARVY264HKBCXLX" hidden="1">#REF!</definedName>
    <definedName name="BExESMKD95A649M0WRSG6CXXP326" localSheetId="56" hidden="1">#REF!</definedName>
    <definedName name="BExESMKD95A649M0WRSG6CXXP326" localSheetId="55" hidden="1">#REF!</definedName>
    <definedName name="BExESMKD95A649M0WRSG6CXXP326" localSheetId="4" hidden="1">#REF!</definedName>
    <definedName name="BExESMKD95A649M0WRSG6CXXP326" localSheetId="1" hidden="1">#REF!</definedName>
    <definedName name="BExESMKD95A649M0WRSG6CXXP326" localSheetId="9" hidden="1">#REF!</definedName>
    <definedName name="BExESMKD95A649M0WRSG6CXXP326" hidden="1">#REF!</definedName>
    <definedName name="BExESR27ZXJG5VMY4PR9D940VS7T" localSheetId="56" hidden="1">#REF!</definedName>
    <definedName name="BExESR27ZXJG5VMY4PR9D940VS7T" localSheetId="55" hidden="1">#REF!</definedName>
    <definedName name="BExESR27ZXJG5VMY4PR9D940VS7T" localSheetId="4" hidden="1">#REF!</definedName>
    <definedName name="BExESR27ZXJG5VMY4PR9D940VS7T" localSheetId="1" hidden="1">#REF!</definedName>
    <definedName name="BExESR27ZXJG5VMY4PR9D940VS7T" localSheetId="9" hidden="1">#REF!</definedName>
    <definedName name="BExESR27ZXJG5VMY4PR9D940VS7T" hidden="1">#REF!</definedName>
    <definedName name="BExESVK1YRJM6UG6FBYOF9CNX29X" localSheetId="56" hidden="1">#REF!</definedName>
    <definedName name="BExESVK1YRJM6UG6FBYOF9CNX29X" localSheetId="55" hidden="1">#REF!</definedName>
    <definedName name="BExESVK1YRJM6UG6FBYOF9CNX29X" localSheetId="4" hidden="1">#REF!</definedName>
    <definedName name="BExESVK1YRJM6UG6FBYOF9CNX29X" localSheetId="1" hidden="1">#REF!</definedName>
    <definedName name="BExESVK1YRJM6UG6FBYOF9CNX29X" localSheetId="9" hidden="1">#REF!</definedName>
    <definedName name="BExESVK1YRJM6UG6FBYOF9CNX29X" hidden="1">#REF!</definedName>
    <definedName name="BExESZ03KXL8DQ2591HLR56ZML94" localSheetId="56" hidden="1">#REF!</definedName>
    <definedName name="BExESZ03KXL8DQ2591HLR56ZML94" localSheetId="55" hidden="1">#REF!</definedName>
    <definedName name="BExESZ03KXL8DQ2591HLR56ZML94" localSheetId="4" hidden="1">#REF!</definedName>
    <definedName name="BExESZ03KXL8DQ2591HLR56ZML94" localSheetId="1" hidden="1">#REF!</definedName>
    <definedName name="BExESZ03KXL8DQ2591HLR56ZML94" localSheetId="9" hidden="1">#REF!</definedName>
    <definedName name="BExESZ03KXL8DQ2591HLR56ZML94" hidden="1">#REF!</definedName>
    <definedName name="BExESZAW5N443NRTKIP59OEI1CR6" localSheetId="56" hidden="1">#REF!</definedName>
    <definedName name="BExESZAW5N443NRTKIP59OEI1CR6" localSheetId="55" hidden="1">#REF!</definedName>
    <definedName name="BExESZAW5N443NRTKIP59OEI1CR6" localSheetId="4" hidden="1">#REF!</definedName>
    <definedName name="BExESZAW5N443NRTKIP59OEI1CR6" localSheetId="1" hidden="1">#REF!</definedName>
    <definedName name="BExESZAW5N443NRTKIP59OEI1CR6" localSheetId="9" hidden="1">#REF!</definedName>
    <definedName name="BExESZAW5N443NRTKIP59OEI1CR6" hidden="1">#REF!</definedName>
    <definedName name="BExET3HXQ60A4O2OLKX8QNXRI6LQ" localSheetId="56" hidden="1">#REF!</definedName>
    <definedName name="BExET3HXQ60A4O2OLKX8QNXRI6LQ" localSheetId="55" hidden="1">#REF!</definedName>
    <definedName name="BExET3HXQ60A4O2OLKX8QNXRI6LQ" localSheetId="4" hidden="1">#REF!</definedName>
    <definedName name="BExET3HXQ60A4O2OLKX8QNXRI6LQ" localSheetId="1" hidden="1">#REF!</definedName>
    <definedName name="BExET3HXQ60A4O2OLKX8QNXRI6LQ" localSheetId="9" hidden="1">#REF!</definedName>
    <definedName name="BExET3HXQ60A4O2OLKX8QNXRI6LQ" hidden="1">#REF!</definedName>
    <definedName name="BExET4EAH366GROMVVMDCSUI1018" localSheetId="56" hidden="1">#REF!</definedName>
    <definedName name="BExET4EAH366GROMVVMDCSUI1018" localSheetId="55" hidden="1">#REF!</definedName>
    <definedName name="BExET4EAH366GROMVVMDCSUI1018" localSheetId="4" hidden="1">#REF!</definedName>
    <definedName name="BExET4EAH366GROMVVMDCSUI1018" localSheetId="1" hidden="1">#REF!</definedName>
    <definedName name="BExET4EAH366GROMVVMDCSUI1018" localSheetId="9" hidden="1">#REF!</definedName>
    <definedName name="BExET4EAH366GROMVVMDCSUI1018" hidden="1">#REF!</definedName>
    <definedName name="BExETA3B1FCIOA80H94K90FWXQKE" localSheetId="56" hidden="1">#REF!</definedName>
    <definedName name="BExETA3B1FCIOA80H94K90FWXQKE" localSheetId="55" hidden="1">#REF!</definedName>
    <definedName name="BExETA3B1FCIOA80H94K90FWXQKE" localSheetId="4" hidden="1">#REF!</definedName>
    <definedName name="BExETA3B1FCIOA80H94K90FWXQKE" localSheetId="1" hidden="1">#REF!</definedName>
    <definedName name="BExETA3B1FCIOA80H94K90FWXQKE" localSheetId="9" hidden="1">#REF!</definedName>
    <definedName name="BExETA3B1FCIOA80H94K90FWXQKE" hidden="1">#REF!</definedName>
    <definedName name="BExETAZOYT4CJIT8RRKC9F2HJG1D" localSheetId="56" hidden="1">#REF!</definedName>
    <definedName name="BExETAZOYT4CJIT8RRKC9F2HJG1D" localSheetId="55" hidden="1">#REF!</definedName>
    <definedName name="BExETAZOYT4CJIT8RRKC9F2HJG1D" localSheetId="4" hidden="1">#REF!</definedName>
    <definedName name="BExETAZOYT4CJIT8RRKC9F2HJG1D" localSheetId="1" hidden="1">#REF!</definedName>
    <definedName name="BExETAZOYT4CJIT8RRKC9F2HJG1D" localSheetId="9" hidden="1">#REF!</definedName>
    <definedName name="BExETAZOYT4CJIT8RRKC9F2HJG1D" hidden="1">#REF!</definedName>
    <definedName name="BExETB55BNG40G9YOI2H6UHIR9WU" localSheetId="56" hidden="1">#REF!</definedName>
    <definedName name="BExETB55BNG40G9YOI2H6UHIR9WU" localSheetId="55" hidden="1">#REF!</definedName>
    <definedName name="BExETB55BNG40G9YOI2H6UHIR9WU" localSheetId="4" hidden="1">#REF!</definedName>
    <definedName name="BExETB55BNG40G9YOI2H6UHIR9WU" localSheetId="1" hidden="1">#REF!</definedName>
    <definedName name="BExETB55BNG40G9YOI2H6UHIR9WU" localSheetId="9" hidden="1">#REF!</definedName>
    <definedName name="BExETB55BNG40G9YOI2H6UHIR9WU" hidden="1">#REF!</definedName>
    <definedName name="BExETF6QD5A9GEINE1KZRRC2LXWM" localSheetId="56" hidden="1">#REF!</definedName>
    <definedName name="BExETF6QD5A9GEINE1KZRRC2LXWM" localSheetId="55" hidden="1">#REF!</definedName>
    <definedName name="BExETF6QD5A9GEINE1KZRRC2LXWM" localSheetId="4" hidden="1">#REF!</definedName>
    <definedName name="BExETF6QD5A9GEINE1KZRRC2LXWM" localSheetId="1" hidden="1">#REF!</definedName>
    <definedName name="BExETF6QD5A9GEINE1KZRRC2LXWM" localSheetId="9" hidden="1">#REF!</definedName>
    <definedName name="BExETF6QD5A9GEINE1KZRRC2LXWM" hidden="1">#REF!</definedName>
    <definedName name="BExETQ9XRXLUACN82805SPSPNKHI" localSheetId="56" hidden="1">#REF!</definedName>
    <definedName name="BExETQ9XRXLUACN82805SPSPNKHI" localSheetId="55" hidden="1">#REF!</definedName>
    <definedName name="BExETQ9XRXLUACN82805SPSPNKHI" localSheetId="4" hidden="1">#REF!</definedName>
    <definedName name="BExETQ9XRXLUACN82805SPSPNKHI" localSheetId="1" hidden="1">#REF!</definedName>
    <definedName name="BExETQ9XRXLUACN82805SPSPNKHI" localSheetId="9" hidden="1">#REF!</definedName>
    <definedName name="BExETQ9XRXLUACN82805SPSPNKHI" hidden="1">#REF!</definedName>
    <definedName name="BExETR0YRMOR63E6DHLEHV9QVVON" localSheetId="56" hidden="1">#REF!</definedName>
    <definedName name="BExETR0YRMOR63E6DHLEHV9QVVON" localSheetId="55" hidden="1">#REF!</definedName>
    <definedName name="BExETR0YRMOR63E6DHLEHV9QVVON" localSheetId="4" hidden="1">#REF!</definedName>
    <definedName name="BExETR0YRMOR63E6DHLEHV9QVVON" localSheetId="1" hidden="1">#REF!</definedName>
    <definedName name="BExETR0YRMOR63E6DHLEHV9QVVON" localSheetId="9" hidden="1">#REF!</definedName>
    <definedName name="BExETR0YRMOR63E6DHLEHV9QVVON" hidden="1">#REF!</definedName>
    <definedName name="BExETVO51BGF7GGNGB21UD7OIF15" localSheetId="56" hidden="1">#REF!</definedName>
    <definedName name="BExETVO51BGF7GGNGB21UD7OIF15" localSheetId="55" hidden="1">#REF!</definedName>
    <definedName name="BExETVO51BGF7GGNGB21UD7OIF15" localSheetId="4" hidden="1">#REF!</definedName>
    <definedName name="BExETVO51BGF7GGNGB21UD7OIF15" localSheetId="1" hidden="1">#REF!</definedName>
    <definedName name="BExETVO51BGF7GGNGB21UD7OIF15" localSheetId="9" hidden="1">#REF!</definedName>
    <definedName name="BExETVO51BGF7GGNGB21UD7OIF15" hidden="1">#REF!</definedName>
    <definedName name="BExETVTGY38YXYYF7N73OYN6FYY3" localSheetId="56" hidden="1">#REF!</definedName>
    <definedName name="BExETVTGY38YXYYF7N73OYN6FYY3" localSheetId="55" hidden="1">#REF!</definedName>
    <definedName name="BExETVTGY38YXYYF7N73OYN6FYY3" localSheetId="4" hidden="1">#REF!</definedName>
    <definedName name="BExETVTGY38YXYYF7N73OYN6FYY3" localSheetId="1" hidden="1">#REF!</definedName>
    <definedName name="BExETVTGY38YXYYF7N73OYN6FYY3" localSheetId="9" hidden="1">#REF!</definedName>
    <definedName name="BExETVTGY38YXYYF7N73OYN6FYY3" hidden="1">#REF!</definedName>
    <definedName name="BExETVTH8RADW05P2XUUV7V44TWW" localSheetId="56" hidden="1">#REF!</definedName>
    <definedName name="BExETVTH8RADW05P2XUUV7V44TWW" localSheetId="55" hidden="1">#REF!</definedName>
    <definedName name="BExETVTH8RADW05P2XUUV7V44TWW" localSheetId="4" hidden="1">#REF!</definedName>
    <definedName name="BExETVTH8RADW05P2XUUV7V44TWW" localSheetId="1" hidden="1">#REF!</definedName>
    <definedName name="BExETVTH8RADW05P2XUUV7V44TWW" localSheetId="9" hidden="1">#REF!</definedName>
    <definedName name="BExETVTH8RADW05P2XUUV7V44TWW" hidden="1">#REF!</definedName>
    <definedName name="BExETW9PYUAV5QY6A4VCYZRIOUX4" localSheetId="56" hidden="1">#REF!</definedName>
    <definedName name="BExETW9PYUAV5QY6A4VCYZRIOUX4" localSheetId="55" hidden="1">#REF!</definedName>
    <definedName name="BExETW9PYUAV5QY6A4VCYZRIOUX4" localSheetId="4" hidden="1">#REF!</definedName>
    <definedName name="BExETW9PYUAV5QY6A4VCYZRIOUX4" localSheetId="1" hidden="1">#REF!</definedName>
    <definedName name="BExETW9PYUAV5QY6A4VCYZRIOUX4" localSheetId="9" hidden="1">#REF!</definedName>
    <definedName name="BExETW9PYUAV5QY6A4VCYZRIOUX4" hidden="1">#REF!</definedName>
    <definedName name="BExEUGNELLVZ7K2PYWP2TG8T65XQ" localSheetId="56" hidden="1">#REF!</definedName>
    <definedName name="BExEUGNELLVZ7K2PYWP2TG8T65XQ" localSheetId="55" hidden="1">#REF!</definedName>
    <definedName name="BExEUGNELLVZ7K2PYWP2TG8T65XQ" localSheetId="4" hidden="1">#REF!</definedName>
    <definedName name="BExEUGNELLVZ7K2PYWP2TG8T65XQ" localSheetId="1" hidden="1">#REF!</definedName>
    <definedName name="BExEUGNELLVZ7K2PYWP2TG8T65XQ" localSheetId="9" hidden="1">#REF!</definedName>
    <definedName name="BExEUGNELLVZ7K2PYWP2TG8T65XQ" hidden="1">#REF!</definedName>
    <definedName name="BExEUHUG1NGJGB6F1UH5IKFZ9B9M" localSheetId="56" hidden="1">#REF!</definedName>
    <definedName name="BExEUHUG1NGJGB6F1UH5IKFZ9B9M" localSheetId="55" hidden="1">#REF!</definedName>
    <definedName name="BExEUHUG1NGJGB6F1UH5IKFZ9B9M" localSheetId="4" hidden="1">#REF!</definedName>
    <definedName name="BExEUHUG1NGJGB6F1UH5IKFZ9B9M" localSheetId="1" hidden="1">#REF!</definedName>
    <definedName name="BExEUHUG1NGJGB6F1UH5IKFZ9B9M" localSheetId="9" hidden="1">#REF!</definedName>
    <definedName name="BExEUHUG1NGJGB6F1UH5IKFZ9B9M" hidden="1">#REF!</definedName>
    <definedName name="BExEUNE4T242Y59C6MS28MXEUGCP" localSheetId="56" hidden="1">#REF!</definedName>
    <definedName name="BExEUNE4T242Y59C6MS28MXEUGCP" localSheetId="55" hidden="1">#REF!</definedName>
    <definedName name="BExEUNE4T242Y59C6MS28MXEUGCP" localSheetId="4" hidden="1">#REF!</definedName>
    <definedName name="BExEUNE4T242Y59C6MS28MXEUGCP" localSheetId="1" hidden="1">#REF!</definedName>
    <definedName name="BExEUNE4T242Y59C6MS28MXEUGCP" localSheetId="9" hidden="1">#REF!</definedName>
    <definedName name="BExEUNE4T242Y59C6MS28MXEUGCP" hidden="1">#REF!</definedName>
    <definedName name="BExEUNU7FYVTR4DD1D31SS7PNXX2" localSheetId="56" hidden="1">#REF!</definedName>
    <definedName name="BExEUNU7FYVTR4DD1D31SS7PNXX2" localSheetId="55" hidden="1">#REF!</definedName>
    <definedName name="BExEUNU7FYVTR4DD1D31SS7PNXX2" localSheetId="4" hidden="1">#REF!</definedName>
    <definedName name="BExEUNU7FYVTR4DD1D31SS7PNXX2" localSheetId="1" hidden="1">#REF!</definedName>
    <definedName name="BExEUNU7FYVTR4DD1D31SS7PNXX2" localSheetId="9" hidden="1">#REF!</definedName>
    <definedName name="BExEUNU7FYVTR4DD1D31SS7PNXX2" hidden="1">#REF!</definedName>
    <definedName name="BExEV2TP7NA3ZR6RJGH5ER370OUM" localSheetId="56" hidden="1">#REF!</definedName>
    <definedName name="BExEV2TP7NA3ZR6RJGH5ER370OUM" localSheetId="55" hidden="1">#REF!</definedName>
    <definedName name="BExEV2TP7NA3ZR6RJGH5ER370OUM" localSheetId="4" hidden="1">#REF!</definedName>
    <definedName name="BExEV2TP7NA3ZR6RJGH5ER370OUM" localSheetId="1" hidden="1">#REF!</definedName>
    <definedName name="BExEV2TP7NA3ZR6RJGH5ER370OUM" localSheetId="9" hidden="1">#REF!</definedName>
    <definedName name="BExEV2TP7NA3ZR6RJGH5ER370OUM" hidden="1">#REF!</definedName>
    <definedName name="BExEV3Q7M5YTX3CY3QCP1SUIEP2E" localSheetId="56" hidden="1">#REF!</definedName>
    <definedName name="BExEV3Q7M5YTX3CY3QCP1SUIEP2E" localSheetId="55" hidden="1">#REF!</definedName>
    <definedName name="BExEV3Q7M5YTX3CY3QCP1SUIEP2E" localSheetId="4" hidden="1">#REF!</definedName>
    <definedName name="BExEV3Q7M5YTX3CY3QCP1SUIEP2E" localSheetId="1" hidden="1">#REF!</definedName>
    <definedName name="BExEV3Q7M5YTX3CY3QCP1SUIEP2E" localSheetId="9" hidden="1">#REF!</definedName>
    <definedName name="BExEV3Q7M5YTX3CY3QCP1SUIEP2E" hidden="1">#REF!</definedName>
    <definedName name="BExEV69USLNYO2QRJRC0J92XUF00" localSheetId="56" hidden="1">#REF!</definedName>
    <definedName name="BExEV69USLNYO2QRJRC0J92XUF00" localSheetId="55" hidden="1">#REF!</definedName>
    <definedName name="BExEV69USLNYO2QRJRC0J92XUF00" localSheetId="4" hidden="1">#REF!</definedName>
    <definedName name="BExEV69USLNYO2QRJRC0J92XUF00" localSheetId="1" hidden="1">#REF!</definedName>
    <definedName name="BExEV69USLNYO2QRJRC0J92XUF00" localSheetId="9" hidden="1">#REF!</definedName>
    <definedName name="BExEV69USLNYO2QRJRC0J92XUF00" hidden="1">#REF!</definedName>
    <definedName name="BExEV6KNTQOCFD7GV726XQEVQ7R6" localSheetId="56" hidden="1">#REF!</definedName>
    <definedName name="BExEV6KNTQOCFD7GV726XQEVQ7R6" localSheetId="55" hidden="1">#REF!</definedName>
    <definedName name="BExEV6KNTQOCFD7GV726XQEVQ7R6" localSheetId="4" hidden="1">#REF!</definedName>
    <definedName name="BExEV6KNTQOCFD7GV726XQEVQ7R6" localSheetId="1" hidden="1">#REF!</definedName>
    <definedName name="BExEV6KNTQOCFD7GV726XQEVQ7R6" localSheetId="9" hidden="1">#REF!</definedName>
    <definedName name="BExEV6KNTQOCFD7GV726XQEVQ7R6" hidden="1">#REF!</definedName>
    <definedName name="BExEV6VGM4POO9QT9KH3QA3VYCWM" localSheetId="56" hidden="1">#REF!</definedName>
    <definedName name="BExEV6VGM4POO9QT9KH3QA3VYCWM" localSheetId="55" hidden="1">#REF!</definedName>
    <definedName name="BExEV6VGM4POO9QT9KH3QA3VYCWM" localSheetId="4" hidden="1">#REF!</definedName>
    <definedName name="BExEV6VGM4POO9QT9KH3QA3VYCWM" localSheetId="1" hidden="1">#REF!</definedName>
    <definedName name="BExEV6VGM4POO9QT9KH3QA3VYCWM" localSheetId="9" hidden="1">#REF!</definedName>
    <definedName name="BExEV6VGM4POO9QT9KH3QA3VYCWM" hidden="1">#REF!</definedName>
    <definedName name="BExEVCEYMOI0PGO7HAEOS9CVMU2O" localSheetId="56" hidden="1">#REF!</definedName>
    <definedName name="BExEVCEYMOI0PGO7HAEOS9CVMU2O" localSheetId="55" hidden="1">#REF!</definedName>
    <definedName name="BExEVCEYMOI0PGO7HAEOS9CVMU2O" localSheetId="4" hidden="1">#REF!</definedName>
    <definedName name="BExEVCEYMOI0PGO7HAEOS9CVMU2O" localSheetId="1" hidden="1">#REF!</definedName>
    <definedName name="BExEVCEYMOI0PGO7HAEOS9CVMU2O" localSheetId="9" hidden="1">#REF!</definedName>
    <definedName name="BExEVCEYMOI0PGO7HAEOS9CVMU2O" hidden="1">#REF!</definedName>
    <definedName name="BExEVET98G3FU6QBF9LHYWSAMV0O" localSheetId="56" hidden="1">#REF!</definedName>
    <definedName name="BExEVET98G3FU6QBF9LHYWSAMV0O" localSheetId="55" hidden="1">#REF!</definedName>
    <definedName name="BExEVET98G3FU6QBF9LHYWSAMV0O" localSheetId="4" hidden="1">#REF!</definedName>
    <definedName name="BExEVET98G3FU6QBF9LHYWSAMV0O" localSheetId="1" hidden="1">#REF!</definedName>
    <definedName name="BExEVET98G3FU6QBF9LHYWSAMV0O" localSheetId="9" hidden="1">#REF!</definedName>
    <definedName name="BExEVET98G3FU6QBF9LHYWSAMV0O" hidden="1">#REF!</definedName>
    <definedName name="BExEVNCUT0PDUYNJH7G6BSEWZOT2" localSheetId="56" hidden="1">#REF!</definedName>
    <definedName name="BExEVNCUT0PDUYNJH7G6BSEWZOT2" localSheetId="55" hidden="1">#REF!</definedName>
    <definedName name="BExEVNCUT0PDUYNJH7G6BSEWZOT2" localSheetId="4" hidden="1">#REF!</definedName>
    <definedName name="BExEVNCUT0PDUYNJH7G6BSEWZOT2" localSheetId="1" hidden="1">#REF!</definedName>
    <definedName name="BExEVNCUT0PDUYNJH7G6BSEWZOT2" localSheetId="9" hidden="1">#REF!</definedName>
    <definedName name="BExEVNCUT0PDUYNJH7G6BSEWZOT2" hidden="1">#REF!</definedName>
    <definedName name="BExEVPGF4V5J0WQRZKUM8F9TTKZJ" localSheetId="56" hidden="1">#REF!</definedName>
    <definedName name="BExEVPGF4V5J0WQRZKUM8F9TTKZJ" localSheetId="55" hidden="1">#REF!</definedName>
    <definedName name="BExEVPGF4V5J0WQRZKUM8F9TTKZJ" localSheetId="4" hidden="1">#REF!</definedName>
    <definedName name="BExEVPGF4V5J0WQRZKUM8F9TTKZJ" localSheetId="1" hidden="1">#REF!</definedName>
    <definedName name="BExEVPGF4V5J0WQRZKUM8F9TTKZJ" localSheetId="9" hidden="1">#REF!</definedName>
    <definedName name="BExEVPGF4V5J0WQRZKUM8F9TTKZJ" hidden="1">#REF!</definedName>
    <definedName name="BExEVVLIEVWYRF2UUC1H0H5QU1CP" localSheetId="56" hidden="1">#REF!</definedName>
    <definedName name="BExEVVLIEVWYRF2UUC1H0H5QU1CP" localSheetId="55" hidden="1">#REF!</definedName>
    <definedName name="BExEVVLIEVWYRF2UUC1H0H5QU1CP" localSheetId="4" hidden="1">#REF!</definedName>
    <definedName name="BExEVVLIEVWYRF2UUC1H0H5QU1CP" localSheetId="1" hidden="1">#REF!</definedName>
    <definedName name="BExEVVLIEVWYRF2UUC1H0H5QU1CP" localSheetId="9" hidden="1">#REF!</definedName>
    <definedName name="BExEVVLIEVWYRF2UUC1H0H5QU1CP" hidden="1">#REF!</definedName>
    <definedName name="BExEVWCKO8T84GW9Z3X47915XKSH" localSheetId="56" hidden="1">#REF!</definedName>
    <definedName name="BExEVWCKO8T84GW9Z3X47915XKSH" localSheetId="55" hidden="1">#REF!</definedName>
    <definedName name="BExEVWCKO8T84GW9Z3X47915XKSH" localSheetId="4" hidden="1">#REF!</definedName>
    <definedName name="BExEVWCKO8T84GW9Z3X47915XKSH" localSheetId="1" hidden="1">#REF!</definedName>
    <definedName name="BExEVWCKO8T84GW9Z3X47915XKSH" localSheetId="9" hidden="1">#REF!</definedName>
    <definedName name="BExEVWCKO8T84GW9Z3X47915XKSH" hidden="1">#REF!</definedName>
    <definedName name="BExEVZSJWMZ5L2ZE7AZC57CXKW6T" localSheetId="56" hidden="1">#REF!</definedName>
    <definedName name="BExEVZSJWMZ5L2ZE7AZC57CXKW6T" localSheetId="55" hidden="1">#REF!</definedName>
    <definedName name="BExEVZSJWMZ5L2ZE7AZC57CXKW6T" localSheetId="4" hidden="1">#REF!</definedName>
    <definedName name="BExEVZSJWMZ5L2ZE7AZC57CXKW6T" localSheetId="1" hidden="1">#REF!</definedName>
    <definedName name="BExEVZSJWMZ5L2ZE7AZC57CXKW6T" localSheetId="9" hidden="1">#REF!</definedName>
    <definedName name="BExEVZSJWMZ5L2ZE7AZC57CXKW6T" hidden="1">#REF!</definedName>
    <definedName name="BExEW0JL1GFFCXMDGW54CI7Y8FZN" localSheetId="56" hidden="1">#REF!</definedName>
    <definedName name="BExEW0JL1GFFCXMDGW54CI7Y8FZN" localSheetId="55" hidden="1">#REF!</definedName>
    <definedName name="BExEW0JL1GFFCXMDGW54CI7Y8FZN" localSheetId="4" hidden="1">#REF!</definedName>
    <definedName name="BExEW0JL1GFFCXMDGW54CI7Y8FZN" localSheetId="1" hidden="1">#REF!</definedName>
    <definedName name="BExEW0JL1GFFCXMDGW54CI7Y8FZN" localSheetId="9" hidden="1">#REF!</definedName>
    <definedName name="BExEW0JL1GFFCXMDGW54CI7Y8FZN" hidden="1">#REF!</definedName>
    <definedName name="BExEW68M9WL8214QH9C7VCK7BN08" localSheetId="56" hidden="1">#REF!</definedName>
    <definedName name="BExEW68M9WL8214QH9C7VCK7BN08" localSheetId="55" hidden="1">#REF!</definedName>
    <definedName name="BExEW68M9WL8214QH9C7VCK7BN08" localSheetId="4" hidden="1">#REF!</definedName>
    <definedName name="BExEW68M9WL8214QH9C7VCK7BN08" localSheetId="1" hidden="1">#REF!</definedName>
    <definedName name="BExEW68M9WL8214QH9C7VCK7BN08" localSheetId="9" hidden="1">#REF!</definedName>
    <definedName name="BExEW68M9WL8214QH9C7VCK7BN08" hidden="1">#REF!</definedName>
    <definedName name="BExEW8HFKH6F47KIHYBDRUEFZ2ZZ" localSheetId="56" hidden="1">#REF!</definedName>
    <definedName name="BExEW8HFKH6F47KIHYBDRUEFZ2ZZ" localSheetId="55" hidden="1">#REF!</definedName>
    <definedName name="BExEW8HFKH6F47KIHYBDRUEFZ2ZZ" localSheetId="4" hidden="1">#REF!</definedName>
    <definedName name="BExEW8HFKH6F47KIHYBDRUEFZ2ZZ" localSheetId="1" hidden="1">#REF!</definedName>
    <definedName name="BExEW8HFKH6F47KIHYBDRUEFZ2ZZ" localSheetId="9" hidden="1">#REF!</definedName>
    <definedName name="BExEW8HFKH6F47KIHYBDRUEFZ2ZZ" hidden="1">#REF!</definedName>
    <definedName name="BExEWB6JHMITZPXHB6JATOCLLKLJ" localSheetId="56" hidden="1">#REF!</definedName>
    <definedName name="BExEWB6JHMITZPXHB6JATOCLLKLJ" localSheetId="55" hidden="1">#REF!</definedName>
    <definedName name="BExEWB6JHMITZPXHB6JATOCLLKLJ" localSheetId="4" hidden="1">#REF!</definedName>
    <definedName name="BExEWB6JHMITZPXHB6JATOCLLKLJ" localSheetId="1" hidden="1">#REF!</definedName>
    <definedName name="BExEWB6JHMITZPXHB6JATOCLLKLJ" localSheetId="9" hidden="1">#REF!</definedName>
    <definedName name="BExEWB6JHMITZPXHB6JATOCLLKLJ" hidden="1">#REF!</definedName>
    <definedName name="BExEWNBGQS1U2LW3W84T4LSJ9K00" localSheetId="56" hidden="1">#REF!</definedName>
    <definedName name="BExEWNBGQS1U2LW3W84T4LSJ9K00" localSheetId="55" hidden="1">#REF!</definedName>
    <definedName name="BExEWNBGQS1U2LW3W84T4LSJ9K00" localSheetId="4" hidden="1">#REF!</definedName>
    <definedName name="BExEWNBGQS1U2LW3W84T4LSJ9K00" localSheetId="1" hidden="1">#REF!</definedName>
    <definedName name="BExEWNBGQS1U2LW3W84T4LSJ9K00" localSheetId="9" hidden="1">#REF!</definedName>
    <definedName name="BExEWNBGQS1U2LW3W84T4LSJ9K00" hidden="1">#REF!</definedName>
    <definedName name="BExEWO7STL7HNZSTY8VQBPTX1WK6" localSheetId="56" hidden="1">#REF!</definedName>
    <definedName name="BExEWO7STL7HNZSTY8VQBPTX1WK6" localSheetId="55" hidden="1">#REF!</definedName>
    <definedName name="BExEWO7STL7HNZSTY8VQBPTX1WK6" localSheetId="4" hidden="1">#REF!</definedName>
    <definedName name="BExEWO7STL7HNZSTY8VQBPTX1WK6" localSheetId="1" hidden="1">#REF!</definedName>
    <definedName name="BExEWO7STL7HNZSTY8VQBPTX1WK6" localSheetId="9" hidden="1">#REF!</definedName>
    <definedName name="BExEWO7STL7HNZSTY8VQBPTX1WK6" hidden="1">#REF!</definedName>
    <definedName name="BExEWQ0M1N3KMKTDJ73H10QSG4W1" localSheetId="56" hidden="1">#REF!</definedName>
    <definedName name="BExEWQ0M1N3KMKTDJ73H10QSG4W1" localSheetId="55" hidden="1">#REF!</definedName>
    <definedName name="BExEWQ0M1N3KMKTDJ73H10QSG4W1" localSheetId="4" hidden="1">#REF!</definedName>
    <definedName name="BExEWQ0M1N3KMKTDJ73H10QSG4W1" localSheetId="1" hidden="1">#REF!</definedName>
    <definedName name="BExEWQ0M1N3KMKTDJ73H10QSG4W1" localSheetId="9" hidden="1">#REF!</definedName>
    <definedName name="BExEWQ0M1N3KMKTDJ73H10QSG4W1" hidden="1">#REF!</definedName>
    <definedName name="BExEX43OR6NH8GF32YY2ZB6Y8WGP" localSheetId="56" hidden="1">#REF!</definedName>
    <definedName name="BExEX43OR6NH8GF32YY2ZB6Y8WGP" localSheetId="55" hidden="1">#REF!</definedName>
    <definedName name="BExEX43OR6NH8GF32YY2ZB6Y8WGP" localSheetId="4" hidden="1">#REF!</definedName>
    <definedName name="BExEX43OR6NH8GF32YY2ZB6Y8WGP" localSheetId="1" hidden="1">#REF!</definedName>
    <definedName name="BExEX43OR6NH8GF32YY2ZB6Y8WGP" localSheetId="9" hidden="1">#REF!</definedName>
    <definedName name="BExEX43OR6NH8GF32YY2ZB6Y8WGP" hidden="1">#REF!</definedName>
    <definedName name="BExEX85F3OSW8NSCYGYPS9372Z1Q" localSheetId="56" hidden="1">#REF!</definedName>
    <definedName name="BExEX85F3OSW8NSCYGYPS9372Z1Q" localSheetId="55" hidden="1">#REF!</definedName>
    <definedName name="BExEX85F3OSW8NSCYGYPS9372Z1Q" localSheetId="4" hidden="1">#REF!</definedName>
    <definedName name="BExEX85F3OSW8NSCYGYPS9372Z1Q" localSheetId="1" hidden="1">#REF!</definedName>
    <definedName name="BExEX85F3OSW8NSCYGYPS9372Z1Q" localSheetId="9" hidden="1">#REF!</definedName>
    <definedName name="BExEX85F3OSW8NSCYGYPS9372Z1Q" hidden="1">#REF!</definedName>
    <definedName name="BExEX9HWY2G6928ZVVVQF77QCM2C" localSheetId="56" hidden="1">#REF!</definedName>
    <definedName name="BExEX9HWY2G6928ZVVVQF77QCM2C" localSheetId="55" hidden="1">#REF!</definedName>
    <definedName name="BExEX9HWY2G6928ZVVVQF77QCM2C" localSheetId="4" hidden="1">#REF!</definedName>
    <definedName name="BExEX9HWY2G6928ZVVVQF77QCM2C" localSheetId="1" hidden="1">#REF!</definedName>
    <definedName name="BExEX9HWY2G6928ZVVVQF77QCM2C" localSheetId="9" hidden="1">#REF!</definedName>
    <definedName name="BExEX9HWY2G6928ZVVVQF77QCM2C" hidden="1">#REF!</definedName>
    <definedName name="BExEXBQWAYKMVBRJRHB8PFCSYFVN" localSheetId="56" hidden="1">#REF!</definedName>
    <definedName name="BExEXBQWAYKMVBRJRHB8PFCSYFVN" localSheetId="55" hidden="1">#REF!</definedName>
    <definedName name="BExEXBQWAYKMVBRJRHB8PFCSYFVN" localSheetId="4" hidden="1">#REF!</definedName>
    <definedName name="BExEXBQWAYKMVBRJRHB8PFCSYFVN" localSheetId="1" hidden="1">#REF!</definedName>
    <definedName name="BExEXBQWAYKMVBRJRHB8PFCSYFVN" localSheetId="9" hidden="1">#REF!</definedName>
    <definedName name="BExEXBQWAYKMVBRJRHB8PFCSYFVN" hidden="1">#REF!</definedName>
    <definedName name="BExEXGE2TE9MQWLQVHL7XGQWL102" localSheetId="56" hidden="1">#REF!</definedName>
    <definedName name="BExEXGE2TE9MQWLQVHL7XGQWL102" localSheetId="55" hidden="1">#REF!</definedName>
    <definedName name="BExEXGE2TE9MQWLQVHL7XGQWL102" localSheetId="4" hidden="1">#REF!</definedName>
    <definedName name="BExEXGE2TE9MQWLQVHL7XGQWL102" localSheetId="1" hidden="1">#REF!</definedName>
    <definedName name="BExEXGE2TE9MQWLQVHL7XGQWL102" localSheetId="9" hidden="1">#REF!</definedName>
    <definedName name="BExEXGE2TE9MQWLQVHL7XGQWL102" hidden="1">#REF!</definedName>
    <definedName name="BExEXRBZ0DI9E2UFLLKYWGN66B61" localSheetId="56" hidden="1">#REF!</definedName>
    <definedName name="BExEXRBZ0DI9E2UFLLKYWGN66B61" localSheetId="55" hidden="1">#REF!</definedName>
    <definedName name="BExEXRBZ0DI9E2UFLLKYWGN66B61" localSheetId="4" hidden="1">#REF!</definedName>
    <definedName name="BExEXRBZ0DI9E2UFLLKYWGN66B61" localSheetId="1" hidden="1">#REF!</definedName>
    <definedName name="BExEXRBZ0DI9E2UFLLKYWGN66B61" localSheetId="9" hidden="1">#REF!</definedName>
    <definedName name="BExEXRBZ0DI9E2UFLLKYWGN66B61" hidden="1">#REF!</definedName>
    <definedName name="BExEXW4FSOZ9C2SZSQIAA3W82I5K" localSheetId="56" hidden="1">#REF!</definedName>
    <definedName name="BExEXW4FSOZ9C2SZSQIAA3W82I5K" localSheetId="55" hidden="1">#REF!</definedName>
    <definedName name="BExEXW4FSOZ9C2SZSQIAA3W82I5K" localSheetId="4" hidden="1">#REF!</definedName>
    <definedName name="BExEXW4FSOZ9C2SZSQIAA3W82I5K" localSheetId="1" hidden="1">#REF!</definedName>
    <definedName name="BExEXW4FSOZ9C2SZSQIAA3W82I5K" localSheetId="9" hidden="1">#REF!</definedName>
    <definedName name="BExEXW4FSOZ9C2SZSQIAA3W82I5K" hidden="1">#REF!</definedName>
    <definedName name="BExEXZ4H2ZUNEW5I6I74GK08QAQC" localSheetId="56" hidden="1">#REF!</definedName>
    <definedName name="BExEXZ4H2ZUNEW5I6I74GK08QAQC" localSheetId="55" hidden="1">#REF!</definedName>
    <definedName name="BExEXZ4H2ZUNEW5I6I74GK08QAQC" localSheetId="4" hidden="1">#REF!</definedName>
    <definedName name="BExEXZ4H2ZUNEW5I6I74GK08QAQC" localSheetId="1" hidden="1">#REF!</definedName>
    <definedName name="BExEXZ4H2ZUNEW5I6I74GK08QAQC" localSheetId="9" hidden="1">#REF!</definedName>
    <definedName name="BExEXZ4H2ZUNEW5I6I74GK08QAQC" hidden="1">#REF!</definedName>
    <definedName name="BExEY42GK80HA9M84NTZ3NV9K2VI" localSheetId="56" hidden="1">#REF!</definedName>
    <definedName name="BExEY42GK80HA9M84NTZ3NV9K2VI" localSheetId="55" hidden="1">#REF!</definedName>
    <definedName name="BExEY42GK80HA9M84NTZ3NV9K2VI" localSheetId="4" hidden="1">#REF!</definedName>
    <definedName name="BExEY42GK80HA9M84NTZ3NV9K2VI" localSheetId="1" hidden="1">#REF!</definedName>
    <definedName name="BExEY42GK80HA9M84NTZ3NV9K2VI" localSheetId="9" hidden="1">#REF!</definedName>
    <definedName name="BExEY42GK80HA9M84NTZ3NV9K2VI" hidden="1">#REF!</definedName>
    <definedName name="BExEYLG9FL9V1JPPNZ3FUDNSEJ4V" localSheetId="56" hidden="1">#REF!</definedName>
    <definedName name="BExEYLG9FL9V1JPPNZ3FUDNSEJ4V" localSheetId="55" hidden="1">#REF!</definedName>
    <definedName name="BExEYLG9FL9V1JPPNZ3FUDNSEJ4V" localSheetId="4" hidden="1">#REF!</definedName>
    <definedName name="BExEYLG9FL9V1JPPNZ3FUDNSEJ4V" localSheetId="1" hidden="1">#REF!</definedName>
    <definedName name="BExEYLG9FL9V1JPPNZ3FUDNSEJ4V" localSheetId="9" hidden="1">#REF!</definedName>
    <definedName name="BExEYLG9FL9V1JPPNZ3FUDNSEJ4V" hidden="1">#REF!</definedName>
    <definedName name="BExEYOW8C1B3OUUCIGEC7L8OOW1Z" localSheetId="56" hidden="1">#REF!</definedName>
    <definedName name="BExEYOW8C1B3OUUCIGEC7L8OOW1Z" localSheetId="55" hidden="1">#REF!</definedName>
    <definedName name="BExEYOW8C1B3OUUCIGEC7L8OOW1Z" localSheetId="4" hidden="1">#REF!</definedName>
    <definedName name="BExEYOW8C1B3OUUCIGEC7L8OOW1Z" localSheetId="1" hidden="1">#REF!</definedName>
    <definedName name="BExEYOW8C1B3OUUCIGEC7L8OOW1Z" localSheetId="9" hidden="1">#REF!</definedName>
    <definedName name="BExEYOW8C1B3OUUCIGEC7L8OOW1Z" hidden="1">#REF!</definedName>
    <definedName name="BExEYPCI2LT224YS4M3T50V85FAG" localSheetId="56" hidden="1">#REF!</definedName>
    <definedName name="BExEYPCI2LT224YS4M3T50V85FAG" localSheetId="55" hidden="1">#REF!</definedName>
    <definedName name="BExEYPCI2LT224YS4M3T50V85FAG" localSheetId="4" hidden="1">#REF!</definedName>
    <definedName name="BExEYPCI2LT224YS4M3T50V85FAG" localSheetId="1" hidden="1">#REF!</definedName>
    <definedName name="BExEYPCI2LT224YS4M3T50V85FAG" localSheetId="9" hidden="1">#REF!</definedName>
    <definedName name="BExEYPCI2LT224YS4M3T50V85FAG" hidden="1">#REF!</definedName>
    <definedName name="BExEYUQJXZT6N5HJH8ACJF6SRWEE" localSheetId="56" hidden="1">#REF!</definedName>
    <definedName name="BExEYUQJXZT6N5HJH8ACJF6SRWEE" localSheetId="55" hidden="1">#REF!</definedName>
    <definedName name="BExEYUQJXZT6N5HJH8ACJF6SRWEE" localSheetId="4" hidden="1">#REF!</definedName>
    <definedName name="BExEYUQJXZT6N5HJH8ACJF6SRWEE" localSheetId="1" hidden="1">#REF!</definedName>
    <definedName name="BExEYUQJXZT6N5HJH8ACJF6SRWEE" localSheetId="9" hidden="1">#REF!</definedName>
    <definedName name="BExEYUQJXZT6N5HJH8ACJF6SRWEE" hidden="1">#REF!</definedName>
    <definedName name="BExEYYC7KLO4XJQW9GMGVVJQXF4C" localSheetId="56" hidden="1">#REF!</definedName>
    <definedName name="BExEYYC7KLO4XJQW9GMGVVJQXF4C" localSheetId="55" hidden="1">#REF!</definedName>
    <definedName name="BExEYYC7KLO4XJQW9GMGVVJQXF4C" localSheetId="4" hidden="1">#REF!</definedName>
    <definedName name="BExEYYC7KLO4XJQW9GMGVVJQXF4C" localSheetId="1" hidden="1">#REF!</definedName>
    <definedName name="BExEYYC7KLO4XJQW9GMGVVJQXF4C" localSheetId="9" hidden="1">#REF!</definedName>
    <definedName name="BExEYYC7KLO4XJQW9GMGVVJQXF4C" hidden="1">#REF!</definedName>
    <definedName name="BExEZ1S6VZCG01ZPLBSS9Z1SBOJ2" localSheetId="56" hidden="1">#REF!</definedName>
    <definedName name="BExEZ1S6VZCG01ZPLBSS9Z1SBOJ2" localSheetId="55" hidden="1">#REF!</definedName>
    <definedName name="BExEZ1S6VZCG01ZPLBSS9Z1SBOJ2" localSheetId="4" hidden="1">#REF!</definedName>
    <definedName name="BExEZ1S6VZCG01ZPLBSS9Z1SBOJ2" localSheetId="1" hidden="1">#REF!</definedName>
    <definedName name="BExEZ1S6VZCG01ZPLBSS9Z1SBOJ2" localSheetId="9" hidden="1">#REF!</definedName>
    <definedName name="BExEZ1S6VZCG01ZPLBSS9Z1SBOJ2" hidden="1">#REF!</definedName>
    <definedName name="BExEZ6KV8TDKOO0Y66LSH9DCFW5M" localSheetId="56" hidden="1">#REF!</definedName>
    <definedName name="BExEZ6KV8TDKOO0Y66LSH9DCFW5M" localSheetId="55" hidden="1">#REF!</definedName>
    <definedName name="BExEZ6KV8TDKOO0Y66LSH9DCFW5M" localSheetId="4" hidden="1">#REF!</definedName>
    <definedName name="BExEZ6KV8TDKOO0Y66LSH9DCFW5M" localSheetId="1" hidden="1">#REF!</definedName>
    <definedName name="BExEZ6KV8TDKOO0Y66LSH9DCFW5M" localSheetId="9" hidden="1">#REF!</definedName>
    <definedName name="BExEZ6KV8TDKOO0Y66LSH9DCFW5M" hidden="1">#REF!</definedName>
    <definedName name="BExEZGBFNJR8DLPN0V11AU22L6WY" localSheetId="56" hidden="1">#REF!</definedName>
    <definedName name="BExEZGBFNJR8DLPN0V11AU22L6WY" localSheetId="55" hidden="1">#REF!</definedName>
    <definedName name="BExEZGBFNJR8DLPN0V11AU22L6WY" localSheetId="4" hidden="1">#REF!</definedName>
    <definedName name="BExEZGBFNJR8DLPN0V11AU22L6WY" localSheetId="1" hidden="1">#REF!</definedName>
    <definedName name="BExEZGBFNJR8DLPN0V11AU22L6WY" localSheetId="9" hidden="1">#REF!</definedName>
    <definedName name="BExEZGBFNJR8DLPN0V11AU22L6WY" hidden="1">#REF!</definedName>
    <definedName name="BExEZVR61GWO1ZM3XHWUKRJJMQXV" localSheetId="56" hidden="1">#REF!</definedName>
    <definedName name="BExEZVR61GWO1ZM3XHWUKRJJMQXV" localSheetId="55" hidden="1">#REF!</definedName>
    <definedName name="BExEZVR61GWO1ZM3XHWUKRJJMQXV" localSheetId="4" hidden="1">#REF!</definedName>
    <definedName name="BExEZVR61GWO1ZM3XHWUKRJJMQXV" localSheetId="1" hidden="1">#REF!</definedName>
    <definedName name="BExEZVR61GWO1ZM3XHWUKRJJMQXV" localSheetId="9" hidden="1">#REF!</definedName>
    <definedName name="BExEZVR61GWO1ZM3XHWUKRJJMQXV" hidden="1">#REF!</definedName>
    <definedName name="BExF02Y3V3QEPO2XLDSK47APK9XJ" localSheetId="56" hidden="1">#REF!</definedName>
    <definedName name="BExF02Y3V3QEPO2XLDSK47APK9XJ" localSheetId="55" hidden="1">#REF!</definedName>
    <definedName name="BExF02Y3V3QEPO2XLDSK47APK9XJ" localSheetId="4" hidden="1">#REF!</definedName>
    <definedName name="BExF02Y3V3QEPO2XLDSK47APK9XJ" localSheetId="1" hidden="1">#REF!</definedName>
    <definedName name="BExF02Y3V3QEPO2XLDSK47APK9XJ" localSheetId="9" hidden="1">#REF!</definedName>
    <definedName name="BExF02Y3V3QEPO2XLDSK47APK9XJ" hidden="1">#REF!</definedName>
    <definedName name="BExF03E824NHBODFUZ3PZ5HLF85X" localSheetId="56" hidden="1">#REF!</definedName>
    <definedName name="BExF03E824NHBODFUZ3PZ5HLF85X" localSheetId="55" hidden="1">#REF!</definedName>
    <definedName name="BExF03E824NHBODFUZ3PZ5HLF85X" localSheetId="4" hidden="1">#REF!</definedName>
    <definedName name="BExF03E824NHBODFUZ3PZ5HLF85X" localSheetId="1" hidden="1">#REF!</definedName>
    <definedName name="BExF03E824NHBODFUZ3PZ5HLF85X" localSheetId="9" hidden="1">#REF!</definedName>
    <definedName name="BExF03E824NHBODFUZ3PZ5HLF85X" hidden="1">#REF!</definedName>
    <definedName name="BExF09OS91RT7N7IW8JLMZ121ZP3" localSheetId="56" hidden="1">#REF!</definedName>
    <definedName name="BExF09OS91RT7N7IW8JLMZ121ZP3" localSheetId="55" hidden="1">#REF!</definedName>
    <definedName name="BExF09OS91RT7N7IW8JLMZ121ZP3" localSheetId="4" hidden="1">#REF!</definedName>
    <definedName name="BExF09OS91RT7N7IW8JLMZ121ZP3" localSheetId="1" hidden="1">#REF!</definedName>
    <definedName name="BExF09OS91RT7N7IW8JLMZ121ZP3" localSheetId="9" hidden="1">#REF!</definedName>
    <definedName name="BExF09OS91RT7N7IW8JLMZ121ZP3" hidden="1">#REF!</definedName>
    <definedName name="BExF0D4SEQ7RRCAER8UQKUJ4HH0Q" localSheetId="56" hidden="1">#REF!</definedName>
    <definedName name="BExF0D4SEQ7RRCAER8UQKUJ4HH0Q" localSheetId="55" hidden="1">#REF!</definedName>
    <definedName name="BExF0D4SEQ7RRCAER8UQKUJ4HH0Q" localSheetId="4" hidden="1">#REF!</definedName>
    <definedName name="BExF0D4SEQ7RRCAER8UQKUJ4HH0Q" localSheetId="1" hidden="1">#REF!</definedName>
    <definedName name="BExF0D4SEQ7RRCAER8UQKUJ4HH0Q" localSheetId="9" hidden="1">#REF!</definedName>
    <definedName name="BExF0D4SEQ7RRCAER8UQKUJ4HH0Q" hidden="1">#REF!</definedName>
    <definedName name="BExF0D4Z97PCG5JI9CC2TFB553AX" localSheetId="56" hidden="1">#REF!</definedName>
    <definedName name="BExF0D4Z97PCG5JI9CC2TFB553AX" localSheetId="55" hidden="1">#REF!</definedName>
    <definedName name="BExF0D4Z97PCG5JI9CC2TFB553AX" localSheetId="4" hidden="1">#REF!</definedName>
    <definedName name="BExF0D4Z97PCG5JI9CC2TFB553AX" localSheetId="1" hidden="1">#REF!</definedName>
    <definedName name="BExF0D4Z97PCG5JI9CC2TFB553AX" localSheetId="9" hidden="1">#REF!</definedName>
    <definedName name="BExF0D4Z97PCG5JI9CC2TFB553AX" hidden="1">#REF!</definedName>
    <definedName name="BExF0DAB1PUE0V936NFEK68CCKTJ" localSheetId="56" hidden="1">#REF!</definedName>
    <definedName name="BExF0DAB1PUE0V936NFEK68CCKTJ" localSheetId="55" hidden="1">#REF!</definedName>
    <definedName name="BExF0DAB1PUE0V936NFEK68CCKTJ" localSheetId="4" hidden="1">#REF!</definedName>
    <definedName name="BExF0DAB1PUE0V936NFEK68CCKTJ" localSheetId="1" hidden="1">#REF!</definedName>
    <definedName name="BExF0DAB1PUE0V936NFEK68CCKTJ" localSheetId="9" hidden="1">#REF!</definedName>
    <definedName name="BExF0DAB1PUE0V936NFEK68CCKTJ" hidden="1">#REF!</definedName>
    <definedName name="BExF0LOEHV42P2DV7QL8O7HOQ3N9" localSheetId="56" hidden="1">#REF!</definedName>
    <definedName name="BExF0LOEHV42P2DV7QL8O7HOQ3N9" localSheetId="55" hidden="1">#REF!</definedName>
    <definedName name="BExF0LOEHV42P2DV7QL8O7HOQ3N9" localSheetId="4" hidden="1">#REF!</definedName>
    <definedName name="BExF0LOEHV42P2DV7QL8O7HOQ3N9" localSheetId="1" hidden="1">#REF!</definedName>
    <definedName name="BExF0LOEHV42P2DV7QL8O7HOQ3N9" localSheetId="9" hidden="1">#REF!</definedName>
    <definedName name="BExF0LOEHV42P2DV7QL8O7HOQ3N9" hidden="1">#REF!</definedName>
    <definedName name="BExF0QRT0ZP2578DKKC9SRW40F5L" localSheetId="56" hidden="1">#REF!</definedName>
    <definedName name="BExF0QRT0ZP2578DKKC9SRW40F5L" localSheetId="55" hidden="1">#REF!</definedName>
    <definedName name="BExF0QRT0ZP2578DKKC9SRW40F5L" localSheetId="4" hidden="1">#REF!</definedName>
    <definedName name="BExF0QRT0ZP2578DKKC9SRW40F5L" localSheetId="1" hidden="1">#REF!</definedName>
    <definedName name="BExF0QRT0ZP2578DKKC9SRW40F5L" localSheetId="9" hidden="1">#REF!</definedName>
    <definedName name="BExF0QRT0ZP2578DKKC9SRW40F5L" hidden="1">#REF!</definedName>
    <definedName name="BExF0WRM9VO25RLSO03ZOCE8H7K5" localSheetId="56" hidden="1">#REF!</definedName>
    <definedName name="BExF0WRM9VO25RLSO03ZOCE8H7K5" localSheetId="55" hidden="1">#REF!</definedName>
    <definedName name="BExF0WRM9VO25RLSO03ZOCE8H7K5" localSheetId="4" hidden="1">#REF!</definedName>
    <definedName name="BExF0WRM9VO25RLSO03ZOCE8H7K5" localSheetId="1" hidden="1">#REF!</definedName>
    <definedName name="BExF0WRM9VO25RLSO03ZOCE8H7K5" localSheetId="9" hidden="1">#REF!</definedName>
    <definedName name="BExF0WRM9VO25RLSO03ZOCE8H7K5" hidden="1">#REF!</definedName>
    <definedName name="BExF0ZRI7W4RSLIDLHTSM0AWXO3S" localSheetId="56" hidden="1">#REF!</definedName>
    <definedName name="BExF0ZRI7W4RSLIDLHTSM0AWXO3S" localSheetId="55" hidden="1">#REF!</definedName>
    <definedName name="BExF0ZRI7W4RSLIDLHTSM0AWXO3S" localSheetId="4" hidden="1">#REF!</definedName>
    <definedName name="BExF0ZRI7W4RSLIDLHTSM0AWXO3S" localSheetId="1" hidden="1">#REF!</definedName>
    <definedName name="BExF0ZRI7W4RSLIDLHTSM0AWXO3S" localSheetId="9" hidden="1">#REF!</definedName>
    <definedName name="BExF0ZRI7W4RSLIDLHTSM0AWXO3S" hidden="1">#REF!</definedName>
    <definedName name="BExF19CT3MMZZ2T5EWMDNG3UOJ01" localSheetId="56" hidden="1">#REF!</definedName>
    <definedName name="BExF19CT3MMZZ2T5EWMDNG3UOJ01" localSheetId="55" hidden="1">#REF!</definedName>
    <definedName name="BExF19CT3MMZZ2T5EWMDNG3UOJ01" localSheetId="4" hidden="1">#REF!</definedName>
    <definedName name="BExF19CT3MMZZ2T5EWMDNG3UOJ01" localSheetId="1" hidden="1">#REF!</definedName>
    <definedName name="BExF19CT3MMZZ2T5EWMDNG3UOJ01" localSheetId="9" hidden="1">#REF!</definedName>
    <definedName name="BExF19CT3MMZZ2T5EWMDNG3UOJ01" hidden="1">#REF!</definedName>
    <definedName name="BExF1C1VNHJBRW2XQKVSL1KSLFZ8" localSheetId="56" hidden="1">#REF!</definedName>
    <definedName name="BExF1C1VNHJBRW2XQKVSL1KSLFZ8" localSheetId="55" hidden="1">#REF!</definedName>
    <definedName name="BExF1C1VNHJBRW2XQKVSL1KSLFZ8" localSheetId="4" hidden="1">#REF!</definedName>
    <definedName name="BExF1C1VNHJBRW2XQKVSL1KSLFZ8" localSheetId="1" hidden="1">#REF!</definedName>
    <definedName name="BExF1C1VNHJBRW2XQKVSL1KSLFZ8" localSheetId="9" hidden="1">#REF!</definedName>
    <definedName name="BExF1C1VNHJBRW2XQKVSL1KSLFZ8" hidden="1">#REF!</definedName>
    <definedName name="BExF1M38U6NX17YJA8YU359B5Z4M" localSheetId="56" hidden="1">#REF!</definedName>
    <definedName name="BExF1M38U6NX17YJA8YU359B5Z4M" localSheetId="55" hidden="1">#REF!</definedName>
    <definedName name="BExF1M38U6NX17YJA8YU359B5Z4M" localSheetId="4" hidden="1">#REF!</definedName>
    <definedName name="BExF1M38U6NX17YJA8YU359B5Z4M" localSheetId="1" hidden="1">#REF!</definedName>
    <definedName name="BExF1M38U6NX17YJA8YU359B5Z4M" localSheetId="9" hidden="1">#REF!</definedName>
    <definedName name="BExF1M38U6NX17YJA8YU359B5Z4M" hidden="1">#REF!</definedName>
    <definedName name="BExF1MU4W3NPEY0OHRDWP5IANCBB" localSheetId="56" hidden="1">#REF!</definedName>
    <definedName name="BExF1MU4W3NPEY0OHRDWP5IANCBB" localSheetId="55" hidden="1">#REF!</definedName>
    <definedName name="BExF1MU4W3NPEY0OHRDWP5IANCBB" localSheetId="4" hidden="1">#REF!</definedName>
    <definedName name="BExF1MU4W3NPEY0OHRDWP5IANCBB" localSheetId="1" hidden="1">#REF!</definedName>
    <definedName name="BExF1MU4W3NPEY0OHRDWP5IANCBB" localSheetId="9" hidden="1">#REF!</definedName>
    <definedName name="BExF1MU4W3NPEY0OHRDWP5IANCBB" hidden="1">#REF!</definedName>
    <definedName name="BExF1MZN8MWMOKOARHJ1QAF9HPGT" localSheetId="56" hidden="1">#REF!</definedName>
    <definedName name="BExF1MZN8MWMOKOARHJ1QAF9HPGT" localSheetId="55" hidden="1">#REF!</definedName>
    <definedName name="BExF1MZN8MWMOKOARHJ1QAF9HPGT" localSheetId="4" hidden="1">#REF!</definedName>
    <definedName name="BExF1MZN8MWMOKOARHJ1QAF9HPGT" localSheetId="1" hidden="1">#REF!</definedName>
    <definedName name="BExF1MZN8MWMOKOARHJ1QAF9HPGT" localSheetId="9" hidden="1">#REF!</definedName>
    <definedName name="BExF1MZN8MWMOKOARHJ1QAF9HPGT" hidden="1">#REF!</definedName>
    <definedName name="BExF1US4ZIQYSU5LBFYNRA9N0K2O" localSheetId="56" hidden="1">#REF!</definedName>
    <definedName name="BExF1US4ZIQYSU5LBFYNRA9N0K2O" localSheetId="55" hidden="1">#REF!</definedName>
    <definedName name="BExF1US4ZIQYSU5LBFYNRA9N0K2O" localSheetId="4" hidden="1">#REF!</definedName>
    <definedName name="BExF1US4ZIQYSU5LBFYNRA9N0K2O" localSheetId="1" hidden="1">#REF!</definedName>
    <definedName name="BExF1US4ZIQYSU5LBFYNRA9N0K2O" localSheetId="9" hidden="1">#REF!</definedName>
    <definedName name="BExF1US4ZIQYSU5LBFYNRA9N0K2O" hidden="1">#REF!</definedName>
    <definedName name="BExF272JNPJCK1XLBG016XXBVFO8" localSheetId="56" hidden="1">#REF!</definedName>
    <definedName name="BExF272JNPJCK1XLBG016XXBVFO8" localSheetId="55" hidden="1">#REF!</definedName>
    <definedName name="BExF272JNPJCK1XLBG016XXBVFO8" localSheetId="4" hidden="1">#REF!</definedName>
    <definedName name="BExF272JNPJCK1XLBG016XXBVFO8" localSheetId="1" hidden="1">#REF!</definedName>
    <definedName name="BExF272JNPJCK1XLBG016XXBVFO8" localSheetId="9" hidden="1">#REF!</definedName>
    <definedName name="BExF272JNPJCK1XLBG016XXBVFO8" hidden="1">#REF!</definedName>
    <definedName name="BExF2CWZN6E87RGTBMD4YQI2QT7R" localSheetId="56" hidden="1">#REF!</definedName>
    <definedName name="BExF2CWZN6E87RGTBMD4YQI2QT7R" localSheetId="55" hidden="1">#REF!</definedName>
    <definedName name="BExF2CWZN6E87RGTBMD4YQI2QT7R" localSheetId="4" hidden="1">#REF!</definedName>
    <definedName name="BExF2CWZN6E87RGTBMD4YQI2QT7R" localSheetId="1" hidden="1">#REF!</definedName>
    <definedName name="BExF2CWZN6E87RGTBMD4YQI2QT7R" localSheetId="9" hidden="1">#REF!</definedName>
    <definedName name="BExF2CWZN6E87RGTBMD4YQI2QT7R" hidden="1">#REF!</definedName>
    <definedName name="BExF2DYO1WQ7GMXSTAQRDBW1NSFG" localSheetId="56" hidden="1">#REF!</definedName>
    <definedName name="BExF2DYO1WQ7GMXSTAQRDBW1NSFG" localSheetId="55" hidden="1">#REF!</definedName>
    <definedName name="BExF2DYO1WQ7GMXSTAQRDBW1NSFG" localSheetId="4" hidden="1">#REF!</definedName>
    <definedName name="BExF2DYO1WQ7GMXSTAQRDBW1NSFG" localSheetId="1" hidden="1">#REF!</definedName>
    <definedName name="BExF2DYO1WQ7GMXSTAQRDBW1NSFG" localSheetId="9" hidden="1">#REF!</definedName>
    <definedName name="BExF2DYO1WQ7GMXSTAQRDBW1NSFG" hidden="1">#REF!</definedName>
    <definedName name="BExF2H9D3MC9XKLPZ6VIP4F7G4YN" localSheetId="56" hidden="1">#REF!</definedName>
    <definedName name="BExF2H9D3MC9XKLPZ6VIP4F7G4YN" localSheetId="55" hidden="1">#REF!</definedName>
    <definedName name="BExF2H9D3MC9XKLPZ6VIP4F7G4YN" localSheetId="4" hidden="1">#REF!</definedName>
    <definedName name="BExF2H9D3MC9XKLPZ6VIP4F7G4YN" localSheetId="1" hidden="1">#REF!</definedName>
    <definedName name="BExF2H9D3MC9XKLPZ6VIP4F7G4YN" localSheetId="9" hidden="1">#REF!</definedName>
    <definedName name="BExF2H9D3MC9XKLPZ6VIP4F7G4YN" hidden="1">#REF!</definedName>
    <definedName name="BExF2MSWNUY9Z6BZJQZ538PPTION" localSheetId="56" hidden="1">#REF!</definedName>
    <definedName name="BExF2MSWNUY9Z6BZJQZ538PPTION" localSheetId="55" hidden="1">#REF!</definedName>
    <definedName name="BExF2MSWNUY9Z6BZJQZ538PPTION" localSheetId="4" hidden="1">#REF!</definedName>
    <definedName name="BExF2MSWNUY9Z6BZJQZ538PPTION" localSheetId="1" hidden="1">#REF!</definedName>
    <definedName name="BExF2MSWNUY9Z6BZJQZ538PPTION" localSheetId="9" hidden="1">#REF!</definedName>
    <definedName name="BExF2MSWNUY9Z6BZJQZ538PPTION" hidden="1">#REF!</definedName>
    <definedName name="BExF2QZYWHTYGUTTXR15CKCV3LS7" localSheetId="56" hidden="1">#REF!</definedName>
    <definedName name="BExF2QZYWHTYGUTTXR15CKCV3LS7" localSheetId="55" hidden="1">#REF!</definedName>
    <definedName name="BExF2QZYWHTYGUTTXR15CKCV3LS7" localSheetId="4" hidden="1">#REF!</definedName>
    <definedName name="BExF2QZYWHTYGUTTXR15CKCV3LS7" localSheetId="1" hidden="1">#REF!</definedName>
    <definedName name="BExF2QZYWHTYGUTTXR15CKCV3LS7" localSheetId="9" hidden="1">#REF!</definedName>
    <definedName name="BExF2QZYWHTYGUTTXR15CKCV3LS7" hidden="1">#REF!</definedName>
    <definedName name="BExF2T8Y6TSJ74RMSZOA9CEH4OZ6" localSheetId="56" hidden="1">#REF!</definedName>
    <definedName name="BExF2T8Y6TSJ74RMSZOA9CEH4OZ6" localSheetId="55" hidden="1">#REF!</definedName>
    <definedName name="BExF2T8Y6TSJ74RMSZOA9CEH4OZ6" localSheetId="4" hidden="1">#REF!</definedName>
    <definedName name="BExF2T8Y6TSJ74RMSZOA9CEH4OZ6" localSheetId="1" hidden="1">#REF!</definedName>
    <definedName name="BExF2T8Y6TSJ74RMSZOA9CEH4OZ6" localSheetId="9" hidden="1">#REF!</definedName>
    <definedName name="BExF2T8Y6TSJ74RMSZOA9CEH4OZ6" hidden="1">#REF!</definedName>
    <definedName name="BExF31N3YM4F37EOOY8M8VI1KXN8" localSheetId="56" hidden="1">#REF!</definedName>
    <definedName name="BExF31N3YM4F37EOOY8M8VI1KXN8" localSheetId="55" hidden="1">#REF!</definedName>
    <definedName name="BExF31N3YM4F37EOOY8M8VI1KXN8" localSheetId="4" hidden="1">#REF!</definedName>
    <definedName name="BExF31N3YM4F37EOOY8M8VI1KXN8" localSheetId="1" hidden="1">#REF!</definedName>
    <definedName name="BExF31N3YM4F37EOOY8M8VI1KXN8" localSheetId="9" hidden="1">#REF!</definedName>
    <definedName name="BExF31N3YM4F37EOOY8M8VI1KXN8" hidden="1">#REF!</definedName>
    <definedName name="BExF37C1YKBT79Z9SOJAG5MXQGTU" localSheetId="56" hidden="1">#REF!</definedName>
    <definedName name="BExF37C1YKBT79Z9SOJAG5MXQGTU" localSheetId="55" hidden="1">#REF!</definedName>
    <definedName name="BExF37C1YKBT79Z9SOJAG5MXQGTU" localSheetId="4" hidden="1">#REF!</definedName>
    <definedName name="BExF37C1YKBT79Z9SOJAG5MXQGTU" localSheetId="1" hidden="1">#REF!</definedName>
    <definedName name="BExF37C1YKBT79Z9SOJAG5MXQGTU" localSheetId="9" hidden="1">#REF!</definedName>
    <definedName name="BExF37C1YKBT79Z9SOJAG5MXQGTU" hidden="1">#REF!</definedName>
    <definedName name="BExF3A6HPA6DGYALZNHHJPMCUYZR" localSheetId="56" hidden="1">#REF!</definedName>
    <definedName name="BExF3A6HPA6DGYALZNHHJPMCUYZR" localSheetId="55" hidden="1">#REF!</definedName>
    <definedName name="BExF3A6HPA6DGYALZNHHJPMCUYZR" localSheetId="4" hidden="1">#REF!</definedName>
    <definedName name="BExF3A6HPA6DGYALZNHHJPMCUYZR" localSheetId="1" hidden="1">#REF!</definedName>
    <definedName name="BExF3A6HPA6DGYALZNHHJPMCUYZR" localSheetId="9" hidden="1">#REF!</definedName>
    <definedName name="BExF3A6HPA6DGYALZNHHJPMCUYZR" hidden="1">#REF!</definedName>
    <definedName name="BExF3GMJW5D7066GYKTMM3CVH1HE" localSheetId="56" hidden="1">#REF!</definedName>
    <definedName name="BExF3GMJW5D7066GYKTMM3CVH1HE" localSheetId="55" hidden="1">#REF!</definedName>
    <definedName name="BExF3GMJW5D7066GYKTMM3CVH1HE" localSheetId="4" hidden="1">#REF!</definedName>
    <definedName name="BExF3GMJW5D7066GYKTMM3CVH1HE" localSheetId="1" hidden="1">#REF!</definedName>
    <definedName name="BExF3GMJW5D7066GYKTMM3CVH1HE" localSheetId="9" hidden="1">#REF!</definedName>
    <definedName name="BExF3GMJW5D7066GYKTMM3CVH1HE" hidden="1">#REF!</definedName>
    <definedName name="BExF3I9T44X7DV9HHV51DVDDPPZG" localSheetId="56" hidden="1">#REF!</definedName>
    <definedName name="BExF3I9T44X7DV9HHV51DVDDPPZG" localSheetId="55" hidden="1">#REF!</definedName>
    <definedName name="BExF3I9T44X7DV9HHV51DVDDPPZG" localSheetId="4" hidden="1">#REF!</definedName>
    <definedName name="BExF3I9T44X7DV9HHV51DVDDPPZG" localSheetId="1" hidden="1">#REF!</definedName>
    <definedName name="BExF3I9T44X7DV9HHV51DVDDPPZG" localSheetId="9" hidden="1">#REF!</definedName>
    <definedName name="BExF3I9T44X7DV9HHV51DVDDPPZG" hidden="1">#REF!</definedName>
    <definedName name="BExF3IKLZ35F2D4DI7R7P7NZLVC3" localSheetId="56" hidden="1">#REF!</definedName>
    <definedName name="BExF3IKLZ35F2D4DI7R7P7NZLVC3" localSheetId="55" hidden="1">#REF!</definedName>
    <definedName name="BExF3IKLZ35F2D4DI7R7P7NZLVC3" localSheetId="4" hidden="1">#REF!</definedName>
    <definedName name="BExF3IKLZ35F2D4DI7R7P7NZLVC3" localSheetId="1" hidden="1">#REF!</definedName>
    <definedName name="BExF3IKLZ35F2D4DI7R7P7NZLVC3" localSheetId="9" hidden="1">#REF!</definedName>
    <definedName name="BExF3IKLZ35F2D4DI7R7P7NZLVC3" hidden="1">#REF!</definedName>
    <definedName name="BExF3JMFX5DILOIFUDIO1HZUK875" localSheetId="56" hidden="1">#REF!</definedName>
    <definedName name="BExF3JMFX5DILOIFUDIO1HZUK875" localSheetId="55" hidden="1">#REF!</definedName>
    <definedName name="BExF3JMFX5DILOIFUDIO1HZUK875" localSheetId="4" hidden="1">#REF!</definedName>
    <definedName name="BExF3JMFX5DILOIFUDIO1HZUK875" localSheetId="1" hidden="1">#REF!</definedName>
    <definedName name="BExF3JMFX5DILOIFUDIO1HZUK875" localSheetId="9" hidden="1">#REF!</definedName>
    <definedName name="BExF3JMFX5DILOIFUDIO1HZUK875" hidden="1">#REF!</definedName>
    <definedName name="BExF3KIO2G9LJYXZ61H8PJJ6OQXV" localSheetId="56" hidden="1">#REF!</definedName>
    <definedName name="BExF3KIO2G9LJYXZ61H8PJJ6OQXV" localSheetId="55" hidden="1">#REF!</definedName>
    <definedName name="BExF3KIO2G9LJYXZ61H8PJJ6OQXV" localSheetId="4" hidden="1">#REF!</definedName>
    <definedName name="BExF3KIO2G9LJYXZ61H8PJJ6OQXV" localSheetId="1" hidden="1">#REF!</definedName>
    <definedName name="BExF3KIO2G9LJYXZ61H8PJJ6OQXV" localSheetId="9" hidden="1">#REF!</definedName>
    <definedName name="BExF3KIO2G9LJYXZ61H8PJJ6OQXV" hidden="1">#REF!</definedName>
    <definedName name="BExF3MGVCZHXDAUDZAGUYESZ3RC8" localSheetId="56" hidden="1">#REF!</definedName>
    <definedName name="BExF3MGVCZHXDAUDZAGUYESZ3RC8" localSheetId="55" hidden="1">#REF!</definedName>
    <definedName name="BExF3MGVCZHXDAUDZAGUYESZ3RC8" localSheetId="4" hidden="1">#REF!</definedName>
    <definedName name="BExF3MGVCZHXDAUDZAGUYESZ3RC8" localSheetId="1" hidden="1">#REF!</definedName>
    <definedName name="BExF3MGVCZHXDAUDZAGUYESZ3RC8" localSheetId="9" hidden="1">#REF!</definedName>
    <definedName name="BExF3MGVCZHXDAUDZAGUYESZ3RC8" hidden="1">#REF!</definedName>
    <definedName name="BExF3NTC4BGZEM6B87TCFX277QCS" localSheetId="56" hidden="1">#REF!</definedName>
    <definedName name="BExF3NTC4BGZEM6B87TCFX277QCS" localSheetId="55" hidden="1">#REF!</definedName>
    <definedName name="BExF3NTC4BGZEM6B87TCFX277QCS" localSheetId="4" hidden="1">#REF!</definedName>
    <definedName name="BExF3NTC4BGZEM6B87TCFX277QCS" localSheetId="1" hidden="1">#REF!</definedName>
    <definedName name="BExF3NTC4BGZEM6B87TCFX277QCS" localSheetId="9" hidden="1">#REF!</definedName>
    <definedName name="BExF3NTC4BGZEM6B87TCFX277QCS" hidden="1">#REF!</definedName>
    <definedName name="BExF3Q2DOSQI9SIAXB522CN0WBZ7" localSheetId="56" hidden="1">#REF!</definedName>
    <definedName name="BExF3Q2DOSQI9SIAXB522CN0WBZ7" localSheetId="55" hidden="1">#REF!</definedName>
    <definedName name="BExF3Q2DOSQI9SIAXB522CN0WBZ7" localSheetId="4" hidden="1">#REF!</definedName>
    <definedName name="BExF3Q2DOSQI9SIAXB522CN0WBZ7" localSheetId="1" hidden="1">#REF!</definedName>
    <definedName name="BExF3Q2DOSQI9SIAXB522CN0WBZ7" localSheetId="9" hidden="1">#REF!</definedName>
    <definedName name="BExF3Q2DOSQI9SIAXB522CN0WBZ7" hidden="1">#REF!</definedName>
    <definedName name="BExF3Q7NI90WT31QHYSJDIG0LLLJ" localSheetId="56" hidden="1">#REF!</definedName>
    <definedName name="BExF3Q7NI90WT31QHYSJDIG0LLLJ" localSheetId="55" hidden="1">#REF!</definedName>
    <definedName name="BExF3Q7NI90WT31QHYSJDIG0LLLJ" localSheetId="4" hidden="1">#REF!</definedName>
    <definedName name="BExF3Q7NI90WT31QHYSJDIG0LLLJ" localSheetId="1" hidden="1">#REF!</definedName>
    <definedName name="BExF3Q7NI90WT31QHYSJDIG0LLLJ" localSheetId="9" hidden="1">#REF!</definedName>
    <definedName name="BExF3Q7NI90WT31QHYSJDIG0LLLJ" hidden="1">#REF!</definedName>
    <definedName name="BExF3QD55TIY1MSBSRK9TUJKBEWO" localSheetId="56" hidden="1">#REF!</definedName>
    <definedName name="BExF3QD55TIY1MSBSRK9TUJKBEWO" localSheetId="55" hidden="1">#REF!</definedName>
    <definedName name="BExF3QD55TIY1MSBSRK9TUJKBEWO" localSheetId="4" hidden="1">#REF!</definedName>
    <definedName name="BExF3QD55TIY1MSBSRK9TUJKBEWO" localSheetId="1" hidden="1">#REF!</definedName>
    <definedName name="BExF3QD55TIY1MSBSRK9TUJKBEWO" localSheetId="9" hidden="1">#REF!</definedName>
    <definedName name="BExF3QD55TIY1MSBSRK9TUJKBEWO" hidden="1">#REF!</definedName>
    <definedName name="BExF3QT8J6RIF1L3R700MBSKIOKW" localSheetId="56" hidden="1">#REF!</definedName>
    <definedName name="BExF3QT8J6RIF1L3R700MBSKIOKW" localSheetId="55" hidden="1">#REF!</definedName>
    <definedName name="BExF3QT8J6RIF1L3R700MBSKIOKW" localSheetId="4" hidden="1">#REF!</definedName>
    <definedName name="BExF3QT8J6RIF1L3R700MBSKIOKW" localSheetId="1" hidden="1">#REF!</definedName>
    <definedName name="BExF3QT8J6RIF1L3R700MBSKIOKW" localSheetId="9" hidden="1">#REF!</definedName>
    <definedName name="BExF3QT8J6RIF1L3R700MBSKIOKW" hidden="1">#REF!</definedName>
    <definedName name="BExF42SSBVPMLK2UB3B7FPEIY9TU" localSheetId="56" hidden="1">#REF!</definedName>
    <definedName name="BExF42SSBVPMLK2UB3B7FPEIY9TU" localSheetId="55" hidden="1">#REF!</definedName>
    <definedName name="BExF42SSBVPMLK2UB3B7FPEIY9TU" localSheetId="4" hidden="1">#REF!</definedName>
    <definedName name="BExF42SSBVPMLK2UB3B7FPEIY9TU" localSheetId="1" hidden="1">#REF!</definedName>
    <definedName name="BExF42SSBVPMLK2UB3B7FPEIY9TU" localSheetId="9" hidden="1">#REF!</definedName>
    <definedName name="BExF42SSBVPMLK2UB3B7FPEIY9TU" hidden="1">#REF!</definedName>
    <definedName name="BExF4HXSWB50BKYPWA0HTT8W56H6" localSheetId="56" hidden="1">#REF!</definedName>
    <definedName name="BExF4HXSWB50BKYPWA0HTT8W56H6" localSheetId="55" hidden="1">#REF!</definedName>
    <definedName name="BExF4HXSWB50BKYPWA0HTT8W56H6" localSheetId="4" hidden="1">#REF!</definedName>
    <definedName name="BExF4HXSWB50BKYPWA0HTT8W56H6" localSheetId="1" hidden="1">#REF!</definedName>
    <definedName name="BExF4HXSWB50BKYPWA0HTT8W56H6" localSheetId="9" hidden="1">#REF!</definedName>
    <definedName name="BExF4HXSWB50BKYPWA0HTT8W56H6" hidden="1">#REF!</definedName>
    <definedName name="BExF4J4Y60OUA8GY6YN8XVRUX80A" localSheetId="56" hidden="1">#REF!</definedName>
    <definedName name="BExF4J4Y60OUA8GY6YN8XVRUX80A" localSheetId="55" hidden="1">#REF!</definedName>
    <definedName name="BExF4J4Y60OUA8GY6YN8XVRUX80A" localSheetId="4" hidden="1">#REF!</definedName>
    <definedName name="BExF4J4Y60OUA8GY6YN8XVRUX80A" localSheetId="1" hidden="1">#REF!</definedName>
    <definedName name="BExF4J4Y60OUA8GY6YN8XVRUX80A" localSheetId="9" hidden="1">#REF!</definedName>
    <definedName name="BExF4J4Y60OUA8GY6YN8XVRUX80A" hidden="1">#REF!</definedName>
    <definedName name="BExF4KHF04IWW4LQ95FHQPFE4Y9K" localSheetId="56" hidden="1">#REF!</definedName>
    <definedName name="BExF4KHF04IWW4LQ95FHQPFE4Y9K" localSheetId="55" hidden="1">#REF!</definedName>
    <definedName name="BExF4KHF04IWW4LQ95FHQPFE4Y9K" localSheetId="4" hidden="1">#REF!</definedName>
    <definedName name="BExF4KHF04IWW4LQ95FHQPFE4Y9K" localSheetId="1" hidden="1">#REF!</definedName>
    <definedName name="BExF4KHF04IWW4LQ95FHQPFE4Y9K" localSheetId="9" hidden="1">#REF!</definedName>
    <definedName name="BExF4KHF04IWW4LQ95FHQPFE4Y9K" hidden="1">#REF!</definedName>
    <definedName name="BExF4MVQM5Y0QRDLDFSKWWTF709C" localSheetId="56" hidden="1">#REF!</definedName>
    <definedName name="BExF4MVQM5Y0QRDLDFSKWWTF709C" localSheetId="55" hidden="1">#REF!</definedName>
    <definedName name="BExF4MVQM5Y0QRDLDFSKWWTF709C" localSheetId="4" hidden="1">#REF!</definedName>
    <definedName name="BExF4MVQM5Y0QRDLDFSKWWTF709C" localSheetId="1" hidden="1">#REF!</definedName>
    <definedName name="BExF4MVQM5Y0QRDLDFSKWWTF709C" localSheetId="9" hidden="1">#REF!</definedName>
    <definedName name="BExF4MVQM5Y0QRDLDFSKWWTF709C" hidden="1">#REF!</definedName>
    <definedName name="BExF4PVMZYV36E8HOYY06J81AMBI" localSheetId="56" hidden="1">#REF!</definedName>
    <definedName name="BExF4PVMZYV36E8HOYY06J81AMBI" localSheetId="55" hidden="1">#REF!</definedName>
    <definedName name="BExF4PVMZYV36E8HOYY06J81AMBI" localSheetId="4" hidden="1">#REF!</definedName>
    <definedName name="BExF4PVMZYV36E8HOYY06J81AMBI" localSheetId="1" hidden="1">#REF!</definedName>
    <definedName name="BExF4PVMZYV36E8HOYY06J81AMBI" localSheetId="9" hidden="1">#REF!</definedName>
    <definedName name="BExF4PVMZYV36E8HOYY06J81AMBI" hidden="1">#REF!</definedName>
    <definedName name="BExF4SF9NEX1FZE9N8EXT89PM54D" localSheetId="56" hidden="1">#REF!</definedName>
    <definedName name="BExF4SF9NEX1FZE9N8EXT89PM54D" localSheetId="55" hidden="1">#REF!</definedName>
    <definedName name="BExF4SF9NEX1FZE9N8EXT89PM54D" localSheetId="4" hidden="1">#REF!</definedName>
    <definedName name="BExF4SF9NEX1FZE9N8EXT89PM54D" localSheetId="1" hidden="1">#REF!</definedName>
    <definedName name="BExF4SF9NEX1FZE9N8EXT89PM54D" localSheetId="9" hidden="1">#REF!</definedName>
    <definedName name="BExF4SF9NEX1FZE9N8EXT89PM54D" hidden="1">#REF!</definedName>
    <definedName name="BExF52GTGP8MHGII4KJ8TJGR8W8U" localSheetId="56" hidden="1">#REF!</definedName>
    <definedName name="BExF52GTGP8MHGII4KJ8TJGR8W8U" localSheetId="55" hidden="1">#REF!</definedName>
    <definedName name="BExF52GTGP8MHGII4KJ8TJGR8W8U" localSheetId="4" hidden="1">#REF!</definedName>
    <definedName name="BExF52GTGP8MHGII4KJ8TJGR8W8U" localSheetId="1" hidden="1">#REF!</definedName>
    <definedName name="BExF52GTGP8MHGII4KJ8TJGR8W8U" localSheetId="9" hidden="1">#REF!</definedName>
    <definedName name="BExF52GTGP8MHGII4KJ8TJGR8W8U" hidden="1">#REF!</definedName>
    <definedName name="BExF57K7L3UC1I2FSAWURR4SN0UN" localSheetId="56" hidden="1">#REF!</definedName>
    <definedName name="BExF57K7L3UC1I2FSAWURR4SN0UN" localSheetId="55" hidden="1">#REF!</definedName>
    <definedName name="BExF57K7L3UC1I2FSAWURR4SN0UN" localSheetId="4" hidden="1">#REF!</definedName>
    <definedName name="BExF57K7L3UC1I2FSAWURR4SN0UN" localSheetId="1" hidden="1">#REF!</definedName>
    <definedName name="BExF57K7L3UC1I2FSAWURR4SN0UN" localSheetId="9" hidden="1">#REF!</definedName>
    <definedName name="BExF57K7L3UC1I2FSAWURR4SN0UN" hidden="1">#REF!</definedName>
    <definedName name="BExF5HR2GFV7O8LKG9SJ4BY78LYA" localSheetId="56" hidden="1">#REF!</definedName>
    <definedName name="BExF5HR2GFV7O8LKG9SJ4BY78LYA" localSheetId="55" hidden="1">#REF!</definedName>
    <definedName name="BExF5HR2GFV7O8LKG9SJ4BY78LYA" localSheetId="4" hidden="1">#REF!</definedName>
    <definedName name="BExF5HR2GFV7O8LKG9SJ4BY78LYA" localSheetId="1" hidden="1">#REF!</definedName>
    <definedName name="BExF5HR2GFV7O8LKG9SJ4BY78LYA" localSheetId="9" hidden="1">#REF!</definedName>
    <definedName name="BExF5HR2GFV7O8LKG9SJ4BY78LYA" hidden="1">#REF!</definedName>
    <definedName name="BExF5ZFO2A29GHWR5ES64Z9OS16J" localSheetId="56" hidden="1">#REF!</definedName>
    <definedName name="BExF5ZFO2A29GHWR5ES64Z9OS16J" localSheetId="55" hidden="1">#REF!</definedName>
    <definedName name="BExF5ZFO2A29GHWR5ES64Z9OS16J" localSheetId="4" hidden="1">#REF!</definedName>
    <definedName name="BExF5ZFO2A29GHWR5ES64Z9OS16J" localSheetId="1" hidden="1">#REF!</definedName>
    <definedName name="BExF5ZFO2A29GHWR5ES64Z9OS16J" localSheetId="9" hidden="1">#REF!</definedName>
    <definedName name="BExF5ZFO2A29GHWR5ES64Z9OS16J" hidden="1">#REF!</definedName>
    <definedName name="BExF63S045JO7H2ZJCBTBVH3SUIF" localSheetId="56" hidden="1">#REF!</definedName>
    <definedName name="BExF63S045JO7H2ZJCBTBVH3SUIF" localSheetId="55" hidden="1">#REF!</definedName>
    <definedName name="BExF63S045JO7H2ZJCBTBVH3SUIF" localSheetId="4" hidden="1">#REF!</definedName>
    <definedName name="BExF63S045JO7H2ZJCBTBVH3SUIF" localSheetId="1" hidden="1">#REF!</definedName>
    <definedName name="BExF63S045JO7H2ZJCBTBVH3SUIF" localSheetId="9" hidden="1">#REF!</definedName>
    <definedName name="BExF63S045JO7H2ZJCBTBVH3SUIF" hidden="1">#REF!</definedName>
    <definedName name="BExF642TEGTXCI9A61ZOONJCB0U1" localSheetId="56" hidden="1">#REF!</definedName>
    <definedName name="BExF642TEGTXCI9A61ZOONJCB0U1" localSheetId="55" hidden="1">#REF!</definedName>
    <definedName name="BExF642TEGTXCI9A61ZOONJCB0U1" localSheetId="4" hidden="1">#REF!</definedName>
    <definedName name="BExF642TEGTXCI9A61ZOONJCB0U1" localSheetId="1" hidden="1">#REF!</definedName>
    <definedName name="BExF642TEGTXCI9A61ZOONJCB0U1" localSheetId="9" hidden="1">#REF!</definedName>
    <definedName name="BExF642TEGTXCI9A61ZOONJCB0U1" hidden="1">#REF!</definedName>
    <definedName name="BExF67O951CF8UJF3KBDNR0E83C1" localSheetId="56" hidden="1">#REF!</definedName>
    <definedName name="BExF67O951CF8UJF3KBDNR0E83C1" localSheetId="55" hidden="1">#REF!</definedName>
    <definedName name="BExF67O951CF8UJF3KBDNR0E83C1" localSheetId="4" hidden="1">#REF!</definedName>
    <definedName name="BExF67O951CF8UJF3KBDNR0E83C1" localSheetId="1" hidden="1">#REF!</definedName>
    <definedName name="BExF67O951CF8UJF3KBDNR0E83C1" localSheetId="9" hidden="1">#REF!</definedName>
    <definedName name="BExF67O951CF8UJF3KBDNR0E83C1" hidden="1">#REF!</definedName>
    <definedName name="BExF6EV7I35NVMIJGYTB6E24YVPA" localSheetId="56" hidden="1">#REF!</definedName>
    <definedName name="BExF6EV7I35NVMIJGYTB6E24YVPA" localSheetId="55" hidden="1">#REF!</definedName>
    <definedName name="BExF6EV7I35NVMIJGYTB6E24YVPA" localSheetId="4" hidden="1">#REF!</definedName>
    <definedName name="BExF6EV7I35NVMIJGYTB6E24YVPA" localSheetId="1" hidden="1">#REF!</definedName>
    <definedName name="BExF6EV7I35NVMIJGYTB6E24YVPA" localSheetId="9" hidden="1">#REF!</definedName>
    <definedName name="BExF6EV7I35NVMIJGYTB6E24YVPA" hidden="1">#REF!</definedName>
    <definedName name="BExF6FGUF393KTMBT40S5BYAFG00" localSheetId="56" hidden="1">#REF!</definedName>
    <definedName name="BExF6FGUF393KTMBT40S5BYAFG00" localSheetId="55" hidden="1">#REF!</definedName>
    <definedName name="BExF6FGUF393KTMBT40S5BYAFG00" localSheetId="4" hidden="1">#REF!</definedName>
    <definedName name="BExF6FGUF393KTMBT40S5BYAFG00" localSheetId="1" hidden="1">#REF!</definedName>
    <definedName name="BExF6FGUF393KTMBT40S5BYAFG00" localSheetId="9" hidden="1">#REF!</definedName>
    <definedName name="BExF6FGUF393KTMBT40S5BYAFG00" hidden="1">#REF!</definedName>
    <definedName name="BExF6GNYXWY8A0SY4PW1B6KJMMTM" localSheetId="56" hidden="1">#REF!</definedName>
    <definedName name="BExF6GNYXWY8A0SY4PW1B6KJMMTM" localSheetId="55" hidden="1">#REF!</definedName>
    <definedName name="BExF6GNYXWY8A0SY4PW1B6KJMMTM" localSheetId="4" hidden="1">#REF!</definedName>
    <definedName name="BExF6GNYXWY8A0SY4PW1B6KJMMTM" localSheetId="1" hidden="1">#REF!</definedName>
    <definedName name="BExF6GNYXWY8A0SY4PW1B6KJMMTM" localSheetId="9" hidden="1">#REF!</definedName>
    <definedName name="BExF6GNYXWY8A0SY4PW1B6KJMMTM" hidden="1">#REF!</definedName>
    <definedName name="BExF6IB8K74Z0AFT05GPOKKZW7C9" localSheetId="56" hidden="1">#REF!</definedName>
    <definedName name="BExF6IB8K74Z0AFT05GPOKKZW7C9" localSheetId="55" hidden="1">#REF!</definedName>
    <definedName name="BExF6IB8K74Z0AFT05GPOKKZW7C9" localSheetId="4" hidden="1">#REF!</definedName>
    <definedName name="BExF6IB8K74Z0AFT05GPOKKZW7C9" localSheetId="1" hidden="1">#REF!</definedName>
    <definedName name="BExF6IB8K74Z0AFT05GPOKKZW7C9" localSheetId="9" hidden="1">#REF!</definedName>
    <definedName name="BExF6IB8K74Z0AFT05GPOKKZW7C9" hidden="1">#REF!</definedName>
    <definedName name="BExF6NUXJI11W2IAZNAM1QWC0459" localSheetId="56" hidden="1">#REF!</definedName>
    <definedName name="BExF6NUXJI11W2IAZNAM1QWC0459" localSheetId="55" hidden="1">#REF!</definedName>
    <definedName name="BExF6NUXJI11W2IAZNAM1QWC0459" localSheetId="4" hidden="1">#REF!</definedName>
    <definedName name="BExF6NUXJI11W2IAZNAM1QWC0459" localSheetId="1" hidden="1">#REF!</definedName>
    <definedName name="BExF6NUXJI11W2IAZNAM1QWC0459" localSheetId="9" hidden="1">#REF!</definedName>
    <definedName name="BExF6NUXJI11W2IAZNAM1QWC0459" hidden="1">#REF!</definedName>
    <definedName name="BExF6RR76KNVIXGJOVFO8GDILKGZ" localSheetId="56" hidden="1">#REF!</definedName>
    <definedName name="BExF6RR76KNVIXGJOVFO8GDILKGZ" localSheetId="55" hidden="1">#REF!</definedName>
    <definedName name="BExF6RR76KNVIXGJOVFO8GDILKGZ" localSheetId="4" hidden="1">#REF!</definedName>
    <definedName name="BExF6RR76KNVIXGJOVFO8GDILKGZ" localSheetId="1" hidden="1">#REF!</definedName>
    <definedName name="BExF6RR76KNVIXGJOVFO8GDILKGZ" localSheetId="9" hidden="1">#REF!</definedName>
    <definedName name="BExF6RR76KNVIXGJOVFO8GDILKGZ" hidden="1">#REF!</definedName>
    <definedName name="BExF6ZE8D5CMPJPRWT6S4HM56LPF" localSheetId="56" hidden="1">#REF!</definedName>
    <definedName name="BExF6ZE8D5CMPJPRWT6S4HM56LPF" localSheetId="55" hidden="1">#REF!</definedName>
    <definedName name="BExF6ZE8D5CMPJPRWT6S4HM56LPF" localSheetId="4" hidden="1">#REF!</definedName>
    <definedName name="BExF6ZE8D5CMPJPRWT6S4HM56LPF" localSheetId="1" hidden="1">#REF!</definedName>
    <definedName name="BExF6ZE8D5CMPJPRWT6S4HM56LPF" localSheetId="9" hidden="1">#REF!</definedName>
    <definedName name="BExF6ZE8D5CMPJPRWT6S4HM56LPF" hidden="1">#REF!</definedName>
    <definedName name="BExF76FV8SF7AJK7B35AL7VTZF6D" localSheetId="56" hidden="1">#REF!</definedName>
    <definedName name="BExF76FV8SF7AJK7B35AL7VTZF6D" localSheetId="55" hidden="1">#REF!</definedName>
    <definedName name="BExF76FV8SF7AJK7B35AL7VTZF6D" localSheetId="4" hidden="1">#REF!</definedName>
    <definedName name="BExF76FV8SF7AJK7B35AL7VTZF6D" localSheetId="1" hidden="1">#REF!</definedName>
    <definedName name="BExF76FV8SF7AJK7B35AL7VTZF6D" localSheetId="9" hidden="1">#REF!</definedName>
    <definedName name="BExF76FV8SF7AJK7B35AL7VTZF6D" hidden="1">#REF!</definedName>
    <definedName name="BExF7EOIMC1OYL1N7835KGOI0FIZ" localSheetId="56" hidden="1">#REF!</definedName>
    <definedName name="BExF7EOIMC1OYL1N7835KGOI0FIZ" localSheetId="55" hidden="1">#REF!</definedName>
    <definedName name="BExF7EOIMC1OYL1N7835KGOI0FIZ" localSheetId="4" hidden="1">#REF!</definedName>
    <definedName name="BExF7EOIMC1OYL1N7835KGOI0FIZ" localSheetId="1" hidden="1">#REF!</definedName>
    <definedName name="BExF7EOIMC1OYL1N7835KGOI0FIZ" localSheetId="9" hidden="1">#REF!</definedName>
    <definedName name="BExF7EOIMC1OYL1N7835KGOI0FIZ" hidden="1">#REF!</definedName>
    <definedName name="BExF7K88K7ASGV6RAOAGH52G04VR" localSheetId="56" hidden="1">#REF!</definedName>
    <definedName name="BExF7K88K7ASGV6RAOAGH52G04VR" localSheetId="55" hidden="1">#REF!</definedName>
    <definedName name="BExF7K88K7ASGV6RAOAGH52G04VR" localSheetId="4" hidden="1">#REF!</definedName>
    <definedName name="BExF7K88K7ASGV6RAOAGH52G04VR" localSheetId="1" hidden="1">#REF!</definedName>
    <definedName name="BExF7K88K7ASGV6RAOAGH52G04VR" localSheetId="9" hidden="1">#REF!</definedName>
    <definedName name="BExF7K88K7ASGV6RAOAGH52G04VR" hidden="1">#REF!</definedName>
    <definedName name="BExF7OVDRP3LHNAF2CX4V84CKKIR" localSheetId="56" hidden="1">#REF!</definedName>
    <definedName name="BExF7OVDRP3LHNAF2CX4V84CKKIR" localSheetId="55" hidden="1">#REF!</definedName>
    <definedName name="BExF7OVDRP3LHNAF2CX4V84CKKIR" localSheetId="4" hidden="1">#REF!</definedName>
    <definedName name="BExF7OVDRP3LHNAF2CX4V84CKKIR" localSheetId="1" hidden="1">#REF!</definedName>
    <definedName name="BExF7OVDRP3LHNAF2CX4V84CKKIR" localSheetId="9" hidden="1">#REF!</definedName>
    <definedName name="BExF7OVDRP3LHNAF2CX4V84CKKIR" hidden="1">#REF!</definedName>
    <definedName name="BExF7QO41X2A2SL8UXDNP99GY7U9" localSheetId="56" hidden="1">#REF!</definedName>
    <definedName name="BExF7QO41X2A2SL8UXDNP99GY7U9" localSheetId="55" hidden="1">#REF!</definedName>
    <definedName name="BExF7QO41X2A2SL8UXDNP99GY7U9" localSheetId="4" hidden="1">#REF!</definedName>
    <definedName name="BExF7QO41X2A2SL8UXDNP99GY7U9" localSheetId="1" hidden="1">#REF!</definedName>
    <definedName name="BExF7QO41X2A2SL8UXDNP99GY7U9" localSheetId="9" hidden="1">#REF!</definedName>
    <definedName name="BExF7QO41X2A2SL8UXDNP99GY7U9" hidden="1">#REF!</definedName>
    <definedName name="BExF7QYWRJ8S4SID84VVXH3TN7X8" localSheetId="56" hidden="1">#REF!</definedName>
    <definedName name="BExF7QYWRJ8S4SID84VVXH3TN7X8" localSheetId="55" hidden="1">#REF!</definedName>
    <definedName name="BExF7QYWRJ8S4SID84VVXH3TN7X8" localSheetId="4" hidden="1">#REF!</definedName>
    <definedName name="BExF7QYWRJ8S4SID84VVXH3TN7X8" localSheetId="1" hidden="1">#REF!</definedName>
    <definedName name="BExF7QYWRJ8S4SID84VVXH3TN7X8" localSheetId="9" hidden="1">#REF!</definedName>
    <definedName name="BExF7QYWRJ8S4SID84VVXH3TN7X8" hidden="1">#REF!</definedName>
    <definedName name="BExF81GI8B8WBHXFTET68A9358BR" localSheetId="56" hidden="1">#REF!</definedName>
    <definedName name="BExF81GI8B8WBHXFTET68A9358BR" localSheetId="55" hidden="1">#REF!</definedName>
    <definedName name="BExF81GI8B8WBHXFTET68A9358BR" localSheetId="4" hidden="1">#REF!</definedName>
    <definedName name="BExF81GI8B8WBHXFTET68A9358BR" localSheetId="1" hidden="1">#REF!</definedName>
    <definedName name="BExF81GI8B8WBHXFTET68A9358BR" localSheetId="9" hidden="1">#REF!</definedName>
    <definedName name="BExF81GI8B8WBHXFTET68A9358BR" hidden="1">#REF!</definedName>
    <definedName name="BExGKN1EUJWHOYSSFY4XX6T9QVV5" localSheetId="56" hidden="1">#REF!</definedName>
    <definedName name="BExGKN1EUJWHOYSSFY4XX6T9QVV5" localSheetId="55" hidden="1">#REF!</definedName>
    <definedName name="BExGKN1EUJWHOYSSFY4XX6T9QVV5" localSheetId="4" hidden="1">#REF!</definedName>
    <definedName name="BExGKN1EUJWHOYSSFY4XX6T9QVV5" localSheetId="1" hidden="1">#REF!</definedName>
    <definedName name="BExGKN1EUJWHOYSSFY4XX6T9QVV5" localSheetId="9" hidden="1">#REF!</definedName>
    <definedName name="BExGKN1EUJWHOYSSFY4XX6T9QVV5" hidden="1">#REF!</definedName>
    <definedName name="BExGL97US0Y3KXXASUTVR26XLT70" localSheetId="56" hidden="1">#REF!</definedName>
    <definedName name="BExGL97US0Y3KXXASUTVR26XLT70" localSheetId="55" hidden="1">#REF!</definedName>
    <definedName name="BExGL97US0Y3KXXASUTVR26XLT70" localSheetId="4" hidden="1">#REF!</definedName>
    <definedName name="BExGL97US0Y3KXXASUTVR26XLT70" localSheetId="1" hidden="1">#REF!</definedName>
    <definedName name="BExGL97US0Y3KXXASUTVR26XLT70" localSheetId="9" hidden="1">#REF!</definedName>
    <definedName name="BExGL97US0Y3KXXASUTVR26XLT70" hidden="1">#REF!</definedName>
    <definedName name="BExGL9TEJAX73AMCXKXTMRO9T6QA" localSheetId="56" hidden="1">#REF!</definedName>
    <definedName name="BExGL9TEJAX73AMCXKXTMRO9T6QA" localSheetId="55" hidden="1">#REF!</definedName>
    <definedName name="BExGL9TEJAX73AMCXKXTMRO9T6QA" localSheetId="4" hidden="1">#REF!</definedName>
    <definedName name="BExGL9TEJAX73AMCXKXTMRO9T6QA" localSheetId="1" hidden="1">#REF!</definedName>
    <definedName name="BExGL9TEJAX73AMCXKXTMRO9T6QA" localSheetId="9" hidden="1">#REF!</definedName>
    <definedName name="BExGL9TEJAX73AMCXKXTMRO9T6QA" hidden="1">#REF!</definedName>
    <definedName name="BExGLBM5GKGBJDTZSMMBZBAVQ7N1" localSheetId="56" hidden="1">#REF!</definedName>
    <definedName name="BExGLBM5GKGBJDTZSMMBZBAVQ7N1" localSheetId="55" hidden="1">#REF!</definedName>
    <definedName name="BExGLBM5GKGBJDTZSMMBZBAVQ7N1" localSheetId="4" hidden="1">#REF!</definedName>
    <definedName name="BExGLBM5GKGBJDTZSMMBZBAVQ7N1" localSheetId="1" hidden="1">#REF!</definedName>
    <definedName name="BExGLBM5GKGBJDTZSMMBZBAVQ7N1" localSheetId="9" hidden="1">#REF!</definedName>
    <definedName name="BExGLBM5GKGBJDTZSMMBZBAVQ7N1" hidden="1">#REF!</definedName>
    <definedName name="BExGLC7R4C33RO0PID97ZPPVCW4M" localSheetId="56" hidden="1">#REF!</definedName>
    <definedName name="BExGLC7R4C33RO0PID97ZPPVCW4M" localSheetId="55" hidden="1">#REF!</definedName>
    <definedName name="BExGLC7R4C33RO0PID97ZPPVCW4M" localSheetId="4" hidden="1">#REF!</definedName>
    <definedName name="BExGLC7R4C33RO0PID97ZPPVCW4M" localSheetId="1" hidden="1">#REF!</definedName>
    <definedName name="BExGLC7R4C33RO0PID97ZPPVCW4M" localSheetId="9" hidden="1">#REF!</definedName>
    <definedName name="BExGLC7R4C33RO0PID97ZPPVCW4M" hidden="1">#REF!</definedName>
    <definedName name="BExGLFIF7HCFSHNQHKEV6RY0WCO3" localSheetId="56" hidden="1">#REF!</definedName>
    <definedName name="BExGLFIF7HCFSHNQHKEV6RY0WCO3" localSheetId="55" hidden="1">#REF!</definedName>
    <definedName name="BExGLFIF7HCFSHNQHKEV6RY0WCO3" localSheetId="4" hidden="1">#REF!</definedName>
    <definedName name="BExGLFIF7HCFSHNQHKEV6RY0WCO3" localSheetId="1" hidden="1">#REF!</definedName>
    <definedName name="BExGLFIF7HCFSHNQHKEV6RY0WCO3" localSheetId="9" hidden="1">#REF!</definedName>
    <definedName name="BExGLFIF7HCFSHNQHKEV6RY0WCO3" hidden="1">#REF!</definedName>
    <definedName name="BExGLPP9Z6SH15N8AV0F7H58S14K" localSheetId="56" hidden="1">#REF!</definedName>
    <definedName name="BExGLPP9Z6SH15N8AV0F7H58S14K" localSheetId="55" hidden="1">#REF!</definedName>
    <definedName name="BExGLPP9Z6SH15N8AV0F7H58S14K" localSheetId="4" hidden="1">#REF!</definedName>
    <definedName name="BExGLPP9Z6SH15N8AV0F7H58S14K" localSheetId="1" hidden="1">#REF!</definedName>
    <definedName name="BExGLPP9Z6SH15N8AV0F7H58S14K" localSheetId="9" hidden="1">#REF!</definedName>
    <definedName name="BExGLPP9Z6SH15N8AV0F7H58S14K" hidden="1">#REF!</definedName>
    <definedName name="BExGLQATG820J44V2O4JEICPUUTR" localSheetId="56" hidden="1">#REF!</definedName>
    <definedName name="BExGLQATG820J44V2O4JEICPUUTR" localSheetId="55" hidden="1">#REF!</definedName>
    <definedName name="BExGLQATG820J44V2O4JEICPUUTR" localSheetId="4" hidden="1">#REF!</definedName>
    <definedName name="BExGLQATG820J44V2O4JEICPUUTR" localSheetId="1" hidden="1">#REF!</definedName>
    <definedName name="BExGLQATG820J44V2O4JEICPUUTR" localSheetId="9" hidden="1">#REF!</definedName>
    <definedName name="BExGLQATG820J44V2O4JEICPUUTR" hidden="1">#REF!</definedName>
    <definedName name="BExGLTARRL0J772UD2TXEYAVPY6E" localSheetId="56" hidden="1">#REF!</definedName>
    <definedName name="BExGLTARRL0J772UD2TXEYAVPY6E" localSheetId="55" hidden="1">#REF!</definedName>
    <definedName name="BExGLTARRL0J772UD2TXEYAVPY6E" localSheetId="4" hidden="1">#REF!</definedName>
    <definedName name="BExGLTARRL0J772UD2TXEYAVPY6E" localSheetId="1" hidden="1">#REF!</definedName>
    <definedName name="BExGLTARRL0J772UD2TXEYAVPY6E" localSheetId="9" hidden="1">#REF!</definedName>
    <definedName name="BExGLTARRL0J772UD2TXEYAVPY6E" hidden="1">#REF!</definedName>
    <definedName name="BExGLYE6RZTAAWHJBG2QFJPTDS2Q" localSheetId="56" hidden="1">#REF!</definedName>
    <definedName name="BExGLYE6RZTAAWHJBG2QFJPTDS2Q" localSheetId="55" hidden="1">#REF!</definedName>
    <definedName name="BExGLYE6RZTAAWHJBG2QFJPTDS2Q" localSheetId="4" hidden="1">#REF!</definedName>
    <definedName name="BExGLYE6RZTAAWHJBG2QFJPTDS2Q" localSheetId="1" hidden="1">#REF!</definedName>
    <definedName name="BExGLYE6RZTAAWHJBG2QFJPTDS2Q" localSheetId="9" hidden="1">#REF!</definedName>
    <definedName name="BExGLYE6RZTAAWHJBG2QFJPTDS2Q" hidden="1">#REF!</definedName>
    <definedName name="BExGM4DZ65OAQP7MA4LN6QMYZOFF" localSheetId="56" hidden="1">#REF!</definedName>
    <definedName name="BExGM4DZ65OAQP7MA4LN6QMYZOFF" localSheetId="55" hidden="1">#REF!</definedName>
    <definedName name="BExGM4DZ65OAQP7MA4LN6QMYZOFF" localSheetId="4" hidden="1">#REF!</definedName>
    <definedName name="BExGM4DZ65OAQP7MA4LN6QMYZOFF" localSheetId="1" hidden="1">#REF!</definedName>
    <definedName name="BExGM4DZ65OAQP7MA4LN6QMYZOFF" localSheetId="9" hidden="1">#REF!</definedName>
    <definedName name="BExGM4DZ65OAQP7MA4LN6QMYZOFF" hidden="1">#REF!</definedName>
    <definedName name="BExGMCXCWEC9XNUOEMZ61TMI6CUO" localSheetId="56" hidden="1">#REF!</definedName>
    <definedName name="BExGMCXCWEC9XNUOEMZ61TMI6CUO" localSheetId="55" hidden="1">#REF!</definedName>
    <definedName name="BExGMCXCWEC9XNUOEMZ61TMI6CUO" localSheetId="4" hidden="1">#REF!</definedName>
    <definedName name="BExGMCXCWEC9XNUOEMZ61TMI6CUO" localSheetId="1" hidden="1">#REF!</definedName>
    <definedName name="BExGMCXCWEC9XNUOEMZ61TMI6CUO" localSheetId="9" hidden="1">#REF!</definedName>
    <definedName name="BExGMCXCWEC9XNUOEMZ61TMI6CUO" hidden="1">#REF!</definedName>
    <definedName name="BExGMJDGIH0MEPC2TUSFUCY2ROTB" localSheetId="56" hidden="1">#REF!</definedName>
    <definedName name="BExGMJDGIH0MEPC2TUSFUCY2ROTB" localSheetId="55" hidden="1">#REF!</definedName>
    <definedName name="BExGMJDGIH0MEPC2TUSFUCY2ROTB" localSheetId="4" hidden="1">#REF!</definedName>
    <definedName name="BExGMJDGIH0MEPC2TUSFUCY2ROTB" localSheetId="1" hidden="1">#REF!</definedName>
    <definedName name="BExGMJDGIH0MEPC2TUSFUCY2ROTB" localSheetId="9" hidden="1">#REF!</definedName>
    <definedName name="BExGMJDGIH0MEPC2TUSFUCY2ROTB" hidden="1">#REF!</definedName>
    <definedName name="BExGMKPW2HPKN0M0XKF3AZ8YP0D6" localSheetId="56" hidden="1">#REF!</definedName>
    <definedName name="BExGMKPW2HPKN0M0XKF3AZ8YP0D6" localSheetId="55" hidden="1">#REF!</definedName>
    <definedName name="BExGMKPW2HPKN0M0XKF3AZ8YP0D6" localSheetId="4" hidden="1">#REF!</definedName>
    <definedName name="BExGMKPW2HPKN0M0XKF3AZ8YP0D6" localSheetId="1" hidden="1">#REF!</definedName>
    <definedName name="BExGMKPW2HPKN0M0XKF3AZ8YP0D6" localSheetId="9" hidden="1">#REF!</definedName>
    <definedName name="BExGMKPW2HPKN0M0XKF3AZ8YP0D6" hidden="1">#REF!</definedName>
    <definedName name="BExGMOGUOL3NATNV0TIZH2J6DLLD" localSheetId="56" hidden="1">#REF!</definedName>
    <definedName name="BExGMOGUOL3NATNV0TIZH2J6DLLD" localSheetId="55" hidden="1">#REF!</definedName>
    <definedName name="BExGMOGUOL3NATNV0TIZH2J6DLLD" localSheetId="4" hidden="1">#REF!</definedName>
    <definedName name="BExGMOGUOL3NATNV0TIZH2J6DLLD" localSheetId="1" hidden="1">#REF!</definedName>
    <definedName name="BExGMOGUOL3NATNV0TIZH2J6DLLD" localSheetId="9" hidden="1">#REF!</definedName>
    <definedName name="BExGMOGUOL3NATNV0TIZH2J6DLLD" hidden="1">#REF!</definedName>
    <definedName name="BExGMP2F175LGL6QVSJGP6GKYHHA" localSheetId="56" hidden="1">#REF!</definedName>
    <definedName name="BExGMP2F175LGL6QVSJGP6GKYHHA" localSheetId="55" hidden="1">#REF!</definedName>
    <definedName name="BExGMP2F175LGL6QVSJGP6GKYHHA" localSheetId="4" hidden="1">#REF!</definedName>
    <definedName name="BExGMP2F175LGL6QVSJGP6GKYHHA" localSheetId="1" hidden="1">#REF!</definedName>
    <definedName name="BExGMP2F175LGL6QVSJGP6GKYHHA" localSheetId="9" hidden="1">#REF!</definedName>
    <definedName name="BExGMP2F175LGL6QVSJGP6GKYHHA" hidden="1">#REF!</definedName>
    <definedName name="BExGMPIIP8GKML2VVA8OEFL43NCS" localSheetId="56" hidden="1">#REF!</definedName>
    <definedName name="BExGMPIIP8GKML2VVA8OEFL43NCS" localSheetId="55" hidden="1">#REF!</definedName>
    <definedName name="BExGMPIIP8GKML2VVA8OEFL43NCS" localSheetId="4" hidden="1">#REF!</definedName>
    <definedName name="BExGMPIIP8GKML2VVA8OEFL43NCS" localSheetId="1" hidden="1">#REF!</definedName>
    <definedName name="BExGMPIIP8GKML2VVA8OEFL43NCS" localSheetId="9" hidden="1">#REF!</definedName>
    <definedName name="BExGMPIIP8GKML2VVA8OEFL43NCS" hidden="1">#REF!</definedName>
    <definedName name="BExGMZ3SRIXLXMWBVOXXV3M4U4YL" localSheetId="56" hidden="1">#REF!</definedName>
    <definedName name="BExGMZ3SRIXLXMWBVOXXV3M4U4YL" localSheetId="55" hidden="1">#REF!</definedName>
    <definedName name="BExGMZ3SRIXLXMWBVOXXV3M4U4YL" localSheetId="4" hidden="1">#REF!</definedName>
    <definedName name="BExGMZ3SRIXLXMWBVOXXV3M4U4YL" localSheetId="1" hidden="1">#REF!</definedName>
    <definedName name="BExGMZ3SRIXLXMWBVOXXV3M4U4YL" localSheetId="9" hidden="1">#REF!</definedName>
    <definedName name="BExGMZ3SRIXLXMWBVOXXV3M4U4YL" hidden="1">#REF!</definedName>
    <definedName name="BExGMZ3UBN48IXU1ZEFYECEMZ1IM" localSheetId="56" hidden="1">#REF!</definedName>
    <definedName name="BExGMZ3UBN48IXU1ZEFYECEMZ1IM" localSheetId="55" hidden="1">#REF!</definedName>
    <definedName name="BExGMZ3UBN48IXU1ZEFYECEMZ1IM" localSheetId="4" hidden="1">#REF!</definedName>
    <definedName name="BExGMZ3UBN48IXU1ZEFYECEMZ1IM" localSheetId="1" hidden="1">#REF!</definedName>
    <definedName name="BExGMZ3UBN48IXU1ZEFYECEMZ1IM" localSheetId="9" hidden="1">#REF!</definedName>
    <definedName name="BExGMZ3UBN48IXU1ZEFYECEMZ1IM" hidden="1">#REF!</definedName>
    <definedName name="BExGN4I0QATXNZCLZJM1KH1OIJQH" localSheetId="56" hidden="1">#REF!</definedName>
    <definedName name="BExGN4I0QATXNZCLZJM1KH1OIJQH" localSheetId="55" hidden="1">#REF!</definedName>
    <definedName name="BExGN4I0QATXNZCLZJM1KH1OIJQH" localSheetId="4" hidden="1">#REF!</definedName>
    <definedName name="BExGN4I0QATXNZCLZJM1KH1OIJQH" localSheetId="1" hidden="1">#REF!</definedName>
    <definedName name="BExGN4I0QATXNZCLZJM1KH1OIJQH" localSheetId="9" hidden="1">#REF!</definedName>
    <definedName name="BExGN4I0QATXNZCLZJM1KH1OIJQH" hidden="1">#REF!</definedName>
    <definedName name="BExGN9FZ2RWCMSY1YOBJKZMNIM9R" localSheetId="56" hidden="1">#REF!</definedName>
    <definedName name="BExGN9FZ2RWCMSY1YOBJKZMNIM9R" localSheetId="55" hidden="1">#REF!</definedName>
    <definedName name="BExGN9FZ2RWCMSY1YOBJKZMNIM9R" localSheetId="4" hidden="1">#REF!</definedName>
    <definedName name="BExGN9FZ2RWCMSY1YOBJKZMNIM9R" localSheetId="1" hidden="1">#REF!</definedName>
    <definedName name="BExGN9FZ2RWCMSY1YOBJKZMNIM9R" localSheetId="9" hidden="1">#REF!</definedName>
    <definedName name="BExGN9FZ2RWCMSY1YOBJKZMNIM9R" hidden="1">#REF!</definedName>
    <definedName name="BExGNDSIMTHOCXXG6QOGR6DA8SGG" localSheetId="56" hidden="1">#REF!</definedName>
    <definedName name="BExGNDSIMTHOCXXG6QOGR6DA8SGG" localSheetId="55" hidden="1">#REF!</definedName>
    <definedName name="BExGNDSIMTHOCXXG6QOGR6DA8SGG" localSheetId="4" hidden="1">#REF!</definedName>
    <definedName name="BExGNDSIMTHOCXXG6QOGR6DA8SGG" localSheetId="1" hidden="1">#REF!</definedName>
    <definedName name="BExGNDSIMTHOCXXG6QOGR6DA8SGG" localSheetId="9" hidden="1">#REF!</definedName>
    <definedName name="BExGNDSIMTHOCXXG6QOGR6DA8SGG" hidden="1">#REF!</definedName>
    <definedName name="BExGNHOS7RBERG1J2M2HVGSRZL5G" localSheetId="56" hidden="1">#REF!</definedName>
    <definedName name="BExGNHOS7RBERG1J2M2HVGSRZL5G" localSheetId="55" hidden="1">#REF!</definedName>
    <definedName name="BExGNHOS7RBERG1J2M2HVGSRZL5G" localSheetId="4" hidden="1">#REF!</definedName>
    <definedName name="BExGNHOS7RBERG1J2M2HVGSRZL5G" localSheetId="1" hidden="1">#REF!</definedName>
    <definedName name="BExGNHOS7RBERG1J2M2HVGSRZL5G" localSheetId="9" hidden="1">#REF!</definedName>
    <definedName name="BExGNHOS7RBERG1J2M2HVGSRZL5G" hidden="1">#REF!</definedName>
    <definedName name="BExGNJ18W3Q55XAXY8XTFB80IVMV" localSheetId="56" hidden="1">#REF!</definedName>
    <definedName name="BExGNJ18W3Q55XAXY8XTFB80IVMV" localSheetId="55" hidden="1">#REF!</definedName>
    <definedName name="BExGNJ18W3Q55XAXY8XTFB80IVMV" localSheetId="4" hidden="1">#REF!</definedName>
    <definedName name="BExGNJ18W3Q55XAXY8XTFB80IVMV" localSheetId="1" hidden="1">#REF!</definedName>
    <definedName name="BExGNJ18W3Q55XAXY8XTFB80IVMV" localSheetId="9" hidden="1">#REF!</definedName>
    <definedName name="BExGNJ18W3Q55XAXY8XTFB80IVMV" hidden="1">#REF!</definedName>
    <definedName name="BExGNN2YQ9BDAZXT2GLCSAPXKIM7" localSheetId="56" hidden="1">#REF!</definedName>
    <definedName name="BExGNN2YQ9BDAZXT2GLCSAPXKIM7" localSheetId="55" hidden="1">#REF!</definedName>
    <definedName name="BExGNN2YQ9BDAZXT2GLCSAPXKIM7" localSheetId="4" hidden="1">#REF!</definedName>
    <definedName name="BExGNN2YQ9BDAZXT2GLCSAPXKIM7" localSheetId="1" hidden="1">#REF!</definedName>
    <definedName name="BExGNN2YQ9BDAZXT2GLCSAPXKIM7" localSheetId="9" hidden="1">#REF!</definedName>
    <definedName name="BExGNN2YQ9BDAZXT2GLCSAPXKIM7" hidden="1">#REF!</definedName>
    <definedName name="BExGNP6INLF5NZFP5ME6K7C9Y0NH" localSheetId="56" hidden="1">#REF!</definedName>
    <definedName name="BExGNP6INLF5NZFP5ME6K7C9Y0NH" localSheetId="55" hidden="1">#REF!</definedName>
    <definedName name="BExGNP6INLF5NZFP5ME6K7C9Y0NH" localSheetId="4" hidden="1">#REF!</definedName>
    <definedName name="BExGNP6INLF5NZFP5ME6K7C9Y0NH" localSheetId="1" hidden="1">#REF!</definedName>
    <definedName name="BExGNP6INLF5NZFP5ME6K7C9Y0NH" localSheetId="9" hidden="1">#REF!</definedName>
    <definedName name="BExGNP6INLF5NZFP5ME6K7C9Y0NH" hidden="1">#REF!</definedName>
    <definedName name="BExGNSS0CKRPKHO25R3TDBEL2NHX" localSheetId="56" hidden="1">#REF!</definedName>
    <definedName name="BExGNSS0CKRPKHO25R3TDBEL2NHX" localSheetId="55" hidden="1">#REF!</definedName>
    <definedName name="BExGNSS0CKRPKHO25R3TDBEL2NHX" localSheetId="4" hidden="1">#REF!</definedName>
    <definedName name="BExGNSS0CKRPKHO25R3TDBEL2NHX" localSheetId="1" hidden="1">#REF!</definedName>
    <definedName name="BExGNSS0CKRPKHO25R3TDBEL2NHX" localSheetId="9" hidden="1">#REF!</definedName>
    <definedName name="BExGNSS0CKRPKHO25R3TDBEL2NHX" hidden="1">#REF!</definedName>
    <definedName name="BExGNYH0MO8NOVS85L15G0RWX4GW" localSheetId="56" hidden="1">#REF!</definedName>
    <definedName name="BExGNYH0MO8NOVS85L15G0RWX4GW" localSheetId="55" hidden="1">#REF!</definedName>
    <definedName name="BExGNYH0MO8NOVS85L15G0RWX4GW" localSheetId="4" hidden="1">#REF!</definedName>
    <definedName name="BExGNYH0MO8NOVS85L15G0RWX4GW" localSheetId="1" hidden="1">#REF!</definedName>
    <definedName name="BExGNYH0MO8NOVS85L15G0RWX4GW" localSheetId="9" hidden="1">#REF!</definedName>
    <definedName name="BExGNYH0MO8NOVS85L15G0RWX4GW" hidden="1">#REF!</definedName>
    <definedName name="BExGNZO44DEG8CGIDYSEGDUQ531R" localSheetId="56" hidden="1">#REF!</definedName>
    <definedName name="BExGNZO44DEG8CGIDYSEGDUQ531R" localSheetId="55" hidden="1">#REF!</definedName>
    <definedName name="BExGNZO44DEG8CGIDYSEGDUQ531R" localSheetId="4" hidden="1">#REF!</definedName>
    <definedName name="BExGNZO44DEG8CGIDYSEGDUQ531R" localSheetId="1" hidden="1">#REF!</definedName>
    <definedName name="BExGNZO44DEG8CGIDYSEGDUQ531R" localSheetId="9" hidden="1">#REF!</definedName>
    <definedName name="BExGNZO44DEG8CGIDYSEGDUQ531R" hidden="1">#REF!</definedName>
    <definedName name="BExGO22GMMPZVQY9RQ8MDKZDP5G3" localSheetId="56" hidden="1">#REF!</definedName>
    <definedName name="BExGO22GMMPZVQY9RQ8MDKZDP5G3" localSheetId="55" hidden="1">#REF!</definedName>
    <definedName name="BExGO22GMMPZVQY9RQ8MDKZDP5G3" localSheetId="4" hidden="1">#REF!</definedName>
    <definedName name="BExGO22GMMPZVQY9RQ8MDKZDP5G3" localSheetId="1" hidden="1">#REF!</definedName>
    <definedName name="BExGO22GMMPZVQY9RQ8MDKZDP5G3" localSheetId="9" hidden="1">#REF!</definedName>
    <definedName name="BExGO22GMMPZVQY9RQ8MDKZDP5G3" hidden="1">#REF!</definedName>
    <definedName name="BExGO2O0V6UYDY26AX8OSN72F77N" localSheetId="56" hidden="1">#REF!</definedName>
    <definedName name="BExGO2O0V6UYDY26AX8OSN72F77N" localSheetId="55" hidden="1">#REF!</definedName>
    <definedName name="BExGO2O0V6UYDY26AX8OSN72F77N" localSheetId="4" hidden="1">#REF!</definedName>
    <definedName name="BExGO2O0V6UYDY26AX8OSN72F77N" localSheetId="1" hidden="1">#REF!</definedName>
    <definedName name="BExGO2O0V6UYDY26AX8OSN72F77N" localSheetId="9" hidden="1">#REF!</definedName>
    <definedName name="BExGO2O0V6UYDY26AX8OSN72F77N" hidden="1">#REF!</definedName>
    <definedName name="BExGO2YUBOVLYHY1QSIHRE1KLAFV" localSheetId="56" hidden="1">#REF!</definedName>
    <definedName name="BExGO2YUBOVLYHY1QSIHRE1KLAFV" localSheetId="55" hidden="1">#REF!</definedName>
    <definedName name="BExGO2YUBOVLYHY1QSIHRE1KLAFV" localSheetId="4" hidden="1">#REF!</definedName>
    <definedName name="BExGO2YUBOVLYHY1QSIHRE1KLAFV" localSheetId="1" hidden="1">#REF!</definedName>
    <definedName name="BExGO2YUBOVLYHY1QSIHRE1KLAFV" localSheetId="9" hidden="1">#REF!</definedName>
    <definedName name="BExGO2YUBOVLYHY1QSIHRE1KLAFV" hidden="1">#REF!</definedName>
    <definedName name="BExGO70E2O70LF46V8T26YFPL4V8" localSheetId="56" hidden="1">#REF!</definedName>
    <definedName name="BExGO70E2O70LF46V8T26YFPL4V8" localSheetId="55" hidden="1">#REF!</definedName>
    <definedName name="BExGO70E2O70LF46V8T26YFPL4V8" localSheetId="4" hidden="1">#REF!</definedName>
    <definedName name="BExGO70E2O70LF46V8T26YFPL4V8" localSheetId="1" hidden="1">#REF!</definedName>
    <definedName name="BExGO70E2O70LF46V8T26YFPL4V8" localSheetId="9" hidden="1">#REF!</definedName>
    <definedName name="BExGO70E2O70LF46V8T26YFPL4V8" hidden="1">#REF!</definedName>
    <definedName name="BExGOB25QJMQCQE76MRW9X58OIOO" localSheetId="56" hidden="1">#REF!</definedName>
    <definedName name="BExGOB25QJMQCQE76MRW9X58OIOO" localSheetId="55" hidden="1">#REF!</definedName>
    <definedName name="BExGOB25QJMQCQE76MRW9X58OIOO" localSheetId="4" hidden="1">#REF!</definedName>
    <definedName name="BExGOB25QJMQCQE76MRW9X58OIOO" localSheetId="1" hidden="1">#REF!</definedName>
    <definedName name="BExGOB25QJMQCQE76MRW9X58OIOO" localSheetId="9" hidden="1">#REF!</definedName>
    <definedName name="BExGOB25QJMQCQE76MRW9X58OIOO" hidden="1">#REF!</definedName>
    <definedName name="BExGODAZKJ9EXMQZNQR5YDBSS525" localSheetId="56" hidden="1">#REF!</definedName>
    <definedName name="BExGODAZKJ9EXMQZNQR5YDBSS525" localSheetId="55" hidden="1">#REF!</definedName>
    <definedName name="BExGODAZKJ9EXMQZNQR5YDBSS525" localSheetId="4" hidden="1">#REF!</definedName>
    <definedName name="BExGODAZKJ9EXMQZNQR5YDBSS525" localSheetId="1" hidden="1">#REF!</definedName>
    <definedName name="BExGODAZKJ9EXMQZNQR5YDBSS525" localSheetId="9" hidden="1">#REF!</definedName>
    <definedName name="BExGODAZKJ9EXMQZNQR5YDBSS525" hidden="1">#REF!</definedName>
    <definedName name="BExGODR8ZSMUC11I56QHSZ686XV5" localSheetId="56" hidden="1">#REF!</definedName>
    <definedName name="BExGODR8ZSMUC11I56QHSZ686XV5" localSheetId="55" hidden="1">#REF!</definedName>
    <definedName name="BExGODR8ZSMUC11I56QHSZ686XV5" localSheetId="4" hidden="1">#REF!</definedName>
    <definedName name="BExGODR8ZSMUC11I56QHSZ686XV5" localSheetId="1" hidden="1">#REF!</definedName>
    <definedName name="BExGODR8ZSMUC11I56QHSZ686XV5" localSheetId="9" hidden="1">#REF!</definedName>
    <definedName name="BExGODR8ZSMUC11I56QHSZ686XV5" hidden="1">#REF!</definedName>
    <definedName name="BExGOXJDHUDPDT8I8IVGVW9J0R5Q" localSheetId="56" hidden="1">#REF!</definedName>
    <definedName name="BExGOXJDHUDPDT8I8IVGVW9J0R5Q" localSheetId="55" hidden="1">#REF!</definedName>
    <definedName name="BExGOXJDHUDPDT8I8IVGVW9J0R5Q" localSheetId="4" hidden="1">#REF!</definedName>
    <definedName name="BExGOXJDHUDPDT8I8IVGVW9J0R5Q" localSheetId="1" hidden="1">#REF!</definedName>
    <definedName name="BExGOXJDHUDPDT8I8IVGVW9J0R5Q" localSheetId="9" hidden="1">#REF!</definedName>
    <definedName name="BExGOXJDHUDPDT8I8IVGVW9J0R5Q" hidden="1">#REF!</definedName>
    <definedName name="BExGPAPYI1N5W3IH8H485BHSVOY3" localSheetId="56" hidden="1">#REF!</definedName>
    <definedName name="BExGPAPYI1N5W3IH8H485BHSVOY3" localSheetId="55" hidden="1">#REF!</definedName>
    <definedName name="BExGPAPYI1N5W3IH8H485BHSVOY3" localSheetId="4" hidden="1">#REF!</definedName>
    <definedName name="BExGPAPYI1N5W3IH8H485BHSVOY3" localSheetId="1" hidden="1">#REF!</definedName>
    <definedName name="BExGPAPYI1N5W3IH8H485BHSVOY3" localSheetId="9" hidden="1">#REF!</definedName>
    <definedName name="BExGPAPYI1N5W3IH8H485BHSVOY3" hidden="1">#REF!</definedName>
    <definedName name="BExGPFO3GOKYO2922Y91GMQRCMOA" localSheetId="56" hidden="1">#REF!</definedName>
    <definedName name="BExGPFO3GOKYO2922Y91GMQRCMOA" localSheetId="55" hidden="1">#REF!</definedName>
    <definedName name="BExGPFO3GOKYO2922Y91GMQRCMOA" localSheetId="4" hidden="1">#REF!</definedName>
    <definedName name="BExGPFO3GOKYO2922Y91GMQRCMOA" localSheetId="1" hidden="1">#REF!</definedName>
    <definedName name="BExGPFO3GOKYO2922Y91GMQRCMOA" localSheetId="9" hidden="1">#REF!</definedName>
    <definedName name="BExGPFO3GOKYO2922Y91GMQRCMOA" hidden="1">#REF!</definedName>
    <definedName name="BExGPHGT5KDOCMV2EFS4OVKTWBRD" localSheetId="56" hidden="1">#REF!</definedName>
    <definedName name="BExGPHGT5KDOCMV2EFS4OVKTWBRD" localSheetId="55" hidden="1">#REF!</definedName>
    <definedName name="BExGPHGT5KDOCMV2EFS4OVKTWBRD" localSheetId="4" hidden="1">#REF!</definedName>
    <definedName name="BExGPHGT5KDOCMV2EFS4OVKTWBRD" localSheetId="1" hidden="1">#REF!</definedName>
    <definedName name="BExGPHGT5KDOCMV2EFS4OVKTWBRD" localSheetId="9" hidden="1">#REF!</definedName>
    <definedName name="BExGPHGT5KDOCMV2EFS4OVKTWBRD" hidden="1">#REF!</definedName>
    <definedName name="BExGPID72Y4Y619LWASUQZKZHJNC" localSheetId="56" hidden="1">#REF!</definedName>
    <definedName name="BExGPID72Y4Y619LWASUQZKZHJNC" localSheetId="55" hidden="1">#REF!</definedName>
    <definedName name="BExGPID72Y4Y619LWASUQZKZHJNC" localSheetId="4" hidden="1">#REF!</definedName>
    <definedName name="BExGPID72Y4Y619LWASUQZKZHJNC" localSheetId="1" hidden="1">#REF!</definedName>
    <definedName name="BExGPID72Y4Y619LWASUQZKZHJNC" localSheetId="9" hidden="1">#REF!</definedName>
    <definedName name="BExGPID72Y4Y619LWASUQZKZHJNC" hidden="1">#REF!</definedName>
    <definedName name="BExGPPENQIANVGLVQJ77DK5JPRTB" localSheetId="56" hidden="1">#REF!</definedName>
    <definedName name="BExGPPENQIANVGLVQJ77DK5JPRTB" localSheetId="55" hidden="1">#REF!</definedName>
    <definedName name="BExGPPENQIANVGLVQJ77DK5JPRTB" localSheetId="4" hidden="1">#REF!</definedName>
    <definedName name="BExGPPENQIANVGLVQJ77DK5JPRTB" localSheetId="1" hidden="1">#REF!</definedName>
    <definedName name="BExGPPENQIANVGLVQJ77DK5JPRTB" localSheetId="9" hidden="1">#REF!</definedName>
    <definedName name="BExGPPENQIANVGLVQJ77DK5JPRTB" hidden="1">#REF!</definedName>
    <definedName name="BExGPSUUG7TL5F5PTYU6G4HPJV1B" localSheetId="56" hidden="1">#REF!</definedName>
    <definedName name="BExGPSUUG7TL5F5PTYU6G4HPJV1B" localSheetId="55" hidden="1">#REF!</definedName>
    <definedName name="BExGPSUUG7TL5F5PTYU6G4HPJV1B" localSheetId="4" hidden="1">#REF!</definedName>
    <definedName name="BExGPSUUG7TL5F5PTYU6G4HPJV1B" localSheetId="1" hidden="1">#REF!</definedName>
    <definedName name="BExGPSUUG7TL5F5PTYU6G4HPJV1B" localSheetId="9" hidden="1">#REF!</definedName>
    <definedName name="BExGPSUUG7TL5F5PTYU6G4HPJV1B" hidden="1">#REF!</definedName>
    <definedName name="BExGQ1E950UYXYWQ84EZEQPWHVYY" localSheetId="56" hidden="1">#REF!</definedName>
    <definedName name="BExGQ1E950UYXYWQ84EZEQPWHVYY" localSheetId="55" hidden="1">#REF!</definedName>
    <definedName name="BExGQ1E950UYXYWQ84EZEQPWHVYY" localSheetId="4" hidden="1">#REF!</definedName>
    <definedName name="BExGQ1E950UYXYWQ84EZEQPWHVYY" localSheetId="1" hidden="1">#REF!</definedName>
    <definedName name="BExGQ1E950UYXYWQ84EZEQPWHVYY" localSheetId="9" hidden="1">#REF!</definedName>
    <definedName name="BExGQ1E950UYXYWQ84EZEQPWHVYY" hidden="1">#REF!</definedName>
    <definedName name="BExGQ1ZU4967P72AHF4V1D0FOL5C" localSheetId="56" hidden="1">#REF!</definedName>
    <definedName name="BExGQ1ZU4967P72AHF4V1D0FOL5C" localSheetId="55" hidden="1">#REF!</definedName>
    <definedName name="BExGQ1ZU4967P72AHF4V1D0FOL5C" localSheetId="4" hidden="1">#REF!</definedName>
    <definedName name="BExGQ1ZU4967P72AHF4V1D0FOL5C" localSheetId="1" hidden="1">#REF!</definedName>
    <definedName name="BExGQ1ZU4967P72AHF4V1D0FOL5C" localSheetId="9" hidden="1">#REF!</definedName>
    <definedName name="BExGQ1ZU4967P72AHF4V1D0FOL5C" hidden="1">#REF!</definedName>
    <definedName name="BExGQ36ZOMR9GV8T05M605MMOY3Y" localSheetId="56" hidden="1">#REF!</definedName>
    <definedName name="BExGQ36ZOMR9GV8T05M605MMOY3Y" localSheetId="55" hidden="1">#REF!</definedName>
    <definedName name="BExGQ36ZOMR9GV8T05M605MMOY3Y" localSheetId="4" hidden="1">#REF!</definedName>
    <definedName name="BExGQ36ZOMR9GV8T05M605MMOY3Y" localSheetId="1" hidden="1">#REF!</definedName>
    <definedName name="BExGQ36ZOMR9GV8T05M605MMOY3Y" localSheetId="9" hidden="1">#REF!</definedName>
    <definedName name="BExGQ36ZOMR9GV8T05M605MMOY3Y" hidden="1">#REF!</definedName>
    <definedName name="BExGQ4ZP0PPMLDNVBUG12W9FFVI9" localSheetId="56" hidden="1">#REF!</definedName>
    <definedName name="BExGQ4ZP0PPMLDNVBUG12W9FFVI9" localSheetId="55" hidden="1">#REF!</definedName>
    <definedName name="BExGQ4ZP0PPMLDNVBUG12W9FFVI9" localSheetId="4" hidden="1">#REF!</definedName>
    <definedName name="BExGQ4ZP0PPMLDNVBUG12W9FFVI9" localSheetId="1" hidden="1">#REF!</definedName>
    <definedName name="BExGQ4ZP0PPMLDNVBUG12W9FFVI9" localSheetId="9" hidden="1">#REF!</definedName>
    <definedName name="BExGQ4ZP0PPMLDNVBUG12W9FFVI9" hidden="1">#REF!</definedName>
    <definedName name="BExGQ61DTJ0SBFMDFBAK3XZ9O0ZO" localSheetId="56" hidden="1">#REF!</definedName>
    <definedName name="BExGQ61DTJ0SBFMDFBAK3XZ9O0ZO" localSheetId="55" hidden="1">#REF!</definedName>
    <definedName name="BExGQ61DTJ0SBFMDFBAK3XZ9O0ZO" localSheetId="4" hidden="1">#REF!</definedName>
    <definedName name="BExGQ61DTJ0SBFMDFBAK3XZ9O0ZO" localSheetId="1" hidden="1">#REF!</definedName>
    <definedName name="BExGQ61DTJ0SBFMDFBAK3XZ9O0ZO" localSheetId="9" hidden="1">#REF!</definedName>
    <definedName name="BExGQ61DTJ0SBFMDFBAK3XZ9O0ZO" hidden="1">#REF!</definedName>
    <definedName name="BExGQ6SG9XEOD0VMBAR22YPZWSTA" localSheetId="56" hidden="1">#REF!</definedName>
    <definedName name="BExGQ6SG9XEOD0VMBAR22YPZWSTA" localSheetId="55" hidden="1">#REF!</definedName>
    <definedName name="BExGQ6SG9XEOD0VMBAR22YPZWSTA" localSheetId="4" hidden="1">#REF!</definedName>
    <definedName name="BExGQ6SG9XEOD0VMBAR22YPZWSTA" localSheetId="1" hidden="1">#REF!</definedName>
    <definedName name="BExGQ6SG9XEOD0VMBAR22YPZWSTA" localSheetId="9" hidden="1">#REF!</definedName>
    <definedName name="BExGQ6SG9XEOD0VMBAR22YPZWSTA" hidden="1">#REF!</definedName>
    <definedName name="BExGQ8FQN3FRAGH5H2V74848P5JX" localSheetId="56" hidden="1">#REF!</definedName>
    <definedName name="BExGQ8FQN3FRAGH5H2V74848P5JX" localSheetId="55" hidden="1">#REF!</definedName>
    <definedName name="BExGQ8FQN3FRAGH5H2V74848P5JX" localSheetId="4" hidden="1">#REF!</definedName>
    <definedName name="BExGQ8FQN3FRAGH5H2V74848P5JX" localSheetId="1" hidden="1">#REF!</definedName>
    <definedName name="BExGQ8FQN3FRAGH5H2V74848P5JX" localSheetId="9" hidden="1">#REF!</definedName>
    <definedName name="BExGQ8FQN3FRAGH5H2V74848P5JX" hidden="1">#REF!</definedName>
    <definedName name="BExGQGJ1A7LNZUS8QSMOG8UNGLMK" localSheetId="56" hidden="1">#REF!</definedName>
    <definedName name="BExGQGJ1A7LNZUS8QSMOG8UNGLMK" localSheetId="55" hidden="1">#REF!</definedName>
    <definedName name="BExGQGJ1A7LNZUS8QSMOG8UNGLMK" localSheetId="4" hidden="1">#REF!</definedName>
    <definedName name="BExGQGJ1A7LNZUS8QSMOG8UNGLMK" localSheetId="1" hidden="1">#REF!</definedName>
    <definedName name="BExGQGJ1A7LNZUS8QSMOG8UNGLMK" localSheetId="9" hidden="1">#REF!</definedName>
    <definedName name="BExGQGJ1A7LNZUS8QSMOG8UNGLMK" hidden="1">#REF!</definedName>
    <definedName name="BExGQLBNZ35IK2VK33HJUAE4ADX2" localSheetId="56" hidden="1">#REF!</definedName>
    <definedName name="BExGQLBNZ35IK2VK33HJUAE4ADX2" localSheetId="55" hidden="1">#REF!</definedName>
    <definedName name="BExGQLBNZ35IK2VK33HJUAE4ADX2" localSheetId="4" hidden="1">#REF!</definedName>
    <definedName name="BExGQLBNZ35IK2VK33HJUAE4ADX2" localSheetId="1" hidden="1">#REF!</definedName>
    <definedName name="BExGQLBNZ35IK2VK33HJUAE4ADX2" localSheetId="9" hidden="1">#REF!</definedName>
    <definedName name="BExGQLBNZ35IK2VK33HJUAE4ADX2" hidden="1">#REF!</definedName>
    <definedName name="BExGQPO7ENFEQC0NC6MC9OZR2LHY" localSheetId="56" hidden="1">#REF!</definedName>
    <definedName name="BExGQPO7ENFEQC0NC6MC9OZR2LHY" localSheetId="55" hidden="1">#REF!</definedName>
    <definedName name="BExGQPO7ENFEQC0NC6MC9OZR2LHY" localSheetId="4" hidden="1">#REF!</definedName>
    <definedName name="BExGQPO7ENFEQC0NC6MC9OZR2LHY" localSheetId="1" hidden="1">#REF!</definedName>
    <definedName name="BExGQPO7ENFEQC0NC6MC9OZR2LHY" localSheetId="9" hidden="1">#REF!</definedName>
    <definedName name="BExGQPO7ENFEQC0NC6MC9OZR2LHY" hidden="1">#REF!</definedName>
    <definedName name="BExGQX0H4EZMXBJTKJJE4ICJWN5O" localSheetId="56" hidden="1">#REF!</definedName>
    <definedName name="BExGQX0H4EZMXBJTKJJE4ICJWN5O" localSheetId="55" hidden="1">#REF!</definedName>
    <definedName name="BExGQX0H4EZMXBJTKJJE4ICJWN5O" localSheetId="4" hidden="1">#REF!</definedName>
    <definedName name="BExGQX0H4EZMXBJTKJJE4ICJWN5O" localSheetId="1" hidden="1">#REF!</definedName>
    <definedName name="BExGQX0H4EZMXBJTKJJE4ICJWN5O" localSheetId="9" hidden="1">#REF!</definedName>
    <definedName name="BExGQX0H4EZMXBJTKJJE4ICJWN5O" hidden="1">#REF!</definedName>
    <definedName name="BExGR4CW3WRIID17GGX4MI9ZDHFE" localSheetId="56" hidden="1">#REF!</definedName>
    <definedName name="BExGR4CW3WRIID17GGX4MI9ZDHFE" localSheetId="55" hidden="1">#REF!</definedName>
    <definedName name="BExGR4CW3WRIID17GGX4MI9ZDHFE" localSheetId="4" hidden="1">#REF!</definedName>
    <definedName name="BExGR4CW3WRIID17GGX4MI9ZDHFE" localSheetId="1" hidden="1">#REF!</definedName>
    <definedName name="BExGR4CW3WRIID17GGX4MI9ZDHFE" localSheetId="9" hidden="1">#REF!</definedName>
    <definedName name="BExGR4CW3WRIID17GGX4MI9ZDHFE" hidden="1">#REF!</definedName>
    <definedName name="BExGR65GJX27MU2OL6NI5PB8XVB4" localSheetId="56" hidden="1">#REF!</definedName>
    <definedName name="BExGR65GJX27MU2OL6NI5PB8XVB4" localSheetId="55" hidden="1">#REF!</definedName>
    <definedName name="BExGR65GJX27MU2OL6NI5PB8XVB4" localSheetId="4" hidden="1">#REF!</definedName>
    <definedName name="BExGR65GJX27MU2OL6NI5PB8XVB4" localSheetId="1" hidden="1">#REF!</definedName>
    <definedName name="BExGR65GJX27MU2OL6NI5PB8XVB4" localSheetId="9" hidden="1">#REF!</definedName>
    <definedName name="BExGR65GJX27MU2OL6NI5PB8XVB4" hidden="1">#REF!</definedName>
    <definedName name="BExGR6LQ97HETGS3CT96L4IK0JSH" localSheetId="56" hidden="1">#REF!</definedName>
    <definedName name="BExGR6LQ97HETGS3CT96L4IK0JSH" localSheetId="55" hidden="1">#REF!</definedName>
    <definedName name="BExGR6LQ97HETGS3CT96L4IK0JSH" localSheetId="4" hidden="1">#REF!</definedName>
    <definedName name="BExGR6LQ97HETGS3CT96L4IK0JSH" localSheetId="1" hidden="1">#REF!</definedName>
    <definedName name="BExGR6LQ97HETGS3CT96L4IK0JSH" localSheetId="9" hidden="1">#REF!</definedName>
    <definedName name="BExGR6LQ97HETGS3CT96L4IK0JSH" hidden="1">#REF!</definedName>
    <definedName name="BExGR9ATP2LVT7B9OCPSLJ11H9SX" localSheetId="56" hidden="1">#REF!</definedName>
    <definedName name="BExGR9ATP2LVT7B9OCPSLJ11H9SX" localSheetId="55" hidden="1">#REF!</definedName>
    <definedName name="BExGR9ATP2LVT7B9OCPSLJ11H9SX" localSheetId="4" hidden="1">#REF!</definedName>
    <definedName name="BExGR9ATP2LVT7B9OCPSLJ11H9SX" localSheetId="1" hidden="1">#REF!</definedName>
    <definedName name="BExGR9ATP2LVT7B9OCPSLJ11H9SX" localSheetId="9" hidden="1">#REF!</definedName>
    <definedName name="BExGR9ATP2LVT7B9OCPSLJ11H9SX" hidden="1">#REF!</definedName>
    <definedName name="BExGrid1" localSheetId="1">#REF!</definedName>
    <definedName name="BExGrid1" localSheetId="9">#REF!</definedName>
    <definedName name="BExGrid1">#REF!</definedName>
    <definedName name="BExGRILCZ3BMTGDY72B1Q9BUGW0J" localSheetId="56" hidden="1">#REF!</definedName>
    <definedName name="BExGRILCZ3BMTGDY72B1Q9BUGW0J" localSheetId="55" hidden="1">#REF!</definedName>
    <definedName name="BExGRILCZ3BMTGDY72B1Q9BUGW0J" localSheetId="4" hidden="1">#REF!</definedName>
    <definedName name="BExGRILCZ3BMTGDY72B1Q9BUGW0J" localSheetId="1" hidden="1">#REF!</definedName>
    <definedName name="BExGRILCZ3BMTGDY72B1Q9BUGW0J" localSheetId="9" hidden="1">#REF!</definedName>
    <definedName name="BExGRILCZ3BMTGDY72B1Q9BUGW0J" hidden="1">#REF!</definedName>
    <definedName name="BExGRNZJ74Y6OYJB9F9Y9T3CAHOS" localSheetId="56" hidden="1">#REF!</definedName>
    <definedName name="BExGRNZJ74Y6OYJB9F9Y9T3CAHOS" localSheetId="55" hidden="1">#REF!</definedName>
    <definedName name="BExGRNZJ74Y6OYJB9F9Y9T3CAHOS" localSheetId="4" hidden="1">#REF!</definedName>
    <definedName name="BExGRNZJ74Y6OYJB9F9Y9T3CAHOS" localSheetId="1" hidden="1">#REF!</definedName>
    <definedName name="BExGRNZJ74Y6OYJB9F9Y9T3CAHOS" localSheetId="9" hidden="1">#REF!</definedName>
    <definedName name="BExGRNZJ74Y6OYJB9F9Y9T3CAHOS" hidden="1">#REF!</definedName>
    <definedName name="BExGRPC5QJQ7UGQ4P7CFWVGRQGFW" localSheetId="56" hidden="1">#REF!</definedName>
    <definedName name="BExGRPC5QJQ7UGQ4P7CFWVGRQGFW" localSheetId="55" hidden="1">#REF!</definedName>
    <definedName name="BExGRPC5QJQ7UGQ4P7CFWVGRQGFW" localSheetId="4" hidden="1">#REF!</definedName>
    <definedName name="BExGRPC5QJQ7UGQ4P7CFWVGRQGFW" localSheetId="1" hidden="1">#REF!</definedName>
    <definedName name="BExGRPC5QJQ7UGQ4P7CFWVGRQGFW" localSheetId="9" hidden="1">#REF!</definedName>
    <definedName name="BExGRPC5QJQ7UGQ4P7CFWVGRQGFW" hidden="1">#REF!</definedName>
    <definedName name="BExGRSMULUXOBEN8G0TK90PRKQ9O" localSheetId="56" hidden="1">#REF!</definedName>
    <definedName name="BExGRSMULUXOBEN8G0TK90PRKQ9O" localSheetId="55" hidden="1">#REF!</definedName>
    <definedName name="BExGRSMULUXOBEN8G0TK90PRKQ9O" localSheetId="4" hidden="1">#REF!</definedName>
    <definedName name="BExGRSMULUXOBEN8G0TK90PRKQ9O" localSheetId="1" hidden="1">#REF!</definedName>
    <definedName name="BExGRSMULUXOBEN8G0TK90PRKQ9O" localSheetId="9" hidden="1">#REF!</definedName>
    <definedName name="BExGRSMULUXOBEN8G0TK90PRKQ9O" hidden="1">#REF!</definedName>
    <definedName name="BExGRUKVVKDL8483WI70VN2QZDGD" localSheetId="56" hidden="1">#REF!</definedName>
    <definedName name="BExGRUKVVKDL8483WI70VN2QZDGD" localSheetId="55" hidden="1">#REF!</definedName>
    <definedName name="BExGRUKVVKDL8483WI70VN2QZDGD" localSheetId="4" hidden="1">#REF!</definedName>
    <definedName name="BExGRUKVVKDL8483WI70VN2QZDGD" localSheetId="1" hidden="1">#REF!</definedName>
    <definedName name="BExGRUKVVKDL8483WI70VN2QZDGD" localSheetId="9" hidden="1">#REF!</definedName>
    <definedName name="BExGRUKVVKDL8483WI70VN2QZDGD" hidden="1">#REF!</definedName>
    <definedName name="BExGS2IWR5DUNJ1U9PAKIV8CMBNI" localSheetId="56" hidden="1">#REF!</definedName>
    <definedName name="BExGS2IWR5DUNJ1U9PAKIV8CMBNI" localSheetId="55" hidden="1">#REF!</definedName>
    <definedName name="BExGS2IWR5DUNJ1U9PAKIV8CMBNI" localSheetId="4" hidden="1">#REF!</definedName>
    <definedName name="BExGS2IWR5DUNJ1U9PAKIV8CMBNI" localSheetId="1" hidden="1">#REF!</definedName>
    <definedName name="BExGS2IWR5DUNJ1U9PAKIV8CMBNI" localSheetId="9" hidden="1">#REF!</definedName>
    <definedName name="BExGS2IWR5DUNJ1U9PAKIV8CMBNI" hidden="1">#REF!</definedName>
    <definedName name="BExGS69P9FFTEOPDS0MWFKF45G47" localSheetId="56" hidden="1">#REF!</definedName>
    <definedName name="BExGS69P9FFTEOPDS0MWFKF45G47" localSheetId="55" hidden="1">#REF!</definedName>
    <definedName name="BExGS69P9FFTEOPDS0MWFKF45G47" localSheetId="4" hidden="1">#REF!</definedName>
    <definedName name="BExGS69P9FFTEOPDS0MWFKF45G47" localSheetId="1" hidden="1">#REF!</definedName>
    <definedName name="BExGS69P9FFTEOPDS0MWFKF45G47" localSheetId="9" hidden="1">#REF!</definedName>
    <definedName name="BExGS69P9FFTEOPDS0MWFKF45G47" hidden="1">#REF!</definedName>
    <definedName name="BExGS6F1JFHM5MUJ1RFO50WP6D05" localSheetId="56" hidden="1">#REF!</definedName>
    <definedName name="BExGS6F1JFHM5MUJ1RFO50WP6D05" localSheetId="55" hidden="1">#REF!</definedName>
    <definedName name="BExGS6F1JFHM5MUJ1RFO50WP6D05" localSheetId="4" hidden="1">#REF!</definedName>
    <definedName name="BExGS6F1JFHM5MUJ1RFO50WP6D05" localSheetId="1" hidden="1">#REF!</definedName>
    <definedName name="BExGS6F1JFHM5MUJ1RFO50WP6D05" localSheetId="9" hidden="1">#REF!</definedName>
    <definedName name="BExGS6F1JFHM5MUJ1RFO50WP6D05" hidden="1">#REF!</definedName>
    <definedName name="BExGSA5YB5ZGE4NHDVCZ55TQAJTL" localSheetId="56" hidden="1">#REF!</definedName>
    <definedName name="BExGSA5YB5ZGE4NHDVCZ55TQAJTL" localSheetId="55" hidden="1">#REF!</definedName>
    <definedName name="BExGSA5YB5ZGE4NHDVCZ55TQAJTL" localSheetId="4" hidden="1">#REF!</definedName>
    <definedName name="BExGSA5YB5ZGE4NHDVCZ55TQAJTL" localSheetId="1" hidden="1">#REF!</definedName>
    <definedName name="BExGSA5YB5ZGE4NHDVCZ55TQAJTL" localSheetId="9" hidden="1">#REF!</definedName>
    <definedName name="BExGSA5YB5ZGE4NHDVCZ55TQAJTL" hidden="1">#REF!</definedName>
    <definedName name="BExGSBYPYOBOB218ABCIM2X63GJ8" localSheetId="56" hidden="1">#REF!</definedName>
    <definedName name="BExGSBYPYOBOB218ABCIM2X63GJ8" localSheetId="55" hidden="1">#REF!</definedName>
    <definedName name="BExGSBYPYOBOB218ABCIM2X63GJ8" localSheetId="4" hidden="1">#REF!</definedName>
    <definedName name="BExGSBYPYOBOB218ABCIM2X63GJ8" localSheetId="1" hidden="1">#REF!</definedName>
    <definedName name="BExGSBYPYOBOB218ABCIM2X63GJ8" localSheetId="9" hidden="1">#REF!</definedName>
    <definedName name="BExGSBYPYOBOB218ABCIM2X63GJ8" hidden="1">#REF!</definedName>
    <definedName name="BExGSCEUCQQVDEEKWJ677QTGUVTE" localSheetId="56" hidden="1">#REF!</definedName>
    <definedName name="BExGSCEUCQQVDEEKWJ677QTGUVTE" localSheetId="55" hidden="1">#REF!</definedName>
    <definedName name="BExGSCEUCQQVDEEKWJ677QTGUVTE" localSheetId="4" hidden="1">#REF!</definedName>
    <definedName name="BExGSCEUCQQVDEEKWJ677QTGUVTE" localSheetId="1" hidden="1">#REF!</definedName>
    <definedName name="BExGSCEUCQQVDEEKWJ677QTGUVTE" localSheetId="9" hidden="1">#REF!</definedName>
    <definedName name="BExGSCEUCQQVDEEKWJ677QTGUVTE" hidden="1">#REF!</definedName>
    <definedName name="BExGSQY65LH1PCKKM5WHDW83F35O" localSheetId="56" hidden="1">#REF!</definedName>
    <definedName name="BExGSQY65LH1PCKKM5WHDW83F35O" localSheetId="55" hidden="1">#REF!</definedName>
    <definedName name="BExGSQY65LH1PCKKM5WHDW83F35O" localSheetId="4" hidden="1">#REF!</definedName>
    <definedName name="BExGSQY65LH1PCKKM5WHDW83F35O" localSheetId="1" hidden="1">#REF!</definedName>
    <definedName name="BExGSQY65LH1PCKKM5WHDW83F35O" localSheetId="9" hidden="1">#REF!</definedName>
    <definedName name="BExGSQY65LH1PCKKM5WHDW83F35O" hidden="1">#REF!</definedName>
    <definedName name="BExGSYW1GKISF0PMUAK3XJK9PEW9" localSheetId="56" hidden="1">#REF!</definedName>
    <definedName name="BExGSYW1GKISF0PMUAK3XJK9PEW9" localSheetId="55" hidden="1">#REF!</definedName>
    <definedName name="BExGSYW1GKISF0PMUAK3XJK9PEW9" localSheetId="4" hidden="1">#REF!</definedName>
    <definedName name="BExGSYW1GKISF0PMUAK3XJK9PEW9" localSheetId="1" hidden="1">#REF!</definedName>
    <definedName name="BExGSYW1GKISF0PMUAK3XJK9PEW9" localSheetId="9" hidden="1">#REF!</definedName>
    <definedName name="BExGSYW1GKISF0PMUAK3XJK9PEW9" hidden="1">#REF!</definedName>
    <definedName name="BExGT0DZJB6LSF6L693UUB9EY1VQ" localSheetId="56" hidden="1">#REF!</definedName>
    <definedName name="BExGT0DZJB6LSF6L693UUB9EY1VQ" localSheetId="55" hidden="1">#REF!</definedName>
    <definedName name="BExGT0DZJB6LSF6L693UUB9EY1VQ" localSheetId="4" hidden="1">#REF!</definedName>
    <definedName name="BExGT0DZJB6LSF6L693UUB9EY1VQ" localSheetId="1" hidden="1">#REF!</definedName>
    <definedName name="BExGT0DZJB6LSF6L693UUB9EY1VQ" localSheetId="9" hidden="1">#REF!</definedName>
    <definedName name="BExGT0DZJB6LSF6L693UUB9EY1VQ" hidden="1">#REF!</definedName>
    <definedName name="BExGTEMKIEF46KBIDWCAOAN5U718" localSheetId="56" hidden="1">#REF!</definedName>
    <definedName name="BExGTEMKIEF46KBIDWCAOAN5U718" localSheetId="55" hidden="1">#REF!</definedName>
    <definedName name="BExGTEMKIEF46KBIDWCAOAN5U718" localSheetId="4" hidden="1">#REF!</definedName>
    <definedName name="BExGTEMKIEF46KBIDWCAOAN5U718" localSheetId="1" hidden="1">#REF!</definedName>
    <definedName name="BExGTEMKIEF46KBIDWCAOAN5U718" localSheetId="9" hidden="1">#REF!</definedName>
    <definedName name="BExGTEMKIEF46KBIDWCAOAN5U718" hidden="1">#REF!</definedName>
    <definedName name="BExGTGVFIF8HOQXR54SK065A8M4K" localSheetId="56" hidden="1">#REF!</definedName>
    <definedName name="BExGTGVFIF8HOQXR54SK065A8M4K" localSheetId="55" hidden="1">#REF!</definedName>
    <definedName name="BExGTGVFIF8HOQXR54SK065A8M4K" localSheetId="4" hidden="1">#REF!</definedName>
    <definedName name="BExGTGVFIF8HOQXR54SK065A8M4K" localSheetId="1" hidden="1">#REF!</definedName>
    <definedName name="BExGTGVFIF8HOQXR54SK065A8M4K" localSheetId="9" hidden="1">#REF!</definedName>
    <definedName name="BExGTGVFIF8HOQXR54SK065A8M4K" hidden="1">#REF!</definedName>
    <definedName name="BExGTIYX3OWPIINOGY1E4QQYSKHP" localSheetId="56" hidden="1">#REF!</definedName>
    <definedName name="BExGTIYX3OWPIINOGY1E4QQYSKHP" localSheetId="55" hidden="1">#REF!</definedName>
    <definedName name="BExGTIYX3OWPIINOGY1E4QQYSKHP" localSheetId="4" hidden="1">#REF!</definedName>
    <definedName name="BExGTIYX3OWPIINOGY1E4QQYSKHP" localSheetId="1" hidden="1">#REF!</definedName>
    <definedName name="BExGTIYX3OWPIINOGY1E4QQYSKHP" localSheetId="9" hidden="1">#REF!</definedName>
    <definedName name="BExGTIYX3OWPIINOGY1E4QQYSKHP" hidden="1">#REF!</definedName>
    <definedName name="BExGTKGUN0KUU3C0RL2LK98D8MEK" localSheetId="56" hidden="1">#REF!</definedName>
    <definedName name="BExGTKGUN0KUU3C0RL2LK98D8MEK" localSheetId="55" hidden="1">#REF!</definedName>
    <definedName name="BExGTKGUN0KUU3C0RL2LK98D8MEK" localSheetId="4" hidden="1">#REF!</definedName>
    <definedName name="BExGTKGUN0KUU3C0RL2LK98D8MEK" localSheetId="1" hidden="1">#REF!</definedName>
    <definedName name="BExGTKGUN0KUU3C0RL2LK98D8MEK" localSheetId="9" hidden="1">#REF!</definedName>
    <definedName name="BExGTKGUN0KUU3C0RL2LK98D8MEK" hidden="1">#REF!</definedName>
    <definedName name="BExGTV3U5SZUPLTWEMEY3IIN1L4L" localSheetId="56" hidden="1">#REF!</definedName>
    <definedName name="BExGTV3U5SZUPLTWEMEY3IIN1L4L" localSheetId="55" hidden="1">#REF!</definedName>
    <definedName name="BExGTV3U5SZUPLTWEMEY3IIN1L4L" localSheetId="4" hidden="1">#REF!</definedName>
    <definedName name="BExGTV3U5SZUPLTWEMEY3IIN1L4L" localSheetId="1" hidden="1">#REF!</definedName>
    <definedName name="BExGTV3U5SZUPLTWEMEY3IIN1L4L" localSheetId="9" hidden="1">#REF!</definedName>
    <definedName name="BExGTV3U5SZUPLTWEMEY3IIN1L4L" hidden="1">#REF!</definedName>
    <definedName name="BExGTZ046J7VMUG4YPKFN2K8TWB7" localSheetId="56" hidden="1">#REF!</definedName>
    <definedName name="BExGTZ046J7VMUG4YPKFN2K8TWB7" localSheetId="55" hidden="1">#REF!</definedName>
    <definedName name="BExGTZ046J7VMUG4YPKFN2K8TWB7" localSheetId="4" hidden="1">#REF!</definedName>
    <definedName name="BExGTZ046J7VMUG4YPKFN2K8TWB7" localSheetId="1" hidden="1">#REF!</definedName>
    <definedName name="BExGTZ046J7VMUG4YPKFN2K8TWB7" localSheetId="9" hidden="1">#REF!</definedName>
    <definedName name="BExGTZ046J7VMUG4YPKFN2K8TWB7" hidden="1">#REF!</definedName>
    <definedName name="BExGTZ04EFFQ3Z3JMM0G35JYWUK3" localSheetId="56" hidden="1">#REF!</definedName>
    <definedName name="BExGTZ04EFFQ3Z3JMM0G35JYWUK3" localSheetId="55" hidden="1">#REF!</definedName>
    <definedName name="BExGTZ04EFFQ3Z3JMM0G35JYWUK3" localSheetId="4" hidden="1">#REF!</definedName>
    <definedName name="BExGTZ04EFFQ3Z3JMM0G35JYWUK3" localSheetId="1" hidden="1">#REF!</definedName>
    <definedName name="BExGTZ04EFFQ3Z3JMM0G35JYWUK3" localSheetId="9" hidden="1">#REF!</definedName>
    <definedName name="BExGTZ04EFFQ3Z3JMM0G35JYWUK3" hidden="1">#REF!</definedName>
    <definedName name="BExGU2G9OPRZRIU9YGF6NX9FUW0J" localSheetId="56" hidden="1">#REF!</definedName>
    <definedName name="BExGU2G9OPRZRIU9YGF6NX9FUW0J" localSheetId="55" hidden="1">#REF!</definedName>
    <definedName name="BExGU2G9OPRZRIU9YGF6NX9FUW0J" localSheetId="4" hidden="1">#REF!</definedName>
    <definedName name="BExGU2G9OPRZRIU9YGF6NX9FUW0J" localSheetId="1" hidden="1">#REF!</definedName>
    <definedName name="BExGU2G9OPRZRIU9YGF6NX9FUW0J" localSheetId="9" hidden="1">#REF!</definedName>
    <definedName name="BExGU2G9OPRZRIU9YGF6NX9FUW0J" hidden="1">#REF!</definedName>
    <definedName name="BExGU6HTKLRZO8UOI3DTAM5RFDBA" localSheetId="56" hidden="1">#REF!</definedName>
    <definedName name="BExGU6HTKLRZO8UOI3DTAM5RFDBA" localSheetId="55" hidden="1">#REF!</definedName>
    <definedName name="BExGU6HTKLRZO8UOI3DTAM5RFDBA" localSheetId="4" hidden="1">#REF!</definedName>
    <definedName name="BExGU6HTKLRZO8UOI3DTAM5RFDBA" localSheetId="1" hidden="1">#REF!</definedName>
    <definedName name="BExGU6HTKLRZO8UOI3DTAM5RFDBA" localSheetId="9" hidden="1">#REF!</definedName>
    <definedName name="BExGU6HTKLRZO8UOI3DTAM5RFDBA" hidden="1">#REF!</definedName>
    <definedName name="BExGUDDZXFFQHAF4UZF8ZB1HO7H6" localSheetId="56" hidden="1">#REF!</definedName>
    <definedName name="BExGUDDZXFFQHAF4UZF8ZB1HO7H6" localSheetId="55" hidden="1">#REF!</definedName>
    <definedName name="BExGUDDZXFFQHAF4UZF8ZB1HO7H6" localSheetId="4" hidden="1">#REF!</definedName>
    <definedName name="BExGUDDZXFFQHAF4UZF8ZB1HO7H6" localSheetId="1" hidden="1">#REF!</definedName>
    <definedName name="BExGUDDZXFFQHAF4UZF8ZB1HO7H6" localSheetId="9" hidden="1">#REF!</definedName>
    <definedName name="BExGUDDZXFFQHAF4UZF8ZB1HO7H6" hidden="1">#REF!</definedName>
    <definedName name="BExGUI6NCRHY7EAB6SK6EPPMWFG1" localSheetId="56" hidden="1">#REF!</definedName>
    <definedName name="BExGUI6NCRHY7EAB6SK6EPPMWFG1" localSheetId="55" hidden="1">#REF!</definedName>
    <definedName name="BExGUI6NCRHY7EAB6SK6EPPMWFG1" localSheetId="4" hidden="1">#REF!</definedName>
    <definedName name="BExGUI6NCRHY7EAB6SK6EPPMWFG1" localSheetId="1" hidden="1">#REF!</definedName>
    <definedName name="BExGUI6NCRHY7EAB6SK6EPPMWFG1" localSheetId="9" hidden="1">#REF!</definedName>
    <definedName name="BExGUI6NCRHY7EAB6SK6EPPMWFG1" hidden="1">#REF!</definedName>
    <definedName name="BExGUIBXBRHGM97ZX6GBA4ZDQ79C" localSheetId="56" hidden="1">#REF!</definedName>
    <definedName name="BExGUIBXBRHGM97ZX6GBA4ZDQ79C" localSheetId="55" hidden="1">#REF!</definedName>
    <definedName name="BExGUIBXBRHGM97ZX6GBA4ZDQ79C" localSheetId="4" hidden="1">#REF!</definedName>
    <definedName name="BExGUIBXBRHGM97ZX6GBA4ZDQ79C" localSheetId="1" hidden="1">#REF!</definedName>
    <definedName name="BExGUIBXBRHGM97ZX6GBA4ZDQ79C" localSheetId="9" hidden="1">#REF!</definedName>
    <definedName name="BExGUIBXBRHGM97ZX6GBA4ZDQ79C" hidden="1">#REF!</definedName>
    <definedName name="BExGUM8D91UNPCOO4TKP9FGX85TF" localSheetId="56" hidden="1">#REF!</definedName>
    <definedName name="BExGUM8D91UNPCOO4TKP9FGX85TF" localSheetId="55" hidden="1">#REF!</definedName>
    <definedName name="BExGUM8D91UNPCOO4TKP9FGX85TF" localSheetId="4" hidden="1">#REF!</definedName>
    <definedName name="BExGUM8D91UNPCOO4TKP9FGX85TF" localSheetId="1" hidden="1">#REF!</definedName>
    <definedName name="BExGUM8D91UNPCOO4TKP9FGX85TF" localSheetId="9" hidden="1">#REF!</definedName>
    <definedName name="BExGUM8D91UNPCOO4TKP9FGX85TF" hidden="1">#REF!</definedName>
    <definedName name="BExGUMDP0WYFBZL2MCB36WWJIC04" localSheetId="56" hidden="1">#REF!</definedName>
    <definedName name="BExGUMDP0WYFBZL2MCB36WWJIC04" localSheetId="55" hidden="1">#REF!</definedName>
    <definedName name="BExGUMDP0WYFBZL2MCB36WWJIC04" localSheetId="4" hidden="1">#REF!</definedName>
    <definedName name="BExGUMDP0WYFBZL2MCB36WWJIC04" localSheetId="1" hidden="1">#REF!</definedName>
    <definedName name="BExGUMDP0WYFBZL2MCB36WWJIC04" localSheetId="9" hidden="1">#REF!</definedName>
    <definedName name="BExGUMDP0WYFBZL2MCB36WWJIC04" hidden="1">#REF!</definedName>
    <definedName name="BExGUQF9N9FKI7S0H30WUAEB5LPD" localSheetId="56" hidden="1">#REF!</definedName>
    <definedName name="BExGUQF9N9FKI7S0H30WUAEB5LPD" localSheetId="55" hidden="1">#REF!</definedName>
    <definedName name="BExGUQF9N9FKI7S0H30WUAEB5LPD" localSheetId="4" hidden="1">#REF!</definedName>
    <definedName name="BExGUQF9N9FKI7S0H30WUAEB5LPD" localSheetId="1" hidden="1">#REF!</definedName>
    <definedName name="BExGUQF9N9FKI7S0H30WUAEB5LPD" localSheetId="9" hidden="1">#REF!</definedName>
    <definedName name="BExGUQF9N9FKI7S0H30WUAEB5LPD" hidden="1">#REF!</definedName>
    <definedName name="BExGUR6BA03XPBK60SQUW197GJ5X" localSheetId="56" hidden="1">#REF!</definedName>
    <definedName name="BExGUR6BA03XPBK60SQUW197GJ5X" localSheetId="55" hidden="1">#REF!</definedName>
    <definedName name="BExGUR6BA03XPBK60SQUW197GJ5X" localSheetId="4" hidden="1">#REF!</definedName>
    <definedName name="BExGUR6BA03XPBK60SQUW197GJ5X" localSheetId="1" hidden="1">#REF!</definedName>
    <definedName name="BExGUR6BA03XPBK60SQUW197GJ5X" localSheetId="9" hidden="1">#REF!</definedName>
    <definedName name="BExGUR6BA03XPBK60SQUW197GJ5X" hidden="1">#REF!</definedName>
    <definedName name="BExGUVIP60TA4B7X2PFGMBFUSKGX" localSheetId="56" hidden="1">#REF!</definedName>
    <definedName name="BExGUVIP60TA4B7X2PFGMBFUSKGX" localSheetId="55" hidden="1">#REF!</definedName>
    <definedName name="BExGUVIP60TA4B7X2PFGMBFUSKGX" localSheetId="4" hidden="1">#REF!</definedName>
    <definedName name="BExGUVIP60TA4B7X2PFGMBFUSKGX" localSheetId="1" hidden="1">#REF!</definedName>
    <definedName name="BExGUVIP60TA4B7X2PFGMBFUSKGX" localSheetId="9" hidden="1">#REF!</definedName>
    <definedName name="BExGUVIP60TA4B7X2PFGMBFUSKGX" hidden="1">#REF!</definedName>
    <definedName name="BExGUVTIIWAK5T0F5FD428QDO46W" localSheetId="56" hidden="1">#REF!</definedName>
    <definedName name="BExGUVTIIWAK5T0F5FD428QDO46W" localSheetId="55" hidden="1">#REF!</definedName>
    <definedName name="BExGUVTIIWAK5T0F5FD428QDO46W" localSheetId="4" hidden="1">#REF!</definedName>
    <definedName name="BExGUVTIIWAK5T0F5FD428QDO46W" localSheetId="1" hidden="1">#REF!</definedName>
    <definedName name="BExGUVTIIWAK5T0F5FD428QDO46W" localSheetId="9" hidden="1">#REF!</definedName>
    <definedName name="BExGUVTIIWAK5T0F5FD428QDO46W" hidden="1">#REF!</definedName>
    <definedName name="BExGUZKF06F209XL1IZWVJEQ82EE" localSheetId="56" hidden="1">#REF!</definedName>
    <definedName name="BExGUZKF06F209XL1IZWVJEQ82EE" localSheetId="55" hidden="1">#REF!</definedName>
    <definedName name="BExGUZKF06F209XL1IZWVJEQ82EE" localSheetId="4" hidden="1">#REF!</definedName>
    <definedName name="BExGUZKF06F209XL1IZWVJEQ82EE" localSheetId="1" hidden="1">#REF!</definedName>
    <definedName name="BExGUZKF06F209XL1IZWVJEQ82EE" localSheetId="9" hidden="1">#REF!</definedName>
    <definedName name="BExGUZKF06F209XL1IZWVJEQ82EE" hidden="1">#REF!</definedName>
    <definedName name="BExGUZPWM950OZ8P1A3N86LXK97U" localSheetId="56" hidden="1">#REF!</definedName>
    <definedName name="BExGUZPWM950OZ8P1A3N86LXK97U" localSheetId="55" hidden="1">#REF!</definedName>
    <definedName name="BExGUZPWM950OZ8P1A3N86LXK97U" localSheetId="4" hidden="1">#REF!</definedName>
    <definedName name="BExGUZPWM950OZ8P1A3N86LXK97U" localSheetId="1" hidden="1">#REF!</definedName>
    <definedName name="BExGUZPWM950OZ8P1A3N86LXK97U" localSheetId="9" hidden="1">#REF!</definedName>
    <definedName name="BExGUZPWM950OZ8P1A3N86LXK97U" hidden="1">#REF!</definedName>
    <definedName name="BExGV2EVT380QHD4AP2RL9MR8L5L" localSheetId="56" hidden="1">#REF!</definedName>
    <definedName name="BExGV2EVT380QHD4AP2RL9MR8L5L" localSheetId="55" hidden="1">#REF!</definedName>
    <definedName name="BExGV2EVT380QHD4AP2RL9MR8L5L" localSheetId="4" hidden="1">#REF!</definedName>
    <definedName name="BExGV2EVT380QHD4AP2RL9MR8L5L" localSheetId="1" hidden="1">#REF!</definedName>
    <definedName name="BExGV2EVT380QHD4AP2RL9MR8L5L" localSheetId="9" hidden="1">#REF!</definedName>
    <definedName name="BExGV2EVT380QHD4AP2RL9MR8L5L" hidden="1">#REF!</definedName>
    <definedName name="BExGVBUSKOI7KB24K40PTXJE6MER" localSheetId="56" hidden="1">#REF!</definedName>
    <definedName name="BExGVBUSKOI7KB24K40PTXJE6MER" localSheetId="55" hidden="1">#REF!</definedName>
    <definedName name="BExGVBUSKOI7KB24K40PTXJE6MER" localSheetId="4" hidden="1">#REF!</definedName>
    <definedName name="BExGVBUSKOI7KB24K40PTXJE6MER" localSheetId="1" hidden="1">#REF!</definedName>
    <definedName name="BExGVBUSKOI7KB24K40PTXJE6MER" localSheetId="9" hidden="1">#REF!</definedName>
    <definedName name="BExGVBUSKOI7KB24K40PTXJE6MER" hidden="1">#REF!</definedName>
    <definedName name="BExGVGSQSVWTL2MNI6TT8Y92W3KA" localSheetId="56" hidden="1">#REF!</definedName>
    <definedName name="BExGVGSQSVWTL2MNI6TT8Y92W3KA" localSheetId="55" hidden="1">#REF!</definedName>
    <definedName name="BExGVGSQSVWTL2MNI6TT8Y92W3KA" localSheetId="4" hidden="1">#REF!</definedName>
    <definedName name="BExGVGSQSVWTL2MNI6TT8Y92W3KA" localSheetId="1" hidden="1">#REF!</definedName>
    <definedName name="BExGVGSQSVWTL2MNI6TT8Y92W3KA" localSheetId="9" hidden="1">#REF!</definedName>
    <definedName name="BExGVGSQSVWTL2MNI6TT8Y92W3KA" hidden="1">#REF!</definedName>
    <definedName name="BExGVHP63K0GSYU17R73XGX6W2U6" localSheetId="56" hidden="1">#REF!</definedName>
    <definedName name="BExGVHP63K0GSYU17R73XGX6W2U6" localSheetId="55" hidden="1">#REF!</definedName>
    <definedName name="BExGVHP63K0GSYU17R73XGX6W2U6" localSheetId="4" hidden="1">#REF!</definedName>
    <definedName name="BExGVHP63K0GSYU17R73XGX6W2U6" localSheetId="1" hidden="1">#REF!</definedName>
    <definedName name="BExGVHP63K0GSYU17R73XGX6W2U6" localSheetId="9" hidden="1">#REF!</definedName>
    <definedName name="BExGVHP63K0GSYU17R73XGX6W2U6" hidden="1">#REF!</definedName>
    <definedName name="BExGVN3DDSLKWSP9MVJS9QMNEUIK" localSheetId="56" hidden="1">#REF!</definedName>
    <definedName name="BExGVN3DDSLKWSP9MVJS9QMNEUIK" localSheetId="55" hidden="1">#REF!</definedName>
    <definedName name="BExGVN3DDSLKWSP9MVJS9QMNEUIK" localSheetId="4" hidden="1">#REF!</definedName>
    <definedName name="BExGVN3DDSLKWSP9MVJS9QMNEUIK" localSheetId="1" hidden="1">#REF!</definedName>
    <definedName name="BExGVN3DDSLKWSP9MVJS9QMNEUIK" localSheetId="9" hidden="1">#REF!</definedName>
    <definedName name="BExGVN3DDSLKWSP9MVJS9QMNEUIK" hidden="1">#REF!</definedName>
    <definedName name="BExGVUVVMLOCR9DPVUZSQ141EE4J" localSheetId="56" hidden="1">#REF!</definedName>
    <definedName name="BExGVUVVMLOCR9DPVUZSQ141EE4J" localSheetId="55" hidden="1">#REF!</definedName>
    <definedName name="BExGVUVVMLOCR9DPVUZSQ141EE4J" localSheetId="4" hidden="1">#REF!</definedName>
    <definedName name="BExGVUVVMLOCR9DPVUZSQ141EE4J" localSheetId="1" hidden="1">#REF!</definedName>
    <definedName name="BExGVUVVMLOCR9DPVUZSQ141EE4J" localSheetId="9" hidden="1">#REF!</definedName>
    <definedName name="BExGVUVVMLOCR9DPVUZSQ141EE4J" hidden="1">#REF!</definedName>
    <definedName name="BExGVV6OOLDQ3TXZK51TTF3YX0WN" localSheetId="56" hidden="1">#REF!</definedName>
    <definedName name="BExGVV6OOLDQ3TXZK51TTF3YX0WN" localSheetId="55" hidden="1">#REF!</definedName>
    <definedName name="BExGVV6OOLDQ3TXZK51TTF3YX0WN" localSheetId="4" hidden="1">#REF!</definedName>
    <definedName name="BExGVV6OOLDQ3TXZK51TTF3YX0WN" localSheetId="1" hidden="1">#REF!</definedName>
    <definedName name="BExGVV6OOLDQ3TXZK51TTF3YX0WN" localSheetId="9" hidden="1">#REF!</definedName>
    <definedName name="BExGVV6OOLDQ3TXZK51TTF3YX0WN" hidden="1">#REF!</definedName>
    <definedName name="BExGW0KVS7U0C87XFZ78QW991IEV" localSheetId="56" hidden="1">#REF!</definedName>
    <definedName name="BExGW0KVS7U0C87XFZ78QW991IEV" localSheetId="55" hidden="1">#REF!</definedName>
    <definedName name="BExGW0KVS7U0C87XFZ78QW991IEV" localSheetId="4" hidden="1">#REF!</definedName>
    <definedName name="BExGW0KVS7U0C87XFZ78QW991IEV" localSheetId="1" hidden="1">#REF!</definedName>
    <definedName name="BExGW0KVS7U0C87XFZ78QW991IEV" localSheetId="9" hidden="1">#REF!</definedName>
    <definedName name="BExGW0KVS7U0C87XFZ78QW991IEV" hidden="1">#REF!</definedName>
    <definedName name="BExGW0Q7QHE29TGNWAWQ6GR0V6TQ" localSheetId="56" hidden="1">#REF!</definedName>
    <definedName name="BExGW0Q7QHE29TGNWAWQ6GR0V6TQ" localSheetId="55" hidden="1">#REF!</definedName>
    <definedName name="BExGW0Q7QHE29TGNWAWQ6GR0V6TQ" localSheetId="4" hidden="1">#REF!</definedName>
    <definedName name="BExGW0Q7QHE29TGNWAWQ6GR0V6TQ" localSheetId="1" hidden="1">#REF!</definedName>
    <definedName name="BExGW0Q7QHE29TGNWAWQ6GR0V6TQ" localSheetId="9" hidden="1">#REF!</definedName>
    <definedName name="BExGW0Q7QHE29TGNWAWQ6GR0V6TQ" hidden="1">#REF!</definedName>
    <definedName name="BExGW2Z7AMPG6H9EXA9ML6EZVGGA" localSheetId="56" hidden="1">#REF!</definedName>
    <definedName name="BExGW2Z7AMPG6H9EXA9ML6EZVGGA" localSheetId="55" hidden="1">#REF!</definedName>
    <definedName name="BExGW2Z7AMPG6H9EXA9ML6EZVGGA" localSheetId="4" hidden="1">#REF!</definedName>
    <definedName name="BExGW2Z7AMPG6H9EXA9ML6EZVGGA" localSheetId="1" hidden="1">#REF!</definedName>
    <definedName name="BExGW2Z7AMPG6H9EXA9ML6EZVGGA" localSheetId="9" hidden="1">#REF!</definedName>
    <definedName name="BExGW2Z7AMPG6H9EXA9ML6EZVGGA" hidden="1">#REF!</definedName>
    <definedName name="BExGWABG5VT5XO1A196RK61AXA8C" localSheetId="56" hidden="1">#REF!</definedName>
    <definedName name="BExGWABG5VT5XO1A196RK61AXA8C" localSheetId="55" hidden="1">#REF!</definedName>
    <definedName name="BExGWABG5VT5XO1A196RK61AXA8C" localSheetId="4" hidden="1">#REF!</definedName>
    <definedName name="BExGWABG5VT5XO1A196RK61AXA8C" localSheetId="1" hidden="1">#REF!</definedName>
    <definedName name="BExGWABG5VT5XO1A196RK61AXA8C" localSheetId="9" hidden="1">#REF!</definedName>
    <definedName name="BExGWABG5VT5XO1A196RK61AXA8C" hidden="1">#REF!</definedName>
    <definedName name="BExGWEO0JDG84NYLEAV5NSOAGMJZ" localSheetId="56" hidden="1">#REF!</definedName>
    <definedName name="BExGWEO0JDG84NYLEAV5NSOAGMJZ" localSheetId="55" hidden="1">#REF!</definedName>
    <definedName name="BExGWEO0JDG84NYLEAV5NSOAGMJZ" localSheetId="4" hidden="1">#REF!</definedName>
    <definedName name="BExGWEO0JDG84NYLEAV5NSOAGMJZ" localSheetId="1" hidden="1">#REF!</definedName>
    <definedName name="BExGWEO0JDG84NYLEAV5NSOAGMJZ" localSheetId="9" hidden="1">#REF!</definedName>
    <definedName name="BExGWEO0JDG84NYLEAV5NSOAGMJZ" hidden="1">#REF!</definedName>
    <definedName name="BExGWLEOC70Z8QAJTPT2PDHTNM4L" localSheetId="56" hidden="1">#REF!</definedName>
    <definedName name="BExGWLEOC70Z8QAJTPT2PDHTNM4L" localSheetId="55" hidden="1">#REF!</definedName>
    <definedName name="BExGWLEOC70Z8QAJTPT2PDHTNM4L" localSheetId="4" hidden="1">#REF!</definedName>
    <definedName name="BExGWLEOC70Z8QAJTPT2PDHTNM4L" localSheetId="1" hidden="1">#REF!</definedName>
    <definedName name="BExGWLEOC70Z8QAJTPT2PDHTNM4L" localSheetId="9" hidden="1">#REF!</definedName>
    <definedName name="BExGWLEOC70Z8QAJTPT2PDHTNM4L" hidden="1">#REF!</definedName>
    <definedName name="BExGWNCXLCRTLBVMTXYJ5PHQI6SS" localSheetId="56" hidden="1">#REF!</definedName>
    <definedName name="BExGWNCXLCRTLBVMTXYJ5PHQI6SS" localSheetId="55" hidden="1">#REF!</definedName>
    <definedName name="BExGWNCXLCRTLBVMTXYJ5PHQI6SS" localSheetId="4" hidden="1">#REF!</definedName>
    <definedName name="BExGWNCXLCRTLBVMTXYJ5PHQI6SS" localSheetId="1" hidden="1">#REF!</definedName>
    <definedName name="BExGWNCXLCRTLBVMTXYJ5PHQI6SS" localSheetId="9" hidden="1">#REF!</definedName>
    <definedName name="BExGWNCXLCRTLBVMTXYJ5PHQI6SS" hidden="1">#REF!</definedName>
    <definedName name="BExGX4L8N6ERT0Q4EVVNA97EGD80" localSheetId="56" hidden="1">#REF!</definedName>
    <definedName name="BExGX4L8N6ERT0Q4EVVNA97EGD80" localSheetId="55" hidden="1">#REF!</definedName>
    <definedName name="BExGX4L8N6ERT0Q4EVVNA97EGD80" localSheetId="4" hidden="1">#REF!</definedName>
    <definedName name="BExGX4L8N6ERT0Q4EVVNA97EGD80" localSheetId="1" hidden="1">#REF!</definedName>
    <definedName name="BExGX4L8N6ERT0Q4EVVNA97EGD80" localSheetId="9" hidden="1">#REF!</definedName>
    <definedName name="BExGX4L8N6ERT0Q4EVVNA97EGD80" hidden="1">#REF!</definedName>
    <definedName name="BExGX5MWTL78XM0QCP4NT564ML39" localSheetId="56" hidden="1">#REF!</definedName>
    <definedName name="BExGX5MWTL78XM0QCP4NT564ML39" localSheetId="55" hidden="1">#REF!</definedName>
    <definedName name="BExGX5MWTL78XM0QCP4NT564ML39" localSheetId="4" hidden="1">#REF!</definedName>
    <definedName name="BExGX5MWTL78XM0QCP4NT564ML39" localSheetId="1" hidden="1">#REF!</definedName>
    <definedName name="BExGX5MWTL78XM0QCP4NT564ML39" localSheetId="9" hidden="1">#REF!</definedName>
    <definedName name="BExGX5MWTL78XM0QCP4NT564ML39" hidden="1">#REF!</definedName>
    <definedName name="BExGX6U988MCFIGDA1282F92U9AA" localSheetId="56" hidden="1">#REF!</definedName>
    <definedName name="BExGX6U988MCFIGDA1282F92U9AA" localSheetId="55" hidden="1">#REF!</definedName>
    <definedName name="BExGX6U988MCFIGDA1282F92U9AA" localSheetId="4" hidden="1">#REF!</definedName>
    <definedName name="BExGX6U988MCFIGDA1282F92U9AA" localSheetId="1" hidden="1">#REF!</definedName>
    <definedName name="BExGX6U988MCFIGDA1282F92U9AA" localSheetId="9" hidden="1">#REF!</definedName>
    <definedName name="BExGX6U988MCFIGDA1282F92U9AA" hidden="1">#REF!</definedName>
    <definedName name="BExGX7FTB1CKAT5HUW6H531FIY6I" localSheetId="56" hidden="1">#REF!</definedName>
    <definedName name="BExGX7FTB1CKAT5HUW6H531FIY6I" localSheetId="55" hidden="1">#REF!</definedName>
    <definedName name="BExGX7FTB1CKAT5HUW6H531FIY6I" localSheetId="4" hidden="1">#REF!</definedName>
    <definedName name="BExGX7FTB1CKAT5HUW6H531FIY6I" localSheetId="1" hidden="1">#REF!</definedName>
    <definedName name="BExGX7FTB1CKAT5HUW6H531FIY6I" localSheetId="9" hidden="1">#REF!</definedName>
    <definedName name="BExGX7FTB1CKAT5HUW6H531FIY6I" hidden="1">#REF!</definedName>
    <definedName name="BExGX9DVACJQIZ4GH6YAD2A7F70O" localSheetId="56" hidden="1">#REF!</definedName>
    <definedName name="BExGX9DVACJQIZ4GH6YAD2A7F70O" localSheetId="55" hidden="1">#REF!</definedName>
    <definedName name="BExGX9DVACJQIZ4GH6YAD2A7F70O" localSheetId="4" hidden="1">#REF!</definedName>
    <definedName name="BExGX9DVACJQIZ4GH6YAD2A7F70O" localSheetId="1" hidden="1">#REF!</definedName>
    <definedName name="BExGX9DVACJQIZ4GH6YAD2A7F70O" localSheetId="9" hidden="1">#REF!</definedName>
    <definedName name="BExGX9DVACJQIZ4GH6YAD2A7F70O" hidden="1">#REF!</definedName>
    <definedName name="BExGXCZBQISQ3IMF6DJH1OXNAQP8" localSheetId="56" hidden="1">#REF!</definedName>
    <definedName name="BExGXCZBQISQ3IMF6DJH1OXNAQP8" localSheetId="55" hidden="1">#REF!</definedName>
    <definedName name="BExGXCZBQISQ3IMF6DJH1OXNAQP8" localSheetId="4" hidden="1">#REF!</definedName>
    <definedName name="BExGXCZBQISQ3IMF6DJH1OXNAQP8" localSheetId="1" hidden="1">#REF!</definedName>
    <definedName name="BExGXCZBQISQ3IMF6DJH1OXNAQP8" localSheetId="9" hidden="1">#REF!</definedName>
    <definedName name="BExGXCZBQISQ3IMF6DJH1OXNAQP8" hidden="1">#REF!</definedName>
    <definedName name="BExGXDVP2S2Y8Z8Q43I78RCIK3DD" localSheetId="56" hidden="1">#REF!</definedName>
    <definedName name="BExGXDVP2S2Y8Z8Q43I78RCIK3DD" localSheetId="55" hidden="1">#REF!</definedName>
    <definedName name="BExGXDVP2S2Y8Z8Q43I78RCIK3DD" localSheetId="4" hidden="1">#REF!</definedName>
    <definedName name="BExGXDVP2S2Y8Z8Q43I78RCIK3DD" localSheetId="1" hidden="1">#REF!</definedName>
    <definedName name="BExGXDVP2S2Y8Z8Q43I78RCIK3DD" localSheetId="9" hidden="1">#REF!</definedName>
    <definedName name="BExGXDVP2S2Y8Z8Q43I78RCIK3DD" hidden="1">#REF!</definedName>
    <definedName name="BExGXJ9W5JU7TT9S0BKL5Y6VVB39" localSheetId="56" hidden="1">#REF!</definedName>
    <definedName name="BExGXJ9W5JU7TT9S0BKL5Y6VVB39" localSheetId="55" hidden="1">#REF!</definedName>
    <definedName name="BExGXJ9W5JU7TT9S0BKL5Y6VVB39" localSheetId="4" hidden="1">#REF!</definedName>
    <definedName name="BExGXJ9W5JU7TT9S0BKL5Y6VVB39" localSheetId="1" hidden="1">#REF!</definedName>
    <definedName name="BExGXJ9W5JU7TT9S0BKL5Y6VVB39" localSheetId="9" hidden="1">#REF!</definedName>
    <definedName name="BExGXJ9W5JU7TT9S0BKL5Y6VVB39" hidden="1">#REF!</definedName>
    <definedName name="BExGXWB73RJ4BASBQTQ8EY0EC1EB" localSheetId="56" hidden="1">#REF!</definedName>
    <definedName name="BExGXWB73RJ4BASBQTQ8EY0EC1EB" localSheetId="55" hidden="1">#REF!</definedName>
    <definedName name="BExGXWB73RJ4BASBQTQ8EY0EC1EB" localSheetId="4" hidden="1">#REF!</definedName>
    <definedName name="BExGXWB73RJ4BASBQTQ8EY0EC1EB" localSheetId="1" hidden="1">#REF!</definedName>
    <definedName name="BExGXWB73RJ4BASBQTQ8EY0EC1EB" localSheetId="9" hidden="1">#REF!</definedName>
    <definedName name="BExGXWB73RJ4BASBQTQ8EY0EC1EB" hidden="1">#REF!</definedName>
    <definedName name="BExGXZ0ABB43C7SMRKZHWOSU9EQX" localSheetId="56" hidden="1">#REF!</definedName>
    <definedName name="BExGXZ0ABB43C7SMRKZHWOSU9EQX" localSheetId="55" hidden="1">#REF!</definedName>
    <definedName name="BExGXZ0ABB43C7SMRKZHWOSU9EQX" localSheetId="4" hidden="1">#REF!</definedName>
    <definedName name="BExGXZ0ABB43C7SMRKZHWOSU9EQX" localSheetId="1" hidden="1">#REF!</definedName>
    <definedName name="BExGXZ0ABB43C7SMRKZHWOSU9EQX" localSheetId="9" hidden="1">#REF!</definedName>
    <definedName name="BExGXZ0ABB43C7SMRKZHWOSU9EQX" hidden="1">#REF!</definedName>
    <definedName name="BExGY6SU3SYVCJ3AG2ITY59SAZ5A" localSheetId="56" hidden="1">#REF!</definedName>
    <definedName name="BExGY6SU3SYVCJ3AG2ITY59SAZ5A" localSheetId="55" hidden="1">#REF!</definedName>
    <definedName name="BExGY6SU3SYVCJ3AG2ITY59SAZ5A" localSheetId="4" hidden="1">#REF!</definedName>
    <definedName name="BExGY6SU3SYVCJ3AG2ITY59SAZ5A" localSheetId="1" hidden="1">#REF!</definedName>
    <definedName name="BExGY6SU3SYVCJ3AG2ITY59SAZ5A" localSheetId="9" hidden="1">#REF!</definedName>
    <definedName name="BExGY6SU3SYVCJ3AG2ITY59SAZ5A" hidden="1">#REF!</definedName>
    <definedName name="BExGY6YA4P5KMY2VHT0DYK3YTFAX" localSheetId="56" hidden="1">#REF!</definedName>
    <definedName name="BExGY6YA4P5KMY2VHT0DYK3YTFAX" localSheetId="55" hidden="1">#REF!</definedName>
    <definedName name="BExGY6YA4P5KMY2VHT0DYK3YTFAX" localSheetId="4" hidden="1">#REF!</definedName>
    <definedName name="BExGY6YA4P5KMY2VHT0DYK3YTFAX" localSheetId="1" hidden="1">#REF!</definedName>
    <definedName name="BExGY6YA4P5KMY2VHT0DYK3YTFAX" localSheetId="9" hidden="1">#REF!</definedName>
    <definedName name="BExGY6YA4P5KMY2VHT0DYK3YTFAX" hidden="1">#REF!</definedName>
    <definedName name="BExGY8G88PVVRYHPHRPJZFSX6HSC" localSheetId="56" hidden="1">#REF!</definedName>
    <definedName name="BExGY8G88PVVRYHPHRPJZFSX6HSC" localSheetId="55" hidden="1">#REF!</definedName>
    <definedName name="BExGY8G88PVVRYHPHRPJZFSX6HSC" localSheetId="4" hidden="1">#REF!</definedName>
    <definedName name="BExGY8G88PVVRYHPHRPJZFSX6HSC" localSheetId="1" hidden="1">#REF!</definedName>
    <definedName name="BExGY8G88PVVRYHPHRPJZFSX6HSC" localSheetId="9" hidden="1">#REF!</definedName>
    <definedName name="BExGY8G88PVVRYHPHRPJZFSX6HSC" hidden="1">#REF!</definedName>
    <definedName name="BExGYC718HTZ80PNKYPVIYGRJVF6" localSheetId="56" hidden="1">#REF!</definedName>
    <definedName name="BExGYC718HTZ80PNKYPVIYGRJVF6" localSheetId="55" hidden="1">#REF!</definedName>
    <definedName name="BExGYC718HTZ80PNKYPVIYGRJVF6" localSheetId="4" hidden="1">#REF!</definedName>
    <definedName name="BExGYC718HTZ80PNKYPVIYGRJVF6" localSheetId="1" hidden="1">#REF!</definedName>
    <definedName name="BExGYC718HTZ80PNKYPVIYGRJVF6" localSheetId="9" hidden="1">#REF!</definedName>
    <definedName name="BExGYC718HTZ80PNKYPVIYGRJVF6" hidden="1">#REF!</definedName>
    <definedName name="BExGYCNATXZY2FID93B17YWIPPRD" localSheetId="56" hidden="1">#REF!</definedName>
    <definedName name="BExGYCNATXZY2FID93B17YWIPPRD" localSheetId="55" hidden="1">#REF!</definedName>
    <definedName name="BExGYCNATXZY2FID93B17YWIPPRD" localSheetId="4" hidden="1">#REF!</definedName>
    <definedName name="BExGYCNATXZY2FID93B17YWIPPRD" localSheetId="1" hidden="1">#REF!</definedName>
    <definedName name="BExGYCNATXZY2FID93B17YWIPPRD" localSheetId="9" hidden="1">#REF!</definedName>
    <definedName name="BExGYCNATXZY2FID93B17YWIPPRD" hidden="1">#REF!</definedName>
    <definedName name="BExGYGJJJ3BBCQAOA51WHP01HN73" localSheetId="56" hidden="1">#REF!</definedName>
    <definedName name="BExGYGJJJ3BBCQAOA51WHP01HN73" localSheetId="55" hidden="1">#REF!</definedName>
    <definedName name="BExGYGJJJ3BBCQAOA51WHP01HN73" localSheetId="4" hidden="1">#REF!</definedName>
    <definedName name="BExGYGJJJ3BBCQAOA51WHP01HN73" localSheetId="1" hidden="1">#REF!</definedName>
    <definedName name="BExGYGJJJ3BBCQAOA51WHP01HN73" localSheetId="9" hidden="1">#REF!</definedName>
    <definedName name="BExGYGJJJ3BBCQAOA51WHP01HN73" hidden="1">#REF!</definedName>
    <definedName name="BExGYOS6TV2C72PLRFU8RP1I58GY" localSheetId="56" hidden="1">#REF!</definedName>
    <definedName name="BExGYOS6TV2C72PLRFU8RP1I58GY" localSheetId="55" hidden="1">#REF!</definedName>
    <definedName name="BExGYOS6TV2C72PLRFU8RP1I58GY" localSheetId="4" hidden="1">#REF!</definedName>
    <definedName name="BExGYOS6TV2C72PLRFU8RP1I58GY" localSheetId="1" hidden="1">#REF!</definedName>
    <definedName name="BExGYOS6TV2C72PLRFU8RP1I58GY" localSheetId="9" hidden="1">#REF!</definedName>
    <definedName name="BExGYOS6TV2C72PLRFU8RP1I58GY" hidden="1">#REF!</definedName>
    <definedName name="BExGYXBM828PX0KPDVAZBWDL6MJZ" localSheetId="56" hidden="1">#REF!</definedName>
    <definedName name="BExGYXBM828PX0KPDVAZBWDL6MJZ" localSheetId="55" hidden="1">#REF!</definedName>
    <definedName name="BExGYXBM828PX0KPDVAZBWDL6MJZ" localSheetId="4" hidden="1">#REF!</definedName>
    <definedName name="BExGYXBM828PX0KPDVAZBWDL6MJZ" localSheetId="1" hidden="1">#REF!</definedName>
    <definedName name="BExGYXBM828PX0KPDVAZBWDL6MJZ" localSheetId="9" hidden="1">#REF!</definedName>
    <definedName name="BExGYXBM828PX0KPDVAZBWDL6MJZ" hidden="1">#REF!</definedName>
    <definedName name="BExGZJ78ZWZCVHZ3BKEKFJZ6MAEO" localSheetId="56" hidden="1">#REF!</definedName>
    <definedName name="BExGZJ78ZWZCVHZ3BKEKFJZ6MAEO" localSheetId="55" hidden="1">#REF!</definedName>
    <definedName name="BExGZJ78ZWZCVHZ3BKEKFJZ6MAEO" localSheetId="4" hidden="1">#REF!</definedName>
    <definedName name="BExGZJ78ZWZCVHZ3BKEKFJZ6MAEO" localSheetId="1" hidden="1">#REF!</definedName>
    <definedName name="BExGZJ78ZWZCVHZ3BKEKFJZ6MAEO" localSheetId="9" hidden="1">#REF!</definedName>
    <definedName name="BExGZJ78ZWZCVHZ3BKEKFJZ6MAEO" hidden="1">#REF!</definedName>
    <definedName name="BExGZOLH2QV73J3M9IWDDPA62TP4" localSheetId="56" hidden="1">#REF!</definedName>
    <definedName name="BExGZOLH2QV73J3M9IWDDPA62TP4" localSheetId="55" hidden="1">#REF!</definedName>
    <definedName name="BExGZOLH2QV73J3M9IWDDPA62TP4" localSheetId="4" hidden="1">#REF!</definedName>
    <definedName name="BExGZOLH2QV73J3M9IWDDPA62TP4" localSheetId="1" hidden="1">#REF!</definedName>
    <definedName name="BExGZOLH2QV73J3M9IWDDPA62TP4" localSheetId="9" hidden="1">#REF!</definedName>
    <definedName name="BExGZOLH2QV73J3M9IWDDPA62TP4" hidden="1">#REF!</definedName>
    <definedName name="BExGZP1PWGFKVVVN4YDIS22DZPCR" localSheetId="56" hidden="1">#REF!</definedName>
    <definedName name="BExGZP1PWGFKVVVN4YDIS22DZPCR" localSheetId="55" hidden="1">#REF!</definedName>
    <definedName name="BExGZP1PWGFKVVVN4YDIS22DZPCR" localSheetId="4" hidden="1">#REF!</definedName>
    <definedName name="BExGZP1PWGFKVVVN4YDIS22DZPCR" localSheetId="1" hidden="1">#REF!</definedName>
    <definedName name="BExGZP1PWGFKVVVN4YDIS22DZPCR" localSheetId="9" hidden="1">#REF!</definedName>
    <definedName name="BExGZP1PWGFKVVVN4YDIS22DZPCR" hidden="1">#REF!</definedName>
    <definedName name="BExGZQUHCPM6G5U9OM8JU339JAG6" localSheetId="56" hidden="1">#REF!</definedName>
    <definedName name="BExGZQUHCPM6G5U9OM8JU339JAG6" localSheetId="55" hidden="1">#REF!</definedName>
    <definedName name="BExGZQUHCPM6G5U9OM8JU339JAG6" localSheetId="4" hidden="1">#REF!</definedName>
    <definedName name="BExGZQUHCPM6G5U9OM8JU339JAG6" localSheetId="1" hidden="1">#REF!</definedName>
    <definedName name="BExGZQUHCPM6G5U9OM8JU339JAG6" localSheetId="9" hidden="1">#REF!</definedName>
    <definedName name="BExGZQUHCPM6G5U9OM8JU339JAG6" hidden="1">#REF!</definedName>
    <definedName name="BExH00FQKX09BD5WU4DB5KPXAUYA" localSheetId="56" hidden="1">#REF!</definedName>
    <definedName name="BExH00FQKX09BD5WU4DB5KPXAUYA" localSheetId="55" hidden="1">#REF!</definedName>
    <definedName name="BExH00FQKX09BD5WU4DB5KPXAUYA" localSheetId="4" hidden="1">#REF!</definedName>
    <definedName name="BExH00FQKX09BD5WU4DB5KPXAUYA" localSheetId="1" hidden="1">#REF!</definedName>
    <definedName name="BExH00FQKX09BD5WU4DB5KPXAUYA" localSheetId="9" hidden="1">#REF!</definedName>
    <definedName name="BExH00FQKX09BD5WU4DB5KPXAUYA" hidden="1">#REF!</definedName>
    <definedName name="BExH00L21GZX5YJJGVMOAWBERLP5" localSheetId="56" hidden="1">#REF!</definedName>
    <definedName name="BExH00L21GZX5YJJGVMOAWBERLP5" localSheetId="55" hidden="1">#REF!</definedName>
    <definedName name="BExH00L21GZX5YJJGVMOAWBERLP5" localSheetId="4" hidden="1">#REF!</definedName>
    <definedName name="BExH00L21GZX5YJJGVMOAWBERLP5" localSheetId="1" hidden="1">#REF!</definedName>
    <definedName name="BExH00L21GZX5YJJGVMOAWBERLP5" localSheetId="9" hidden="1">#REF!</definedName>
    <definedName name="BExH00L21GZX5YJJGVMOAWBERLP5" hidden="1">#REF!</definedName>
    <definedName name="BExH02ZD6VAY1KQLAQYBBI6WWIZB" localSheetId="56" hidden="1">#REF!</definedName>
    <definedName name="BExH02ZD6VAY1KQLAQYBBI6WWIZB" localSheetId="55" hidden="1">#REF!</definedName>
    <definedName name="BExH02ZD6VAY1KQLAQYBBI6WWIZB" localSheetId="4" hidden="1">#REF!</definedName>
    <definedName name="BExH02ZD6VAY1KQLAQYBBI6WWIZB" localSheetId="1" hidden="1">#REF!</definedName>
    <definedName name="BExH02ZD6VAY1KQLAQYBBI6WWIZB" localSheetId="9" hidden="1">#REF!</definedName>
    <definedName name="BExH02ZD6VAY1KQLAQYBBI6WWIZB" hidden="1">#REF!</definedName>
    <definedName name="BExH08Z6LQCGGSGSAILMHX4X7JMD" localSheetId="56" hidden="1">#REF!</definedName>
    <definedName name="BExH08Z6LQCGGSGSAILMHX4X7JMD" localSheetId="55" hidden="1">#REF!</definedName>
    <definedName name="BExH08Z6LQCGGSGSAILMHX4X7JMD" localSheetId="4" hidden="1">#REF!</definedName>
    <definedName name="BExH08Z6LQCGGSGSAILMHX4X7JMD" localSheetId="1" hidden="1">#REF!</definedName>
    <definedName name="BExH08Z6LQCGGSGSAILMHX4X7JMD" localSheetId="9" hidden="1">#REF!</definedName>
    <definedName name="BExH08Z6LQCGGSGSAILMHX4X7JMD" hidden="1">#REF!</definedName>
    <definedName name="BExH0KT9Z8HEVRRQRGQ8YHXRLIJA" localSheetId="56" hidden="1">#REF!</definedName>
    <definedName name="BExH0KT9Z8HEVRRQRGQ8YHXRLIJA" localSheetId="55" hidden="1">#REF!</definedName>
    <definedName name="BExH0KT9Z8HEVRRQRGQ8YHXRLIJA" localSheetId="4" hidden="1">#REF!</definedName>
    <definedName name="BExH0KT9Z8HEVRRQRGQ8YHXRLIJA" localSheetId="1" hidden="1">#REF!</definedName>
    <definedName name="BExH0KT9Z8HEVRRQRGQ8YHXRLIJA" localSheetId="9" hidden="1">#REF!</definedName>
    <definedName name="BExH0KT9Z8HEVRRQRGQ8YHXRLIJA" hidden="1">#REF!</definedName>
    <definedName name="BExH0M0FDN12YBOCKL3XL2Z7T7Y8" localSheetId="56" hidden="1">#REF!</definedName>
    <definedName name="BExH0M0FDN12YBOCKL3XL2Z7T7Y8" localSheetId="55" hidden="1">#REF!</definedName>
    <definedName name="BExH0M0FDN12YBOCKL3XL2Z7T7Y8" localSheetId="4" hidden="1">#REF!</definedName>
    <definedName name="BExH0M0FDN12YBOCKL3XL2Z7T7Y8" localSheetId="1" hidden="1">#REF!</definedName>
    <definedName name="BExH0M0FDN12YBOCKL3XL2Z7T7Y8" localSheetId="9" hidden="1">#REF!</definedName>
    <definedName name="BExH0M0FDN12YBOCKL3XL2Z7T7Y8" hidden="1">#REF!</definedName>
    <definedName name="BExH0O9G06YPZ5TN9RYT326I1CP2" localSheetId="56" hidden="1">#REF!</definedName>
    <definedName name="BExH0O9G06YPZ5TN9RYT326I1CP2" localSheetId="55" hidden="1">#REF!</definedName>
    <definedName name="BExH0O9G06YPZ5TN9RYT326I1CP2" localSheetId="4" hidden="1">#REF!</definedName>
    <definedName name="BExH0O9G06YPZ5TN9RYT326I1CP2" localSheetId="1" hidden="1">#REF!</definedName>
    <definedName name="BExH0O9G06YPZ5TN9RYT326I1CP2" localSheetId="9" hidden="1">#REF!</definedName>
    <definedName name="BExH0O9G06YPZ5TN9RYT326I1CP2" hidden="1">#REF!</definedName>
    <definedName name="BExH0PGM6RG0F3AAGULBIGOH91C2" localSheetId="56" hidden="1">#REF!</definedName>
    <definedName name="BExH0PGM6RG0F3AAGULBIGOH91C2" localSheetId="55" hidden="1">#REF!</definedName>
    <definedName name="BExH0PGM6RG0F3AAGULBIGOH91C2" localSheetId="4" hidden="1">#REF!</definedName>
    <definedName name="BExH0PGM6RG0F3AAGULBIGOH91C2" localSheetId="1" hidden="1">#REF!</definedName>
    <definedName name="BExH0PGM6RG0F3AAGULBIGOH91C2" localSheetId="9" hidden="1">#REF!</definedName>
    <definedName name="BExH0PGM6RG0F3AAGULBIGOH91C2" hidden="1">#REF!</definedName>
    <definedName name="BExH0QIB3F0YZLM5XYHBCU5F0OVR" localSheetId="56" hidden="1">#REF!</definedName>
    <definedName name="BExH0QIB3F0YZLM5XYHBCU5F0OVR" localSheetId="55" hidden="1">#REF!</definedName>
    <definedName name="BExH0QIB3F0YZLM5XYHBCU5F0OVR" localSheetId="4" hidden="1">#REF!</definedName>
    <definedName name="BExH0QIB3F0YZLM5XYHBCU5F0OVR" localSheetId="1" hidden="1">#REF!</definedName>
    <definedName name="BExH0QIB3F0YZLM5XYHBCU5F0OVR" localSheetId="9" hidden="1">#REF!</definedName>
    <definedName name="BExH0QIB3F0YZLM5XYHBCU5F0OVR" hidden="1">#REF!</definedName>
    <definedName name="BExH0RK5LJAAP7O67ZFB4RG6WPPL" localSheetId="56" hidden="1">#REF!</definedName>
    <definedName name="BExH0RK5LJAAP7O67ZFB4RG6WPPL" localSheetId="55" hidden="1">#REF!</definedName>
    <definedName name="BExH0RK5LJAAP7O67ZFB4RG6WPPL" localSheetId="4" hidden="1">#REF!</definedName>
    <definedName name="BExH0RK5LJAAP7O67ZFB4RG6WPPL" localSheetId="1" hidden="1">#REF!</definedName>
    <definedName name="BExH0RK5LJAAP7O67ZFB4RG6WPPL" localSheetId="9" hidden="1">#REF!</definedName>
    <definedName name="BExH0RK5LJAAP7O67ZFB4RG6WPPL" hidden="1">#REF!</definedName>
    <definedName name="BExH0WNJAKTJRCKMTX8O4KNMIIJM" localSheetId="56" hidden="1">#REF!</definedName>
    <definedName name="BExH0WNJAKTJRCKMTX8O4KNMIIJM" localSheetId="55" hidden="1">#REF!</definedName>
    <definedName name="BExH0WNJAKTJRCKMTX8O4KNMIIJM" localSheetId="4" hidden="1">#REF!</definedName>
    <definedName name="BExH0WNJAKTJRCKMTX8O4KNMIIJM" localSheetId="1" hidden="1">#REF!</definedName>
    <definedName name="BExH0WNJAKTJRCKMTX8O4KNMIIJM" localSheetId="9" hidden="1">#REF!</definedName>
    <definedName name="BExH0WNJAKTJRCKMTX8O4KNMIIJM" hidden="1">#REF!</definedName>
    <definedName name="BExH12Y4WX542WI3ZEM15AK4UM9J" localSheetId="56" hidden="1">#REF!</definedName>
    <definedName name="BExH12Y4WX542WI3ZEM15AK4UM9J" localSheetId="55" hidden="1">#REF!</definedName>
    <definedName name="BExH12Y4WX542WI3ZEM15AK4UM9J" localSheetId="4" hidden="1">#REF!</definedName>
    <definedName name="BExH12Y4WX542WI3ZEM15AK4UM9J" localSheetId="1" hidden="1">#REF!</definedName>
    <definedName name="BExH12Y4WX542WI3ZEM15AK4UM9J" localSheetId="9" hidden="1">#REF!</definedName>
    <definedName name="BExH12Y4WX542WI3ZEM15AK4UM9J" hidden="1">#REF!</definedName>
    <definedName name="BExH18CCU7B8JWO8AWGEQRLWZG6J" localSheetId="56" hidden="1">#REF!</definedName>
    <definedName name="BExH18CCU7B8JWO8AWGEQRLWZG6J" localSheetId="55" hidden="1">#REF!</definedName>
    <definedName name="BExH18CCU7B8JWO8AWGEQRLWZG6J" localSheetId="4" hidden="1">#REF!</definedName>
    <definedName name="BExH18CCU7B8JWO8AWGEQRLWZG6J" localSheetId="1" hidden="1">#REF!</definedName>
    <definedName name="BExH18CCU7B8JWO8AWGEQRLWZG6J" localSheetId="9" hidden="1">#REF!</definedName>
    <definedName name="BExH18CCU7B8JWO8AWGEQRLWZG6J" hidden="1">#REF!</definedName>
    <definedName name="BExH1BN2H92IQKKP5IREFSS9FBF2" localSheetId="56" hidden="1">#REF!</definedName>
    <definedName name="BExH1BN2H92IQKKP5IREFSS9FBF2" localSheetId="55" hidden="1">#REF!</definedName>
    <definedName name="BExH1BN2H92IQKKP5IREFSS9FBF2" localSheetId="4" hidden="1">#REF!</definedName>
    <definedName name="BExH1BN2H92IQKKP5IREFSS9FBF2" localSheetId="1" hidden="1">#REF!</definedName>
    <definedName name="BExH1BN2H92IQKKP5IREFSS9FBF2" localSheetId="9" hidden="1">#REF!</definedName>
    <definedName name="BExH1BN2H92IQKKP5IREFSS9FBF2" hidden="1">#REF!</definedName>
    <definedName name="BExH1FDTQXR9QQ31WDB7OPXU7MPT" localSheetId="56" hidden="1">#REF!</definedName>
    <definedName name="BExH1FDTQXR9QQ31WDB7OPXU7MPT" localSheetId="55" hidden="1">#REF!</definedName>
    <definedName name="BExH1FDTQXR9QQ31WDB7OPXU7MPT" localSheetId="4" hidden="1">#REF!</definedName>
    <definedName name="BExH1FDTQXR9QQ31WDB7OPXU7MPT" localSheetId="1" hidden="1">#REF!</definedName>
    <definedName name="BExH1FDTQXR9QQ31WDB7OPXU7MPT" localSheetId="9" hidden="1">#REF!</definedName>
    <definedName name="BExH1FDTQXR9QQ31WDB7OPXU7MPT" hidden="1">#REF!</definedName>
    <definedName name="BExH1FOMEUIJNIDJAUY0ZQFBJSY9" localSheetId="56" hidden="1">#REF!</definedName>
    <definedName name="BExH1FOMEUIJNIDJAUY0ZQFBJSY9" localSheetId="55" hidden="1">#REF!</definedName>
    <definedName name="BExH1FOMEUIJNIDJAUY0ZQFBJSY9" localSheetId="4" hidden="1">#REF!</definedName>
    <definedName name="BExH1FOMEUIJNIDJAUY0ZQFBJSY9" localSheetId="1" hidden="1">#REF!</definedName>
    <definedName name="BExH1FOMEUIJNIDJAUY0ZQFBJSY9" localSheetId="9" hidden="1">#REF!</definedName>
    <definedName name="BExH1FOMEUIJNIDJAUY0ZQFBJSY9" hidden="1">#REF!</definedName>
    <definedName name="BExH1GA6TT290OTIZ8C3N610CYZ1" localSheetId="56" hidden="1">#REF!</definedName>
    <definedName name="BExH1GA6TT290OTIZ8C3N610CYZ1" localSheetId="55" hidden="1">#REF!</definedName>
    <definedName name="BExH1GA6TT290OTIZ8C3N610CYZ1" localSheetId="4" hidden="1">#REF!</definedName>
    <definedName name="BExH1GA6TT290OTIZ8C3N610CYZ1" localSheetId="1" hidden="1">#REF!</definedName>
    <definedName name="BExH1GA6TT290OTIZ8C3N610CYZ1" localSheetId="9" hidden="1">#REF!</definedName>
    <definedName name="BExH1GA6TT290OTIZ8C3N610CYZ1" hidden="1">#REF!</definedName>
    <definedName name="BExH1I8E3HJSZLFRZZ1ZKX7TBJEP" localSheetId="56" hidden="1">#REF!</definedName>
    <definedName name="BExH1I8E3HJSZLFRZZ1ZKX7TBJEP" localSheetId="55" hidden="1">#REF!</definedName>
    <definedName name="BExH1I8E3HJSZLFRZZ1ZKX7TBJEP" localSheetId="4" hidden="1">#REF!</definedName>
    <definedName name="BExH1I8E3HJSZLFRZZ1ZKX7TBJEP" localSheetId="1" hidden="1">#REF!</definedName>
    <definedName name="BExH1I8E3HJSZLFRZZ1ZKX7TBJEP" localSheetId="9" hidden="1">#REF!</definedName>
    <definedName name="BExH1I8E3HJSZLFRZZ1ZKX7TBJEP" hidden="1">#REF!</definedName>
    <definedName name="BExH1JFFHEBFX9BWJMNIA3N66R3Z" localSheetId="56" hidden="1">#REF!</definedName>
    <definedName name="BExH1JFFHEBFX9BWJMNIA3N66R3Z" localSheetId="55" hidden="1">#REF!</definedName>
    <definedName name="BExH1JFFHEBFX9BWJMNIA3N66R3Z" localSheetId="4" hidden="1">#REF!</definedName>
    <definedName name="BExH1JFFHEBFX9BWJMNIA3N66R3Z" localSheetId="1" hidden="1">#REF!</definedName>
    <definedName name="BExH1JFFHEBFX9BWJMNIA3N66R3Z" localSheetId="9" hidden="1">#REF!</definedName>
    <definedName name="BExH1JFFHEBFX9BWJMNIA3N66R3Z" hidden="1">#REF!</definedName>
    <definedName name="BExH1XYRKX51T571O1SRBP9J1D98" localSheetId="56" hidden="1">#REF!</definedName>
    <definedName name="BExH1XYRKX51T571O1SRBP9J1D98" localSheetId="55" hidden="1">#REF!</definedName>
    <definedName name="BExH1XYRKX51T571O1SRBP9J1D98" localSheetId="4" hidden="1">#REF!</definedName>
    <definedName name="BExH1XYRKX51T571O1SRBP9J1D98" localSheetId="1" hidden="1">#REF!</definedName>
    <definedName name="BExH1XYRKX51T571O1SRBP9J1D98" localSheetId="9" hidden="1">#REF!</definedName>
    <definedName name="BExH1XYRKX51T571O1SRBP9J1D98" hidden="1">#REF!</definedName>
    <definedName name="BExH1Z0GIUSVTF2H1G1I3PDGBNK2" localSheetId="56" hidden="1">#REF!</definedName>
    <definedName name="BExH1Z0GIUSVTF2H1G1I3PDGBNK2" localSheetId="55" hidden="1">#REF!</definedName>
    <definedName name="BExH1Z0GIUSVTF2H1G1I3PDGBNK2" localSheetId="4" hidden="1">#REF!</definedName>
    <definedName name="BExH1Z0GIUSVTF2H1G1I3PDGBNK2" localSheetId="1" hidden="1">#REF!</definedName>
    <definedName name="BExH1Z0GIUSVTF2H1G1I3PDGBNK2" localSheetId="9" hidden="1">#REF!</definedName>
    <definedName name="BExH1Z0GIUSVTF2H1G1I3PDGBNK2" hidden="1">#REF!</definedName>
    <definedName name="BExH225UTM6S9FW4MUDZS7F1PQSH" localSheetId="56" hidden="1">#REF!</definedName>
    <definedName name="BExH225UTM6S9FW4MUDZS7F1PQSH" localSheetId="55" hidden="1">#REF!</definedName>
    <definedName name="BExH225UTM6S9FW4MUDZS7F1PQSH" localSheetId="4" hidden="1">#REF!</definedName>
    <definedName name="BExH225UTM6S9FW4MUDZS7F1PQSH" localSheetId="1" hidden="1">#REF!</definedName>
    <definedName name="BExH225UTM6S9FW4MUDZS7F1PQSH" localSheetId="9" hidden="1">#REF!</definedName>
    <definedName name="BExH225UTM6S9FW4MUDZS7F1PQSH" hidden="1">#REF!</definedName>
    <definedName name="BExH23271RF7AYZ542KHQTH68GQ7" localSheetId="56" hidden="1">#REF!</definedName>
    <definedName name="BExH23271RF7AYZ542KHQTH68GQ7" localSheetId="55" hidden="1">#REF!</definedName>
    <definedName name="BExH23271RF7AYZ542KHQTH68GQ7" localSheetId="4" hidden="1">#REF!</definedName>
    <definedName name="BExH23271RF7AYZ542KHQTH68GQ7" localSheetId="1" hidden="1">#REF!</definedName>
    <definedName name="BExH23271RF7AYZ542KHQTH68GQ7" localSheetId="9" hidden="1">#REF!</definedName>
    <definedName name="BExH23271RF7AYZ542KHQTH68GQ7" hidden="1">#REF!</definedName>
    <definedName name="BExH2DP58R7D1BGUFBM2FHESVRF0" localSheetId="56" hidden="1">#REF!</definedName>
    <definedName name="BExH2DP58R7D1BGUFBM2FHESVRF0" localSheetId="55" hidden="1">#REF!</definedName>
    <definedName name="BExH2DP58R7D1BGUFBM2FHESVRF0" localSheetId="4" hidden="1">#REF!</definedName>
    <definedName name="BExH2DP58R7D1BGUFBM2FHESVRF0" localSheetId="1" hidden="1">#REF!</definedName>
    <definedName name="BExH2DP58R7D1BGUFBM2FHESVRF0" localSheetId="9" hidden="1">#REF!</definedName>
    <definedName name="BExH2DP58R7D1BGUFBM2FHESVRF0" hidden="1">#REF!</definedName>
    <definedName name="BExH2GJQR4JALNB314RY0LDI49VH" localSheetId="56" hidden="1">#REF!</definedName>
    <definedName name="BExH2GJQR4JALNB314RY0LDI49VH" localSheetId="55" hidden="1">#REF!</definedName>
    <definedName name="BExH2GJQR4JALNB314RY0LDI49VH" localSheetId="4" hidden="1">#REF!</definedName>
    <definedName name="BExH2GJQR4JALNB314RY0LDI49VH" localSheetId="1" hidden="1">#REF!</definedName>
    <definedName name="BExH2GJQR4JALNB314RY0LDI49VH" localSheetId="9" hidden="1">#REF!</definedName>
    <definedName name="BExH2GJQR4JALNB314RY0LDI49VH" hidden="1">#REF!</definedName>
    <definedName name="BExH2JZR49T7644JFVE7B3N7RZM9" localSheetId="56" hidden="1">#REF!</definedName>
    <definedName name="BExH2JZR49T7644JFVE7B3N7RZM9" localSheetId="55" hidden="1">#REF!</definedName>
    <definedName name="BExH2JZR49T7644JFVE7B3N7RZM9" localSheetId="4" hidden="1">#REF!</definedName>
    <definedName name="BExH2JZR49T7644JFVE7B3N7RZM9" localSheetId="1" hidden="1">#REF!</definedName>
    <definedName name="BExH2JZR49T7644JFVE7B3N7RZM9" localSheetId="9" hidden="1">#REF!</definedName>
    <definedName name="BExH2JZR49T7644JFVE7B3N7RZM9" hidden="1">#REF!</definedName>
    <definedName name="BExH2QVWL3AXHSB9EK2GQRD0DBRH" localSheetId="56" hidden="1">#REF!</definedName>
    <definedName name="BExH2QVWL3AXHSB9EK2GQRD0DBRH" localSheetId="55" hidden="1">#REF!</definedName>
    <definedName name="BExH2QVWL3AXHSB9EK2GQRD0DBRH" localSheetId="4" hidden="1">#REF!</definedName>
    <definedName name="BExH2QVWL3AXHSB9EK2GQRD0DBRH" localSheetId="1" hidden="1">#REF!</definedName>
    <definedName name="BExH2QVWL3AXHSB9EK2GQRD0DBRH" localSheetId="9" hidden="1">#REF!</definedName>
    <definedName name="BExH2QVWL3AXHSB9EK2GQRD0DBRH" hidden="1">#REF!</definedName>
    <definedName name="BExH2WKXV8X5S2GSBBTWGI0NLNAH" localSheetId="56" hidden="1">#REF!</definedName>
    <definedName name="BExH2WKXV8X5S2GSBBTWGI0NLNAH" localSheetId="55" hidden="1">#REF!</definedName>
    <definedName name="BExH2WKXV8X5S2GSBBTWGI0NLNAH" localSheetId="4" hidden="1">#REF!</definedName>
    <definedName name="BExH2WKXV8X5S2GSBBTWGI0NLNAH" localSheetId="1" hidden="1">#REF!</definedName>
    <definedName name="BExH2WKXV8X5S2GSBBTWGI0NLNAH" localSheetId="9" hidden="1">#REF!</definedName>
    <definedName name="BExH2WKXV8X5S2GSBBTWGI0NLNAH" hidden="1">#REF!</definedName>
    <definedName name="BExH2XS1UFYFGU0S0EBXX90W2WE8" localSheetId="56" hidden="1">#REF!</definedName>
    <definedName name="BExH2XS1UFYFGU0S0EBXX90W2WE8" localSheetId="55" hidden="1">#REF!</definedName>
    <definedName name="BExH2XS1UFYFGU0S0EBXX90W2WE8" localSheetId="4" hidden="1">#REF!</definedName>
    <definedName name="BExH2XS1UFYFGU0S0EBXX90W2WE8" localSheetId="1" hidden="1">#REF!</definedName>
    <definedName name="BExH2XS1UFYFGU0S0EBXX90W2WE8" localSheetId="9" hidden="1">#REF!</definedName>
    <definedName name="BExH2XS1UFYFGU0S0EBXX90W2WE8" hidden="1">#REF!</definedName>
    <definedName name="BExH2XS1X04DMUN544K5RU4XPDCI" localSheetId="56" hidden="1">#REF!</definedName>
    <definedName name="BExH2XS1X04DMUN544K5RU4XPDCI" localSheetId="55" hidden="1">#REF!</definedName>
    <definedName name="BExH2XS1X04DMUN544K5RU4XPDCI" localSheetId="4" hidden="1">#REF!</definedName>
    <definedName name="BExH2XS1X04DMUN544K5RU4XPDCI" localSheetId="1" hidden="1">#REF!</definedName>
    <definedName name="BExH2XS1X04DMUN544K5RU4XPDCI" localSheetId="9" hidden="1">#REF!</definedName>
    <definedName name="BExH2XS1X04DMUN544K5RU4XPDCI" hidden="1">#REF!</definedName>
    <definedName name="BExH2XS2TND9SB0GC295R4FP6K5Y" localSheetId="56" hidden="1">#REF!</definedName>
    <definedName name="BExH2XS2TND9SB0GC295R4FP6K5Y" localSheetId="55" hidden="1">#REF!</definedName>
    <definedName name="BExH2XS2TND9SB0GC295R4FP6K5Y" localSheetId="4" hidden="1">#REF!</definedName>
    <definedName name="BExH2XS2TND9SB0GC295R4FP6K5Y" localSheetId="1" hidden="1">#REF!</definedName>
    <definedName name="BExH2XS2TND9SB0GC295R4FP6K5Y" localSheetId="9" hidden="1">#REF!</definedName>
    <definedName name="BExH2XS2TND9SB0GC295R4FP6K5Y" hidden="1">#REF!</definedName>
    <definedName name="BExH2ZA0SZ4SSITL50NA8LZ3OEX6" localSheetId="56" hidden="1">#REF!</definedName>
    <definedName name="BExH2ZA0SZ4SSITL50NA8LZ3OEX6" localSheetId="55" hidden="1">#REF!</definedName>
    <definedName name="BExH2ZA0SZ4SSITL50NA8LZ3OEX6" localSheetId="4" hidden="1">#REF!</definedName>
    <definedName name="BExH2ZA0SZ4SSITL50NA8LZ3OEX6" localSheetId="1" hidden="1">#REF!</definedName>
    <definedName name="BExH2ZA0SZ4SSITL50NA8LZ3OEX6" localSheetId="9" hidden="1">#REF!</definedName>
    <definedName name="BExH2ZA0SZ4SSITL50NA8LZ3OEX6" hidden="1">#REF!</definedName>
    <definedName name="BExH31Z3JNVJPESWKXHILGXZHP2M" localSheetId="56" hidden="1">#REF!</definedName>
    <definedName name="BExH31Z3JNVJPESWKXHILGXZHP2M" localSheetId="55" hidden="1">#REF!</definedName>
    <definedName name="BExH31Z3JNVJPESWKXHILGXZHP2M" localSheetId="4" hidden="1">#REF!</definedName>
    <definedName name="BExH31Z3JNVJPESWKXHILGXZHP2M" localSheetId="1" hidden="1">#REF!</definedName>
    <definedName name="BExH31Z3JNVJPESWKXHILGXZHP2M" localSheetId="9" hidden="1">#REF!</definedName>
    <definedName name="BExH31Z3JNVJPESWKXHILGXZHP2M" hidden="1">#REF!</definedName>
    <definedName name="BExH3E9HZ3QJCDZW7WI7YACFQCHE" localSheetId="56" hidden="1">#REF!</definedName>
    <definedName name="BExH3E9HZ3QJCDZW7WI7YACFQCHE" localSheetId="55" hidden="1">#REF!</definedName>
    <definedName name="BExH3E9HZ3QJCDZW7WI7YACFQCHE" localSheetId="4" hidden="1">#REF!</definedName>
    <definedName name="BExH3E9HZ3QJCDZW7WI7YACFQCHE" localSheetId="1" hidden="1">#REF!</definedName>
    <definedName name="BExH3E9HZ3QJCDZW7WI7YACFQCHE" localSheetId="9" hidden="1">#REF!</definedName>
    <definedName name="BExH3E9HZ3QJCDZW7WI7YACFQCHE" hidden="1">#REF!</definedName>
    <definedName name="BExH3IRB6764RQ5HBYRLH6XCT29X" localSheetId="56" hidden="1">#REF!</definedName>
    <definedName name="BExH3IRB6764RQ5HBYRLH6XCT29X" localSheetId="55" hidden="1">#REF!</definedName>
    <definedName name="BExH3IRB6764RQ5HBYRLH6XCT29X" localSheetId="4" hidden="1">#REF!</definedName>
    <definedName name="BExH3IRB6764RQ5HBYRLH6XCT29X" localSheetId="1" hidden="1">#REF!</definedName>
    <definedName name="BExH3IRB6764RQ5HBYRLH6XCT29X" localSheetId="9" hidden="1">#REF!</definedName>
    <definedName name="BExH3IRB6764RQ5HBYRLH6XCT29X" hidden="1">#REF!</definedName>
    <definedName name="BExIG2U8V6RSB47SXLCQG3Q68YRO" localSheetId="56" hidden="1">#REF!</definedName>
    <definedName name="BExIG2U8V6RSB47SXLCQG3Q68YRO" localSheetId="55" hidden="1">#REF!</definedName>
    <definedName name="BExIG2U8V6RSB47SXLCQG3Q68YRO" localSheetId="4" hidden="1">#REF!</definedName>
    <definedName name="BExIG2U8V6RSB47SXLCQG3Q68YRO" localSheetId="1" hidden="1">#REF!</definedName>
    <definedName name="BExIG2U8V6RSB47SXLCQG3Q68YRO" localSheetId="9" hidden="1">#REF!</definedName>
    <definedName name="BExIG2U8V6RSB47SXLCQG3Q68YRO" hidden="1">#REF!</definedName>
    <definedName name="BExIGJBO8R13LV7CZ7C1YCP974NN" localSheetId="56" hidden="1">#REF!</definedName>
    <definedName name="BExIGJBO8R13LV7CZ7C1YCP974NN" localSheetId="55" hidden="1">#REF!</definedName>
    <definedName name="BExIGJBO8R13LV7CZ7C1YCP974NN" localSheetId="4" hidden="1">#REF!</definedName>
    <definedName name="BExIGJBO8R13LV7CZ7C1YCP974NN" localSheetId="1" hidden="1">#REF!</definedName>
    <definedName name="BExIGJBO8R13LV7CZ7C1YCP974NN" localSheetId="9" hidden="1">#REF!</definedName>
    <definedName name="BExIGJBO8R13LV7CZ7C1YCP974NN" hidden="1">#REF!</definedName>
    <definedName name="BExIGWT86FPOEYTI8GXCGU5Y3KGK" localSheetId="56" hidden="1">#REF!</definedName>
    <definedName name="BExIGWT86FPOEYTI8GXCGU5Y3KGK" localSheetId="55" hidden="1">#REF!</definedName>
    <definedName name="BExIGWT86FPOEYTI8GXCGU5Y3KGK" localSheetId="4" hidden="1">#REF!</definedName>
    <definedName name="BExIGWT86FPOEYTI8GXCGU5Y3KGK" localSheetId="1" hidden="1">#REF!</definedName>
    <definedName name="BExIGWT86FPOEYTI8GXCGU5Y3KGK" localSheetId="9" hidden="1">#REF!</definedName>
    <definedName name="BExIGWT86FPOEYTI8GXCGU5Y3KGK" hidden="1">#REF!</definedName>
    <definedName name="BExIHBHXA7E7VUTBVHXXXCH3A5CL" localSheetId="56" hidden="1">#REF!</definedName>
    <definedName name="BExIHBHXA7E7VUTBVHXXXCH3A5CL" localSheetId="55" hidden="1">#REF!</definedName>
    <definedName name="BExIHBHXA7E7VUTBVHXXXCH3A5CL" localSheetId="4" hidden="1">#REF!</definedName>
    <definedName name="BExIHBHXA7E7VUTBVHXXXCH3A5CL" localSheetId="1" hidden="1">#REF!</definedName>
    <definedName name="BExIHBHXA7E7VUTBVHXXXCH3A5CL" localSheetId="9" hidden="1">#REF!</definedName>
    <definedName name="BExIHBHXA7E7VUTBVHXXXCH3A5CL" hidden="1">#REF!</definedName>
    <definedName name="BExIHBSOGRSH1GKS6GKBRAJ7GXFQ" localSheetId="56" hidden="1">#REF!</definedName>
    <definedName name="BExIHBSOGRSH1GKS6GKBRAJ7GXFQ" localSheetId="55" hidden="1">#REF!</definedName>
    <definedName name="BExIHBSOGRSH1GKS6GKBRAJ7GXFQ" localSheetId="4" hidden="1">#REF!</definedName>
    <definedName name="BExIHBSOGRSH1GKS6GKBRAJ7GXFQ" localSheetId="1" hidden="1">#REF!</definedName>
    <definedName name="BExIHBSOGRSH1GKS6GKBRAJ7GXFQ" localSheetId="9" hidden="1">#REF!</definedName>
    <definedName name="BExIHBSOGRSH1GKS6GKBRAJ7GXFQ" hidden="1">#REF!</definedName>
    <definedName name="BExIHDFY73YM0AHAR2Z5OJTFKSL2" localSheetId="56" hidden="1">#REF!</definedName>
    <definedName name="BExIHDFY73YM0AHAR2Z5OJTFKSL2" localSheetId="55" hidden="1">#REF!</definedName>
    <definedName name="BExIHDFY73YM0AHAR2Z5OJTFKSL2" localSheetId="4" hidden="1">#REF!</definedName>
    <definedName name="BExIHDFY73YM0AHAR2Z5OJTFKSL2" localSheetId="1" hidden="1">#REF!</definedName>
    <definedName name="BExIHDFY73YM0AHAR2Z5OJTFKSL2" localSheetId="9" hidden="1">#REF!</definedName>
    <definedName name="BExIHDFY73YM0AHAR2Z5OJTFKSL2" hidden="1">#REF!</definedName>
    <definedName name="BExIHPQCQTGEW8QOJVIQ4VX0P6DX" localSheetId="56" hidden="1">#REF!</definedName>
    <definedName name="BExIHPQCQTGEW8QOJVIQ4VX0P6DX" localSheetId="55" hidden="1">#REF!</definedName>
    <definedName name="BExIHPQCQTGEW8QOJVIQ4VX0P6DX" localSheetId="4" hidden="1">#REF!</definedName>
    <definedName name="BExIHPQCQTGEW8QOJVIQ4VX0P6DX" localSheetId="1" hidden="1">#REF!</definedName>
    <definedName name="BExIHPQCQTGEW8QOJVIQ4VX0P6DX" localSheetId="9" hidden="1">#REF!</definedName>
    <definedName name="BExIHPQCQTGEW8QOJVIQ4VX0P6DX" hidden="1">#REF!</definedName>
    <definedName name="BExII1KN91Q7DLW0UB7W2TJ5ACT9" localSheetId="56" hidden="1">#REF!</definedName>
    <definedName name="BExII1KN91Q7DLW0UB7W2TJ5ACT9" localSheetId="55" hidden="1">#REF!</definedName>
    <definedName name="BExII1KN91Q7DLW0UB7W2TJ5ACT9" localSheetId="4" hidden="1">#REF!</definedName>
    <definedName name="BExII1KN91Q7DLW0UB7W2TJ5ACT9" localSheetId="1" hidden="1">#REF!</definedName>
    <definedName name="BExII1KN91Q7DLW0UB7W2TJ5ACT9" localSheetId="9" hidden="1">#REF!</definedName>
    <definedName name="BExII1KN91Q7DLW0UB7W2TJ5ACT9" hidden="1">#REF!</definedName>
    <definedName name="BExII50LI8I0CDOOZEMIVHVA2V95" localSheetId="56" hidden="1">#REF!</definedName>
    <definedName name="BExII50LI8I0CDOOZEMIVHVA2V95" localSheetId="55" hidden="1">#REF!</definedName>
    <definedName name="BExII50LI8I0CDOOZEMIVHVA2V95" localSheetId="4" hidden="1">#REF!</definedName>
    <definedName name="BExII50LI8I0CDOOZEMIVHVA2V95" localSheetId="1" hidden="1">#REF!</definedName>
    <definedName name="BExII50LI8I0CDOOZEMIVHVA2V95" localSheetId="9" hidden="1">#REF!</definedName>
    <definedName name="BExII50LI8I0CDOOZEMIVHVA2V95" hidden="1">#REF!</definedName>
    <definedName name="BExIINQWABWRGYDT02DOJQ5L7BQF" localSheetId="56" hidden="1">#REF!</definedName>
    <definedName name="BExIINQWABWRGYDT02DOJQ5L7BQF" localSheetId="55" hidden="1">#REF!</definedName>
    <definedName name="BExIINQWABWRGYDT02DOJQ5L7BQF" localSheetId="4" hidden="1">#REF!</definedName>
    <definedName name="BExIINQWABWRGYDT02DOJQ5L7BQF" localSheetId="1" hidden="1">#REF!</definedName>
    <definedName name="BExIINQWABWRGYDT02DOJQ5L7BQF" localSheetId="9" hidden="1">#REF!</definedName>
    <definedName name="BExIINQWABWRGYDT02DOJQ5L7BQF" hidden="1">#REF!</definedName>
    <definedName name="BExIIXMY38TQD12CVV4S57L3I809" localSheetId="56" hidden="1">#REF!</definedName>
    <definedName name="BExIIXMY38TQD12CVV4S57L3I809" localSheetId="55" hidden="1">#REF!</definedName>
    <definedName name="BExIIXMY38TQD12CVV4S57L3I809" localSheetId="4" hidden="1">#REF!</definedName>
    <definedName name="BExIIXMY38TQD12CVV4S57L3I809" localSheetId="1" hidden="1">#REF!</definedName>
    <definedName name="BExIIXMY38TQD12CVV4S57L3I809" localSheetId="9" hidden="1">#REF!</definedName>
    <definedName name="BExIIXMY38TQD12CVV4S57L3I809" hidden="1">#REF!</definedName>
    <definedName name="BExIIY37NEVU2LGS1JE4VR9AN6W4" localSheetId="56" hidden="1">#REF!</definedName>
    <definedName name="BExIIY37NEVU2LGS1JE4VR9AN6W4" localSheetId="55" hidden="1">#REF!</definedName>
    <definedName name="BExIIY37NEVU2LGS1JE4VR9AN6W4" localSheetId="4" hidden="1">#REF!</definedName>
    <definedName name="BExIIY37NEVU2LGS1JE4VR9AN6W4" localSheetId="1" hidden="1">#REF!</definedName>
    <definedName name="BExIIY37NEVU2LGS1JE4VR9AN6W4" localSheetId="9" hidden="1">#REF!</definedName>
    <definedName name="BExIIY37NEVU2LGS1JE4VR9AN6W4" hidden="1">#REF!</definedName>
    <definedName name="BExIIYJAGXR8TPZ1KCYM7EGJ79UW" localSheetId="56" hidden="1">#REF!</definedName>
    <definedName name="BExIIYJAGXR8TPZ1KCYM7EGJ79UW" localSheetId="55" hidden="1">#REF!</definedName>
    <definedName name="BExIIYJAGXR8TPZ1KCYM7EGJ79UW" localSheetId="4" hidden="1">#REF!</definedName>
    <definedName name="BExIIYJAGXR8TPZ1KCYM7EGJ79UW" localSheetId="1" hidden="1">#REF!</definedName>
    <definedName name="BExIIYJAGXR8TPZ1KCYM7EGJ79UW" localSheetId="9" hidden="1">#REF!</definedName>
    <definedName name="BExIIYJAGXR8TPZ1KCYM7EGJ79UW" hidden="1">#REF!</definedName>
    <definedName name="BExIJ3160YCWGAVEU0208ZGXXG3P" localSheetId="56" hidden="1">#REF!</definedName>
    <definedName name="BExIJ3160YCWGAVEU0208ZGXXG3P" localSheetId="55" hidden="1">#REF!</definedName>
    <definedName name="BExIJ3160YCWGAVEU0208ZGXXG3P" localSheetId="4" hidden="1">#REF!</definedName>
    <definedName name="BExIJ3160YCWGAVEU0208ZGXXG3P" localSheetId="1" hidden="1">#REF!</definedName>
    <definedName name="BExIJ3160YCWGAVEU0208ZGXXG3P" localSheetId="9" hidden="1">#REF!</definedName>
    <definedName name="BExIJ3160YCWGAVEU0208ZGXXG3P" hidden="1">#REF!</definedName>
    <definedName name="BExIJFGZJ5ED9D6KAY4PGQYLELAX" localSheetId="56" hidden="1">#REF!</definedName>
    <definedName name="BExIJFGZJ5ED9D6KAY4PGQYLELAX" localSheetId="55" hidden="1">#REF!</definedName>
    <definedName name="BExIJFGZJ5ED9D6KAY4PGQYLELAX" localSheetId="4" hidden="1">#REF!</definedName>
    <definedName name="BExIJFGZJ5ED9D6KAY4PGQYLELAX" localSheetId="1" hidden="1">#REF!</definedName>
    <definedName name="BExIJFGZJ5ED9D6KAY4PGQYLELAX" localSheetId="9" hidden="1">#REF!</definedName>
    <definedName name="BExIJFGZJ5ED9D6KAY4PGQYLELAX" hidden="1">#REF!</definedName>
    <definedName name="BExIJQK80ZEKSTV62E59AYJYUNLI" localSheetId="56" hidden="1">#REF!</definedName>
    <definedName name="BExIJQK80ZEKSTV62E59AYJYUNLI" localSheetId="55" hidden="1">#REF!</definedName>
    <definedName name="BExIJQK80ZEKSTV62E59AYJYUNLI" localSheetId="4" hidden="1">#REF!</definedName>
    <definedName name="BExIJQK80ZEKSTV62E59AYJYUNLI" localSheetId="1" hidden="1">#REF!</definedName>
    <definedName name="BExIJQK80ZEKSTV62E59AYJYUNLI" localSheetId="9" hidden="1">#REF!</definedName>
    <definedName name="BExIJQK80ZEKSTV62E59AYJYUNLI" hidden="1">#REF!</definedName>
    <definedName name="BExIJRLX3M0YQLU1D5Y9V7HM5QNM" localSheetId="56" hidden="1">#REF!</definedName>
    <definedName name="BExIJRLX3M0YQLU1D5Y9V7HM5QNM" localSheetId="55" hidden="1">#REF!</definedName>
    <definedName name="BExIJRLX3M0YQLU1D5Y9V7HM5QNM" localSheetId="4" hidden="1">#REF!</definedName>
    <definedName name="BExIJRLX3M0YQLU1D5Y9V7HM5QNM" localSheetId="1" hidden="1">#REF!</definedName>
    <definedName name="BExIJRLX3M0YQLU1D5Y9V7HM5QNM" localSheetId="9" hidden="1">#REF!</definedName>
    <definedName name="BExIJRLX3M0YQLU1D5Y9V7HM5QNM" hidden="1">#REF!</definedName>
    <definedName name="BExIJV22J0QA7286KNPMHO1ZUCB3" localSheetId="56" hidden="1">#REF!</definedName>
    <definedName name="BExIJV22J0QA7286KNPMHO1ZUCB3" localSheetId="55" hidden="1">#REF!</definedName>
    <definedName name="BExIJV22J0QA7286KNPMHO1ZUCB3" localSheetId="4" hidden="1">#REF!</definedName>
    <definedName name="BExIJV22J0QA7286KNPMHO1ZUCB3" localSheetId="1" hidden="1">#REF!</definedName>
    <definedName name="BExIJV22J0QA7286KNPMHO1ZUCB3" localSheetId="9" hidden="1">#REF!</definedName>
    <definedName name="BExIJV22J0QA7286KNPMHO1ZUCB3" hidden="1">#REF!</definedName>
    <definedName name="BExIJVI6OC7B6ZE9V4PAOYZXKNER" localSheetId="56" hidden="1">#REF!</definedName>
    <definedName name="BExIJVI6OC7B6ZE9V4PAOYZXKNER" localSheetId="55" hidden="1">#REF!</definedName>
    <definedName name="BExIJVI6OC7B6ZE9V4PAOYZXKNER" localSheetId="4" hidden="1">#REF!</definedName>
    <definedName name="BExIJVI6OC7B6ZE9V4PAOYZXKNER" localSheetId="1" hidden="1">#REF!</definedName>
    <definedName name="BExIJVI6OC7B6ZE9V4PAOYZXKNER" localSheetId="9" hidden="1">#REF!</definedName>
    <definedName name="BExIJVI6OC7B6ZE9V4PAOYZXKNER" hidden="1">#REF!</definedName>
    <definedName name="BExIJWK0NGTGQ4X7D5VIVXD14JHI" localSheetId="56" hidden="1">#REF!</definedName>
    <definedName name="BExIJWK0NGTGQ4X7D5VIVXD14JHI" localSheetId="55" hidden="1">#REF!</definedName>
    <definedName name="BExIJWK0NGTGQ4X7D5VIVXD14JHI" localSheetId="4" hidden="1">#REF!</definedName>
    <definedName name="BExIJWK0NGTGQ4X7D5VIVXD14JHI" localSheetId="1" hidden="1">#REF!</definedName>
    <definedName name="BExIJWK0NGTGQ4X7D5VIVXD14JHI" localSheetId="9" hidden="1">#REF!</definedName>
    <definedName name="BExIJWK0NGTGQ4X7D5VIVXD14JHI" hidden="1">#REF!</definedName>
    <definedName name="BExIJWPCIYINEJUTXU74VK7WG031" localSheetId="56" hidden="1">#REF!</definedName>
    <definedName name="BExIJWPCIYINEJUTXU74VK7WG031" localSheetId="55" hidden="1">#REF!</definedName>
    <definedName name="BExIJWPCIYINEJUTXU74VK7WG031" localSheetId="4" hidden="1">#REF!</definedName>
    <definedName name="BExIJWPCIYINEJUTXU74VK7WG031" localSheetId="1" hidden="1">#REF!</definedName>
    <definedName name="BExIJWPCIYINEJUTXU74VK7WG031" localSheetId="9" hidden="1">#REF!</definedName>
    <definedName name="BExIJWPCIYINEJUTXU74VK7WG031" hidden="1">#REF!</definedName>
    <definedName name="BExIKHTXPZR5A8OHB6HDP6QWDHAD" localSheetId="56" hidden="1">#REF!</definedName>
    <definedName name="BExIKHTXPZR5A8OHB6HDP6QWDHAD" localSheetId="55" hidden="1">#REF!</definedName>
    <definedName name="BExIKHTXPZR5A8OHB6HDP6QWDHAD" localSheetId="4" hidden="1">#REF!</definedName>
    <definedName name="BExIKHTXPZR5A8OHB6HDP6QWDHAD" localSheetId="1" hidden="1">#REF!</definedName>
    <definedName name="BExIKHTXPZR5A8OHB6HDP6QWDHAD" localSheetId="9" hidden="1">#REF!</definedName>
    <definedName name="BExIKHTXPZR5A8OHB6HDP6QWDHAD" hidden="1">#REF!</definedName>
    <definedName name="BExIKMMJOETSAXJYY1SIKM58LMA2" localSheetId="56" hidden="1">#REF!</definedName>
    <definedName name="BExIKMMJOETSAXJYY1SIKM58LMA2" localSheetId="55" hidden="1">#REF!</definedName>
    <definedName name="BExIKMMJOETSAXJYY1SIKM58LMA2" localSheetId="4" hidden="1">#REF!</definedName>
    <definedName name="BExIKMMJOETSAXJYY1SIKM58LMA2" localSheetId="1" hidden="1">#REF!</definedName>
    <definedName name="BExIKMMJOETSAXJYY1SIKM58LMA2" localSheetId="9" hidden="1">#REF!</definedName>
    <definedName name="BExIKMMJOETSAXJYY1SIKM58LMA2" hidden="1">#REF!</definedName>
    <definedName name="BExIKRF6AQ6VOO9KCIWSM6FY8M7D" localSheetId="56" hidden="1">#REF!</definedName>
    <definedName name="BExIKRF6AQ6VOO9KCIWSM6FY8M7D" localSheetId="55" hidden="1">#REF!</definedName>
    <definedName name="BExIKRF6AQ6VOO9KCIWSM6FY8M7D" localSheetId="4" hidden="1">#REF!</definedName>
    <definedName name="BExIKRF6AQ6VOO9KCIWSM6FY8M7D" localSheetId="1" hidden="1">#REF!</definedName>
    <definedName name="BExIKRF6AQ6VOO9KCIWSM6FY8M7D" localSheetId="9" hidden="1">#REF!</definedName>
    <definedName name="BExIKRF6AQ6VOO9KCIWSM6FY8M7D" hidden="1">#REF!</definedName>
    <definedName name="BExIKTYZESFT3LC0ASFMFKSE0D1X" localSheetId="56" hidden="1">#REF!</definedName>
    <definedName name="BExIKTYZESFT3LC0ASFMFKSE0D1X" localSheetId="55" hidden="1">#REF!</definedName>
    <definedName name="BExIKTYZESFT3LC0ASFMFKSE0D1X" localSheetId="4" hidden="1">#REF!</definedName>
    <definedName name="BExIKTYZESFT3LC0ASFMFKSE0D1X" localSheetId="1" hidden="1">#REF!</definedName>
    <definedName name="BExIKTYZESFT3LC0ASFMFKSE0D1X" localSheetId="9" hidden="1">#REF!</definedName>
    <definedName name="BExIKTYZESFT3LC0ASFMFKSE0D1X" hidden="1">#REF!</definedName>
    <definedName name="BExIKXVA6M8K0PTRYAGXS666L335" localSheetId="56" hidden="1">#REF!</definedName>
    <definedName name="BExIKXVA6M8K0PTRYAGXS666L335" localSheetId="55" hidden="1">#REF!</definedName>
    <definedName name="BExIKXVA6M8K0PTRYAGXS666L335" localSheetId="4" hidden="1">#REF!</definedName>
    <definedName name="BExIKXVA6M8K0PTRYAGXS666L335" localSheetId="1" hidden="1">#REF!</definedName>
    <definedName name="BExIKXVA6M8K0PTRYAGXS666L335" localSheetId="9" hidden="1">#REF!</definedName>
    <definedName name="BExIKXVA6M8K0PTRYAGXS666L335" hidden="1">#REF!</definedName>
    <definedName name="BExIL0PMZ2SXK9R6MLP43KBU1J2P" localSheetId="56" hidden="1">#REF!</definedName>
    <definedName name="BExIL0PMZ2SXK9R6MLP43KBU1J2P" localSheetId="55" hidden="1">#REF!</definedName>
    <definedName name="BExIL0PMZ2SXK9R6MLP43KBU1J2P" localSheetId="4" hidden="1">#REF!</definedName>
    <definedName name="BExIL0PMZ2SXK9R6MLP43KBU1J2P" localSheetId="1" hidden="1">#REF!</definedName>
    <definedName name="BExIL0PMZ2SXK9R6MLP43KBU1J2P" localSheetId="9" hidden="1">#REF!</definedName>
    <definedName name="BExIL0PMZ2SXK9R6MLP43KBU1J2P" hidden="1">#REF!</definedName>
    <definedName name="BExIL1WSMNNQQK98YHWHV5HVONIZ" localSheetId="56" hidden="1">#REF!</definedName>
    <definedName name="BExIL1WSMNNQQK98YHWHV5HVONIZ" localSheetId="55" hidden="1">#REF!</definedName>
    <definedName name="BExIL1WSMNNQQK98YHWHV5HVONIZ" localSheetId="4" hidden="1">#REF!</definedName>
    <definedName name="BExIL1WSMNNQQK98YHWHV5HVONIZ" localSheetId="1" hidden="1">#REF!</definedName>
    <definedName name="BExIL1WSMNNQQK98YHWHV5HVONIZ" localSheetId="9" hidden="1">#REF!</definedName>
    <definedName name="BExIL1WSMNNQQK98YHWHV5HVONIZ" hidden="1">#REF!</definedName>
    <definedName name="BExILAAXRTRAD18K74M6MGUEEPUM" localSheetId="56" hidden="1">#REF!</definedName>
    <definedName name="BExILAAXRTRAD18K74M6MGUEEPUM" localSheetId="55" hidden="1">#REF!</definedName>
    <definedName name="BExILAAXRTRAD18K74M6MGUEEPUM" localSheetId="4" hidden="1">#REF!</definedName>
    <definedName name="BExILAAXRTRAD18K74M6MGUEEPUM" localSheetId="1" hidden="1">#REF!</definedName>
    <definedName name="BExILAAXRTRAD18K74M6MGUEEPUM" localSheetId="9" hidden="1">#REF!</definedName>
    <definedName name="BExILAAXRTRAD18K74M6MGUEEPUM" hidden="1">#REF!</definedName>
    <definedName name="BExILG5F338C0FFLMVOKMKF8X5ZP" localSheetId="56" hidden="1">#REF!</definedName>
    <definedName name="BExILG5F338C0FFLMVOKMKF8X5ZP" localSheetId="55" hidden="1">#REF!</definedName>
    <definedName name="BExILG5F338C0FFLMVOKMKF8X5ZP" localSheetId="4" hidden="1">#REF!</definedName>
    <definedName name="BExILG5F338C0FFLMVOKMKF8X5ZP" localSheetId="1" hidden="1">#REF!</definedName>
    <definedName name="BExILG5F338C0FFLMVOKMKF8X5ZP" localSheetId="9" hidden="1">#REF!</definedName>
    <definedName name="BExILG5F338C0FFLMVOKMKF8X5ZP" hidden="1">#REF!</definedName>
    <definedName name="BExILGQTQM0HOD0BJI90YO7GOIN3" localSheetId="56" hidden="1">#REF!</definedName>
    <definedName name="BExILGQTQM0HOD0BJI90YO7GOIN3" localSheetId="55" hidden="1">#REF!</definedName>
    <definedName name="BExILGQTQM0HOD0BJI90YO7GOIN3" localSheetId="4" hidden="1">#REF!</definedName>
    <definedName name="BExILGQTQM0HOD0BJI90YO7GOIN3" localSheetId="1" hidden="1">#REF!</definedName>
    <definedName name="BExILGQTQM0HOD0BJI90YO7GOIN3" localSheetId="9" hidden="1">#REF!</definedName>
    <definedName name="BExILGQTQM0HOD0BJI90YO7GOIN3" hidden="1">#REF!</definedName>
    <definedName name="BExILPL7P2BNCD7MYCGTQ9F0R5JX" localSheetId="56" hidden="1">#REF!</definedName>
    <definedName name="BExILPL7P2BNCD7MYCGTQ9F0R5JX" localSheetId="55" hidden="1">#REF!</definedName>
    <definedName name="BExILPL7P2BNCD7MYCGTQ9F0R5JX" localSheetId="4" hidden="1">#REF!</definedName>
    <definedName name="BExILPL7P2BNCD7MYCGTQ9F0R5JX" localSheetId="1" hidden="1">#REF!</definedName>
    <definedName name="BExILPL7P2BNCD7MYCGTQ9F0R5JX" localSheetId="9" hidden="1">#REF!</definedName>
    <definedName name="BExILPL7P2BNCD7MYCGTQ9F0R5JX" hidden="1">#REF!</definedName>
    <definedName name="BExILVVS4B1B4G7IO0LPUDWY9K8W" localSheetId="56" hidden="1">#REF!</definedName>
    <definedName name="BExILVVS4B1B4G7IO0LPUDWY9K8W" localSheetId="55" hidden="1">#REF!</definedName>
    <definedName name="BExILVVS4B1B4G7IO0LPUDWY9K8W" localSheetId="4" hidden="1">#REF!</definedName>
    <definedName name="BExILVVS4B1B4G7IO0LPUDWY9K8W" localSheetId="1" hidden="1">#REF!</definedName>
    <definedName name="BExILVVS4B1B4G7IO0LPUDWY9K8W" localSheetId="9" hidden="1">#REF!</definedName>
    <definedName name="BExILVVS4B1B4G7IO0LPUDWY9K8W" hidden="1">#REF!</definedName>
    <definedName name="BExIM9DBUB7ZGF4B20FVUO9QGOX2" localSheetId="56" hidden="1">#REF!</definedName>
    <definedName name="BExIM9DBUB7ZGF4B20FVUO9QGOX2" localSheetId="55" hidden="1">#REF!</definedName>
    <definedName name="BExIM9DBUB7ZGF4B20FVUO9QGOX2" localSheetId="4" hidden="1">#REF!</definedName>
    <definedName name="BExIM9DBUB7ZGF4B20FVUO9QGOX2" localSheetId="1" hidden="1">#REF!</definedName>
    <definedName name="BExIM9DBUB7ZGF4B20FVUO9QGOX2" localSheetId="9" hidden="1">#REF!</definedName>
    <definedName name="BExIM9DBUB7ZGF4B20FVUO9QGOX2" hidden="1">#REF!</definedName>
    <definedName name="BExIMCTBZ4WAESGCDWJ64SB4F0L1" localSheetId="56" hidden="1">#REF!</definedName>
    <definedName name="BExIMCTBZ4WAESGCDWJ64SB4F0L1" localSheetId="55" hidden="1">#REF!</definedName>
    <definedName name="BExIMCTBZ4WAESGCDWJ64SB4F0L1" localSheetId="4" hidden="1">#REF!</definedName>
    <definedName name="BExIMCTBZ4WAESGCDWJ64SB4F0L1" localSheetId="1" hidden="1">#REF!</definedName>
    <definedName name="BExIMCTBZ4WAESGCDWJ64SB4F0L1" localSheetId="9" hidden="1">#REF!</definedName>
    <definedName name="BExIMCTBZ4WAESGCDWJ64SB4F0L1" hidden="1">#REF!</definedName>
    <definedName name="BExIMGK9Z94TFPWWZFMD10HV0IF6" localSheetId="56" hidden="1">#REF!</definedName>
    <definedName name="BExIMGK9Z94TFPWWZFMD10HV0IF6" localSheetId="55" hidden="1">#REF!</definedName>
    <definedName name="BExIMGK9Z94TFPWWZFMD10HV0IF6" localSheetId="4" hidden="1">#REF!</definedName>
    <definedName name="BExIMGK9Z94TFPWWZFMD10HV0IF6" localSheetId="1" hidden="1">#REF!</definedName>
    <definedName name="BExIMGK9Z94TFPWWZFMD10HV0IF6" localSheetId="9" hidden="1">#REF!</definedName>
    <definedName name="BExIMGK9Z94TFPWWZFMD10HV0IF6" hidden="1">#REF!</definedName>
    <definedName name="BExIMPEGKG18TELVC33T4OQTNBWC" localSheetId="56" hidden="1">#REF!</definedName>
    <definedName name="BExIMPEGKG18TELVC33T4OQTNBWC" localSheetId="55" hidden="1">#REF!</definedName>
    <definedName name="BExIMPEGKG18TELVC33T4OQTNBWC" localSheetId="4" hidden="1">#REF!</definedName>
    <definedName name="BExIMPEGKG18TELVC33T4OQTNBWC" localSheetId="1" hidden="1">#REF!</definedName>
    <definedName name="BExIMPEGKG18TELVC33T4OQTNBWC" localSheetId="9" hidden="1">#REF!</definedName>
    <definedName name="BExIMPEGKG18TELVC33T4OQTNBWC" hidden="1">#REF!</definedName>
    <definedName name="BExIN4OR435DL1US13JQPOQK8GD5" localSheetId="56" hidden="1">#REF!</definedName>
    <definedName name="BExIN4OR435DL1US13JQPOQK8GD5" localSheetId="55" hidden="1">#REF!</definedName>
    <definedName name="BExIN4OR435DL1US13JQPOQK8GD5" localSheetId="4" hidden="1">#REF!</definedName>
    <definedName name="BExIN4OR435DL1US13JQPOQK8GD5" localSheetId="1" hidden="1">#REF!</definedName>
    <definedName name="BExIN4OR435DL1US13JQPOQK8GD5" localSheetId="9" hidden="1">#REF!</definedName>
    <definedName name="BExIN4OR435DL1US13JQPOQK8GD5" hidden="1">#REF!</definedName>
    <definedName name="BExINI6A7H3KSFRFA6UBBDPKW37F" localSheetId="56" hidden="1">#REF!</definedName>
    <definedName name="BExINI6A7H3KSFRFA6UBBDPKW37F" localSheetId="55" hidden="1">#REF!</definedName>
    <definedName name="BExINI6A7H3KSFRFA6UBBDPKW37F" localSheetId="4" hidden="1">#REF!</definedName>
    <definedName name="BExINI6A7H3KSFRFA6UBBDPKW37F" localSheetId="1" hidden="1">#REF!</definedName>
    <definedName name="BExINI6A7H3KSFRFA6UBBDPKW37F" localSheetId="9" hidden="1">#REF!</definedName>
    <definedName name="BExINI6A7H3KSFRFA6UBBDPKW37F" hidden="1">#REF!</definedName>
    <definedName name="BExINIMK8XC3JOBT2EXYFHHH52H0" localSheetId="56" hidden="1">#REF!</definedName>
    <definedName name="BExINIMK8XC3JOBT2EXYFHHH52H0" localSheetId="55" hidden="1">#REF!</definedName>
    <definedName name="BExINIMK8XC3JOBT2EXYFHHH52H0" localSheetId="4" hidden="1">#REF!</definedName>
    <definedName name="BExINIMK8XC3JOBT2EXYFHHH52H0" localSheetId="1" hidden="1">#REF!</definedName>
    <definedName name="BExINIMK8XC3JOBT2EXYFHHH52H0" localSheetId="9" hidden="1">#REF!</definedName>
    <definedName name="BExINIMK8XC3JOBT2EXYFHHH52H0" hidden="1">#REF!</definedName>
    <definedName name="BExINLX401ZKEGWU168DS4JUM2J6" localSheetId="56" hidden="1">#REF!</definedName>
    <definedName name="BExINLX401ZKEGWU168DS4JUM2J6" localSheetId="55" hidden="1">#REF!</definedName>
    <definedName name="BExINLX401ZKEGWU168DS4JUM2J6" localSheetId="4" hidden="1">#REF!</definedName>
    <definedName name="BExINLX401ZKEGWU168DS4JUM2J6" localSheetId="1" hidden="1">#REF!</definedName>
    <definedName name="BExINLX401ZKEGWU168DS4JUM2J6" localSheetId="9" hidden="1">#REF!</definedName>
    <definedName name="BExINLX401ZKEGWU168DS4JUM2J6" hidden="1">#REF!</definedName>
    <definedName name="BExINMYYJO1FTV1CZF6O5XCFAMQX" localSheetId="56" hidden="1">#REF!</definedName>
    <definedName name="BExINMYYJO1FTV1CZF6O5XCFAMQX" localSheetId="55" hidden="1">#REF!</definedName>
    <definedName name="BExINMYYJO1FTV1CZF6O5XCFAMQX" localSheetId="4" hidden="1">#REF!</definedName>
    <definedName name="BExINMYYJO1FTV1CZF6O5XCFAMQX" localSheetId="1" hidden="1">#REF!</definedName>
    <definedName name="BExINMYYJO1FTV1CZF6O5XCFAMQX" localSheetId="9" hidden="1">#REF!</definedName>
    <definedName name="BExINMYYJO1FTV1CZF6O5XCFAMQX" hidden="1">#REF!</definedName>
    <definedName name="BExINP2H4KI05FRFV5PKZFE00HKO" localSheetId="56" hidden="1">#REF!</definedName>
    <definedName name="BExINP2H4KI05FRFV5PKZFE00HKO" localSheetId="55" hidden="1">#REF!</definedName>
    <definedName name="BExINP2H4KI05FRFV5PKZFE00HKO" localSheetId="4" hidden="1">#REF!</definedName>
    <definedName name="BExINP2H4KI05FRFV5PKZFE00HKO" localSheetId="1" hidden="1">#REF!</definedName>
    <definedName name="BExINP2H4KI05FRFV5PKZFE00HKO" localSheetId="9" hidden="1">#REF!</definedName>
    <definedName name="BExINP2H4KI05FRFV5PKZFE00HKO" hidden="1">#REF!</definedName>
    <definedName name="BExINPTCEJ9RPDEBJEJH80NATGUQ" localSheetId="56" hidden="1">#REF!</definedName>
    <definedName name="BExINPTCEJ9RPDEBJEJH80NATGUQ" localSheetId="55" hidden="1">#REF!</definedName>
    <definedName name="BExINPTCEJ9RPDEBJEJH80NATGUQ" localSheetId="4" hidden="1">#REF!</definedName>
    <definedName name="BExINPTCEJ9RPDEBJEJH80NATGUQ" localSheetId="1" hidden="1">#REF!</definedName>
    <definedName name="BExINPTCEJ9RPDEBJEJH80NATGUQ" localSheetId="9" hidden="1">#REF!</definedName>
    <definedName name="BExINPTCEJ9RPDEBJEJH80NATGUQ" hidden="1">#REF!</definedName>
    <definedName name="BExINWEQMNJ70A6JRXC2LACBX1GX" localSheetId="56" hidden="1">#REF!</definedName>
    <definedName name="BExINWEQMNJ70A6JRXC2LACBX1GX" localSheetId="55" hidden="1">#REF!</definedName>
    <definedName name="BExINWEQMNJ70A6JRXC2LACBX1GX" localSheetId="4" hidden="1">#REF!</definedName>
    <definedName name="BExINWEQMNJ70A6JRXC2LACBX1GX" localSheetId="1" hidden="1">#REF!</definedName>
    <definedName name="BExINWEQMNJ70A6JRXC2LACBX1GX" localSheetId="9" hidden="1">#REF!</definedName>
    <definedName name="BExINWEQMNJ70A6JRXC2LACBX1GX" hidden="1">#REF!</definedName>
    <definedName name="BExINZELVWYGU876QUUZCIMXPBQC" localSheetId="56" hidden="1">#REF!</definedName>
    <definedName name="BExINZELVWYGU876QUUZCIMXPBQC" localSheetId="55" hidden="1">#REF!</definedName>
    <definedName name="BExINZELVWYGU876QUUZCIMXPBQC" localSheetId="4" hidden="1">#REF!</definedName>
    <definedName name="BExINZELVWYGU876QUUZCIMXPBQC" localSheetId="1" hidden="1">#REF!</definedName>
    <definedName name="BExINZELVWYGU876QUUZCIMXPBQC" localSheetId="9" hidden="1">#REF!</definedName>
    <definedName name="BExINZELVWYGU876QUUZCIMXPBQC" hidden="1">#REF!</definedName>
    <definedName name="BExIO9QZ59ZHRA8SX6QICH2AY8A2" localSheetId="56" hidden="1">#REF!</definedName>
    <definedName name="BExIO9QZ59ZHRA8SX6QICH2AY8A2" localSheetId="55" hidden="1">#REF!</definedName>
    <definedName name="BExIO9QZ59ZHRA8SX6QICH2AY8A2" localSheetId="4" hidden="1">#REF!</definedName>
    <definedName name="BExIO9QZ59ZHRA8SX6QICH2AY8A2" localSheetId="1" hidden="1">#REF!</definedName>
    <definedName name="BExIO9QZ59ZHRA8SX6QICH2AY8A2" localSheetId="9" hidden="1">#REF!</definedName>
    <definedName name="BExIO9QZ59ZHRA8SX6QICH2AY8A2" hidden="1">#REF!</definedName>
    <definedName name="BExIOAHV525SMMGFDJFE7456JPBD" localSheetId="56" hidden="1">#REF!</definedName>
    <definedName name="BExIOAHV525SMMGFDJFE7456JPBD" localSheetId="55" hidden="1">#REF!</definedName>
    <definedName name="BExIOAHV525SMMGFDJFE7456JPBD" localSheetId="4" hidden="1">#REF!</definedName>
    <definedName name="BExIOAHV525SMMGFDJFE7456JPBD" localSheetId="1" hidden="1">#REF!</definedName>
    <definedName name="BExIOAHV525SMMGFDJFE7456JPBD" localSheetId="9" hidden="1">#REF!</definedName>
    <definedName name="BExIOAHV525SMMGFDJFE7456JPBD" hidden="1">#REF!</definedName>
    <definedName name="BExIOCQUQHKUU1KONGSDOLQTQEIC" localSheetId="56" hidden="1">#REF!</definedName>
    <definedName name="BExIOCQUQHKUU1KONGSDOLQTQEIC" localSheetId="55" hidden="1">#REF!</definedName>
    <definedName name="BExIOCQUQHKUU1KONGSDOLQTQEIC" localSheetId="4" hidden="1">#REF!</definedName>
    <definedName name="BExIOCQUQHKUU1KONGSDOLQTQEIC" localSheetId="1" hidden="1">#REF!</definedName>
    <definedName name="BExIOCQUQHKUU1KONGSDOLQTQEIC" localSheetId="9" hidden="1">#REF!</definedName>
    <definedName name="BExIOCQUQHKUU1KONGSDOLQTQEIC" hidden="1">#REF!</definedName>
    <definedName name="BExIOFAGCDQQKALMX3V0KU94KUQO" localSheetId="56" hidden="1">#REF!</definedName>
    <definedName name="BExIOFAGCDQQKALMX3V0KU94KUQO" localSheetId="55" hidden="1">#REF!</definedName>
    <definedName name="BExIOFAGCDQQKALMX3V0KU94KUQO" localSheetId="4" hidden="1">#REF!</definedName>
    <definedName name="BExIOFAGCDQQKALMX3V0KU94KUQO" localSheetId="1" hidden="1">#REF!</definedName>
    <definedName name="BExIOFAGCDQQKALMX3V0KU94KUQO" localSheetId="9" hidden="1">#REF!</definedName>
    <definedName name="BExIOFAGCDQQKALMX3V0KU94KUQO" hidden="1">#REF!</definedName>
    <definedName name="BExIOFL8Y5O61VLKTB4H20IJNWS1" localSheetId="56" hidden="1">#REF!</definedName>
    <definedName name="BExIOFL8Y5O61VLKTB4H20IJNWS1" localSheetId="55" hidden="1">#REF!</definedName>
    <definedName name="BExIOFL8Y5O61VLKTB4H20IJNWS1" localSheetId="4" hidden="1">#REF!</definedName>
    <definedName name="BExIOFL8Y5O61VLKTB4H20IJNWS1" localSheetId="1" hidden="1">#REF!</definedName>
    <definedName name="BExIOFL8Y5O61VLKTB4H20IJNWS1" localSheetId="9" hidden="1">#REF!</definedName>
    <definedName name="BExIOFL8Y5O61VLKTB4H20IJNWS1" hidden="1">#REF!</definedName>
    <definedName name="BExIOMBXRW5NS4ZPYX9G5QREZ5J6" localSheetId="56" hidden="1">#REF!</definedName>
    <definedName name="BExIOMBXRW5NS4ZPYX9G5QREZ5J6" localSheetId="55" hidden="1">#REF!</definedName>
    <definedName name="BExIOMBXRW5NS4ZPYX9G5QREZ5J6" localSheetId="4" hidden="1">#REF!</definedName>
    <definedName name="BExIOMBXRW5NS4ZPYX9G5QREZ5J6" localSheetId="1" hidden="1">#REF!</definedName>
    <definedName name="BExIOMBXRW5NS4ZPYX9G5QREZ5J6" localSheetId="9" hidden="1">#REF!</definedName>
    <definedName name="BExIOMBXRW5NS4ZPYX9G5QREZ5J6" hidden="1">#REF!</definedName>
    <definedName name="BExIORA3GK78T7C7SNBJJUONJ0LS" localSheetId="56" hidden="1">#REF!</definedName>
    <definedName name="BExIORA3GK78T7C7SNBJJUONJ0LS" localSheetId="55" hidden="1">#REF!</definedName>
    <definedName name="BExIORA3GK78T7C7SNBJJUONJ0LS" localSheetId="4" hidden="1">#REF!</definedName>
    <definedName name="BExIORA3GK78T7C7SNBJJUONJ0LS" localSheetId="1" hidden="1">#REF!</definedName>
    <definedName name="BExIORA3GK78T7C7SNBJJUONJ0LS" localSheetId="9" hidden="1">#REF!</definedName>
    <definedName name="BExIORA3GK78T7C7SNBJJUONJ0LS" hidden="1">#REF!</definedName>
    <definedName name="BExIORFDXP4AVIEBLSTZ8ETSXMNM" localSheetId="56" hidden="1">#REF!</definedName>
    <definedName name="BExIORFDXP4AVIEBLSTZ8ETSXMNM" localSheetId="55" hidden="1">#REF!</definedName>
    <definedName name="BExIORFDXP4AVIEBLSTZ8ETSXMNM" localSheetId="4" hidden="1">#REF!</definedName>
    <definedName name="BExIORFDXP4AVIEBLSTZ8ETSXMNM" localSheetId="1" hidden="1">#REF!</definedName>
    <definedName name="BExIORFDXP4AVIEBLSTZ8ETSXMNM" localSheetId="9" hidden="1">#REF!</definedName>
    <definedName name="BExIORFDXP4AVIEBLSTZ8ETSXMNM" hidden="1">#REF!</definedName>
    <definedName name="BExIOTZ5EFZ2NASVQ05RH15HRSW6" localSheetId="56" hidden="1">#REF!</definedName>
    <definedName name="BExIOTZ5EFZ2NASVQ05RH15HRSW6" localSheetId="55" hidden="1">#REF!</definedName>
    <definedName name="BExIOTZ5EFZ2NASVQ05RH15HRSW6" localSheetId="4" hidden="1">#REF!</definedName>
    <definedName name="BExIOTZ5EFZ2NASVQ05RH15HRSW6" localSheetId="1" hidden="1">#REF!</definedName>
    <definedName name="BExIOTZ5EFZ2NASVQ05RH15HRSW6" localSheetId="9" hidden="1">#REF!</definedName>
    <definedName name="BExIOTZ5EFZ2NASVQ05RH15HRSW6" hidden="1">#REF!</definedName>
    <definedName name="BExIP8YNN6UUE1GZ223SWH7DLGKO" localSheetId="56" hidden="1">#REF!</definedName>
    <definedName name="BExIP8YNN6UUE1GZ223SWH7DLGKO" localSheetId="55" hidden="1">#REF!</definedName>
    <definedName name="BExIP8YNN6UUE1GZ223SWH7DLGKO" localSheetId="4" hidden="1">#REF!</definedName>
    <definedName name="BExIP8YNN6UUE1GZ223SWH7DLGKO" localSheetId="1" hidden="1">#REF!</definedName>
    <definedName name="BExIP8YNN6UUE1GZ223SWH7DLGKO" localSheetId="9" hidden="1">#REF!</definedName>
    <definedName name="BExIP8YNN6UUE1GZ223SWH7DLGKO" hidden="1">#REF!</definedName>
    <definedName name="BExIPAB4AOL592OJCC1CFAXTLF1A" localSheetId="56" hidden="1">#REF!</definedName>
    <definedName name="BExIPAB4AOL592OJCC1CFAXTLF1A" localSheetId="55" hidden="1">#REF!</definedName>
    <definedName name="BExIPAB4AOL592OJCC1CFAXTLF1A" localSheetId="4" hidden="1">#REF!</definedName>
    <definedName name="BExIPAB4AOL592OJCC1CFAXTLF1A" localSheetId="1" hidden="1">#REF!</definedName>
    <definedName name="BExIPAB4AOL592OJCC1CFAXTLF1A" localSheetId="9" hidden="1">#REF!</definedName>
    <definedName name="BExIPAB4AOL592OJCC1CFAXTLF1A" hidden="1">#REF!</definedName>
    <definedName name="BExIPB25DKX4S2ZCKQN7KWSC3JBF" localSheetId="56" hidden="1">#REF!</definedName>
    <definedName name="BExIPB25DKX4S2ZCKQN7KWSC3JBF" localSheetId="55" hidden="1">#REF!</definedName>
    <definedName name="BExIPB25DKX4S2ZCKQN7KWSC3JBF" localSheetId="4" hidden="1">#REF!</definedName>
    <definedName name="BExIPB25DKX4S2ZCKQN7KWSC3JBF" localSheetId="1" hidden="1">#REF!</definedName>
    <definedName name="BExIPB25DKX4S2ZCKQN7KWSC3JBF" localSheetId="9" hidden="1">#REF!</definedName>
    <definedName name="BExIPB25DKX4S2ZCKQN7KWSC3JBF" hidden="1">#REF!</definedName>
    <definedName name="BExIPCUX4I4S2N50TLMMLALYLH9S" localSheetId="56" hidden="1">#REF!</definedName>
    <definedName name="BExIPCUX4I4S2N50TLMMLALYLH9S" localSheetId="55" hidden="1">#REF!</definedName>
    <definedName name="BExIPCUX4I4S2N50TLMMLALYLH9S" localSheetId="4" hidden="1">#REF!</definedName>
    <definedName name="BExIPCUX4I4S2N50TLMMLALYLH9S" localSheetId="1" hidden="1">#REF!</definedName>
    <definedName name="BExIPCUX4I4S2N50TLMMLALYLH9S" localSheetId="9" hidden="1">#REF!</definedName>
    <definedName name="BExIPCUX4I4S2N50TLMMLALYLH9S" hidden="1">#REF!</definedName>
    <definedName name="BExIPDLT8JYAMGE5HTN4D1YHZF3V" localSheetId="56" hidden="1">#REF!</definedName>
    <definedName name="BExIPDLT8JYAMGE5HTN4D1YHZF3V" localSheetId="55" hidden="1">#REF!</definedName>
    <definedName name="BExIPDLT8JYAMGE5HTN4D1YHZF3V" localSheetId="4" hidden="1">#REF!</definedName>
    <definedName name="BExIPDLT8JYAMGE5HTN4D1YHZF3V" localSheetId="1" hidden="1">#REF!</definedName>
    <definedName name="BExIPDLT8JYAMGE5HTN4D1YHZF3V" localSheetId="9" hidden="1">#REF!</definedName>
    <definedName name="BExIPDLT8JYAMGE5HTN4D1YHZF3V" hidden="1">#REF!</definedName>
    <definedName name="BExIPG040Q08EWIWL6CAVR3GRI43" localSheetId="56" hidden="1">#REF!</definedName>
    <definedName name="BExIPG040Q08EWIWL6CAVR3GRI43" localSheetId="55" hidden="1">#REF!</definedName>
    <definedName name="BExIPG040Q08EWIWL6CAVR3GRI43" localSheetId="4" hidden="1">#REF!</definedName>
    <definedName name="BExIPG040Q08EWIWL6CAVR3GRI43" localSheetId="1" hidden="1">#REF!</definedName>
    <definedName name="BExIPG040Q08EWIWL6CAVR3GRI43" localSheetId="9" hidden="1">#REF!</definedName>
    <definedName name="BExIPG040Q08EWIWL6CAVR3GRI43" hidden="1">#REF!</definedName>
    <definedName name="BExIPKNFUDPDKOSH5GHDVNA8D66S" localSheetId="56" hidden="1">#REF!</definedName>
    <definedName name="BExIPKNFUDPDKOSH5GHDVNA8D66S" localSheetId="55" hidden="1">#REF!</definedName>
    <definedName name="BExIPKNFUDPDKOSH5GHDVNA8D66S" localSheetId="4" hidden="1">#REF!</definedName>
    <definedName name="BExIPKNFUDPDKOSH5GHDVNA8D66S" localSheetId="1" hidden="1">#REF!</definedName>
    <definedName name="BExIPKNFUDPDKOSH5GHDVNA8D66S" localSheetId="9" hidden="1">#REF!</definedName>
    <definedName name="BExIPKNFUDPDKOSH5GHDVNA8D66S" hidden="1">#REF!</definedName>
    <definedName name="BExIQ1VS9A2FHVD9TUHKG9K8EVVP" localSheetId="56" hidden="1">#REF!</definedName>
    <definedName name="BExIQ1VS9A2FHVD9TUHKG9K8EVVP" localSheetId="55" hidden="1">#REF!</definedName>
    <definedName name="BExIQ1VS9A2FHVD9TUHKG9K8EVVP" localSheetId="4" hidden="1">#REF!</definedName>
    <definedName name="BExIQ1VS9A2FHVD9TUHKG9K8EVVP" localSheetId="1" hidden="1">#REF!</definedName>
    <definedName name="BExIQ1VS9A2FHVD9TUHKG9K8EVVP" localSheetId="9" hidden="1">#REF!</definedName>
    <definedName name="BExIQ1VS9A2FHVD9TUHKG9K8EVVP" hidden="1">#REF!</definedName>
    <definedName name="BExIQ3J19L30PSQ2CXNT6IHW0I7V" localSheetId="56" hidden="1">#REF!</definedName>
    <definedName name="BExIQ3J19L30PSQ2CXNT6IHW0I7V" localSheetId="55" hidden="1">#REF!</definedName>
    <definedName name="BExIQ3J19L30PSQ2CXNT6IHW0I7V" localSheetId="4" hidden="1">#REF!</definedName>
    <definedName name="BExIQ3J19L30PSQ2CXNT6IHW0I7V" localSheetId="1" hidden="1">#REF!</definedName>
    <definedName name="BExIQ3J19L30PSQ2CXNT6IHW0I7V" localSheetId="9" hidden="1">#REF!</definedName>
    <definedName name="BExIQ3J19L30PSQ2CXNT6IHW0I7V" hidden="1">#REF!</definedName>
    <definedName name="BExIQ3OJ7M04XCY276IO0LJA5XUK" localSheetId="56" hidden="1">#REF!</definedName>
    <definedName name="BExIQ3OJ7M04XCY276IO0LJA5XUK" localSheetId="55" hidden="1">#REF!</definedName>
    <definedName name="BExIQ3OJ7M04XCY276IO0LJA5XUK" localSheetId="4" hidden="1">#REF!</definedName>
    <definedName name="BExIQ3OJ7M04XCY276IO0LJA5XUK" localSheetId="1" hidden="1">#REF!</definedName>
    <definedName name="BExIQ3OJ7M04XCY276IO0LJA5XUK" localSheetId="9" hidden="1">#REF!</definedName>
    <definedName name="BExIQ3OJ7M04XCY276IO0LJA5XUK" hidden="1">#REF!</definedName>
    <definedName name="BExIQ5S19ITB0NDRUN4XV7B905ED" localSheetId="56" hidden="1">#REF!</definedName>
    <definedName name="BExIQ5S19ITB0NDRUN4XV7B905ED" localSheetId="55" hidden="1">#REF!</definedName>
    <definedName name="BExIQ5S19ITB0NDRUN4XV7B905ED" localSheetId="4" hidden="1">#REF!</definedName>
    <definedName name="BExIQ5S19ITB0NDRUN4XV7B905ED" localSheetId="1" hidden="1">#REF!</definedName>
    <definedName name="BExIQ5S19ITB0NDRUN4XV7B905ED" localSheetId="9" hidden="1">#REF!</definedName>
    <definedName name="BExIQ5S19ITB0NDRUN4XV7B905ED" hidden="1">#REF!</definedName>
    <definedName name="BExIQ810MMN2UN0EQ9CRQAFWA19X" localSheetId="56" hidden="1">#REF!</definedName>
    <definedName name="BExIQ810MMN2UN0EQ9CRQAFWA19X" localSheetId="55" hidden="1">#REF!</definedName>
    <definedName name="BExIQ810MMN2UN0EQ9CRQAFWA19X" localSheetId="4" hidden="1">#REF!</definedName>
    <definedName name="BExIQ810MMN2UN0EQ9CRQAFWA19X" localSheetId="1" hidden="1">#REF!</definedName>
    <definedName name="BExIQ810MMN2UN0EQ9CRQAFWA19X" localSheetId="9" hidden="1">#REF!</definedName>
    <definedName name="BExIQ810MMN2UN0EQ9CRQAFWA19X" hidden="1">#REF!</definedName>
    <definedName name="BExIQ9TMQT2EIXSVQW7GVSOAW2VJ" localSheetId="56" hidden="1">#REF!</definedName>
    <definedName name="BExIQ9TMQT2EIXSVQW7GVSOAW2VJ" localSheetId="55" hidden="1">#REF!</definedName>
    <definedName name="BExIQ9TMQT2EIXSVQW7GVSOAW2VJ" localSheetId="4" hidden="1">#REF!</definedName>
    <definedName name="BExIQ9TMQT2EIXSVQW7GVSOAW2VJ" localSheetId="1" hidden="1">#REF!</definedName>
    <definedName name="BExIQ9TMQT2EIXSVQW7GVSOAW2VJ" localSheetId="9" hidden="1">#REF!</definedName>
    <definedName name="BExIQ9TMQT2EIXSVQW7GVSOAW2VJ" hidden="1">#REF!</definedName>
    <definedName name="BExIQBMDE1L6J4H27K1FMSHQKDSE" localSheetId="56" hidden="1">#REF!</definedName>
    <definedName name="BExIQBMDE1L6J4H27K1FMSHQKDSE" localSheetId="55" hidden="1">#REF!</definedName>
    <definedName name="BExIQBMDE1L6J4H27K1FMSHQKDSE" localSheetId="4" hidden="1">#REF!</definedName>
    <definedName name="BExIQBMDE1L6J4H27K1FMSHQKDSE" localSheetId="1" hidden="1">#REF!</definedName>
    <definedName name="BExIQBMDE1L6J4H27K1FMSHQKDSE" localSheetId="9" hidden="1">#REF!</definedName>
    <definedName name="BExIQBMDE1L6J4H27K1FMSHQKDSE" hidden="1">#REF!</definedName>
    <definedName name="BExIQE65LVXUOF3UZFO7SDHFJH22" localSheetId="56" hidden="1">#REF!</definedName>
    <definedName name="BExIQE65LVXUOF3UZFO7SDHFJH22" localSheetId="55" hidden="1">#REF!</definedName>
    <definedName name="BExIQE65LVXUOF3UZFO7SDHFJH22" localSheetId="4" hidden="1">#REF!</definedName>
    <definedName name="BExIQE65LVXUOF3UZFO7SDHFJH22" localSheetId="1" hidden="1">#REF!</definedName>
    <definedName name="BExIQE65LVXUOF3UZFO7SDHFJH22" localSheetId="9" hidden="1">#REF!</definedName>
    <definedName name="BExIQE65LVXUOF3UZFO7SDHFJH22" hidden="1">#REF!</definedName>
    <definedName name="BExIQG9OO2KKBOWTMD1OXY36TEGA" localSheetId="56" hidden="1">#REF!</definedName>
    <definedName name="BExIQG9OO2KKBOWTMD1OXY36TEGA" localSheetId="55" hidden="1">#REF!</definedName>
    <definedName name="BExIQG9OO2KKBOWTMD1OXY36TEGA" localSheetId="4" hidden="1">#REF!</definedName>
    <definedName name="BExIQG9OO2KKBOWTMD1OXY36TEGA" localSheetId="1" hidden="1">#REF!</definedName>
    <definedName name="BExIQG9OO2KKBOWTMD1OXY36TEGA" localSheetId="9" hidden="1">#REF!</definedName>
    <definedName name="BExIQG9OO2KKBOWTMD1OXY36TEGA" hidden="1">#REF!</definedName>
    <definedName name="BExIQHWZ65ALA9VAFCJEGIL1145G" localSheetId="56" hidden="1">#REF!</definedName>
    <definedName name="BExIQHWZ65ALA9VAFCJEGIL1145G" localSheetId="55" hidden="1">#REF!</definedName>
    <definedName name="BExIQHWZ65ALA9VAFCJEGIL1145G" localSheetId="4" hidden="1">#REF!</definedName>
    <definedName name="BExIQHWZ65ALA9VAFCJEGIL1145G" localSheetId="1" hidden="1">#REF!</definedName>
    <definedName name="BExIQHWZ65ALA9VAFCJEGIL1145G" localSheetId="9" hidden="1">#REF!</definedName>
    <definedName name="BExIQHWZ65ALA9VAFCJEGIL1145G" hidden="1">#REF!</definedName>
    <definedName name="BExIQX1XBB31HZTYEEVOBSE3C5A6" localSheetId="56" hidden="1">#REF!</definedName>
    <definedName name="BExIQX1XBB31HZTYEEVOBSE3C5A6" localSheetId="55" hidden="1">#REF!</definedName>
    <definedName name="BExIQX1XBB31HZTYEEVOBSE3C5A6" localSheetId="4" hidden="1">#REF!</definedName>
    <definedName name="BExIQX1XBB31HZTYEEVOBSE3C5A6" localSheetId="1" hidden="1">#REF!</definedName>
    <definedName name="BExIQX1XBB31HZTYEEVOBSE3C5A6" localSheetId="9" hidden="1">#REF!</definedName>
    <definedName name="BExIQX1XBB31HZTYEEVOBSE3C5A6" hidden="1">#REF!</definedName>
    <definedName name="BExIR2ALYRP9FW99DK2084J7IIDC" localSheetId="56" hidden="1">#REF!</definedName>
    <definedName name="BExIR2ALYRP9FW99DK2084J7IIDC" localSheetId="55" hidden="1">#REF!</definedName>
    <definedName name="BExIR2ALYRP9FW99DK2084J7IIDC" localSheetId="4" hidden="1">#REF!</definedName>
    <definedName name="BExIR2ALYRP9FW99DK2084J7IIDC" localSheetId="1" hidden="1">#REF!</definedName>
    <definedName name="BExIR2ALYRP9FW99DK2084J7IIDC" localSheetId="9" hidden="1">#REF!</definedName>
    <definedName name="BExIR2ALYRP9FW99DK2084J7IIDC" hidden="1">#REF!</definedName>
    <definedName name="BExIR8FQETPTQYW37DBVDWG3J4JW" localSheetId="56" hidden="1">#REF!</definedName>
    <definedName name="BExIR8FQETPTQYW37DBVDWG3J4JW" localSheetId="55" hidden="1">#REF!</definedName>
    <definedName name="BExIR8FQETPTQYW37DBVDWG3J4JW" localSheetId="4" hidden="1">#REF!</definedName>
    <definedName name="BExIR8FQETPTQYW37DBVDWG3J4JW" localSheetId="1" hidden="1">#REF!</definedName>
    <definedName name="BExIR8FQETPTQYW37DBVDWG3J4JW" localSheetId="9" hidden="1">#REF!</definedName>
    <definedName name="BExIR8FQETPTQYW37DBVDWG3J4JW" hidden="1">#REF!</definedName>
    <definedName name="BExIRHKWQB1PP4ZLB0C3AVUBAFMD" localSheetId="56" hidden="1">#REF!</definedName>
    <definedName name="BExIRHKWQB1PP4ZLB0C3AVUBAFMD" localSheetId="55" hidden="1">#REF!</definedName>
    <definedName name="BExIRHKWQB1PP4ZLB0C3AVUBAFMD" localSheetId="4" hidden="1">#REF!</definedName>
    <definedName name="BExIRHKWQB1PP4ZLB0C3AVUBAFMD" localSheetId="1" hidden="1">#REF!</definedName>
    <definedName name="BExIRHKWQB1PP4ZLB0C3AVUBAFMD" localSheetId="9" hidden="1">#REF!</definedName>
    <definedName name="BExIRHKWQB1PP4ZLB0C3AVUBAFMD" hidden="1">#REF!</definedName>
    <definedName name="BExIRJTRJPQR3OTAGAV7JTA4VMPS" localSheetId="56" hidden="1">#REF!</definedName>
    <definedName name="BExIRJTRJPQR3OTAGAV7JTA4VMPS" localSheetId="55" hidden="1">#REF!</definedName>
    <definedName name="BExIRJTRJPQR3OTAGAV7JTA4VMPS" localSheetId="4" hidden="1">#REF!</definedName>
    <definedName name="BExIRJTRJPQR3OTAGAV7JTA4VMPS" localSheetId="1" hidden="1">#REF!</definedName>
    <definedName name="BExIRJTRJPQR3OTAGAV7JTA4VMPS" localSheetId="9" hidden="1">#REF!</definedName>
    <definedName name="BExIRJTRJPQR3OTAGAV7JTA4VMPS" hidden="1">#REF!</definedName>
    <definedName name="BExIROH27RJOG6VI7ZHR0RZGAZZ4" localSheetId="56" hidden="1">#REF!</definedName>
    <definedName name="BExIROH27RJOG6VI7ZHR0RZGAZZ4" localSheetId="55" hidden="1">#REF!</definedName>
    <definedName name="BExIROH27RJOG6VI7ZHR0RZGAZZ4" localSheetId="4" hidden="1">#REF!</definedName>
    <definedName name="BExIROH27RJOG6VI7ZHR0RZGAZZ4" localSheetId="1" hidden="1">#REF!</definedName>
    <definedName name="BExIROH27RJOG6VI7ZHR0RZGAZZ4" localSheetId="9" hidden="1">#REF!</definedName>
    <definedName name="BExIROH27RJOG6VI7ZHR0RZGAZZ4" hidden="1">#REF!</definedName>
    <definedName name="BExIRRBGTY01OQOI3U5SW59RFDFI" localSheetId="56" hidden="1">#REF!</definedName>
    <definedName name="BExIRRBGTY01OQOI3U5SW59RFDFI" localSheetId="55" hidden="1">#REF!</definedName>
    <definedName name="BExIRRBGTY01OQOI3U5SW59RFDFI" localSheetId="4" hidden="1">#REF!</definedName>
    <definedName name="BExIRRBGTY01OQOI3U5SW59RFDFI" localSheetId="1" hidden="1">#REF!</definedName>
    <definedName name="BExIRRBGTY01OQOI3U5SW59RFDFI" localSheetId="9" hidden="1">#REF!</definedName>
    <definedName name="BExIRRBGTY01OQOI3U5SW59RFDFI" hidden="1">#REF!</definedName>
    <definedName name="BExIS4T0DRF57HYO7OGG72KBOFOI" localSheetId="56" hidden="1">#REF!</definedName>
    <definedName name="BExIS4T0DRF57HYO7OGG72KBOFOI" localSheetId="55" hidden="1">#REF!</definedName>
    <definedName name="BExIS4T0DRF57HYO7OGG72KBOFOI" localSheetId="4" hidden="1">#REF!</definedName>
    <definedName name="BExIS4T0DRF57HYO7OGG72KBOFOI" localSheetId="1" hidden="1">#REF!</definedName>
    <definedName name="BExIS4T0DRF57HYO7OGG72KBOFOI" localSheetId="9" hidden="1">#REF!</definedName>
    <definedName name="BExIS4T0DRF57HYO7OGG72KBOFOI" hidden="1">#REF!</definedName>
    <definedName name="BExIS77BJDDK18PGI9DSEYZPIL7P" localSheetId="56" hidden="1">#REF!</definedName>
    <definedName name="BExIS77BJDDK18PGI9DSEYZPIL7P" localSheetId="55" hidden="1">#REF!</definedName>
    <definedName name="BExIS77BJDDK18PGI9DSEYZPIL7P" localSheetId="4" hidden="1">#REF!</definedName>
    <definedName name="BExIS77BJDDK18PGI9DSEYZPIL7P" localSheetId="1" hidden="1">#REF!</definedName>
    <definedName name="BExIS77BJDDK18PGI9DSEYZPIL7P" localSheetId="9" hidden="1">#REF!</definedName>
    <definedName name="BExIS77BJDDK18PGI9DSEYZPIL7P" hidden="1">#REF!</definedName>
    <definedName name="BExIS8USL1T3Z97CZ30HJ98E2GXQ" localSheetId="56" hidden="1">#REF!</definedName>
    <definedName name="BExIS8USL1T3Z97CZ30HJ98E2GXQ" localSheetId="55" hidden="1">#REF!</definedName>
    <definedName name="BExIS8USL1T3Z97CZ30HJ98E2GXQ" localSheetId="4" hidden="1">#REF!</definedName>
    <definedName name="BExIS8USL1T3Z97CZ30HJ98E2GXQ" localSheetId="1" hidden="1">#REF!</definedName>
    <definedName name="BExIS8USL1T3Z97CZ30HJ98E2GXQ" localSheetId="9" hidden="1">#REF!</definedName>
    <definedName name="BExIS8USL1T3Z97CZ30HJ98E2GXQ" hidden="1">#REF!</definedName>
    <definedName name="BExISC5B700MZUBFTQ9K4IKTF7HR" localSheetId="56" hidden="1">#REF!</definedName>
    <definedName name="BExISC5B700MZUBFTQ9K4IKTF7HR" localSheetId="55" hidden="1">#REF!</definedName>
    <definedName name="BExISC5B700MZUBFTQ9K4IKTF7HR" localSheetId="4" hidden="1">#REF!</definedName>
    <definedName name="BExISC5B700MZUBFTQ9K4IKTF7HR" localSheetId="1" hidden="1">#REF!</definedName>
    <definedName name="BExISC5B700MZUBFTQ9K4IKTF7HR" localSheetId="9" hidden="1">#REF!</definedName>
    <definedName name="BExISC5B700MZUBFTQ9K4IKTF7HR" hidden="1">#REF!</definedName>
    <definedName name="BExISDHXS49S1H56ENBPRF1NLD5C" localSheetId="56" hidden="1">#REF!</definedName>
    <definedName name="BExISDHXS49S1H56ENBPRF1NLD5C" localSheetId="55" hidden="1">#REF!</definedName>
    <definedName name="BExISDHXS49S1H56ENBPRF1NLD5C" localSheetId="4" hidden="1">#REF!</definedName>
    <definedName name="BExISDHXS49S1H56ENBPRF1NLD5C" localSheetId="1" hidden="1">#REF!</definedName>
    <definedName name="BExISDHXS49S1H56ENBPRF1NLD5C" localSheetId="9" hidden="1">#REF!</definedName>
    <definedName name="BExISDHXS49S1H56ENBPRF1NLD5C" hidden="1">#REF!</definedName>
    <definedName name="BExISM1JLV54A21A164IURMPGUMU" localSheetId="56" hidden="1">#REF!</definedName>
    <definedName name="BExISM1JLV54A21A164IURMPGUMU" localSheetId="55" hidden="1">#REF!</definedName>
    <definedName name="BExISM1JLV54A21A164IURMPGUMU" localSheetId="4" hidden="1">#REF!</definedName>
    <definedName name="BExISM1JLV54A21A164IURMPGUMU" localSheetId="1" hidden="1">#REF!</definedName>
    <definedName name="BExISM1JLV54A21A164IURMPGUMU" localSheetId="9" hidden="1">#REF!</definedName>
    <definedName name="BExISM1JLV54A21A164IURMPGUMU" hidden="1">#REF!</definedName>
    <definedName name="BExISRFKJYUZ4AKW44IJF7RF9Y90" localSheetId="56" hidden="1">#REF!</definedName>
    <definedName name="BExISRFKJYUZ4AKW44IJF7RF9Y90" localSheetId="55" hidden="1">#REF!</definedName>
    <definedName name="BExISRFKJYUZ4AKW44IJF7RF9Y90" localSheetId="4" hidden="1">#REF!</definedName>
    <definedName name="BExISRFKJYUZ4AKW44IJF7RF9Y90" localSheetId="1" hidden="1">#REF!</definedName>
    <definedName name="BExISRFKJYUZ4AKW44IJF7RF9Y90" localSheetId="9" hidden="1">#REF!</definedName>
    <definedName name="BExISRFKJYUZ4AKW44IJF7RF9Y90" hidden="1">#REF!</definedName>
    <definedName name="BExISSMVV57JAUB6CSGBMBFVNGWK" localSheetId="56" hidden="1">#REF!</definedName>
    <definedName name="BExISSMVV57JAUB6CSGBMBFVNGWK" localSheetId="55" hidden="1">#REF!</definedName>
    <definedName name="BExISSMVV57JAUB6CSGBMBFVNGWK" localSheetId="4" hidden="1">#REF!</definedName>
    <definedName name="BExISSMVV57JAUB6CSGBMBFVNGWK" localSheetId="1" hidden="1">#REF!</definedName>
    <definedName name="BExISSMVV57JAUB6CSGBMBFVNGWK" localSheetId="9" hidden="1">#REF!</definedName>
    <definedName name="BExISSMVV57JAUB6CSGBMBFVNGWK" hidden="1">#REF!</definedName>
    <definedName name="BExIT16AD4HCD0WQCCA72AKLQHK1" localSheetId="56" hidden="1">#REF!</definedName>
    <definedName name="BExIT16AD4HCD0WQCCA72AKLQHK1" localSheetId="55" hidden="1">#REF!</definedName>
    <definedName name="BExIT16AD4HCD0WQCCA72AKLQHK1" localSheetId="4" hidden="1">#REF!</definedName>
    <definedName name="BExIT16AD4HCD0WQCCA72AKLQHK1" localSheetId="1" hidden="1">#REF!</definedName>
    <definedName name="BExIT16AD4HCD0WQCCA72AKLQHK1" localSheetId="9" hidden="1">#REF!</definedName>
    <definedName name="BExIT16AD4HCD0WQCCA72AKLQHK1" hidden="1">#REF!</definedName>
    <definedName name="BExIT1MK8TBAK3SNP36A8FKDQSOK" localSheetId="56" hidden="1">#REF!</definedName>
    <definedName name="BExIT1MK8TBAK3SNP36A8FKDQSOK" localSheetId="55" hidden="1">#REF!</definedName>
    <definedName name="BExIT1MK8TBAK3SNP36A8FKDQSOK" localSheetId="4" hidden="1">#REF!</definedName>
    <definedName name="BExIT1MK8TBAK3SNP36A8FKDQSOK" localSheetId="1" hidden="1">#REF!</definedName>
    <definedName name="BExIT1MK8TBAK3SNP36A8FKDQSOK" localSheetId="9" hidden="1">#REF!</definedName>
    <definedName name="BExIT1MK8TBAK3SNP36A8FKDQSOK" hidden="1">#REF!</definedName>
    <definedName name="BExIT9PPVL7XGGIZS7G6QI6L7H9U" localSheetId="56" hidden="1">#REF!</definedName>
    <definedName name="BExIT9PPVL7XGGIZS7G6QI6L7H9U" localSheetId="55" hidden="1">#REF!</definedName>
    <definedName name="BExIT9PPVL7XGGIZS7G6QI6L7H9U" localSheetId="4" hidden="1">#REF!</definedName>
    <definedName name="BExIT9PPVL7XGGIZS7G6QI6L7H9U" localSheetId="1" hidden="1">#REF!</definedName>
    <definedName name="BExIT9PPVL7XGGIZS7G6QI6L7H9U" localSheetId="9" hidden="1">#REF!</definedName>
    <definedName name="BExIT9PPVL7XGGIZS7G6QI6L7H9U" hidden="1">#REF!</definedName>
    <definedName name="BExITBNYANV2S8KD56GOGCKW393R" localSheetId="56" hidden="1">#REF!</definedName>
    <definedName name="BExITBNYANV2S8KD56GOGCKW393R" localSheetId="55" hidden="1">#REF!</definedName>
    <definedName name="BExITBNYANV2S8KD56GOGCKW393R" localSheetId="4" hidden="1">#REF!</definedName>
    <definedName name="BExITBNYANV2S8KD56GOGCKW393R" localSheetId="1" hidden="1">#REF!</definedName>
    <definedName name="BExITBNYANV2S8KD56GOGCKW393R" localSheetId="9" hidden="1">#REF!</definedName>
    <definedName name="BExITBNYANV2S8KD56GOGCKW393R" hidden="1">#REF!</definedName>
    <definedName name="BExItemGrid" localSheetId="1">#REF!</definedName>
    <definedName name="BExItemGrid" localSheetId="9">#REF!</definedName>
    <definedName name="BExItemGrid">#REF!</definedName>
    <definedName name="BExITGB4FVAV0LE88D7JMX7FBYXI" localSheetId="56" hidden="1">#REF!</definedName>
    <definedName name="BExITGB4FVAV0LE88D7JMX7FBYXI" localSheetId="55" hidden="1">#REF!</definedName>
    <definedName name="BExITGB4FVAV0LE88D7JMX7FBYXI" localSheetId="4" hidden="1">#REF!</definedName>
    <definedName name="BExITGB4FVAV0LE88D7JMX7FBYXI" localSheetId="1" hidden="1">#REF!</definedName>
    <definedName name="BExITGB4FVAV0LE88D7JMX7FBYXI" localSheetId="9" hidden="1">#REF!</definedName>
    <definedName name="BExITGB4FVAV0LE88D7JMX7FBYXI" hidden="1">#REF!</definedName>
    <definedName name="BExITI3TQ14K842P38QF0PNWSWNO" localSheetId="56" hidden="1">#REF!</definedName>
    <definedName name="BExITI3TQ14K842P38QF0PNWSWNO" localSheetId="55" hidden="1">#REF!</definedName>
    <definedName name="BExITI3TQ14K842P38QF0PNWSWNO" localSheetId="4" hidden="1">#REF!</definedName>
    <definedName name="BExITI3TQ14K842P38QF0PNWSWNO" localSheetId="1" hidden="1">#REF!</definedName>
    <definedName name="BExITI3TQ14K842P38QF0PNWSWNO" localSheetId="9" hidden="1">#REF!</definedName>
    <definedName name="BExITI3TQ14K842P38QF0PNWSWNO" hidden="1">#REF!</definedName>
    <definedName name="BExIU9OGER4TPMETACWUEP1UENK0" localSheetId="56" hidden="1">#REF!</definedName>
    <definedName name="BExIU9OGER4TPMETACWUEP1UENK0" localSheetId="55" hidden="1">#REF!</definedName>
    <definedName name="BExIU9OGER4TPMETACWUEP1UENK0" localSheetId="4" hidden="1">#REF!</definedName>
    <definedName name="BExIU9OGER4TPMETACWUEP1UENK0" localSheetId="1" hidden="1">#REF!</definedName>
    <definedName name="BExIU9OGER4TPMETACWUEP1UENK0" localSheetId="9" hidden="1">#REF!</definedName>
    <definedName name="BExIU9OGER4TPMETACWUEP1UENK0" hidden="1">#REF!</definedName>
    <definedName name="BExIUD4OJGH65NFNQ4VMCE3R4J1X" localSheetId="56" hidden="1">#REF!</definedName>
    <definedName name="BExIUD4OJGH65NFNQ4VMCE3R4J1X" localSheetId="55" hidden="1">#REF!</definedName>
    <definedName name="BExIUD4OJGH65NFNQ4VMCE3R4J1X" localSheetId="4" hidden="1">#REF!</definedName>
    <definedName name="BExIUD4OJGH65NFNQ4VMCE3R4J1X" localSheetId="1" hidden="1">#REF!</definedName>
    <definedName name="BExIUD4OJGH65NFNQ4VMCE3R4J1X" localSheetId="9" hidden="1">#REF!</definedName>
    <definedName name="BExIUD4OJGH65NFNQ4VMCE3R4J1X" hidden="1">#REF!</definedName>
    <definedName name="BExIUQM0XWNNW3MJD26EOVIT7FSU" localSheetId="56" hidden="1">#REF!</definedName>
    <definedName name="BExIUQM0XWNNW3MJD26EOVIT7FSU" localSheetId="55" hidden="1">#REF!</definedName>
    <definedName name="BExIUQM0XWNNW3MJD26EOVIT7FSU" localSheetId="4" hidden="1">#REF!</definedName>
    <definedName name="BExIUQM0XWNNW3MJD26EOVIT7FSU" localSheetId="1" hidden="1">#REF!</definedName>
    <definedName name="BExIUQM0XWNNW3MJD26EOVIT7FSU" localSheetId="9" hidden="1">#REF!</definedName>
    <definedName name="BExIUQM0XWNNW3MJD26EOVIT7FSU" hidden="1">#REF!</definedName>
    <definedName name="BExIUTB5OAAXYW0OFMP0PS40SPOB" localSheetId="56" hidden="1">#REF!</definedName>
    <definedName name="BExIUTB5OAAXYW0OFMP0PS40SPOB" localSheetId="55" hidden="1">#REF!</definedName>
    <definedName name="BExIUTB5OAAXYW0OFMP0PS40SPOB" localSheetId="4" hidden="1">#REF!</definedName>
    <definedName name="BExIUTB5OAAXYW0OFMP0PS40SPOB" localSheetId="1" hidden="1">#REF!</definedName>
    <definedName name="BExIUTB5OAAXYW0OFMP0PS40SPOB" localSheetId="9" hidden="1">#REF!</definedName>
    <definedName name="BExIUTB5OAAXYW0OFMP0PS40SPOB" hidden="1">#REF!</definedName>
    <definedName name="BExIUUT2MHIOV6R3WHA0DPM1KBKY" localSheetId="56" hidden="1">#REF!</definedName>
    <definedName name="BExIUUT2MHIOV6R3WHA0DPM1KBKY" localSheetId="55" hidden="1">#REF!</definedName>
    <definedName name="BExIUUT2MHIOV6R3WHA0DPM1KBKY" localSheetId="4" hidden="1">#REF!</definedName>
    <definedName name="BExIUUT2MHIOV6R3WHA0DPM1KBKY" localSheetId="1" hidden="1">#REF!</definedName>
    <definedName name="BExIUUT2MHIOV6R3WHA0DPM1KBKY" localSheetId="9" hidden="1">#REF!</definedName>
    <definedName name="BExIUUT2MHIOV6R3WHA0DPM1KBKY" hidden="1">#REF!</definedName>
    <definedName name="BExIUYPDT1AM6MWGWQS646PIZIWC" localSheetId="56" hidden="1">#REF!</definedName>
    <definedName name="BExIUYPDT1AM6MWGWQS646PIZIWC" localSheetId="55" hidden="1">#REF!</definedName>
    <definedName name="BExIUYPDT1AM6MWGWQS646PIZIWC" localSheetId="4" hidden="1">#REF!</definedName>
    <definedName name="BExIUYPDT1AM6MWGWQS646PIZIWC" localSheetId="1" hidden="1">#REF!</definedName>
    <definedName name="BExIUYPDT1AM6MWGWQS646PIZIWC" localSheetId="9" hidden="1">#REF!</definedName>
    <definedName name="BExIUYPDT1AM6MWGWQS646PIZIWC" hidden="1">#REF!</definedName>
    <definedName name="BExIV0I2O9F8D1UK1SI8AEYR6U0A" localSheetId="56" hidden="1">#REF!</definedName>
    <definedName name="BExIV0I2O9F8D1UK1SI8AEYR6U0A" localSheetId="55" hidden="1">#REF!</definedName>
    <definedName name="BExIV0I2O9F8D1UK1SI8AEYR6U0A" localSheetId="4" hidden="1">#REF!</definedName>
    <definedName name="BExIV0I2O9F8D1UK1SI8AEYR6U0A" localSheetId="1" hidden="1">#REF!</definedName>
    <definedName name="BExIV0I2O9F8D1UK1SI8AEYR6U0A" localSheetId="9" hidden="1">#REF!</definedName>
    <definedName name="BExIV0I2O9F8D1UK1SI8AEYR6U0A" hidden="1">#REF!</definedName>
    <definedName name="BExIV2LM38XPLRTWT0R44TMQ59E5" localSheetId="56" hidden="1">#REF!</definedName>
    <definedName name="BExIV2LM38XPLRTWT0R44TMQ59E5" localSheetId="55" hidden="1">#REF!</definedName>
    <definedName name="BExIV2LM38XPLRTWT0R44TMQ59E5" localSheetId="4" hidden="1">#REF!</definedName>
    <definedName name="BExIV2LM38XPLRTWT0R44TMQ59E5" localSheetId="1" hidden="1">#REF!</definedName>
    <definedName name="BExIV2LM38XPLRTWT0R44TMQ59E5" localSheetId="9" hidden="1">#REF!</definedName>
    <definedName name="BExIV2LM38XPLRTWT0R44TMQ59E5" hidden="1">#REF!</definedName>
    <definedName name="BExIV3HY4S0YRV1F7XEMF2YHAR2I" localSheetId="56" hidden="1">#REF!</definedName>
    <definedName name="BExIV3HY4S0YRV1F7XEMF2YHAR2I" localSheetId="55" hidden="1">#REF!</definedName>
    <definedName name="BExIV3HY4S0YRV1F7XEMF2YHAR2I" localSheetId="4" hidden="1">#REF!</definedName>
    <definedName name="BExIV3HY4S0YRV1F7XEMF2YHAR2I" localSheetId="1" hidden="1">#REF!</definedName>
    <definedName name="BExIV3HY4S0YRV1F7XEMF2YHAR2I" localSheetId="9" hidden="1">#REF!</definedName>
    <definedName name="BExIV3HY4S0YRV1F7XEMF2YHAR2I" hidden="1">#REF!</definedName>
    <definedName name="BExIV6HUZFRIFLXW2SICKGTAH1PV" localSheetId="56" hidden="1">#REF!</definedName>
    <definedName name="BExIV6HUZFRIFLXW2SICKGTAH1PV" localSheetId="55" hidden="1">#REF!</definedName>
    <definedName name="BExIV6HUZFRIFLXW2SICKGTAH1PV" localSheetId="4" hidden="1">#REF!</definedName>
    <definedName name="BExIV6HUZFRIFLXW2SICKGTAH1PV" localSheetId="1" hidden="1">#REF!</definedName>
    <definedName name="BExIV6HUZFRIFLXW2SICKGTAH1PV" localSheetId="9" hidden="1">#REF!</definedName>
    <definedName name="BExIV6HUZFRIFLXW2SICKGTAH1PV" hidden="1">#REF!</definedName>
    <definedName name="BExIVCXWL6H5LD9DHDIA4F5U9TQL" localSheetId="56" hidden="1">#REF!</definedName>
    <definedName name="BExIVCXWL6H5LD9DHDIA4F5U9TQL" localSheetId="55" hidden="1">#REF!</definedName>
    <definedName name="BExIVCXWL6H5LD9DHDIA4F5U9TQL" localSheetId="4" hidden="1">#REF!</definedName>
    <definedName name="BExIVCXWL6H5LD9DHDIA4F5U9TQL" localSheetId="1" hidden="1">#REF!</definedName>
    <definedName name="BExIVCXWL6H5LD9DHDIA4F5U9TQL" localSheetId="9" hidden="1">#REF!</definedName>
    <definedName name="BExIVCXWL6H5LD9DHDIA4F5U9TQL" hidden="1">#REF!</definedName>
    <definedName name="BExIVEVYJ7KL8QNR5ZTOSD11I5A6" localSheetId="56" hidden="1">#REF!</definedName>
    <definedName name="BExIVEVYJ7KL8QNR5ZTOSD11I5A6" localSheetId="55" hidden="1">#REF!</definedName>
    <definedName name="BExIVEVYJ7KL8QNR5ZTOSD11I5A6" localSheetId="4" hidden="1">#REF!</definedName>
    <definedName name="BExIVEVYJ7KL8QNR5ZTOSD11I5A6" localSheetId="1" hidden="1">#REF!</definedName>
    <definedName name="BExIVEVYJ7KL8QNR5ZTOSD11I5A6" localSheetId="9" hidden="1">#REF!</definedName>
    <definedName name="BExIVEVYJ7KL8QNR5ZTOSD11I5A6" hidden="1">#REF!</definedName>
    <definedName name="BExIVJ30S9U8MA1TUBRND8DGF96D" localSheetId="56" hidden="1">#REF!</definedName>
    <definedName name="BExIVJ30S9U8MA1TUBRND8DGF96D" localSheetId="55" hidden="1">#REF!</definedName>
    <definedName name="BExIVJ30S9U8MA1TUBRND8DGF96D" localSheetId="4" hidden="1">#REF!</definedName>
    <definedName name="BExIVJ30S9U8MA1TUBRND8DGF96D" localSheetId="1" hidden="1">#REF!</definedName>
    <definedName name="BExIVJ30S9U8MA1TUBRND8DGF96D" localSheetId="9" hidden="1">#REF!</definedName>
    <definedName name="BExIVJ30S9U8MA1TUBRND8DGF96D" hidden="1">#REF!</definedName>
    <definedName name="BExIVMOIPSEWSIHIDDLOXESQ28A0" localSheetId="56" hidden="1">#REF!</definedName>
    <definedName name="BExIVMOIPSEWSIHIDDLOXESQ28A0" localSheetId="55" hidden="1">#REF!</definedName>
    <definedName name="BExIVMOIPSEWSIHIDDLOXESQ28A0" localSheetId="4" hidden="1">#REF!</definedName>
    <definedName name="BExIVMOIPSEWSIHIDDLOXESQ28A0" localSheetId="1" hidden="1">#REF!</definedName>
    <definedName name="BExIVMOIPSEWSIHIDDLOXESQ28A0" localSheetId="9" hidden="1">#REF!</definedName>
    <definedName name="BExIVMOIPSEWSIHIDDLOXESQ28A0" hidden="1">#REF!</definedName>
    <definedName name="BExIVNVNJX9BYDLC88NG09YF5XQ6" localSheetId="56" hidden="1">#REF!</definedName>
    <definedName name="BExIVNVNJX9BYDLC88NG09YF5XQ6" localSheetId="55" hidden="1">#REF!</definedName>
    <definedName name="BExIVNVNJX9BYDLC88NG09YF5XQ6" localSheetId="4" hidden="1">#REF!</definedName>
    <definedName name="BExIVNVNJX9BYDLC88NG09YF5XQ6" localSheetId="1" hidden="1">#REF!</definedName>
    <definedName name="BExIVNVNJX9BYDLC88NG09YF5XQ6" localSheetId="9" hidden="1">#REF!</definedName>
    <definedName name="BExIVNVNJX9BYDLC88NG09YF5XQ6" hidden="1">#REF!</definedName>
    <definedName name="BExIVQVKLMGSRYT1LFZH0KUIA4OR" localSheetId="56" hidden="1">#REF!</definedName>
    <definedName name="BExIVQVKLMGSRYT1LFZH0KUIA4OR" localSheetId="55" hidden="1">#REF!</definedName>
    <definedName name="BExIVQVKLMGSRYT1LFZH0KUIA4OR" localSheetId="4" hidden="1">#REF!</definedName>
    <definedName name="BExIVQVKLMGSRYT1LFZH0KUIA4OR" localSheetId="1" hidden="1">#REF!</definedName>
    <definedName name="BExIVQVKLMGSRYT1LFZH0KUIA4OR" localSheetId="9" hidden="1">#REF!</definedName>
    <definedName name="BExIVQVKLMGSRYT1LFZH0KUIA4OR" hidden="1">#REF!</definedName>
    <definedName name="BExIVYTFI35KNR2XSA6N8OJYUTUR" localSheetId="56" hidden="1">#REF!</definedName>
    <definedName name="BExIVYTFI35KNR2XSA6N8OJYUTUR" localSheetId="55" hidden="1">#REF!</definedName>
    <definedName name="BExIVYTFI35KNR2XSA6N8OJYUTUR" localSheetId="4" hidden="1">#REF!</definedName>
    <definedName name="BExIVYTFI35KNR2XSA6N8OJYUTUR" localSheetId="1" hidden="1">#REF!</definedName>
    <definedName name="BExIVYTFI35KNR2XSA6N8OJYUTUR" localSheetId="9" hidden="1">#REF!</definedName>
    <definedName name="BExIVYTFI35KNR2XSA6N8OJYUTUR" hidden="1">#REF!</definedName>
    <definedName name="BExIVZF05SNB8DE7VLQOFG9S41HS" localSheetId="56" hidden="1">#REF!</definedName>
    <definedName name="BExIVZF05SNB8DE7VLQOFG9S41HS" localSheetId="55" hidden="1">#REF!</definedName>
    <definedName name="BExIVZF05SNB8DE7VLQOFG9S41HS" localSheetId="4" hidden="1">#REF!</definedName>
    <definedName name="BExIVZF05SNB8DE7VLQOFG9S41HS" localSheetId="1" hidden="1">#REF!</definedName>
    <definedName name="BExIVZF05SNB8DE7VLQOFG9S41HS" localSheetId="9" hidden="1">#REF!</definedName>
    <definedName name="BExIVZF05SNB8DE7VLQOFG9S41HS" hidden="1">#REF!</definedName>
    <definedName name="BExIWB3SY3WRIVIOF988DNNODBOA" localSheetId="56" hidden="1">#REF!</definedName>
    <definedName name="BExIWB3SY3WRIVIOF988DNNODBOA" localSheetId="55" hidden="1">#REF!</definedName>
    <definedName name="BExIWB3SY3WRIVIOF988DNNODBOA" localSheetId="4" hidden="1">#REF!</definedName>
    <definedName name="BExIWB3SY3WRIVIOF988DNNODBOA" localSheetId="1" hidden="1">#REF!</definedName>
    <definedName name="BExIWB3SY3WRIVIOF988DNNODBOA" localSheetId="9" hidden="1">#REF!</definedName>
    <definedName name="BExIWB3SY3WRIVIOF988DNNODBOA" hidden="1">#REF!</definedName>
    <definedName name="BExIWB99CG0H52LRD6QWPN4L6DV2" localSheetId="56" hidden="1">#REF!</definedName>
    <definedName name="BExIWB99CG0H52LRD6QWPN4L6DV2" localSheetId="55" hidden="1">#REF!</definedName>
    <definedName name="BExIWB99CG0H52LRD6QWPN4L6DV2" localSheetId="4" hidden="1">#REF!</definedName>
    <definedName name="BExIWB99CG0H52LRD6QWPN4L6DV2" localSheetId="1" hidden="1">#REF!</definedName>
    <definedName name="BExIWB99CG0H52LRD6QWPN4L6DV2" localSheetId="9" hidden="1">#REF!</definedName>
    <definedName name="BExIWB99CG0H52LRD6QWPN4L6DV2" hidden="1">#REF!</definedName>
    <definedName name="BExIWG1W7XP9DFYYSZAIOSHM0QLQ" localSheetId="56" hidden="1">#REF!</definedName>
    <definedName name="BExIWG1W7XP9DFYYSZAIOSHM0QLQ" localSheetId="55" hidden="1">#REF!</definedName>
    <definedName name="BExIWG1W7XP9DFYYSZAIOSHM0QLQ" localSheetId="4" hidden="1">#REF!</definedName>
    <definedName name="BExIWG1W7XP9DFYYSZAIOSHM0QLQ" localSheetId="1" hidden="1">#REF!</definedName>
    <definedName name="BExIWG1W7XP9DFYYSZAIOSHM0QLQ" localSheetId="9" hidden="1">#REF!</definedName>
    <definedName name="BExIWG1W7XP9DFYYSZAIOSHM0QLQ" hidden="1">#REF!</definedName>
    <definedName name="BExIWH3KUK94B7833DD4TB0Y6KP9" localSheetId="56" hidden="1">#REF!</definedName>
    <definedName name="BExIWH3KUK94B7833DD4TB0Y6KP9" localSheetId="55" hidden="1">#REF!</definedName>
    <definedName name="BExIWH3KUK94B7833DD4TB0Y6KP9" localSheetId="4" hidden="1">#REF!</definedName>
    <definedName name="BExIWH3KUK94B7833DD4TB0Y6KP9" localSheetId="1" hidden="1">#REF!</definedName>
    <definedName name="BExIWH3KUK94B7833DD4TB0Y6KP9" localSheetId="9" hidden="1">#REF!</definedName>
    <definedName name="BExIWH3KUK94B7833DD4TB0Y6KP9" hidden="1">#REF!</definedName>
    <definedName name="BExIWHZXYAALPLS8CSHZHJ82LBOH" localSheetId="56" hidden="1">#REF!</definedName>
    <definedName name="BExIWHZXYAALPLS8CSHZHJ82LBOH" localSheetId="55" hidden="1">#REF!</definedName>
    <definedName name="BExIWHZXYAALPLS8CSHZHJ82LBOH" localSheetId="4" hidden="1">#REF!</definedName>
    <definedName name="BExIWHZXYAALPLS8CSHZHJ82LBOH" localSheetId="1" hidden="1">#REF!</definedName>
    <definedName name="BExIWHZXYAALPLS8CSHZHJ82LBOH" localSheetId="9" hidden="1">#REF!</definedName>
    <definedName name="BExIWHZXYAALPLS8CSHZHJ82LBOH" hidden="1">#REF!</definedName>
    <definedName name="BExIWJY6FHR6KOO0P8U4IZ7VD42D" localSheetId="56" hidden="1">#REF!</definedName>
    <definedName name="BExIWJY6FHR6KOO0P8U4IZ7VD42D" localSheetId="55" hidden="1">#REF!</definedName>
    <definedName name="BExIWJY6FHR6KOO0P8U4IZ7VD42D" localSheetId="4" hidden="1">#REF!</definedName>
    <definedName name="BExIWJY6FHR6KOO0P8U4IZ7VD42D" localSheetId="1" hidden="1">#REF!</definedName>
    <definedName name="BExIWJY6FHR6KOO0P8U4IZ7VD42D" localSheetId="9" hidden="1">#REF!</definedName>
    <definedName name="BExIWJY6FHR6KOO0P8U4IZ7VD42D" hidden="1">#REF!</definedName>
    <definedName name="BExIWKE9MGIDWORBI43AWTUNYFAN" localSheetId="56" hidden="1">#REF!</definedName>
    <definedName name="BExIWKE9MGIDWORBI43AWTUNYFAN" localSheetId="55" hidden="1">#REF!</definedName>
    <definedName name="BExIWKE9MGIDWORBI43AWTUNYFAN" localSheetId="4" hidden="1">#REF!</definedName>
    <definedName name="BExIWKE9MGIDWORBI43AWTUNYFAN" localSheetId="1" hidden="1">#REF!</definedName>
    <definedName name="BExIWKE9MGIDWORBI43AWTUNYFAN" localSheetId="9" hidden="1">#REF!</definedName>
    <definedName name="BExIWKE9MGIDWORBI43AWTUNYFAN" hidden="1">#REF!</definedName>
    <definedName name="BExIWPHOYLSNGZKVD3RRKOEALEUG" localSheetId="56" hidden="1">#REF!</definedName>
    <definedName name="BExIWPHOYLSNGZKVD3RRKOEALEUG" localSheetId="55" hidden="1">#REF!</definedName>
    <definedName name="BExIWPHOYLSNGZKVD3RRKOEALEUG" localSheetId="4" hidden="1">#REF!</definedName>
    <definedName name="BExIWPHOYLSNGZKVD3RRKOEALEUG" localSheetId="1" hidden="1">#REF!</definedName>
    <definedName name="BExIWPHOYLSNGZKVD3RRKOEALEUG" localSheetId="9" hidden="1">#REF!</definedName>
    <definedName name="BExIWPHOYLSNGZKVD3RRKOEALEUG" hidden="1">#REF!</definedName>
    <definedName name="BExIWSHLD1QIZPL5ARLXOJ9Y2CAA" localSheetId="56" hidden="1">#REF!</definedName>
    <definedName name="BExIWSHLD1QIZPL5ARLXOJ9Y2CAA" localSheetId="55" hidden="1">#REF!</definedName>
    <definedName name="BExIWSHLD1QIZPL5ARLXOJ9Y2CAA" localSheetId="4" hidden="1">#REF!</definedName>
    <definedName name="BExIWSHLD1QIZPL5ARLXOJ9Y2CAA" localSheetId="1" hidden="1">#REF!</definedName>
    <definedName name="BExIWSHLD1QIZPL5ARLXOJ9Y2CAA" localSheetId="9" hidden="1">#REF!</definedName>
    <definedName name="BExIWSHLD1QIZPL5ARLXOJ9Y2CAA" hidden="1">#REF!</definedName>
    <definedName name="BExIX34PM5DBTRHRQWP6PL6WIX88" localSheetId="56" hidden="1">#REF!</definedName>
    <definedName name="BExIX34PM5DBTRHRQWP6PL6WIX88" localSheetId="55" hidden="1">#REF!</definedName>
    <definedName name="BExIX34PM5DBTRHRQWP6PL6WIX88" localSheetId="4" hidden="1">#REF!</definedName>
    <definedName name="BExIX34PM5DBTRHRQWP6PL6WIX88" localSheetId="1" hidden="1">#REF!</definedName>
    <definedName name="BExIX34PM5DBTRHRQWP6PL6WIX88" localSheetId="9" hidden="1">#REF!</definedName>
    <definedName name="BExIX34PM5DBTRHRQWP6PL6WIX88" hidden="1">#REF!</definedName>
    <definedName name="BExIX5OAP9KSUE5SIZCW9P39Q4WE" localSheetId="56" hidden="1">#REF!</definedName>
    <definedName name="BExIX5OAP9KSUE5SIZCW9P39Q4WE" localSheetId="55" hidden="1">#REF!</definedName>
    <definedName name="BExIX5OAP9KSUE5SIZCW9P39Q4WE" localSheetId="4" hidden="1">#REF!</definedName>
    <definedName name="BExIX5OAP9KSUE5SIZCW9P39Q4WE" localSheetId="1" hidden="1">#REF!</definedName>
    <definedName name="BExIX5OAP9KSUE5SIZCW9P39Q4WE" localSheetId="9" hidden="1">#REF!</definedName>
    <definedName name="BExIX5OAP9KSUE5SIZCW9P39Q4WE" hidden="1">#REF!</definedName>
    <definedName name="BExIXGRJPVJMUDGSG7IHPXPNO69B" localSheetId="56" hidden="1">#REF!</definedName>
    <definedName name="BExIXGRJPVJMUDGSG7IHPXPNO69B" localSheetId="55" hidden="1">#REF!</definedName>
    <definedName name="BExIXGRJPVJMUDGSG7IHPXPNO69B" localSheetId="4" hidden="1">#REF!</definedName>
    <definedName name="BExIXGRJPVJMUDGSG7IHPXPNO69B" localSheetId="1" hidden="1">#REF!</definedName>
    <definedName name="BExIXGRJPVJMUDGSG7IHPXPNO69B" localSheetId="9" hidden="1">#REF!</definedName>
    <definedName name="BExIXGRJPVJMUDGSG7IHPXPNO69B" hidden="1">#REF!</definedName>
    <definedName name="BExIXGWVQ9WOO0NCJLXAU4PJPOPM" localSheetId="56" hidden="1">#REF!</definedName>
    <definedName name="BExIXGWVQ9WOO0NCJLXAU4PJPOPM" localSheetId="55" hidden="1">#REF!</definedName>
    <definedName name="BExIXGWVQ9WOO0NCJLXAU4PJPOPM" localSheetId="4" hidden="1">#REF!</definedName>
    <definedName name="BExIXGWVQ9WOO0NCJLXAU4PJPOPM" localSheetId="1" hidden="1">#REF!</definedName>
    <definedName name="BExIXGWVQ9WOO0NCJLXAU4PJPOPM" localSheetId="9" hidden="1">#REF!</definedName>
    <definedName name="BExIXGWVQ9WOO0NCJLXAU4PJPOPM" hidden="1">#REF!</definedName>
    <definedName name="BExIXLK6SEOTUWQVNLCH4SAKTVGQ" localSheetId="56" hidden="1">#REF!</definedName>
    <definedName name="BExIXLK6SEOTUWQVNLCH4SAKTVGQ" localSheetId="55" hidden="1">#REF!</definedName>
    <definedName name="BExIXLK6SEOTUWQVNLCH4SAKTVGQ" localSheetId="4" hidden="1">#REF!</definedName>
    <definedName name="BExIXLK6SEOTUWQVNLCH4SAKTVGQ" localSheetId="1" hidden="1">#REF!</definedName>
    <definedName name="BExIXLK6SEOTUWQVNLCH4SAKTVGQ" localSheetId="9" hidden="1">#REF!</definedName>
    <definedName name="BExIXLK6SEOTUWQVNLCH4SAKTVGQ" hidden="1">#REF!</definedName>
    <definedName name="BExIXM5R87ZL3FHALWZXYCPHGX3E" localSheetId="56" hidden="1">#REF!</definedName>
    <definedName name="BExIXM5R87ZL3FHALWZXYCPHGX3E" localSheetId="55" hidden="1">#REF!</definedName>
    <definedName name="BExIXM5R87ZL3FHALWZXYCPHGX3E" localSheetId="4" hidden="1">#REF!</definedName>
    <definedName name="BExIXM5R87ZL3FHALWZXYCPHGX3E" localSheetId="1" hidden="1">#REF!</definedName>
    <definedName name="BExIXM5R87ZL3FHALWZXYCPHGX3E" localSheetId="9" hidden="1">#REF!</definedName>
    <definedName name="BExIXM5R87ZL3FHALWZXYCPHGX3E" hidden="1">#REF!</definedName>
    <definedName name="BExIXN24YK8MIB3OZ905DHU9CDH1" localSheetId="56" hidden="1">#REF!</definedName>
    <definedName name="BExIXN24YK8MIB3OZ905DHU9CDH1" localSheetId="55" hidden="1">#REF!</definedName>
    <definedName name="BExIXN24YK8MIB3OZ905DHU9CDH1" localSheetId="4" hidden="1">#REF!</definedName>
    <definedName name="BExIXN24YK8MIB3OZ905DHU9CDH1" localSheetId="1" hidden="1">#REF!</definedName>
    <definedName name="BExIXN24YK8MIB3OZ905DHU9CDH1" localSheetId="9" hidden="1">#REF!</definedName>
    <definedName name="BExIXN24YK8MIB3OZ905DHU9CDH1" hidden="1">#REF!</definedName>
    <definedName name="BExIXS036ZCKT2Z8XZKLZ8PFWQGL" localSheetId="56" hidden="1">#REF!</definedName>
    <definedName name="BExIXS036ZCKT2Z8XZKLZ8PFWQGL" localSheetId="55" hidden="1">#REF!</definedName>
    <definedName name="BExIXS036ZCKT2Z8XZKLZ8PFWQGL" localSheetId="4" hidden="1">#REF!</definedName>
    <definedName name="BExIXS036ZCKT2Z8XZKLZ8PFWQGL" localSheetId="1" hidden="1">#REF!</definedName>
    <definedName name="BExIXS036ZCKT2Z8XZKLZ8PFWQGL" localSheetId="9" hidden="1">#REF!</definedName>
    <definedName name="BExIXS036ZCKT2Z8XZKLZ8PFWQGL" hidden="1">#REF!</definedName>
    <definedName name="BExIXY5CF9PFM0P40AZ4U51TMWV0" localSheetId="56" hidden="1">#REF!</definedName>
    <definedName name="BExIXY5CF9PFM0P40AZ4U51TMWV0" localSheetId="55" hidden="1">#REF!</definedName>
    <definedName name="BExIXY5CF9PFM0P40AZ4U51TMWV0" localSheetId="4" hidden="1">#REF!</definedName>
    <definedName name="BExIXY5CF9PFM0P40AZ4U51TMWV0" localSheetId="1" hidden="1">#REF!</definedName>
    <definedName name="BExIXY5CF9PFM0P40AZ4U51TMWV0" localSheetId="9" hidden="1">#REF!</definedName>
    <definedName name="BExIXY5CF9PFM0P40AZ4U51TMWV0" hidden="1">#REF!</definedName>
    <definedName name="BExIYEXJBK8JDWIRSVV4RJSKZVV1" localSheetId="56" hidden="1">#REF!</definedName>
    <definedName name="BExIYEXJBK8JDWIRSVV4RJSKZVV1" localSheetId="55" hidden="1">#REF!</definedName>
    <definedName name="BExIYEXJBK8JDWIRSVV4RJSKZVV1" localSheetId="4" hidden="1">#REF!</definedName>
    <definedName name="BExIYEXJBK8JDWIRSVV4RJSKZVV1" localSheetId="1" hidden="1">#REF!</definedName>
    <definedName name="BExIYEXJBK8JDWIRSVV4RJSKZVV1" localSheetId="9" hidden="1">#REF!</definedName>
    <definedName name="BExIYEXJBK8JDWIRSVV4RJSKZVV1" hidden="1">#REF!</definedName>
    <definedName name="BExIYFJ59KLIPRTGIHX9X07UVGT3" localSheetId="56" hidden="1">#REF!</definedName>
    <definedName name="BExIYFJ59KLIPRTGIHX9X07UVGT3" localSheetId="55" hidden="1">#REF!</definedName>
    <definedName name="BExIYFJ59KLIPRTGIHX9X07UVGT3" localSheetId="4" hidden="1">#REF!</definedName>
    <definedName name="BExIYFJ59KLIPRTGIHX9X07UVGT3" localSheetId="1" hidden="1">#REF!</definedName>
    <definedName name="BExIYFJ59KLIPRTGIHX9X07UVGT3" localSheetId="9" hidden="1">#REF!</definedName>
    <definedName name="BExIYFJ59KLIPRTGIHX9X07UVGT3" hidden="1">#REF!</definedName>
    <definedName name="BExIYHH7GZO6BU3DC4GRLH3FD3ZS" localSheetId="56" hidden="1">#REF!</definedName>
    <definedName name="BExIYHH7GZO6BU3DC4GRLH3FD3ZS" localSheetId="55" hidden="1">#REF!</definedName>
    <definedName name="BExIYHH7GZO6BU3DC4GRLH3FD3ZS" localSheetId="4" hidden="1">#REF!</definedName>
    <definedName name="BExIYHH7GZO6BU3DC4GRLH3FD3ZS" localSheetId="1" hidden="1">#REF!</definedName>
    <definedName name="BExIYHH7GZO6BU3DC4GRLH3FD3ZS" localSheetId="9" hidden="1">#REF!</definedName>
    <definedName name="BExIYHH7GZO6BU3DC4GRLH3FD3ZS" hidden="1">#REF!</definedName>
    <definedName name="BExIYHMPBTD67ZNUL9O76FZQHYPT" localSheetId="56" hidden="1">#REF!</definedName>
    <definedName name="BExIYHMPBTD67ZNUL9O76FZQHYPT" localSheetId="55" hidden="1">#REF!</definedName>
    <definedName name="BExIYHMPBTD67ZNUL9O76FZQHYPT" localSheetId="4" hidden="1">#REF!</definedName>
    <definedName name="BExIYHMPBTD67ZNUL9O76FZQHYPT" localSheetId="1" hidden="1">#REF!</definedName>
    <definedName name="BExIYHMPBTD67ZNUL9O76FZQHYPT" localSheetId="9" hidden="1">#REF!</definedName>
    <definedName name="BExIYHMPBTD67ZNUL9O76FZQHYPT" hidden="1">#REF!</definedName>
    <definedName name="BExIYI2RH0K4225XO970K2IQ1E79" localSheetId="56" hidden="1">#REF!</definedName>
    <definedName name="BExIYI2RH0K4225XO970K2IQ1E79" localSheetId="55" hidden="1">#REF!</definedName>
    <definedName name="BExIYI2RH0K4225XO970K2IQ1E79" localSheetId="4" hidden="1">#REF!</definedName>
    <definedName name="BExIYI2RH0K4225XO970K2IQ1E79" localSheetId="1" hidden="1">#REF!</definedName>
    <definedName name="BExIYI2RH0K4225XO970K2IQ1E79" localSheetId="9" hidden="1">#REF!</definedName>
    <definedName name="BExIYI2RH0K4225XO970K2IQ1E79" hidden="1">#REF!</definedName>
    <definedName name="BExIYMPZ0KS2KOJFQAUQJ77L7701" localSheetId="56" hidden="1">#REF!</definedName>
    <definedName name="BExIYMPZ0KS2KOJFQAUQJ77L7701" localSheetId="55" hidden="1">#REF!</definedName>
    <definedName name="BExIYMPZ0KS2KOJFQAUQJ77L7701" localSheetId="4" hidden="1">#REF!</definedName>
    <definedName name="BExIYMPZ0KS2KOJFQAUQJ77L7701" localSheetId="1" hidden="1">#REF!</definedName>
    <definedName name="BExIYMPZ0KS2KOJFQAUQJ77L7701" localSheetId="9" hidden="1">#REF!</definedName>
    <definedName name="BExIYMPZ0KS2KOJFQAUQJ77L7701" hidden="1">#REF!</definedName>
    <definedName name="BExIYP9Q6FV9T0R9G3UDKLS4TTYX" localSheetId="56" hidden="1">#REF!</definedName>
    <definedName name="BExIYP9Q6FV9T0R9G3UDKLS4TTYX" localSheetId="55" hidden="1">#REF!</definedName>
    <definedName name="BExIYP9Q6FV9T0R9G3UDKLS4TTYX" localSheetId="4" hidden="1">#REF!</definedName>
    <definedName name="BExIYP9Q6FV9T0R9G3UDKLS4TTYX" localSheetId="1" hidden="1">#REF!</definedName>
    <definedName name="BExIYP9Q6FV9T0R9G3UDKLS4TTYX" localSheetId="9" hidden="1">#REF!</definedName>
    <definedName name="BExIYP9Q6FV9T0R9G3UDKLS4TTYX" hidden="1">#REF!</definedName>
    <definedName name="BExIYZGLDQ1TN7BIIN4RLDP31GIM" localSheetId="56" hidden="1">#REF!</definedName>
    <definedName name="BExIYZGLDQ1TN7BIIN4RLDP31GIM" localSheetId="55" hidden="1">#REF!</definedName>
    <definedName name="BExIYZGLDQ1TN7BIIN4RLDP31GIM" localSheetId="4" hidden="1">#REF!</definedName>
    <definedName name="BExIYZGLDQ1TN7BIIN4RLDP31GIM" localSheetId="1" hidden="1">#REF!</definedName>
    <definedName name="BExIYZGLDQ1TN7BIIN4RLDP31GIM" localSheetId="9" hidden="1">#REF!</definedName>
    <definedName name="BExIYZGLDQ1TN7BIIN4RLDP31GIM" hidden="1">#REF!</definedName>
    <definedName name="BExIZ4K0EZJK6PW3L8SVKTJFSWW9" localSheetId="56" hidden="1">#REF!</definedName>
    <definedName name="BExIZ4K0EZJK6PW3L8SVKTJFSWW9" localSheetId="55" hidden="1">#REF!</definedName>
    <definedName name="BExIZ4K0EZJK6PW3L8SVKTJFSWW9" localSheetId="4" hidden="1">#REF!</definedName>
    <definedName name="BExIZ4K0EZJK6PW3L8SVKTJFSWW9" localSheetId="1" hidden="1">#REF!</definedName>
    <definedName name="BExIZ4K0EZJK6PW3L8SVKTJFSWW9" localSheetId="9" hidden="1">#REF!</definedName>
    <definedName name="BExIZ4K0EZJK6PW3L8SVKTJFSWW9" hidden="1">#REF!</definedName>
    <definedName name="BExIZAECOEZGBAO29QMV14E6XDIV" localSheetId="56" hidden="1">#REF!</definedName>
    <definedName name="BExIZAECOEZGBAO29QMV14E6XDIV" localSheetId="55" hidden="1">#REF!</definedName>
    <definedName name="BExIZAECOEZGBAO29QMV14E6XDIV" localSheetId="4" hidden="1">#REF!</definedName>
    <definedName name="BExIZAECOEZGBAO29QMV14E6XDIV" localSheetId="1" hidden="1">#REF!</definedName>
    <definedName name="BExIZAECOEZGBAO29QMV14E6XDIV" localSheetId="9" hidden="1">#REF!</definedName>
    <definedName name="BExIZAECOEZGBAO29QMV14E6XDIV" hidden="1">#REF!</definedName>
    <definedName name="BExIZHQR3N1546MQS83ZJ8I6SPZ3" localSheetId="56" hidden="1">#REF!</definedName>
    <definedName name="BExIZHQR3N1546MQS83ZJ8I6SPZ3" localSheetId="55" hidden="1">#REF!</definedName>
    <definedName name="BExIZHQR3N1546MQS83ZJ8I6SPZ3" localSheetId="4" hidden="1">#REF!</definedName>
    <definedName name="BExIZHQR3N1546MQS83ZJ8I6SPZ3" localSheetId="1" hidden="1">#REF!</definedName>
    <definedName name="BExIZHQR3N1546MQS83ZJ8I6SPZ3" localSheetId="9" hidden="1">#REF!</definedName>
    <definedName name="BExIZHQR3N1546MQS83ZJ8I6SPZ3" hidden="1">#REF!</definedName>
    <definedName name="BExIZKVXYD5O2JBU81F2UFJZLLSI" localSheetId="56" hidden="1">#REF!</definedName>
    <definedName name="BExIZKVXYD5O2JBU81F2UFJZLLSI" localSheetId="55" hidden="1">#REF!</definedName>
    <definedName name="BExIZKVXYD5O2JBU81F2UFJZLLSI" localSheetId="4" hidden="1">#REF!</definedName>
    <definedName name="BExIZKVXYD5O2JBU81F2UFJZLLSI" localSheetId="1" hidden="1">#REF!</definedName>
    <definedName name="BExIZKVXYD5O2JBU81F2UFJZLLSI" localSheetId="9" hidden="1">#REF!</definedName>
    <definedName name="BExIZKVXYD5O2JBU81F2UFJZLLSI" hidden="1">#REF!</definedName>
    <definedName name="BExIZPZDHC8HGER83WHCZAHOX7LK" localSheetId="56" hidden="1">#REF!</definedName>
    <definedName name="BExIZPZDHC8HGER83WHCZAHOX7LK" localSheetId="55" hidden="1">#REF!</definedName>
    <definedName name="BExIZPZDHC8HGER83WHCZAHOX7LK" localSheetId="4" hidden="1">#REF!</definedName>
    <definedName name="BExIZPZDHC8HGER83WHCZAHOX7LK" localSheetId="1" hidden="1">#REF!</definedName>
    <definedName name="BExIZPZDHC8HGER83WHCZAHOX7LK" localSheetId="9" hidden="1">#REF!</definedName>
    <definedName name="BExIZPZDHC8HGER83WHCZAHOX7LK" hidden="1">#REF!</definedName>
    <definedName name="BExIZQA5XCS39QKXMYR1MH2ZIGPS" localSheetId="56" hidden="1">#REF!</definedName>
    <definedName name="BExIZQA5XCS39QKXMYR1MH2ZIGPS" localSheetId="55" hidden="1">#REF!</definedName>
    <definedName name="BExIZQA5XCS39QKXMYR1MH2ZIGPS" localSheetId="4" hidden="1">#REF!</definedName>
    <definedName name="BExIZQA5XCS39QKXMYR1MH2ZIGPS" localSheetId="1" hidden="1">#REF!</definedName>
    <definedName name="BExIZQA5XCS39QKXMYR1MH2ZIGPS" localSheetId="9" hidden="1">#REF!</definedName>
    <definedName name="BExIZQA5XCS39QKXMYR1MH2ZIGPS" hidden="1">#REF!</definedName>
    <definedName name="BExIZVDLRUNAL32D9KO9X7Y4PB3O" localSheetId="56" hidden="1">#REF!</definedName>
    <definedName name="BExIZVDLRUNAL32D9KO9X7Y4PB3O" localSheetId="55" hidden="1">#REF!</definedName>
    <definedName name="BExIZVDLRUNAL32D9KO9X7Y4PB3O" localSheetId="4" hidden="1">#REF!</definedName>
    <definedName name="BExIZVDLRUNAL32D9KO9X7Y4PB3O" localSheetId="1" hidden="1">#REF!</definedName>
    <definedName name="BExIZVDLRUNAL32D9KO9X7Y4PB3O" localSheetId="9" hidden="1">#REF!</definedName>
    <definedName name="BExIZVDLRUNAL32D9KO9X7Y4PB3O" hidden="1">#REF!</definedName>
    <definedName name="BExIZY2PUZ0OF9YKK1B13IW0VS6G" localSheetId="56" hidden="1">#REF!</definedName>
    <definedName name="BExIZY2PUZ0OF9YKK1B13IW0VS6G" localSheetId="55" hidden="1">#REF!</definedName>
    <definedName name="BExIZY2PUZ0OF9YKK1B13IW0VS6G" localSheetId="4" hidden="1">#REF!</definedName>
    <definedName name="BExIZY2PUZ0OF9YKK1B13IW0VS6G" localSheetId="1" hidden="1">#REF!</definedName>
    <definedName name="BExIZY2PUZ0OF9YKK1B13IW0VS6G" localSheetId="9" hidden="1">#REF!</definedName>
    <definedName name="BExIZY2PUZ0OF9YKK1B13IW0VS6G" hidden="1">#REF!</definedName>
    <definedName name="BExJ08KBRR2XMWW3VZMPSQKXHZUH" localSheetId="56" hidden="1">#REF!</definedName>
    <definedName name="BExJ08KBRR2XMWW3VZMPSQKXHZUH" localSheetId="55" hidden="1">#REF!</definedName>
    <definedName name="BExJ08KBRR2XMWW3VZMPSQKXHZUH" localSheetId="4" hidden="1">#REF!</definedName>
    <definedName name="BExJ08KBRR2XMWW3VZMPSQKXHZUH" localSheetId="1" hidden="1">#REF!</definedName>
    <definedName name="BExJ08KBRR2XMWW3VZMPSQKXHZUH" localSheetId="9" hidden="1">#REF!</definedName>
    <definedName name="BExJ08KBRR2XMWW3VZMPSQKXHZUH" hidden="1">#REF!</definedName>
    <definedName name="BExJ0DYJWXGE7DA39PYL3WM05U9O" localSheetId="56" hidden="1">#REF!</definedName>
    <definedName name="BExJ0DYJWXGE7DA39PYL3WM05U9O" localSheetId="55" hidden="1">#REF!</definedName>
    <definedName name="BExJ0DYJWXGE7DA39PYL3WM05U9O" localSheetId="4" hidden="1">#REF!</definedName>
    <definedName name="BExJ0DYJWXGE7DA39PYL3WM05U9O" localSheetId="1" hidden="1">#REF!</definedName>
    <definedName name="BExJ0DYJWXGE7DA39PYL3WM05U9O" localSheetId="9" hidden="1">#REF!</definedName>
    <definedName name="BExJ0DYJWXGE7DA39PYL3WM05U9O" hidden="1">#REF!</definedName>
    <definedName name="BExJ0JYDEZPM2303TRBXOZ74M7N6" localSheetId="56" hidden="1">#REF!</definedName>
    <definedName name="BExJ0JYDEZPM2303TRBXOZ74M7N6" localSheetId="55" hidden="1">#REF!</definedName>
    <definedName name="BExJ0JYDEZPM2303TRBXOZ74M7N6" localSheetId="4" hidden="1">#REF!</definedName>
    <definedName name="BExJ0JYDEZPM2303TRBXOZ74M7N6" localSheetId="1" hidden="1">#REF!</definedName>
    <definedName name="BExJ0JYDEZPM2303TRBXOZ74M7N6" localSheetId="9" hidden="1">#REF!</definedName>
    <definedName name="BExJ0JYDEZPM2303TRBXOZ74M7N6" hidden="1">#REF!</definedName>
    <definedName name="BExJ0MY8SY5J5V50H3UKE78ODTVB" localSheetId="56" hidden="1">#REF!</definedName>
    <definedName name="BExJ0MY8SY5J5V50H3UKE78ODTVB" localSheetId="55" hidden="1">#REF!</definedName>
    <definedName name="BExJ0MY8SY5J5V50H3UKE78ODTVB" localSheetId="4" hidden="1">#REF!</definedName>
    <definedName name="BExJ0MY8SY5J5V50H3UKE78ODTVB" localSheetId="1" hidden="1">#REF!</definedName>
    <definedName name="BExJ0MY8SY5J5V50H3UKE78ODTVB" localSheetId="9" hidden="1">#REF!</definedName>
    <definedName name="BExJ0MY8SY5J5V50H3UKE78ODTVB" hidden="1">#REF!</definedName>
    <definedName name="BExJ0YC98G37ML4N8FLP8D95EFRF" localSheetId="56" hidden="1">#REF!</definedName>
    <definedName name="BExJ0YC98G37ML4N8FLP8D95EFRF" localSheetId="55" hidden="1">#REF!</definedName>
    <definedName name="BExJ0YC98G37ML4N8FLP8D95EFRF" localSheetId="4" hidden="1">#REF!</definedName>
    <definedName name="BExJ0YC98G37ML4N8FLP8D95EFRF" localSheetId="1" hidden="1">#REF!</definedName>
    <definedName name="BExJ0YC98G37ML4N8FLP8D95EFRF" localSheetId="9" hidden="1">#REF!</definedName>
    <definedName name="BExJ0YC98G37ML4N8FLP8D95EFRF" hidden="1">#REF!</definedName>
    <definedName name="BExKCDYKAEV45AFXHVHZZ62E5BM3" localSheetId="56" hidden="1">#REF!</definedName>
    <definedName name="BExKCDYKAEV45AFXHVHZZ62E5BM3" localSheetId="55" hidden="1">#REF!</definedName>
    <definedName name="BExKCDYKAEV45AFXHVHZZ62E5BM3" localSheetId="4" hidden="1">#REF!</definedName>
    <definedName name="BExKCDYKAEV45AFXHVHZZ62E5BM3" localSheetId="1" hidden="1">#REF!</definedName>
    <definedName name="BExKCDYKAEV45AFXHVHZZ62E5BM3" localSheetId="9" hidden="1">#REF!</definedName>
    <definedName name="BExKCDYKAEV45AFXHVHZZ62E5BM3" hidden="1">#REF!</definedName>
    <definedName name="BExKCYXU0W2VQVDI3N3N37K2598P" localSheetId="56" hidden="1">#REF!</definedName>
    <definedName name="BExKCYXU0W2VQVDI3N3N37K2598P" localSheetId="55" hidden="1">#REF!</definedName>
    <definedName name="BExKCYXU0W2VQVDI3N3N37K2598P" localSheetId="4" hidden="1">#REF!</definedName>
    <definedName name="BExKCYXU0W2VQVDI3N3N37K2598P" localSheetId="1" hidden="1">#REF!</definedName>
    <definedName name="BExKCYXU0W2VQVDI3N3N37K2598P" localSheetId="9" hidden="1">#REF!</definedName>
    <definedName name="BExKCYXU0W2VQVDI3N3N37K2598P" hidden="1">#REF!</definedName>
    <definedName name="BExKDJX3Z1TS0WFDD9EAO42JHL9G" localSheetId="56" hidden="1">#REF!</definedName>
    <definedName name="BExKDJX3Z1TS0WFDD9EAO42JHL9G" localSheetId="55" hidden="1">#REF!</definedName>
    <definedName name="BExKDJX3Z1TS0WFDD9EAO42JHL9G" localSheetId="4" hidden="1">#REF!</definedName>
    <definedName name="BExKDJX3Z1TS0WFDD9EAO42JHL9G" localSheetId="1" hidden="1">#REF!</definedName>
    <definedName name="BExKDJX3Z1TS0WFDD9EAO42JHL9G" localSheetId="9" hidden="1">#REF!</definedName>
    <definedName name="BExKDJX3Z1TS0WFDD9EAO42JHL9G" hidden="1">#REF!</definedName>
    <definedName name="BExKDK7WVA5I2WBACAZHAHN35D0I" localSheetId="56" hidden="1">#REF!</definedName>
    <definedName name="BExKDK7WVA5I2WBACAZHAHN35D0I" localSheetId="55" hidden="1">#REF!</definedName>
    <definedName name="BExKDK7WVA5I2WBACAZHAHN35D0I" localSheetId="4" hidden="1">#REF!</definedName>
    <definedName name="BExKDK7WVA5I2WBACAZHAHN35D0I" localSheetId="1" hidden="1">#REF!</definedName>
    <definedName name="BExKDK7WVA5I2WBACAZHAHN35D0I" localSheetId="9" hidden="1">#REF!</definedName>
    <definedName name="BExKDK7WVA5I2WBACAZHAHN35D0I" hidden="1">#REF!</definedName>
    <definedName name="BExKDKO0W4AGQO1V7K6Q4VM750FT" localSheetId="56" hidden="1">#REF!</definedName>
    <definedName name="BExKDKO0W4AGQO1V7K6Q4VM750FT" localSheetId="55" hidden="1">#REF!</definedName>
    <definedName name="BExKDKO0W4AGQO1V7K6Q4VM750FT" localSheetId="4" hidden="1">#REF!</definedName>
    <definedName name="BExKDKO0W4AGQO1V7K6Q4VM750FT" localSheetId="1" hidden="1">#REF!</definedName>
    <definedName name="BExKDKO0W4AGQO1V7K6Q4VM750FT" localSheetId="9" hidden="1">#REF!</definedName>
    <definedName name="BExKDKO0W4AGQO1V7K6Q4VM750FT" hidden="1">#REF!</definedName>
    <definedName name="BExKDLF10G7W77J87QWH3ZGLUCLW" localSheetId="56" hidden="1">#REF!</definedName>
    <definedName name="BExKDLF10G7W77J87QWH3ZGLUCLW" localSheetId="55" hidden="1">#REF!</definedName>
    <definedName name="BExKDLF10G7W77J87QWH3ZGLUCLW" localSheetId="4" hidden="1">#REF!</definedName>
    <definedName name="BExKDLF10G7W77J87QWH3ZGLUCLW" localSheetId="1" hidden="1">#REF!</definedName>
    <definedName name="BExKDLF10G7W77J87QWH3ZGLUCLW" localSheetId="9" hidden="1">#REF!</definedName>
    <definedName name="BExKDLF10G7W77J87QWH3ZGLUCLW" hidden="1">#REF!</definedName>
    <definedName name="BExKE2NDBQ14HOJH945N4W9ZZFJO" localSheetId="56" hidden="1">#REF!</definedName>
    <definedName name="BExKE2NDBQ14HOJH945N4W9ZZFJO" localSheetId="55" hidden="1">#REF!</definedName>
    <definedName name="BExKE2NDBQ14HOJH945N4W9ZZFJO" localSheetId="4" hidden="1">#REF!</definedName>
    <definedName name="BExKE2NDBQ14HOJH945N4W9ZZFJO" localSheetId="1" hidden="1">#REF!</definedName>
    <definedName name="BExKE2NDBQ14HOJH945N4W9ZZFJO" localSheetId="9" hidden="1">#REF!</definedName>
    <definedName name="BExKE2NDBQ14HOJH945N4W9ZZFJO" hidden="1">#REF!</definedName>
    <definedName name="BExKEFE0I3MT6ZLC4T1L9465HKTN" localSheetId="56" hidden="1">#REF!</definedName>
    <definedName name="BExKEFE0I3MT6ZLC4T1L9465HKTN" localSheetId="55" hidden="1">#REF!</definedName>
    <definedName name="BExKEFE0I3MT6ZLC4T1L9465HKTN" localSheetId="4" hidden="1">#REF!</definedName>
    <definedName name="BExKEFE0I3MT6ZLC4T1L9465HKTN" localSheetId="1" hidden="1">#REF!</definedName>
    <definedName name="BExKEFE0I3MT6ZLC4T1L9465HKTN" localSheetId="9" hidden="1">#REF!</definedName>
    <definedName name="BExKEFE0I3MT6ZLC4T1L9465HKTN" hidden="1">#REF!</definedName>
    <definedName name="BExKEK6O5BVJP4VY02FY7JNAZ6BT" localSheetId="56" hidden="1">#REF!</definedName>
    <definedName name="BExKEK6O5BVJP4VY02FY7JNAZ6BT" localSheetId="55" hidden="1">#REF!</definedName>
    <definedName name="BExKEK6O5BVJP4VY02FY7JNAZ6BT" localSheetId="4" hidden="1">#REF!</definedName>
    <definedName name="BExKEK6O5BVJP4VY02FY7JNAZ6BT" localSheetId="1" hidden="1">#REF!</definedName>
    <definedName name="BExKEK6O5BVJP4VY02FY7JNAZ6BT" localSheetId="9" hidden="1">#REF!</definedName>
    <definedName name="BExKEK6O5BVJP4VY02FY7JNAZ6BT" hidden="1">#REF!</definedName>
    <definedName name="BExKEKXK6E6QX339ELPXDIRZSJE0" localSheetId="56" hidden="1">#REF!</definedName>
    <definedName name="BExKEKXK6E6QX339ELPXDIRZSJE0" localSheetId="55" hidden="1">#REF!</definedName>
    <definedName name="BExKEKXK6E6QX339ELPXDIRZSJE0" localSheetId="4" hidden="1">#REF!</definedName>
    <definedName name="BExKEKXK6E6QX339ELPXDIRZSJE0" localSheetId="1" hidden="1">#REF!</definedName>
    <definedName name="BExKEKXK6E6QX339ELPXDIRZSJE0" localSheetId="9" hidden="1">#REF!</definedName>
    <definedName name="BExKEKXK6E6QX339ELPXDIRZSJE0" hidden="1">#REF!</definedName>
    <definedName name="BExKEMFI35R0D4WN4A59V9QH7I5S" localSheetId="56" hidden="1">#REF!</definedName>
    <definedName name="BExKEMFI35R0D4WN4A59V9QH7I5S" localSheetId="55" hidden="1">#REF!</definedName>
    <definedName name="BExKEMFI35R0D4WN4A59V9QH7I5S" localSheetId="4" hidden="1">#REF!</definedName>
    <definedName name="BExKEMFI35R0D4WN4A59V9QH7I5S" localSheetId="1" hidden="1">#REF!</definedName>
    <definedName name="BExKEMFI35R0D4WN4A59V9QH7I5S" localSheetId="9" hidden="1">#REF!</definedName>
    <definedName name="BExKEMFI35R0D4WN4A59V9QH7I5S" hidden="1">#REF!</definedName>
    <definedName name="BExKEOOIBMP7N8033EY2CJYCBX6H" localSheetId="56" hidden="1">#REF!</definedName>
    <definedName name="BExKEOOIBMP7N8033EY2CJYCBX6H" localSheetId="55" hidden="1">#REF!</definedName>
    <definedName name="BExKEOOIBMP7N8033EY2CJYCBX6H" localSheetId="4" hidden="1">#REF!</definedName>
    <definedName name="BExKEOOIBMP7N8033EY2CJYCBX6H" localSheetId="1" hidden="1">#REF!</definedName>
    <definedName name="BExKEOOIBMP7N8033EY2CJYCBX6H" localSheetId="9" hidden="1">#REF!</definedName>
    <definedName name="BExKEOOIBMP7N8033EY2CJYCBX6H" hidden="1">#REF!</definedName>
    <definedName name="BExKEW0RR5LA3VC46A2BEOOMQE56" localSheetId="56" hidden="1">#REF!</definedName>
    <definedName name="BExKEW0RR5LA3VC46A2BEOOMQE56" localSheetId="55" hidden="1">#REF!</definedName>
    <definedName name="BExKEW0RR5LA3VC46A2BEOOMQE56" localSheetId="4" hidden="1">#REF!</definedName>
    <definedName name="BExKEW0RR5LA3VC46A2BEOOMQE56" localSheetId="1" hidden="1">#REF!</definedName>
    <definedName name="BExKEW0RR5LA3VC46A2BEOOMQE56" localSheetId="9" hidden="1">#REF!</definedName>
    <definedName name="BExKEW0RR5LA3VC46A2BEOOMQE56" hidden="1">#REF!</definedName>
    <definedName name="BExKF37PTJB4PE1PUQWG20ASBX4E" localSheetId="56" hidden="1">#REF!</definedName>
    <definedName name="BExKF37PTJB4PE1PUQWG20ASBX4E" localSheetId="55" hidden="1">#REF!</definedName>
    <definedName name="BExKF37PTJB4PE1PUQWG20ASBX4E" localSheetId="4" hidden="1">#REF!</definedName>
    <definedName name="BExKF37PTJB4PE1PUQWG20ASBX4E" localSheetId="1" hidden="1">#REF!</definedName>
    <definedName name="BExKF37PTJB4PE1PUQWG20ASBX4E" localSheetId="9" hidden="1">#REF!</definedName>
    <definedName name="BExKF37PTJB4PE1PUQWG20ASBX4E" hidden="1">#REF!</definedName>
    <definedName name="BExKFA3VI1CZK21SM0N3LZWT9LA1" localSheetId="56" hidden="1">#REF!</definedName>
    <definedName name="BExKFA3VI1CZK21SM0N3LZWT9LA1" localSheetId="55" hidden="1">#REF!</definedName>
    <definedName name="BExKFA3VI1CZK21SM0N3LZWT9LA1" localSheetId="4" hidden="1">#REF!</definedName>
    <definedName name="BExKFA3VI1CZK21SM0N3LZWT9LA1" localSheetId="1" hidden="1">#REF!</definedName>
    <definedName name="BExKFA3VI1CZK21SM0N3LZWT9LA1" localSheetId="9" hidden="1">#REF!</definedName>
    <definedName name="BExKFA3VI1CZK21SM0N3LZWT9LA1" hidden="1">#REF!</definedName>
    <definedName name="BExKFBB29XXT9A2LVUXYSIVKPWGB" localSheetId="56" hidden="1">#REF!</definedName>
    <definedName name="BExKFBB29XXT9A2LVUXYSIVKPWGB" localSheetId="55" hidden="1">#REF!</definedName>
    <definedName name="BExKFBB29XXT9A2LVUXYSIVKPWGB" localSheetId="4" hidden="1">#REF!</definedName>
    <definedName name="BExKFBB29XXT9A2LVUXYSIVKPWGB" localSheetId="1" hidden="1">#REF!</definedName>
    <definedName name="BExKFBB29XXT9A2LVUXYSIVKPWGB" localSheetId="9" hidden="1">#REF!</definedName>
    <definedName name="BExKFBB29XXT9A2LVUXYSIVKPWGB" hidden="1">#REF!</definedName>
    <definedName name="BExKFINBFV5J2NFRCL4YUO3YF0ZE" localSheetId="56" hidden="1">#REF!</definedName>
    <definedName name="BExKFINBFV5J2NFRCL4YUO3YF0ZE" localSheetId="55" hidden="1">#REF!</definedName>
    <definedName name="BExKFINBFV5J2NFRCL4YUO3YF0ZE" localSheetId="4" hidden="1">#REF!</definedName>
    <definedName name="BExKFINBFV5J2NFRCL4YUO3YF0ZE" localSheetId="1" hidden="1">#REF!</definedName>
    <definedName name="BExKFINBFV5J2NFRCL4YUO3YF0ZE" localSheetId="9" hidden="1">#REF!</definedName>
    <definedName name="BExKFINBFV5J2NFRCL4YUO3YF0ZE" hidden="1">#REF!</definedName>
    <definedName name="BExKFISRBFACTAMJSALEYMY66F6X" localSheetId="56" hidden="1">#REF!</definedName>
    <definedName name="BExKFISRBFACTAMJSALEYMY66F6X" localSheetId="55" hidden="1">#REF!</definedName>
    <definedName name="BExKFISRBFACTAMJSALEYMY66F6X" localSheetId="4" hidden="1">#REF!</definedName>
    <definedName name="BExKFISRBFACTAMJSALEYMY66F6X" localSheetId="1" hidden="1">#REF!</definedName>
    <definedName name="BExKFISRBFACTAMJSALEYMY66F6X" localSheetId="9" hidden="1">#REF!</definedName>
    <definedName name="BExKFISRBFACTAMJSALEYMY66F6X" hidden="1">#REF!</definedName>
    <definedName name="BExKFOSK5DJ151C4E8544UWMYTOC" localSheetId="56" hidden="1">#REF!</definedName>
    <definedName name="BExKFOSK5DJ151C4E8544UWMYTOC" localSheetId="55" hidden="1">#REF!</definedName>
    <definedName name="BExKFOSK5DJ151C4E8544UWMYTOC" localSheetId="4" hidden="1">#REF!</definedName>
    <definedName name="BExKFOSK5DJ151C4E8544UWMYTOC" localSheetId="1" hidden="1">#REF!</definedName>
    <definedName name="BExKFOSK5DJ151C4E8544UWMYTOC" localSheetId="9" hidden="1">#REF!</definedName>
    <definedName name="BExKFOSK5DJ151C4E8544UWMYTOC" hidden="1">#REF!</definedName>
    <definedName name="BExKFWL3DE1V1VOVHAFYBE85QUB7" localSheetId="56" hidden="1">#REF!</definedName>
    <definedName name="BExKFWL3DE1V1VOVHAFYBE85QUB7" localSheetId="55" hidden="1">#REF!</definedName>
    <definedName name="BExKFWL3DE1V1VOVHAFYBE85QUB7" localSheetId="4" hidden="1">#REF!</definedName>
    <definedName name="BExKFWL3DE1V1VOVHAFYBE85QUB7" localSheetId="1" hidden="1">#REF!</definedName>
    <definedName name="BExKFWL3DE1V1VOVHAFYBE85QUB7" localSheetId="9" hidden="1">#REF!</definedName>
    <definedName name="BExKFWL3DE1V1VOVHAFYBE85QUB7" hidden="1">#REF!</definedName>
    <definedName name="BExKFXS9NDEWPZDVGLTMOM3CFO7N" localSheetId="56" hidden="1">#REF!</definedName>
    <definedName name="BExKFXS9NDEWPZDVGLTMOM3CFO7N" localSheetId="55" hidden="1">#REF!</definedName>
    <definedName name="BExKFXS9NDEWPZDVGLTMOM3CFO7N" localSheetId="4" hidden="1">#REF!</definedName>
    <definedName name="BExKFXS9NDEWPZDVGLTMOM3CFO7N" localSheetId="1" hidden="1">#REF!</definedName>
    <definedName name="BExKFXS9NDEWPZDVGLTMOM3CFO7N" localSheetId="9" hidden="1">#REF!</definedName>
    <definedName name="BExKFXS9NDEWPZDVGLTMOM3CFO7N" hidden="1">#REF!</definedName>
    <definedName name="BExKFYJC4EVEV54F82K6VKP7Q3OU" localSheetId="56" hidden="1">#REF!</definedName>
    <definedName name="BExKFYJC4EVEV54F82K6VKP7Q3OU" localSheetId="55" hidden="1">#REF!</definedName>
    <definedName name="BExKFYJC4EVEV54F82K6VKP7Q3OU" localSheetId="4" hidden="1">#REF!</definedName>
    <definedName name="BExKFYJC4EVEV54F82K6VKP7Q3OU" localSheetId="1" hidden="1">#REF!</definedName>
    <definedName name="BExKFYJC4EVEV54F82K6VKP7Q3OU" localSheetId="9" hidden="1">#REF!</definedName>
    <definedName name="BExKFYJC4EVEV54F82K6VKP7Q3OU" hidden="1">#REF!</definedName>
    <definedName name="BExKG4IYHBKQQ8J8FN10GB2IKO33" localSheetId="56" hidden="1">#REF!</definedName>
    <definedName name="BExKG4IYHBKQQ8J8FN10GB2IKO33" localSheetId="55" hidden="1">#REF!</definedName>
    <definedName name="BExKG4IYHBKQQ8J8FN10GB2IKO33" localSheetId="4" hidden="1">#REF!</definedName>
    <definedName name="BExKG4IYHBKQQ8J8FN10GB2IKO33" localSheetId="1" hidden="1">#REF!</definedName>
    <definedName name="BExKG4IYHBKQQ8J8FN10GB2IKO33" localSheetId="9" hidden="1">#REF!</definedName>
    <definedName name="BExKG4IYHBKQQ8J8FN10GB2IKO33" hidden="1">#REF!</definedName>
    <definedName name="BExKGBVDO2JNJUFOFQMF0RJG03ZK" localSheetId="56" hidden="1">#REF!</definedName>
    <definedName name="BExKGBVDO2JNJUFOFQMF0RJG03ZK" localSheetId="55" hidden="1">#REF!</definedName>
    <definedName name="BExKGBVDO2JNJUFOFQMF0RJG03ZK" localSheetId="4" hidden="1">#REF!</definedName>
    <definedName name="BExKGBVDO2JNJUFOFQMF0RJG03ZK" localSheetId="1" hidden="1">#REF!</definedName>
    <definedName name="BExKGBVDO2JNJUFOFQMF0RJG03ZK" localSheetId="9" hidden="1">#REF!</definedName>
    <definedName name="BExKGBVDO2JNJUFOFQMF0RJG03ZK" hidden="1">#REF!</definedName>
    <definedName name="BExKGF0L44S78D33WMQ1A75TRKB9" localSheetId="56" hidden="1">#REF!</definedName>
    <definedName name="BExKGF0L44S78D33WMQ1A75TRKB9" localSheetId="55" hidden="1">#REF!</definedName>
    <definedName name="BExKGF0L44S78D33WMQ1A75TRKB9" localSheetId="4" hidden="1">#REF!</definedName>
    <definedName name="BExKGF0L44S78D33WMQ1A75TRKB9" localSheetId="1" hidden="1">#REF!</definedName>
    <definedName name="BExKGF0L44S78D33WMQ1A75TRKB9" localSheetId="9" hidden="1">#REF!</definedName>
    <definedName name="BExKGF0L44S78D33WMQ1A75TRKB9" hidden="1">#REF!</definedName>
    <definedName name="BExKGFRN31B3G20LMQ4LRF879J68" localSheetId="56" hidden="1">#REF!</definedName>
    <definedName name="BExKGFRN31B3G20LMQ4LRF879J68" localSheetId="55" hidden="1">#REF!</definedName>
    <definedName name="BExKGFRN31B3G20LMQ4LRF879J68" localSheetId="4" hidden="1">#REF!</definedName>
    <definedName name="BExKGFRN31B3G20LMQ4LRF879J68" localSheetId="1" hidden="1">#REF!</definedName>
    <definedName name="BExKGFRN31B3G20LMQ4LRF879J68" localSheetId="9" hidden="1">#REF!</definedName>
    <definedName name="BExKGFRN31B3G20LMQ4LRF879J68" hidden="1">#REF!</definedName>
    <definedName name="BExKGJD3U3ADZILP20U3EURP0UQP" localSheetId="56" hidden="1">#REF!</definedName>
    <definedName name="BExKGJD3U3ADZILP20U3EURP0UQP" localSheetId="55" hidden="1">#REF!</definedName>
    <definedName name="BExKGJD3U3ADZILP20U3EURP0UQP" localSheetId="4" hidden="1">#REF!</definedName>
    <definedName name="BExKGJD3U3ADZILP20U3EURP0UQP" localSheetId="1" hidden="1">#REF!</definedName>
    <definedName name="BExKGJD3U3ADZILP20U3EURP0UQP" localSheetId="9" hidden="1">#REF!</definedName>
    <definedName name="BExKGJD3U3ADZILP20U3EURP0UQP" hidden="1">#REF!</definedName>
    <definedName name="BExKGNK5YGKP0YHHTAAOV17Z9EIM" localSheetId="56" hidden="1">#REF!</definedName>
    <definedName name="BExKGNK5YGKP0YHHTAAOV17Z9EIM" localSheetId="55" hidden="1">#REF!</definedName>
    <definedName name="BExKGNK5YGKP0YHHTAAOV17Z9EIM" localSheetId="4" hidden="1">#REF!</definedName>
    <definedName name="BExKGNK5YGKP0YHHTAAOV17Z9EIM" localSheetId="1" hidden="1">#REF!</definedName>
    <definedName name="BExKGNK5YGKP0YHHTAAOV17Z9EIM" localSheetId="9" hidden="1">#REF!</definedName>
    <definedName name="BExKGNK5YGKP0YHHTAAOV17Z9EIM" hidden="1">#REF!</definedName>
    <definedName name="BExKGV77YH9YXIQTRKK2331QGYKF" localSheetId="56" hidden="1">#REF!</definedName>
    <definedName name="BExKGV77YH9YXIQTRKK2331QGYKF" localSheetId="55" hidden="1">#REF!</definedName>
    <definedName name="BExKGV77YH9YXIQTRKK2331QGYKF" localSheetId="4" hidden="1">#REF!</definedName>
    <definedName name="BExKGV77YH9YXIQTRKK2331QGYKF" localSheetId="1" hidden="1">#REF!</definedName>
    <definedName name="BExKGV77YH9YXIQTRKK2331QGYKF" localSheetId="9" hidden="1">#REF!</definedName>
    <definedName name="BExKGV77YH9YXIQTRKK2331QGYKF" hidden="1">#REF!</definedName>
    <definedName name="BExKH3FTZ5VGTB86W9M4AB39R0G8" localSheetId="56" hidden="1">#REF!</definedName>
    <definedName name="BExKH3FTZ5VGTB86W9M4AB39R0G8" localSheetId="55" hidden="1">#REF!</definedName>
    <definedName name="BExKH3FTZ5VGTB86W9M4AB39R0G8" localSheetId="4" hidden="1">#REF!</definedName>
    <definedName name="BExKH3FTZ5VGTB86W9M4AB39R0G8" localSheetId="1" hidden="1">#REF!</definedName>
    <definedName name="BExKH3FTZ5VGTB86W9M4AB39R0G8" localSheetId="9" hidden="1">#REF!</definedName>
    <definedName name="BExKH3FTZ5VGTB86W9M4AB39R0G8" hidden="1">#REF!</definedName>
    <definedName name="BExKH3FV5U5O6XZM7STS3NZKQFGJ" localSheetId="56" hidden="1">#REF!</definedName>
    <definedName name="BExKH3FV5U5O6XZM7STS3NZKQFGJ" localSheetId="55" hidden="1">#REF!</definedName>
    <definedName name="BExKH3FV5U5O6XZM7STS3NZKQFGJ" localSheetId="4" hidden="1">#REF!</definedName>
    <definedName name="BExKH3FV5U5O6XZM7STS3NZKQFGJ" localSheetId="1" hidden="1">#REF!</definedName>
    <definedName name="BExKH3FV5U5O6XZM7STS3NZKQFGJ" localSheetId="9" hidden="1">#REF!</definedName>
    <definedName name="BExKH3FV5U5O6XZM7STS3NZKQFGJ" hidden="1">#REF!</definedName>
    <definedName name="BExKH3W5435VN8DZ68OCKI93SEO4" localSheetId="56" hidden="1">#REF!</definedName>
    <definedName name="BExKH3W5435VN8DZ68OCKI93SEO4" localSheetId="55" hidden="1">#REF!</definedName>
    <definedName name="BExKH3W5435VN8DZ68OCKI93SEO4" localSheetId="4" hidden="1">#REF!</definedName>
    <definedName name="BExKH3W5435VN8DZ68OCKI93SEO4" localSheetId="1" hidden="1">#REF!</definedName>
    <definedName name="BExKH3W5435VN8DZ68OCKI93SEO4" localSheetId="9" hidden="1">#REF!</definedName>
    <definedName name="BExKH3W5435VN8DZ68OCKI93SEO4" hidden="1">#REF!</definedName>
    <definedName name="BExKH9L4L5ZUAA98QAZ7DB7YH4QE" localSheetId="56" hidden="1">#REF!</definedName>
    <definedName name="BExKH9L4L5ZUAA98QAZ7DB7YH4QE" localSheetId="55" hidden="1">#REF!</definedName>
    <definedName name="BExKH9L4L5ZUAA98QAZ7DB7YH4QE" localSheetId="4" hidden="1">#REF!</definedName>
    <definedName name="BExKH9L4L5ZUAA98QAZ7DB7YH4QE" localSheetId="1" hidden="1">#REF!</definedName>
    <definedName name="BExKH9L4L5ZUAA98QAZ7DB7YH4QE" localSheetId="9" hidden="1">#REF!</definedName>
    <definedName name="BExKH9L4L5ZUAA98QAZ7DB7YH4QE" hidden="1">#REF!</definedName>
    <definedName name="BExKHAMUH8NR3HRV0V6FHJE3ROLN" localSheetId="56" hidden="1">#REF!</definedName>
    <definedName name="BExKHAMUH8NR3HRV0V6FHJE3ROLN" localSheetId="55" hidden="1">#REF!</definedName>
    <definedName name="BExKHAMUH8NR3HRV0V6FHJE3ROLN" localSheetId="4" hidden="1">#REF!</definedName>
    <definedName name="BExKHAMUH8NR3HRV0V6FHJE3ROLN" localSheetId="1" hidden="1">#REF!</definedName>
    <definedName name="BExKHAMUH8NR3HRV0V6FHJE3ROLN" localSheetId="9" hidden="1">#REF!</definedName>
    <definedName name="BExKHAMUH8NR3HRV0V6FHJE3ROLN" hidden="1">#REF!</definedName>
    <definedName name="BExKHCFKOWFHO2WW0N7Y5XDXEWAO" localSheetId="56" hidden="1">#REF!</definedName>
    <definedName name="BExKHCFKOWFHO2WW0N7Y5XDXEWAO" localSheetId="55" hidden="1">#REF!</definedName>
    <definedName name="BExKHCFKOWFHO2WW0N7Y5XDXEWAO" localSheetId="4" hidden="1">#REF!</definedName>
    <definedName name="BExKHCFKOWFHO2WW0N7Y5XDXEWAO" localSheetId="1" hidden="1">#REF!</definedName>
    <definedName name="BExKHCFKOWFHO2WW0N7Y5XDXEWAO" localSheetId="9" hidden="1">#REF!</definedName>
    <definedName name="BExKHCFKOWFHO2WW0N7Y5XDXEWAO" hidden="1">#REF!</definedName>
    <definedName name="BExKHIVLONZ46HLMR50DEXKEUNEP" localSheetId="56" hidden="1">#REF!</definedName>
    <definedName name="BExKHIVLONZ46HLMR50DEXKEUNEP" localSheetId="55" hidden="1">#REF!</definedName>
    <definedName name="BExKHIVLONZ46HLMR50DEXKEUNEP" localSheetId="4" hidden="1">#REF!</definedName>
    <definedName name="BExKHIVLONZ46HLMR50DEXKEUNEP" localSheetId="1" hidden="1">#REF!</definedName>
    <definedName name="BExKHIVLONZ46HLMR50DEXKEUNEP" localSheetId="9" hidden="1">#REF!</definedName>
    <definedName name="BExKHIVLONZ46HLMR50DEXKEUNEP" hidden="1">#REF!</definedName>
    <definedName name="BExKHPM9XA0ADDK7TUR0N38EXWEP" localSheetId="56" hidden="1">#REF!</definedName>
    <definedName name="BExKHPM9XA0ADDK7TUR0N38EXWEP" localSheetId="55" hidden="1">#REF!</definedName>
    <definedName name="BExKHPM9XA0ADDK7TUR0N38EXWEP" localSheetId="4" hidden="1">#REF!</definedName>
    <definedName name="BExKHPM9XA0ADDK7TUR0N38EXWEP" localSheetId="1" hidden="1">#REF!</definedName>
    <definedName name="BExKHPM9XA0ADDK7TUR0N38EXWEP" localSheetId="9" hidden="1">#REF!</definedName>
    <definedName name="BExKHPM9XA0ADDK7TUR0N38EXWEP" hidden="1">#REF!</definedName>
    <definedName name="BExKHQYXEM47TMIQRQVHE4T5LT8K" localSheetId="56" hidden="1">#REF!</definedName>
    <definedName name="BExKHQYXEM47TMIQRQVHE4T5LT8K" localSheetId="55" hidden="1">#REF!</definedName>
    <definedName name="BExKHQYXEM47TMIQRQVHE4T5LT8K" localSheetId="4" hidden="1">#REF!</definedName>
    <definedName name="BExKHQYXEM47TMIQRQVHE4T5LT8K" localSheetId="1" hidden="1">#REF!</definedName>
    <definedName name="BExKHQYXEM47TMIQRQVHE4T5LT8K" localSheetId="9" hidden="1">#REF!</definedName>
    <definedName name="BExKHQYXEM47TMIQRQVHE4T5LT8K" hidden="1">#REF!</definedName>
    <definedName name="BExKI4076KXCDE5KXL79KT36OKLO" localSheetId="56" hidden="1">#REF!</definedName>
    <definedName name="BExKI4076KXCDE5KXL79KT36OKLO" localSheetId="55" hidden="1">#REF!</definedName>
    <definedName name="BExKI4076KXCDE5KXL79KT36OKLO" localSheetId="4" hidden="1">#REF!</definedName>
    <definedName name="BExKI4076KXCDE5KXL79KT36OKLO" localSheetId="1" hidden="1">#REF!</definedName>
    <definedName name="BExKI4076KXCDE5KXL79KT36OKLO" localSheetId="9" hidden="1">#REF!</definedName>
    <definedName name="BExKI4076KXCDE5KXL79KT36OKLO" hidden="1">#REF!</definedName>
    <definedName name="BExKI7AUWXBP1WBLFRIYSNQZDWCY" localSheetId="56" hidden="1">#REF!</definedName>
    <definedName name="BExKI7AUWXBP1WBLFRIYSNQZDWCY" localSheetId="55" hidden="1">#REF!</definedName>
    <definedName name="BExKI7AUWXBP1WBLFRIYSNQZDWCY" localSheetId="4" hidden="1">#REF!</definedName>
    <definedName name="BExKI7AUWXBP1WBLFRIYSNQZDWCY" localSheetId="1" hidden="1">#REF!</definedName>
    <definedName name="BExKI7AUWXBP1WBLFRIYSNQZDWCY" localSheetId="9" hidden="1">#REF!</definedName>
    <definedName name="BExKI7AUWXBP1WBLFRIYSNQZDWCY" hidden="1">#REF!</definedName>
    <definedName name="BExKI7LO70WYISR7Q0Y1ZDWO9M3B" localSheetId="56" hidden="1">#REF!</definedName>
    <definedName name="BExKI7LO70WYISR7Q0Y1ZDWO9M3B" localSheetId="55" hidden="1">#REF!</definedName>
    <definedName name="BExKI7LO70WYISR7Q0Y1ZDWO9M3B" localSheetId="4" hidden="1">#REF!</definedName>
    <definedName name="BExKI7LO70WYISR7Q0Y1ZDWO9M3B" localSheetId="1" hidden="1">#REF!</definedName>
    <definedName name="BExKI7LO70WYISR7Q0Y1ZDWO9M3B" localSheetId="9" hidden="1">#REF!</definedName>
    <definedName name="BExKI7LO70WYISR7Q0Y1ZDWO9M3B" hidden="1">#REF!</definedName>
    <definedName name="BExKIF3EIT434ZQKMDXUBJCRLMK8" localSheetId="56" hidden="1">#REF!</definedName>
    <definedName name="BExKIF3EIT434ZQKMDXUBJCRLMK8" localSheetId="55" hidden="1">#REF!</definedName>
    <definedName name="BExKIF3EIT434ZQKMDXUBJCRLMK8" localSheetId="4" hidden="1">#REF!</definedName>
    <definedName name="BExKIF3EIT434ZQKMDXUBJCRLMK8" localSheetId="1" hidden="1">#REF!</definedName>
    <definedName name="BExKIF3EIT434ZQKMDXUBJCRLMK8" localSheetId="9" hidden="1">#REF!</definedName>
    <definedName name="BExKIF3EIT434ZQKMDXUBJCRLMK8" hidden="1">#REF!</definedName>
    <definedName name="BExKIGQV6TXIZG039HBOJU62WP2U" localSheetId="56" hidden="1">#REF!</definedName>
    <definedName name="BExKIGQV6TXIZG039HBOJU62WP2U" localSheetId="55" hidden="1">#REF!</definedName>
    <definedName name="BExKIGQV6TXIZG039HBOJU62WP2U" localSheetId="4" hidden="1">#REF!</definedName>
    <definedName name="BExKIGQV6TXIZG039HBOJU62WP2U" localSheetId="1" hidden="1">#REF!</definedName>
    <definedName name="BExKIGQV6TXIZG039HBOJU62WP2U" localSheetId="9" hidden="1">#REF!</definedName>
    <definedName name="BExKIGQV6TXIZG039HBOJU62WP2U" hidden="1">#REF!</definedName>
    <definedName name="BExKILE008SF3KTAN8WML3XKI1NZ" localSheetId="56" hidden="1">#REF!</definedName>
    <definedName name="BExKILE008SF3KTAN8WML3XKI1NZ" localSheetId="55" hidden="1">#REF!</definedName>
    <definedName name="BExKILE008SF3KTAN8WML3XKI1NZ" localSheetId="4" hidden="1">#REF!</definedName>
    <definedName name="BExKILE008SF3KTAN8WML3XKI1NZ" localSheetId="1" hidden="1">#REF!</definedName>
    <definedName name="BExKILE008SF3KTAN8WML3XKI1NZ" localSheetId="9" hidden="1">#REF!</definedName>
    <definedName name="BExKILE008SF3KTAN8WML3XKI1NZ" hidden="1">#REF!</definedName>
    <definedName name="BExKINSBB6RS7I489QHMCOMU4Z2X" localSheetId="56" hidden="1">#REF!</definedName>
    <definedName name="BExKINSBB6RS7I489QHMCOMU4Z2X" localSheetId="55" hidden="1">#REF!</definedName>
    <definedName name="BExKINSBB6RS7I489QHMCOMU4Z2X" localSheetId="4" hidden="1">#REF!</definedName>
    <definedName name="BExKINSBB6RS7I489QHMCOMU4Z2X" localSheetId="1" hidden="1">#REF!</definedName>
    <definedName name="BExKINSBB6RS7I489QHMCOMU4Z2X" localSheetId="9" hidden="1">#REF!</definedName>
    <definedName name="BExKINSBB6RS7I489QHMCOMU4Z2X" hidden="1">#REF!</definedName>
    <definedName name="BExKINXMPEA03CETGL1VOW1XRJIR" localSheetId="56" hidden="1">#REF!</definedName>
    <definedName name="BExKINXMPEA03CETGL1VOW1XRJIR" localSheetId="55" hidden="1">#REF!</definedName>
    <definedName name="BExKINXMPEA03CETGL1VOW1XRJIR" localSheetId="4" hidden="1">#REF!</definedName>
    <definedName name="BExKINXMPEA03CETGL1VOW1XRJIR" localSheetId="1" hidden="1">#REF!</definedName>
    <definedName name="BExKINXMPEA03CETGL1VOW1XRJIR" localSheetId="9" hidden="1">#REF!</definedName>
    <definedName name="BExKINXMPEA03CETGL1VOW1XRJIR" hidden="1">#REF!</definedName>
    <definedName name="BExKITBU5LXLZYDJS3D3BAVWEY3U" localSheetId="56" hidden="1">#REF!</definedName>
    <definedName name="BExKITBU5LXLZYDJS3D3BAVWEY3U" localSheetId="55" hidden="1">#REF!</definedName>
    <definedName name="BExKITBU5LXLZYDJS3D3BAVWEY3U" localSheetId="4" hidden="1">#REF!</definedName>
    <definedName name="BExKITBU5LXLZYDJS3D3BAVWEY3U" localSheetId="1" hidden="1">#REF!</definedName>
    <definedName name="BExKITBU5LXLZYDJS3D3BAVWEY3U" localSheetId="9" hidden="1">#REF!</definedName>
    <definedName name="BExKITBU5LXLZYDJS3D3BAVWEY3U" hidden="1">#REF!</definedName>
    <definedName name="BExKIU87ZKSOC2DYZWFK6SAK9I8E" localSheetId="56" hidden="1">#REF!</definedName>
    <definedName name="BExKIU87ZKSOC2DYZWFK6SAK9I8E" localSheetId="55" hidden="1">#REF!</definedName>
    <definedName name="BExKIU87ZKSOC2DYZWFK6SAK9I8E" localSheetId="4" hidden="1">#REF!</definedName>
    <definedName name="BExKIU87ZKSOC2DYZWFK6SAK9I8E" localSheetId="1" hidden="1">#REF!</definedName>
    <definedName name="BExKIU87ZKSOC2DYZWFK6SAK9I8E" localSheetId="9" hidden="1">#REF!</definedName>
    <definedName name="BExKIU87ZKSOC2DYZWFK6SAK9I8E" hidden="1">#REF!</definedName>
    <definedName name="BExKJ449HLYX2DJ9UF0H9GTPSQ73" localSheetId="56" hidden="1">#REF!</definedName>
    <definedName name="BExKJ449HLYX2DJ9UF0H9GTPSQ73" localSheetId="55" hidden="1">#REF!</definedName>
    <definedName name="BExKJ449HLYX2DJ9UF0H9GTPSQ73" localSheetId="4" hidden="1">#REF!</definedName>
    <definedName name="BExKJ449HLYX2DJ9UF0H9GTPSQ73" localSheetId="1" hidden="1">#REF!</definedName>
    <definedName name="BExKJ449HLYX2DJ9UF0H9GTPSQ73" localSheetId="9" hidden="1">#REF!</definedName>
    <definedName name="BExKJ449HLYX2DJ9UF0H9GTPSQ73" hidden="1">#REF!</definedName>
    <definedName name="BExKJ5649R9IC0GKQD6QI2G7C99Q" localSheetId="56" hidden="1">#REF!</definedName>
    <definedName name="BExKJ5649R9IC0GKQD6QI2G7C99Q" localSheetId="55" hidden="1">#REF!</definedName>
    <definedName name="BExKJ5649R9IC0GKQD6QI2G7C99Q" localSheetId="4" hidden="1">#REF!</definedName>
    <definedName name="BExKJ5649R9IC0GKQD6QI2G7C99Q" localSheetId="1" hidden="1">#REF!</definedName>
    <definedName name="BExKJ5649R9IC0GKQD6QI2G7C99Q" localSheetId="9" hidden="1">#REF!</definedName>
    <definedName name="BExKJ5649R9IC0GKQD6QI2G7C99Q" hidden="1">#REF!</definedName>
    <definedName name="BExKJEB4FXIMV2AAE9S3FCGRK1R0" localSheetId="56" hidden="1">#REF!</definedName>
    <definedName name="BExKJEB4FXIMV2AAE9S3FCGRK1R0" localSheetId="55" hidden="1">#REF!</definedName>
    <definedName name="BExKJEB4FXIMV2AAE9S3FCGRK1R0" localSheetId="4" hidden="1">#REF!</definedName>
    <definedName name="BExKJEB4FXIMV2AAE9S3FCGRK1R0" localSheetId="1" hidden="1">#REF!</definedName>
    <definedName name="BExKJEB4FXIMV2AAE9S3FCGRK1R0" localSheetId="9" hidden="1">#REF!</definedName>
    <definedName name="BExKJEB4FXIMV2AAE9S3FCGRK1R0" hidden="1">#REF!</definedName>
    <definedName name="BExKJELX2RUC8UEC56IZPYYZXHA7" localSheetId="56" hidden="1">#REF!</definedName>
    <definedName name="BExKJELX2RUC8UEC56IZPYYZXHA7" localSheetId="55" hidden="1">#REF!</definedName>
    <definedName name="BExKJELX2RUC8UEC56IZPYYZXHA7" localSheetId="4" hidden="1">#REF!</definedName>
    <definedName name="BExKJELX2RUC8UEC56IZPYYZXHA7" localSheetId="1" hidden="1">#REF!</definedName>
    <definedName name="BExKJELX2RUC8UEC56IZPYYZXHA7" localSheetId="9" hidden="1">#REF!</definedName>
    <definedName name="BExKJELX2RUC8UEC56IZPYYZXHA7" hidden="1">#REF!</definedName>
    <definedName name="BExKJI7CV9I6ILFIZ3SVO4DGK64J" localSheetId="56" hidden="1">#REF!</definedName>
    <definedName name="BExKJI7CV9I6ILFIZ3SVO4DGK64J" localSheetId="55" hidden="1">#REF!</definedName>
    <definedName name="BExKJI7CV9I6ILFIZ3SVO4DGK64J" localSheetId="4" hidden="1">#REF!</definedName>
    <definedName name="BExKJI7CV9I6ILFIZ3SVO4DGK64J" localSheetId="1" hidden="1">#REF!</definedName>
    <definedName name="BExKJI7CV9I6ILFIZ3SVO4DGK64J" localSheetId="9" hidden="1">#REF!</definedName>
    <definedName name="BExKJI7CV9I6ILFIZ3SVO4DGK64J" hidden="1">#REF!</definedName>
    <definedName name="BExKJINMXS61G2TZEXCJAWVV4F57" localSheetId="56" hidden="1">#REF!</definedName>
    <definedName name="BExKJINMXS61G2TZEXCJAWVV4F57" localSheetId="55" hidden="1">#REF!</definedName>
    <definedName name="BExKJINMXS61G2TZEXCJAWVV4F57" localSheetId="4" hidden="1">#REF!</definedName>
    <definedName name="BExKJINMXS61G2TZEXCJAWVV4F57" localSheetId="1" hidden="1">#REF!</definedName>
    <definedName name="BExKJINMXS61G2TZEXCJAWVV4F57" localSheetId="9" hidden="1">#REF!</definedName>
    <definedName name="BExKJINMXS61G2TZEXCJAWVV4F57" hidden="1">#REF!</definedName>
    <definedName name="BExKJK5ME8KB7HA0180L7OUZDDGV" localSheetId="56" hidden="1">#REF!</definedName>
    <definedName name="BExKJK5ME8KB7HA0180L7OUZDDGV" localSheetId="55" hidden="1">#REF!</definedName>
    <definedName name="BExKJK5ME8KB7HA0180L7OUZDDGV" localSheetId="4" hidden="1">#REF!</definedName>
    <definedName name="BExKJK5ME8KB7HA0180L7OUZDDGV" localSheetId="1" hidden="1">#REF!</definedName>
    <definedName name="BExKJK5ME8KB7HA0180L7OUZDDGV" localSheetId="9" hidden="1">#REF!</definedName>
    <definedName name="BExKJK5ME8KB7HA0180L7OUZDDGV" hidden="1">#REF!</definedName>
    <definedName name="BExKJLY652HI5GNEEWQXOB08K2C1" localSheetId="56" hidden="1">#REF!</definedName>
    <definedName name="BExKJLY652HI5GNEEWQXOB08K2C1" localSheetId="55" hidden="1">#REF!</definedName>
    <definedName name="BExKJLY652HI5GNEEWQXOB08K2C1" localSheetId="4" hidden="1">#REF!</definedName>
    <definedName name="BExKJLY652HI5GNEEWQXOB08K2C1" localSheetId="1" hidden="1">#REF!</definedName>
    <definedName name="BExKJLY652HI5GNEEWQXOB08K2C1" localSheetId="9" hidden="1">#REF!</definedName>
    <definedName name="BExKJLY652HI5GNEEWQXOB08K2C1" hidden="1">#REF!</definedName>
    <definedName name="BExKJN5IF0VMDILJ5K8ZENF2QYV1" localSheetId="56" hidden="1">#REF!</definedName>
    <definedName name="BExKJN5IF0VMDILJ5K8ZENF2QYV1" localSheetId="55" hidden="1">#REF!</definedName>
    <definedName name="BExKJN5IF0VMDILJ5K8ZENF2QYV1" localSheetId="4" hidden="1">#REF!</definedName>
    <definedName name="BExKJN5IF0VMDILJ5K8ZENF2QYV1" localSheetId="1" hidden="1">#REF!</definedName>
    <definedName name="BExKJN5IF0VMDILJ5K8ZENF2QYV1" localSheetId="9" hidden="1">#REF!</definedName>
    <definedName name="BExKJN5IF0VMDILJ5K8ZENF2QYV1" hidden="1">#REF!</definedName>
    <definedName name="BExKJUSJPFUIK20FTVAFJWR2OUYX" localSheetId="56" hidden="1">#REF!</definedName>
    <definedName name="BExKJUSJPFUIK20FTVAFJWR2OUYX" localSheetId="55" hidden="1">#REF!</definedName>
    <definedName name="BExKJUSJPFUIK20FTVAFJWR2OUYX" localSheetId="4" hidden="1">#REF!</definedName>
    <definedName name="BExKJUSJPFUIK20FTVAFJWR2OUYX" localSheetId="1" hidden="1">#REF!</definedName>
    <definedName name="BExKJUSJPFUIK20FTVAFJWR2OUYX" localSheetId="9" hidden="1">#REF!</definedName>
    <definedName name="BExKJUSJPFUIK20FTVAFJWR2OUYX" hidden="1">#REF!</definedName>
    <definedName name="BExKJXHNZTE5OMRQ1KTVM1DIQE9I" localSheetId="56" hidden="1">#REF!</definedName>
    <definedName name="BExKJXHNZTE5OMRQ1KTVM1DIQE9I" localSheetId="55" hidden="1">#REF!</definedName>
    <definedName name="BExKJXHNZTE5OMRQ1KTVM1DIQE9I" localSheetId="4" hidden="1">#REF!</definedName>
    <definedName name="BExKJXHNZTE5OMRQ1KTVM1DIQE9I" localSheetId="1" hidden="1">#REF!</definedName>
    <definedName name="BExKJXHNZTE5OMRQ1KTVM1DIQE9I" localSheetId="9" hidden="1">#REF!</definedName>
    <definedName name="BExKJXHNZTE5OMRQ1KTVM1DIQE9I" hidden="1">#REF!</definedName>
    <definedName name="BExKK8VP5RS3D0UXZVKA37C4SYBP" localSheetId="56" hidden="1">#REF!</definedName>
    <definedName name="BExKK8VP5RS3D0UXZVKA37C4SYBP" localSheetId="55" hidden="1">#REF!</definedName>
    <definedName name="BExKK8VP5RS3D0UXZVKA37C4SYBP" localSheetId="4" hidden="1">#REF!</definedName>
    <definedName name="BExKK8VP5RS3D0UXZVKA37C4SYBP" localSheetId="1" hidden="1">#REF!</definedName>
    <definedName name="BExKK8VP5RS3D0UXZVKA37C4SYBP" localSheetId="9" hidden="1">#REF!</definedName>
    <definedName name="BExKK8VP5RS3D0UXZVKA37C4SYBP" hidden="1">#REF!</definedName>
    <definedName name="BExKKIM9NPF6B3SPMPIQB27HQME4" localSheetId="56" hidden="1">#REF!</definedName>
    <definedName name="BExKKIM9NPF6B3SPMPIQB27HQME4" localSheetId="55" hidden="1">#REF!</definedName>
    <definedName name="BExKKIM9NPF6B3SPMPIQB27HQME4" localSheetId="4" hidden="1">#REF!</definedName>
    <definedName name="BExKKIM9NPF6B3SPMPIQB27HQME4" localSheetId="1" hidden="1">#REF!</definedName>
    <definedName name="BExKKIM9NPF6B3SPMPIQB27HQME4" localSheetId="9" hidden="1">#REF!</definedName>
    <definedName name="BExKKIM9NPF6B3SPMPIQB27HQME4" hidden="1">#REF!</definedName>
    <definedName name="BExKKIX1BCBQ4R3K41QD8NTV0OV0" localSheetId="56" hidden="1">#REF!</definedName>
    <definedName name="BExKKIX1BCBQ4R3K41QD8NTV0OV0" localSheetId="55" hidden="1">#REF!</definedName>
    <definedName name="BExKKIX1BCBQ4R3K41QD8NTV0OV0" localSheetId="4" hidden="1">#REF!</definedName>
    <definedName name="BExKKIX1BCBQ4R3K41QD8NTV0OV0" localSheetId="1" hidden="1">#REF!</definedName>
    <definedName name="BExKKIX1BCBQ4R3K41QD8NTV0OV0" localSheetId="9" hidden="1">#REF!</definedName>
    <definedName name="BExKKIX1BCBQ4R3K41QD8NTV0OV0" hidden="1">#REF!</definedName>
    <definedName name="BExKKJ2IHMOO66DQ0V2YABR4GV05" localSheetId="56" hidden="1">#REF!</definedName>
    <definedName name="BExKKJ2IHMOO66DQ0V2YABR4GV05" localSheetId="55" hidden="1">#REF!</definedName>
    <definedName name="BExKKJ2IHMOO66DQ0V2YABR4GV05" localSheetId="4" hidden="1">#REF!</definedName>
    <definedName name="BExKKJ2IHMOO66DQ0V2YABR4GV05" localSheetId="1" hidden="1">#REF!</definedName>
    <definedName name="BExKKJ2IHMOO66DQ0V2YABR4GV05" localSheetId="9" hidden="1">#REF!</definedName>
    <definedName name="BExKKJ2IHMOO66DQ0V2YABR4GV05" hidden="1">#REF!</definedName>
    <definedName name="BExKKQ3ZWADYV03YHMXDOAMU90EB" localSheetId="56" hidden="1">#REF!</definedName>
    <definedName name="BExKKQ3ZWADYV03YHMXDOAMU90EB" localSheetId="55" hidden="1">#REF!</definedName>
    <definedName name="BExKKQ3ZWADYV03YHMXDOAMU90EB" localSheetId="4" hidden="1">#REF!</definedName>
    <definedName name="BExKKQ3ZWADYV03YHMXDOAMU90EB" localSheetId="1" hidden="1">#REF!</definedName>
    <definedName name="BExKKQ3ZWADYV03YHMXDOAMU90EB" localSheetId="9" hidden="1">#REF!</definedName>
    <definedName name="BExKKQ3ZWADYV03YHMXDOAMU90EB" hidden="1">#REF!</definedName>
    <definedName name="BExKKUGD2HMJWQEYZ8H3X1BMXFS9" localSheetId="56" hidden="1">#REF!</definedName>
    <definedName name="BExKKUGD2HMJWQEYZ8H3X1BMXFS9" localSheetId="55" hidden="1">#REF!</definedName>
    <definedName name="BExKKUGD2HMJWQEYZ8H3X1BMXFS9" localSheetId="4" hidden="1">#REF!</definedName>
    <definedName name="BExKKUGD2HMJWQEYZ8H3X1BMXFS9" localSheetId="1" hidden="1">#REF!</definedName>
    <definedName name="BExKKUGD2HMJWQEYZ8H3X1BMXFS9" localSheetId="9" hidden="1">#REF!</definedName>
    <definedName name="BExKKUGD2HMJWQEYZ8H3X1BMXFS9" hidden="1">#REF!</definedName>
    <definedName name="BExKKX05KCZZZPKOR1NE5A8RGVT4" localSheetId="56" hidden="1">#REF!</definedName>
    <definedName name="BExKKX05KCZZZPKOR1NE5A8RGVT4" localSheetId="55" hidden="1">#REF!</definedName>
    <definedName name="BExKKX05KCZZZPKOR1NE5A8RGVT4" localSheetId="4" hidden="1">#REF!</definedName>
    <definedName name="BExKKX05KCZZZPKOR1NE5A8RGVT4" localSheetId="1" hidden="1">#REF!</definedName>
    <definedName name="BExKKX05KCZZZPKOR1NE5A8RGVT4" localSheetId="9" hidden="1">#REF!</definedName>
    <definedName name="BExKKX05KCZZZPKOR1NE5A8RGVT4" hidden="1">#REF!</definedName>
    <definedName name="BExKL3QUCLQLECGZM555PRF8EN56" localSheetId="56" hidden="1">#REF!</definedName>
    <definedName name="BExKL3QUCLQLECGZM555PRF8EN56" localSheetId="55" hidden="1">#REF!</definedName>
    <definedName name="BExKL3QUCLQLECGZM555PRF8EN56" localSheetId="4" hidden="1">#REF!</definedName>
    <definedName name="BExKL3QUCLQLECGZM555PRF8EN56" localSheetId="1" hidden="1">#REF!</definedName>
    <definedName name="BExKL3QUCLQLECGZM555PRF8EN56" localSheetId="9" hidden="1">#REF!</definedName>
    <definedName name="BExKL3QUCLQLECGZM555PRF8EN56" hidden="1">#REF!</definedName>
    <definedName name="BExKL7CGLA62V9UQH9ZDEHIK8W4O" localSheetId="56" hidden="1">#REF!</definedName>
    <definedName name="BExKL7CGLA62V9UQH9ZDEHIK8W4O" localSheetId="55" hidden="1">#REF!</definedName>
    <definedName name="BExKL7CGLA62V9UQH9ZDEHIK8W4O" localSheetId="4" hidden="1">#REF!</definedName>
    <definedName name="BExKL7CGLA62V9UQH9ZDEHIK8W4O" localSheetId="1" hidden="1">#REF!</definedName>
    <definedName name="BExKL7CGLA62V9UQH9ZDEHIK8W4O" localSheetId="9" hidden="1">#REF!</definedName>
    <definedName name="BExKL7CGLA62V9UQH9ZDEHIK8W4O" hidden="1">#REF!</definedName>
    <definedName name="BExKLD6S9L66QYREYHBE5J44OK7X" localSheetId="56" hidden="1">#REF!</definedName>
    <definedName name="BExKLD6S9L66QYREYHBE5J44OK7X" localSheetId="55" hidden="1">#REF!</definedName>
    <definedName name="BExKLD6S9L66QYREYHBE5J44OK7X" localSheetId="4" hidden="1">#REF!</definedName>
    <definedName name="BExKLD6S9L66QYREYHBE5J44OK7X" localSheetId="1" hidden="1">#REF!</definedName>
    <definedName name="BExKLD6S9L66QYREYHBE5J44OK7X" localSheetId="9" hidden="1">#REF!</definedName>
    <definedName name="BExKLD6S9L66QYREYHBE5J44OK7X" hidden="1">#REF!</definedName>
    <definedName name="BExKLEZK32L28GYJWVO63BZ5E1JD" localSheetId="56" hidden="1">#REF!</definedName>
    <definedName name="BExKLEZK32L28GYJWVO63BZ5E1JD" localSheetId="55" hidden="1">#REF!</definedName>
    <definedName name="BExKLEZK32L28GYJWVO63BZ5E1JD" localSheetId="4" hidden="1">#REF!</definedName>
    <definedName name="BExKLEZK32L28GYJWVO63BZ5E1JD" localSheetId="1" hidden="1">#REF!</definedName>
    <definedName name="BExKLEZK32L28GYJWVO63BZ5E1JD" localSheetId="9" hidden="1">#REF!</definedName>
    <definedName name="BExKLEZK32L28GYJWVO63BZ5E1JD" hidden="1">#REF!</definedName>
    <definedName name="BExKLLKVVHT06LA55JB2FC871DC5" localSheetId="56" hidden="1">#REF!</definedName>
    <definedName name="BExKLLKVVHT06LA55JB2FC871DC5" localSheetId="55" hidden="1">#REF!</definedName>
    <definedName name="BExKLLKVVHT06LA55JB2FC871DC5" localSheetId="4" hidden="1">#REF!</definedName>
    <definedName name="BExKLLKVVHT06LA55JB2FC871DC5" localSheetId="1" hidden="1">#REF!</definedName>
    <definedName name="BExKLLKVVHT06LA55JB2FC871DC5" localSheetId="9" hidden="1">#REF!</definedName>
    <definedName name="BExKLLKVVHT06LA55JB2FC871DC5" hidden="1">#REF!</definedName>
    <definedName name="BExKMKNALVJRCZS69GFJA4M1J08O" localSheetId="56" hidden="1">#REF!</definedName>
    <definedName name="BExKMKNALVJRCZS69GFJA4M1J08O" localSheetId="55" hidden="1">#REF!</definedName>
    <definedName name="BExKMKNALVJRCZS69GFJA4M1J08O" localSheetId="4" hidden="1">#REF!</definedName>
    <definedName name="BExKMKNALVJRCZS69GFJA4M1J08O" localSheetId="1" hidden="1">#REF!</definedName>
    <definedName name="BExKMKNALVJRCZS69GFJA4M1J08O" localSheetId="9" hidden="1">#REF!</definedName>
    <definedName name="BExKMKNALVJRCZS69GFJA4M1J08O" hidden="1">#REF!</definedName>
    <definedName name="BExKMMFZIDRFNSBCWVADJ4S2JE52" localSheetId="56" hidden="1">#REF!</definedName>
    <definedName name="BExKMMFZIDRFNSBCWVADJ4S2JE52" localSheetId="55" hidden="1">#REF!</definedName>
    <definedName name="BExKMMFZIDRFNSBCWVADJ4S2JE52" localSheetId="4" hidden="1">#REF!</definedName>
    <definedName name="BExKMMFZIDRFNSBCWVADJ4S2JE52" localSheetId="1" hidden="1">#REF!</definedName>
    <definedName name="BExKMMFZIDRFNSBCWVADJ4S2JE52" localSheetId="9" hidden="1">#REF!</definedName>
    <definedName name="BExKMMFZIDRFNSBCWVADJ4S2JE52" hidden="1">#REF!</definedName>
    <definedName name="BExKMRZJS845FERFW6HUXLFAOMYD" localSheetId="56" hidden="1">#REF!</definedName>
    <definedName name="BExKMRZJS845FERFW6HUXLFAOMYD" localSheetId="55" hidden="1">#REF!</definedName>
    <definedName name="BExKMRZJS845FERFW6HUXLFAOMYD" localSheetId="4" hidden="1">#REF!</definedName>
    <definedName name="BExKMRZJS845FERFW6HUXLFAOMYD" localSheetId="1" hidden="1">#REF!</definedName>
    <definedName name="BExKMRZJS845FERFW6HUXLFAOMYD" localSheetId="9" hidden="1">#REF!</definedName>
    <definedName name="BExKMRZJS845FERFW6HUXLFAOMYD" hidden="1">#REF!</definedName>
    <definedName name="BExKMS514WWPGUGRYGTH6XU97T8B" localSheetId="56" hidden="1">#REF!</definedName>
    <definedName name="BExKMS514WWPGUGRYGTH6XU97T8B" localSheetId="55" hidden="1">#REF!</definedName>
    <definedName name="BExKMS514WWPGUGRYGTH6XU97T8B" localSheetId="4" hidden="1">#REF!</definedName>
    <definedName name="BExKMS514WWPGUGRYGTH6XU97T8B" localSheetId="1" hidden="1">#REF!</definedName>
    <definedName name="BExKMS514WWPGUGRYGTH6XU97T8B" localSheetId="9" hidden="1">#REF!</definedName>
    <definedName name="BExKMS514WWPGUGRYGTH6XU97T8B" hidden="1">#REF!</definedName>
    <definedName name="BExKMUDV8AH8HQAD5HJVUW7GFDWU" localSheetId="56" hidden="1">#REF!</definedName>
    <definedName name="BExKMUDV8AH8HQAD5HJVUW7GFDWU" localSheetId="55" hidden="1">#REF!</definedName>
    <definedName name="BExKMUDV8AH8HQAD5HJVUW7GFDWU" localSheetId="4" hidden="1">#REF!</definedName>
    <definedName name="BExKMUDV8AH8HQAD5HJVUW7GFDWU" localSheetId="1" hidden="1">#REF!</definedName>
    <definedName name="BExKMUDV8AH8HQAD5HJVUW7GFDWU" localSheetId="9" hidden="1">#REF!</definedName>
    <definedName name="BExKMUDV8AH8HQAD5HJVUW7GFDWU" hidden="1">#REF!</definedName>
    <definedName name="BExKMWBX4EH3EYJ07UFEM08NB40Z" localSheetId="56" hidden="1">#REF!</definedName>
    <definedName name="BExKMWBX4EH3EYJ07UFEM08NB40Z" localSheetId="55" hidden="1">#REF!</definedName>
    <definedName name="BExKMWBX4EH3EYJ07UFEM08NB40Z" localSheetId="4" hidden="1">#REF!</definedName>
    <definedName name="BExKMWBX4EH3EYJ07UFEM08NB40Z" localSheetId="1" hidden="1">#REF!</definedName>
    <definedName name="BExKMWBX4EH3EYJ07UFEM08NB40Z" localSheetId="9" hidden="1">#REF!</definedName>
    <definedName name="BExKMWBX4EH3EYJ07UFEM08NB40Z" hidden="1">#REF!</definedName>
    <definedName name="BExKN4Q70IU9OY91QRUSK3044MQD" localSheetId="56" hidden="1">#REF!</definedName>
    <definedName name="BExKN4Q70IU9OY91QRUSK3044MQD" localSheetId="55" hidden="1">#REF!</definedName>
    <definedName name="BExKN4Q70IU9OY91QRUSK3044MQD" localSheetId="4" hidden="1">#REF!</definedName>
    <definedName name="BExKN4Q70IU9OY91QRUSK3044MQD" localSheetId="1" hidden="1">#REF!</definedName>
    <definedName name="BExKN4Q70IU9OY91QRUSK3044MQD" localSheetId="9" hidden="1">#REF!</definedName>
    <definedName name="BExKN4Q70IU9OY91QRUSK3044MQD" hidden="1">#REF!</definedName>
    <definedName name="BExKNBGV2IR3S7M0BX4810KZB4V3" localSheetId="56" hidden="1">#REF!</definedName>
    <definedName name="BExKNBGV2IR3S7M0BX4810KZB4V3" localSheetId="55" hidden="1">#REF!</definedName>
    <definedName name="BExKNBGV2IR3S7M0BX4810KZB4V3" localSheetId="4" hidden="1">#REF!</definedName>
    <definedName name="BExKNBGV2IR3S7M0BX4810KZB4V3" localSheetId="1" hidden="1">#REF!</definedName>
    <definedName name="BExKNBGV2IR3S7M0BX4810KZB4V3" localSheetId="9" hidden="1">#REF!</definedName>
    <definedName name="BExKNBGV2IR3S7M0BX4810KZB4V3" hidden="1">#REF!</definedName>
    <definedName name="BExKNCTBZTSY3MO42VU5PLV6YUHZ" localSheetId="56" hidden="1">#REF!</definedName>
    <definedName name="BExKNCTBZTSY3MO42VU5PLV6YUHZ" localSheetId="55" hidden="1">#REF!</definedName>
    <definedName name="BExKNCTBZTSY3MO42VU5PLV6YUHZ" localSheetId="4" hidden="1">#REF!</definedName>
    <definedName name="BExKNCTBZTSY3MO42VU5PLV6YUHZ" localSheetId="1" hidden="1">#REF!</definedName>
    <definedName name="BExKNCTBZTSY3MO42VU5PLV6YUHZ" localSheetId="9" hidden="1">#REF!</definedName>
    <definedName name="BExKNCTBZTSY3MO42VU5PLV6YUHZ" hidden="1">#REF!</definedName>
    <definedName name="BExKNGV2YY749C42AQ2T9QNIE5C3" localSheetId="56" hidden="1">#REF!</definedName>
    <definedName name="BExKNGV2YY749C42AQ2T9QNIE5C3" localSheetId="55" hidden="1">#REF!</definedName>
    <definedName name="BExKNGV2YY749C42AQ2T9QNIE5C3" localSheetId="4" hidden="1">#REF!</definedName>
    <definedName name="BExKNGV2YY749C42AQ2T9QNIE5C3" localSheetId="1" hidden="1">#REF!</definedName>
    <definedName name="BExKNGV2YY749C42AQ2T9QNIE5C3" localSheetId="9" hidden="1">#REF!</definedName>
    <definedName name="BExKNGV2YY749C42AQ2T9QNIE5C3" hidden="1">#REF!</definedName>
    <definedName name="BExKNH0F1WPNUEQITIUN5T4NDX9H" localSheetId="56" hidden="1">#REF!</definedName>
    <definedName name="BExKNH0F1WPNUEQITIUN5T4NDX9H" localSheetId="55" hidden="1">#REF!</definedName>
    <definedName name="BExKNH0F1WPNUEQITIUN5T4NDX9H" localSheetId="4" hidden="1">#REF!</definedName>
    <definedName name="BExKNH0F1WPNUEQITIUN5T4NDX9H" localSheetId="1" hidden="1">#REF!</definedName>
    <definedName name="BExKNH0F1WPNUEQITIUN5T4NDX9H" localSheetId="9" hidden="1">#REF!</definedName>
    <definedName name="BExKNH0F1WPNUEQITIUN5T4NDX9H" hidden="1">#REF!</definedName>
    <definedName name="BExKNV8UOHVWEHDJWI2WMJ9X6QHZ" localSheetId="56" hidden="1">#REF!</definedName>
    <definedName name="BExKNV8UOHVWEHDJWI2WMJ9X6QHZ" localSheetId="55" hidden="1">#REF!</definedName>
    <definedName name="BExKNV8UOHVWEHDJWI2WMJ9X6QHZ" localSheetId="4" hidden="1">#REF!</definedName>
    <definedName name="BExKNV8UOHVWEHDJWI2WMJ9X6QHZ" localSheetId="1" hidden="1">#REF!</definedName>
    <definedName name="BExKNV8UOHVWEHDJWI2WMJ9X6QHZ" localSheetId="9" hidden="1">#REF!</definedName>
    <definedName name="BExKNV8UOHVWEHDJWI2WMJ9X6QHZ" hidden="1">#REF!</definedName>
    <definedName name="BExKNZLD7UATC1MYRNJD8H2NH4KU" localSheetId="56" hidden="1">#REF!</definedName>
    <definedName name="BExKNZLD7UATC1MYRNJD8H2NH4KU" localSheetId="55" hidden="1">#REF!</definedName>
    <definedName name="BExKNZLD7UATC1MYRNJD8H2NH4KU" localSheetId="4" hidden="1">#REF!</definedName>
    <definedName name="BExKNZLD7UATC1MYRNJD8H2NH4KU" localSheetId="1" hidden="1">#REF!</definedName>
    <definedName name="BExKNZLD7UATC1MYRNJD8H2NH4KU" localSheetId="9" hidden="1">#REF!</definedName>
    <definedName name="BExKNZLD7UATC1MYRNJD8H2NH4KU" hidden="1">#REF!</definedName>
    <definedName name="BExKNZQUKQQG2Y97R74G4O4BJP1L" localSheetId="56" hidden="1">#REF!</definedName>
    <definedName name="BExKNZQUKQQG2Y97R74G4O4BJP1L" localSheetId="55" hidden="1">#REF!</definedName>
    <definedName name="BExKNZQUKQQG2Y97R74G4O4BJP1L" localSheetId="4" hidden="1">#REF!</definedName>
    <definedName name="BExKNZQUKQQG2Y97R74G4O4BJP1L" localSheetId="1" hidden="1">#REF!</definedName>
    <definedName name="BExKNZQUKQQG2Y97R74G4O4BJP1L" localSheetId="9" hidden="1">#REF!</definedName>
    <definedName name="BExKNZQUKQQG2Y97R74G4O4BJP1L" hidden="1">#REF!</definedName>
    <definedName name="BExKO06X0EAD3ABEG1E8PWLDWHBA" localSheetId="56" hidden="1">#REF!</definedName>
    <definedName name="BExKO06X0EAD3ABEG1E8PWLDWHBA" localSheetId="55" hidden="1">#REF!</definedName>
    <definedName name="BExKO06X0EAD3ABEG1E8PWLDWHBA" localSheetId="4" hidden="1">#REF!</definedName>
    <definedName name="BExKO06X0EAD3ABEG1E8PWLDWHBA" localSheetId="1" hidden="1">#REF!</definedName>
    <definedName name="BExKO06X0EAD3ABEG1E8PWLDWHBA" localSheetId="9" hidden="1">#REF!</definedName>
    <definedName name="BExKO06X0EAD3ABEG1E8PWLDWHBA" hidden="1">#REF!</definedName>
    <definedName name="BExKO2AHHSGNI1AZOIOW21KPXKPE" localSheetId="56" hidden="1">#REF!</definedName>
    <definedName name="BExKO2AHHSGNI1AZOIOW21KPXKPE" localSheetId="55" hidden="1">#REF!</definedName>
    <definedName name="BExKO2AHHSGNI1AZOIOW21KPXKPE" localSheetId="4" hidden="1">#REF!</definedName>
    <definedName name="BExKO2AHHSGNI1AZOIOW21KPXKPE" localSheetId="1" hidden="1">#REF!</definedName>
    <definedName name="BExKO2AHHSGNI1AZOIOW21KPXKPE" localSheetId="9" hidden="1">#REF!</definedName>
    <definedName name="BExKO2AHHSGNI1AZOIOW21KPXKPE" hidden="1">#REF!</definedName>
    <definedName name="BExKO2FXWJWC5IZLDN8JHYILQJ2N" localSheetId="56" hidden="1">#REF!</definedName>
    <definedName name="BExKO2FXWJWC5IZLDN8JHYILQJ2N" localSheetId="55" hidden="1">#REF!</definedName>
    <definedName name="BExKO2FXWJWC5IZLDN8JHYILQJ2N" localSheetId="4" hidden="1">#REF!</definedName>
    <definedName name="BExKO2FXWJWC5IZLDN8JHYILQJ2N" localSheetId="1" hidden="1">#REF!</definedName>
    <definedName name="BExKO2FXWJWC5IZLDN8JHYILQJ2N" localSheetId="9" hidden="1">#REF!</definedName>
    <definedName name="BExKO2FXWJWC5IZLDN8JHYILQJ2N" hidden="1">#REF!</definedName>
    <definedName name="BExKO438WZ8FKOU00NURGFMOYXWN" localSheetId="56" hidden="1">#REF!</definedName>
    <definedName name="BExKO438WZ8FKOU00NURGFMOYXWN" localSheetId="55" hidden="1">#REF!</definedName>
    <definedName name="BExKO438WZ8FKOU00NURGFMOYXWN" localSheetId="4" hidden="1">#REF!</definedName>
    <definedName name="BExKO438WZ8FKOU00NURGFMOYXWN" localSheetId="1" hidden="1">#REF!</definedName>
    <definedName name="BExKO438WZ8FKOU00NURGFMOYXWN" localSheetId="9" hidden="1">#REF!</definedName>
    <definedName name="BExKO438WZ8FKOU00NURGFMOYXWN" hidden="1">#REF!</definedName>
    <definedName name="BExKO551EZ73M80UFHBQE7BQVU4L" localSheetId="56" hidden="1">#REF!</definedName>
    <definedName name="BExKO551EZ73M80UFHBQE7BQVU4L" localSheetId="55" hidden="1">#REF!</definedName>
    <definedName name="BExKO551EZ73M80UFHBQE7BQVU4L" localSheetId="4" hidden="1">#REF!</definedName>
    <definedName name="BExKO551EZ73M80UFHBQE7BQVU4L" localSheetId="1" hidden="1">#REF!</definedName>
    <definedName name="BExKO551EZ73M80UFHBQE7BQVU4L" localSheetId="9" hidden="1">#REF!</definedName>
    <definedName name="BExKO551EZ73M80UFHBQE7BQVU4L" hidden="1">#REF!</definedName>
    <definedName name="BExKOBA4VTRV9YG31IM1PDDO3J9M" localSheetId="56" hidden="1">#REF!</definedName>
    <definedName name="BExKOBA4VTRV9YG31IM1PDDO3J9M" localSheetId="55" hidden="1">#REF!</definedName>
    <definedName name="BExKOBA4VTRV9YG31IM1PDDO3J9M" localSheetId="4" hidden="1">#REF!</definedName>
    <definedName name="BExKOBA4VTRV9YG31IM1PDDO3J9M" localSheetId="1" hidden="1">#REF!</definedName>
    <definedName name="BExKOBA4VTRV9YG31IM1PDDO3J9M" localSheetId="9" hidden="1">#REF!</definedName>
    <definedName name="BExKOBA4VTRV9YG31IM1PDDO3J9M" hidden="1">#REF!</definedName>
    <definedName name="BExKODIZGWW2EQD0FEYW6WK6XLCM" localSheetId="56" hidden="1">#REF!</definedName>
    <definedName name="BExKODIZGWW2EQD0FEYW6WK6XLCM" localSheetId="55" hidden="1">#REF!</definedName>
    <definedName name="BExKODIZGWW2EQD0FEYW6WK6XLCM" localSheetId="4" hidden="1">#REF!</definedName>
    <definedName name="BExKODIZGWW2EQD0FEYW6WK6XLCM" localSheetId="1" hidden="1">#REF!</definedName>
    <definedName name="BExKODIZGWW2EQD0FEYW6WK6XLCM" localSheetId="9" hidden="1">#REF!</definedName>
    <definedName name="BExKODIZGWW2EQD0FEYW6WK6XLCM" hidden="1">#REF!</definedName>
    <definedName name="BExKOPO2HPWVQGAKW8LOZMPIDEFG" localSheetId="56" hidden="1">#REF!</definedName>
    <definedName name="BExKOPO2HPWVQGAKW8LOZMPIDEFG" localSheetId="55" hidden="1">#REF!</definedName>
    <definedName name="BExKOPO2HPWVQGAKW8LOZMPIDEFG" localSheetId="4" hidden="1">#REF!</definedName>
    <definedName name="BExKOPO2HPWVQGAKW8LOZMPIDEFG" localSheetId="1" hidden="1">#REF!</definedName>
    <definedName name="BExKOPO2HPWVQGAKW8LOZMPIDEFG" localSheetId="9" hidden="1">#REF!</definedName>
    <definedName name="BExKOPO2HPWVQGAKW8LOZMPIDEFG" hidden="1">#REF!</definedName>
    <definedName name="BExKP7SRQ3MN5BDYXV2XMBQNUH23" localSheetId="56" hidden="1">#REF!</definedName>
    <definedName name="BExKP7SRQ3MN5BDYXV2XMBQNUH23" localSheetId="55" hidden="1">#REF!</definedName>
    <definedName name="BExKP7SRQ3MN5BDYXV2XMBQNUH23" localSheetId="4" hidden="1">#REF!</definedName>
    <definedName name="BExKP7SRQ3MN5BDYXV2XMBQNUH23" localSheetId="1" hidden="1">#REF!</definedName>
    <definedName name="BExKP7SRQ3MN5BDYXV2XMBQNUH23" localSheetId="9" hidden="1">#REF!</definedName>
    <definedName name="BExKP7SRQ3MN5BDYXV2XMBQNUH23" hidden="1">#REF!</definedName>
    <definedName name="BExKPEZP0QTKOTLIMMIFSVTHQEEK" localSheetId="56" hidden="1">#REF!</definedName>
    <definedName name="BExKPEZP0QTKOTLIMMIFSVTHQEEK" localSheetId="55" hidden="1">#REF!</definedName>
    <definedName name="BExKPEZP0QTKOTLIMMIFSVTHQEEK" localSheetId="4" hidden="1">#REF!</definedName>
    <definedName name="BExKPEZP0QTKOTLIMMIFSVTHQEEK" localSheetId="1" hidden="1">#REF!</definedName>
    <definedName name="BExKPEZP0QTKOTLIMMIFSVTHQEEK" localSheetId="9" hidden="1">#REF!</definedName>
    <definedName name="BExKPEZP0QTKOTLIMMIFSVTHQEEK" hidden="1">#REF!</definedName>
    <definedName name="BExKPFFSVTL757PNITV8R9RN4452" localSheetId="56" hidden="1">#REF!</definedName>
    <definedName name="BExKPFFSVTL757PNITV8R9RN4452" localSheetId="55" hidden="1">#REF!</definedName>
    <definedName name="BExKPFFSVTL757PNITV8R9RN4452" localSheetId="4" hidden="1">#REF!</definedName>
    <definedName name="BExKPFFSVTL757PNITV8R9RN4452" localSheetId="1" hidden="1">#REF!</definedName>
    <definedName name="BExKPFFSVTL757PNITV8R9RN4452" localSheetId="9" hidden="1">#REF!</definedName>
    <definedName name="BExKPFFSVTL757PNITV8R9RN4452" hidden="1">#REF!</definedName>
    <definedName name="BExKPJHKPVROP9QX9BMBZMU2HEZ1" localSheetId="56" hidden="1">#REF!</definedName>
    <definedName name="BExKPJHKPVROP9QX9BMBZMU2HEZ1" localSheetId="55" hidden="1">#REF!</definedName>
    <definedName name="BExKPJHKPVROP9QX9BMBZMU2HEZ1" localSheetId="4" hidden="1">#REF!</definedName>
    <definedName name="BExKPJHKPVROP9QX9BMBZMU2HEZ1" localSheetId="1" hidden="1">#REF!</definedName>
    <definedName name="BExKPJHKPVROP9QX9BMBZMU2HEZ1" localSheetId="9" hidden="1">#REF!</definedName>
    <definedName name="BExKPJHKPVROP9QX9BMBZMU2HEZ1" hidden="1">#REF!</definedName>
    <definedName name="BExKPLQJX0HJ8OTXBXH9IC9J2V0W" localSheetId="56" hidden="1">#REF!</definedName>
    <definedName name="BExKPLQJX0HJ8OTXBXH9IC9J2V0W" localSheetId="55" hidden="1">#REF!</definedName>
    <definedName name="BExKPLQJX0HJ8OTXBXH9IC9J2V0W" localSheetId="4" hidden="1">#REF!</definedName>
    <definedName name="BExKPLQJX0HJ8OTXBXH9IC9J2V0W" localSheetId="1" hidden="1">#REF!</definedName>
    <definedName name="BExKPLQJX0HJ8OTXBXH9IC9J2V0W" localSheetId="9" hidden="1">#REF!</definedName>
    <definedName name="BExKPLQJX0HJ8OTXBXH9IC9J2V0W" hidden="1">#REF!</definedName>
    <definedName name="BExKPN8C7GN36ZJZHLOB74LU6KT0" localSheetId="56" hidden="1">#REF!</definedName>
    <definedName name="BExKPN8C7GN36ZJZHLOB74LU6KT0" localSheetId="55" hidden="1">#REF!</definedName>
    <definedName name="BExKPN8C7GN36ZJZHLOB74LU6KT0" localSheetId="4" hidden="1">#REF!</definedName>
    <definedName name="BExKPN8C7GN36ZJZHLOB74LU6KT0" localSheetId="1" hidden="1">#REF!</definedName>
    <definedName name="BExKPN8C7GN36ZJZHLOB74LU6KT0" localSheetId="9" hidden="1">#REF!</definedName>
    <definedName name="BExKPN8C7GN36ZJZHLOB74LU6KT0" hidden="1">#REF!</definedName>
    <definedName name="BExKPX9VZ1J5021Q98K60HMPJU58" localSheetId="56" hidden="1">#REF!</definedName>
    <definedName name="BExKPX9VZ1J5021Q98K60HMPJU58" localSheetId="55" hidden="1">#REF!</definedName>
    <definedName name="BExKPX9VZ1J5021Q98K60HMPJU58" localSheetId="4" hidden="1">#REF!</definedName>
    <definedName name="BExKPX9VZ1J5021Q98K60HMPJU58" localSheetId="1" hidden="1">#REF!</definedName>
    <definedName name="BExKPX9VZ1J5021Q98K60HMPJU58" localSheetId="9" hidden="1">#REF!</definedName>
    <definedName name="BExKPX9VZ1J5021Q98K60HMPJU58" hidden="1">#REF!</definedName>
    <definedName name="BExKQGGEP203MUWSJVORTY7RFOFT" localSheetId="56" hidden="1">#REF!</definedName>
    <definedName name="BExKQGGEP203MUWSJVORTY7RFOFT" localSheetId="55" hidden="1">#REF!</definedName>
    <definedName name="BExKQGGEP203MUWSJVORTY7RFOFT" localSheetId="4" hidden="1">#REF!</definedName>
    <definedName name="BExKQGGEP203MUWSJVORTY7RFOFT" localSheetId="1" hidden="1">#REF!</definedName>
    <definedName name="BExKQGGEP203MUWSJVORTY7RFOFT" localSheetId="9" hidden="1">#REF!</definedName>
    <definedName name="BExKQGGEP203MUWSJVORTY7RFOFT" hidden="1">#REF!</definedName>
    <definedName name="BExKQJGAAWNM3NT19E9I0CQDBTU0" localSheetId="56" hidden="1">#REF!</definedName>
    <definedName name="BExKQJGAAWNM3NT19E9I0CQDBTU0" localSheetId="55" hidden="1">#REF!</definedName>
    <definedName name="BExKQJGAAWNM3NT19E9I0CQDBTU0" localSheetId="4" hidden="1">#REF!</definedName>
    <definedName name="BExKQJGAAWNM3NT19E9I0CQDBTU0" localSheetId="1" hidden="1">#REF!</definedName>
    <definedName name="BExKQJGAAWNM3NT19E9I0CQDBTU0" localSheetId="9" hidden="1">#REF!</definedName>
    <definedName name="BExKQJGAAWNM3NT19E9I0CQDBTU0" hidden="1">#REF!</definedName>
    <definedName name="BExKQM5GJ1ZN5REKFE7YVBQ0KXWF" localSheetId="56" hidden="1">#REF!</definedName>
    <definedName name="BExKQM5GJ1ZN5REKFE7YVBQ0KXWF" localSheetId="55" hidden="1">#REF!</definedName>
    <definedName name="BExKQM5GJ1ZN5REKFE7YVBQ0KXWF" localSheetId="4" hidden="1">#REF!</definedName>
    <definedName name="BExKQM5GJ1ZN5REKFE7YVBQ0KXWF" localSheetId="1" hidden="1">#REF!</definedName>
    <definedName name="BExKQM5GJ1ZN5REKFE7YVBQ0KXWF" localSheetId="9" hidden="1">#REF!</definedName>
    <definedName name="BExKQM5GJ1ZN5REKFE7YVBQ0KXWF" hidden="1">#REF!</definedName>
    <definedName name="BExKQQ71278061G7ZFYGPWOMOMY2" localSheetId="56" hidden="1">#REF!</definedName>
    <definedName name="BExKQQ71278061G7ZFYGPWOMOMY2" localSheetId="55" hidden="1">#REF!</definedName>
    <definedName name="BExKQQ71278061G7ZFYGPWOMOMY2" localSheetId="4" hidden="1">#REF!</definedName>
    <definedName name="BExKQQ71278061G7ZFYGPWOMOMY2" localSheetId="1" hidden="1">#REF!</definedName>
    <definedName name="BExKQQ71278061G7ZFYGPWOMOMY2" localSheetId="9" hidden="1">#REF!</definedName>
    <definedName name="BExKQQ71278061G7ZFYGPWOMOMY2" hidden="1">#REF!</definedName>
    <definedName name="BExKQTXRG3ECU8NT47UR7643LO5G" localSheetId="56" hidden="1">#REF!</definedName>
    <definedName name="BExKQTXRG3ECU8NT47UR7643LO5G" localSheetId="55" hidden="1">#REF!</definedName>
    <definedName name="BExKQTXRG3ECU8NT47UR7643LO5G" localSheetId="4" hidden="1">#REF!</definedName>
    <definedName name="BExKQTXRG3ECU8NT47UR7643LO5G" localSheetId="1" hidden="1">#REF!</definedName>
    <definedName name="BExKQTXRG3ECU8NT47UR7643LO5G" localSheetId="9" hidden="1">#REF!</definedName>
    <definedName name="BExKQTXRG3ECU8NT47UR7643LO5G" hidden="1">#REF!</definedName>
    <definedName name="BExKQVL7HPOIZ4FHANDFMVOJLEPR" localSheetId="56" hidden="1">#REF!</definedName>
    <definedName name="BExKQVL7HPOIZ4FHANDFMVOJLEPR" localSheetId="55" hidden="1">#REF!</definedName>
    <definedName name="BExKQVL7HPOIZ4FHANDFMVOJLEPR" localSheetId="4" hidden="1">#REF!</definedName>
    <definedName name="BExKQVL7HPOIZ4FHANDFMVOJLEPR" localSheetId="1" hidden="1">#REF!</definedName>
    <definedName name="BExKQVL7HPOIZ4FHANDFMVOJLEPR" localSheetId="9" hidden="1">#REF!</definedName>
    <definedName name="BExKQVL7HPOIZ4FHANDFMVOJLEPR" hidden="1">#REF!</definedName>
    <definedName name="BExKR3ZAJRYXZB4M7XZPK0I7E55W" localSheetId="56" hidden="1">#REF!</definedName>
    <definedName name="BExKR3ZAJRYXZB4M7XZPK0I7E55W" localSheetId="55" hidden="1">#REF!</definedName>
    <definedName name="BExKR3ZAJRYXZB4M7XZPK0I7E55W" localSheetId="4" hidden="1">#REF!</definedName>
    <definedName name="BExKR3ZAJRYXZB4M7XZPK0I7E55W" localSheetId="1" hidden="1">#REF!</definedName>
    <definedName name="BExKR3ZAJRYXZB4M7XZPK0I7E55W" localSheetId="9" hidden="1">#REF!</definedName>
    <definedName name="BExKR3ZAJRYXZB4M7XZPK0I7E55W" hidden="1">#REF!</definedName>
    <definedName name="BExKR8RZSEHW184G0Z56B4EGNU72" localSheetId="56" hidden="1">#REF!</definedName>
    <definedName name="BExKR8RZSEHW184G0Z56B4EGNU72" localSheetId="55" hidden="1">#REF!</definedName>
    <definedName name="BExKR8RZSEHW184G0Z56B4EGNU72" localSheetId="4" hidden="1">#REF!</definedName>
    <definedName name="BExKR8RZSEHW184G0Z56B4EGNU72" localSheetId="1" hidden="1">#REF!</definedName>
    <definedName name="BExKR8RZSEHW184G0Z56B4EGNU72" localSheetId="9" hidden="1">#REF!</definedName>
    <definedName name="BExKR8RZSEHW184G0Z56B4EGNU72" hidden="1">#REF!</definedName>
    <definedName name="BExKRHM60KUPM7RGAAFRSKX4TMS5" localSheetId="56" hidden="1">#REF!</definedName>
    <definedName name="BExKRHM60KUPM7RGAAFRSKX4TMS5" localSheetId="55" hidden="1">#REF!</definedName>
    <definedName name="BExKRHM60KUPM7RGAAFRSKX4TMS5" localSheetId="4" hidden="1">#REF!</definedName>
    <definedName name="BExKRHM60KUPM7RGAAFRSKX4TMS5" localSheetId="1" hidden="1">#REF!</definedName>
    <definedName name="BExKRHM60KUPM7RGAAFRSKX4TMS5" localSheetId="9" hidden="1">#REF!</definedName>
    <definedName name="BExKRHM60KUPM7RGAAFRSKX4TMS5" hidden="1">#REF!</definedName>
    <definedName name="BExKRQB2LX164R610N3VXJPD3C1W" localSheetId="56" hidden="1">#REF!</definedName>
    <definedName name="BExKRQB2LX164R610N3VXJPD3C1W" localSheetId="55" hidden="1">#REF!</definedName>
    <definedName name="BExKRQB2LX164R610N3VXJPD3C1W" localSheetId="4" hidden="1">#REF!</definedName>
    <definedName name="BExKRQB2LX164R610N3VXJPD3C1W" localSheetId="1" hidden="1">#REF!</definedName>
    <definedName name="BExKRQB2LX164R610N3VXJPD3C1W" localSheetId="9" hidden="1">#REF!</definedName>
    <definedName name="BExKRQB2LX164R610N3VXJPD3C1W" hidden="1">#REF!</definedName>
    <definedName name="BExKRVUSQ6PA7ZYQSTEQL3X7PB9P" localSheetId="56" hidden="1">#REF!</definedName>
    <definedName name="BExKRVUSQ6PA7ZYQSTEQL3X7PB9P" localSheetId="55" hidden="1">#REF!</definedName>
    <definedName name="BExKRVUSQ6PA7ZYQSTEQL3X7PB9P" localSheetId="4" hidden="1">#REF!</definedName>
    <definedName name="BExKRVUSQ6PA7ZYQSTEQL3X7PB9P" localSheetId="1" hidden="1">#REF!</definedName>
    <definedName name="BExKRVUSQ6PA7ZYQSTEQL3X7PB9P" localSheetId="9" hidden="1">#REF!</definedName>
    <definedName name="BExKRVUSQ6PA7ZYQSTEQL3X7PB9P" hidden="1">#REF!</definedName>
    <definedName name="BExKRY3KZ7F7RB2KH8HXSQ85IEQO" localSheetId="56" hidden="1">#REF!</definedName>
    <definedName name="BExKRY3KZ7F7RB2KH8HXSQ85IEQO" localSheetId="55" hidden="1">#REF!</definedName>
    <definedName name="BExKRY3KZ7F7RB2KH8HXSQ85IEQO" localSheetId="4" hidden="1">#REF!</definedName>
    <definedName name="BExKRY3KZ7F7RB2KH8HXSQ85IEQO" localSheetId="1" hidden="1">#REF!</definedName>
    <definedName name="BExKRY3KZ7F7RB2KH8HXSQ85IEQO" localSheetId="9" hidden="1">#REF!</definedName>
    <definedName name="BExKRY3KZ7F7RB2KH8HXSQ85IEQO" hidden="1">#REF!</definedName>
    <definedName name="BExKS91CCVW1YKNE1EQ4MCE1E9JX" localSheetId="56" hidden="1">#REF!</definedName>
    <definedName name="BExKS91CCVW1YKNE1EQ4MCE1E9JX" localSheetId="55" hidden="1">#REF!</definedName>
    <definedName name="BExKS91CCVW1YKNE1EQ4MCE1E9JX" localSheetId="4" hidden="1">#REF!</definedName>
    <definedName name="BExKS91CCVW1YKNE1EQ4MCE1E9JX" localSheetId="1" hidden="1">#REF!</definedName>
    <definedName name="BExKS91CCVW1YKNE1EQ4MCE1E9JX" localSheetId="9" hidden="1">#REF!</definedName>
    <definedName name="BExKS91CCVW1YKNE1EQ4MCE1E9JX" hidden="1">#REF!</definedName>
    <definedName name="BExKSA37DZTCK6H13HPIKR0ZFVL8" localSheetId="56" hidden="1">#REF!</definedName>
    <definedName name="BExKSA37DZTCK6H13HPIKR0ZFVL8" localSheetId="55" hidden="1">#REF!</definedName>
    <definedName name="BExKSA37DZTCK6H13HPIKR0ZFVL8" localSheetId="4" hidden="1">#REF!</definedName>
    <definedName name="BExKSA37DZTCK6H13HPIKR0ZFVL8" localSheetId="1" hidden="1">#REF!</definedName>
    <definedName name="BExKSA37DZTCK6H13HPIKR0ZFVL8" localSheetId="9" hidden="1">#REF!</definedName>
    <definedName name="BExKSA37DZTCK6H13HPIKR0ZFVL8" hidden="1">#REF!</definedName>
    <definedName name="BExKSB51O073JLM4PEU353GBBSMI" localSheetId="56" hidden="1">#REF!</definedName>
    <definedName name="BExKSB51O073JLM4PEU353GBBSMI" localSheetId="55" hidden="1">#REF!</definedName>
    <definedName name="BExKSB51O073JLM4PEU353GBBSMI" localSheetId="4" hidden="1">#REF!</definedName>
    <definedName name="BExKSB51O073JLM4PEU353GBBSMI" localSheetId="1" hidden="1">#REF!</definedName>
    <definedName name="BExKSB51O073JLM4PEU353GBBSMI" localSheetId="9" hidden="1">#REF!</definedName>
    <definedName name="BExKSB51O073JLM4PEU353GBBSMI" hidden="1">#REF!</definedName>
    <definedName name="BExKSC1EDUXA6RM44LZV6HMMHKLX" localSheetId="56" hidden="1">#REF!</definedName>
    <definedName name="BExKSC1EDUXA6RM44LZV6HMMHKLX" localSheetId="55" hidden="1">#REF!</definedName>
    <definedName name="BExKSC1EDUXA6RM44LZV6HMMHKLX" localSheetId="4" hidden="1">#REF!</definedName>
    <definedName name="BExKSC1EDUXA6RM44LZV6HMMHKLX" localSheetId="1" hidden="1">#REF!</definedName>
    <definedName name="BExKSC1EDUXA6RM44LZV6HMMHKLX" localSheetId="9" hidden="1">#REF!</definedName>
    <definedName name="BExKSC1EDUXA6RM44LZV6HMMHKLX" hidden="1">#REF!</definedName>
    <definedName name="BExKSFMOMSZYDE0WNC94F40S6636" localSheetId="56" hidden="1">#REF!</definedName>
    <definedName name="BExKSFMOMSZYDE0WNC94F40S6636" localSheetId="55" hidden="1">#REF!</definedName>
    <definedName name="BExKSFMOMSZYDE0WNC94F40S6636" localSheetId="4" hidden="1">#REF!</definedName>
    <definedName name="BExKSFMOMSZYDE0WNC94F40S6636" localSheetId="1" hidden="1">#REF!</definedName>
    <definedName name="BExKSFMOMSZYDE0WNC94F40S6636" localSheetId="9" hidden="1">#REF!</definedName>
    <definedName name="BExKSFMOMSZYDE0WNC94F40S6636" hidden="1">#REF!</definedName>
    <definedName name="BExKSHQ9K79S8KYUWIV5M5LAHHF1" localSheetId="56" hidden="1">#REF!</definedName>
    <definedName name="BExKSHQ9K79S8KYUWIV5M5LAHHF1" localSheetId="55" hidden="1">#REF!</definedName>
    <definedName name="BExKSHQ9K79S8KYUWIV5M5LAHHF1" localSheetId="4" hidden="1">#REF!</definedName>
    <definedName name="BExKSHQ9K79S8KYUWIV5M5LAHHF1" localSheetId="1" hidden="1">#REF!</definedName>
    <definedName name="BExKSHQ9K79S8KYUWIV5M5LAHHF1" localSheetId="9" hidden="1">#REF!</definedName>
    <definedName name="BExKSHQ9K79S8KYUWIV5M5LAHHF1" hidden="1">#REF!</definedName>
    <definedName name="BExKSJTWG9L3FCX8FLK4EMUJMF27" localSheetId="56" hidden="1">#REF!</definedName>
    <definedName name="BExKSJTWG9L3FCX8FLK4EMUJMF27" localSheetId="55" hidden="1">#REF!</definedName>
    <definedName name="BExKSJTWG9L3FCX8FLK4EMUJMF27" localSheetId="4" hidden="1">#REF!</definedName>
    <definedName name="BExKSJTWG9L3FCX8FLK4EMUJMF27" localSheetId="1" hidden="1">#REF!</definedName>
    <definedName name="BExKSJTWG9L3FCX8FLK4EMUJMF27" localSheetId="9" hidden="1">#REF!</definedName>
    <definedName name="BExKSJTWG9L3FCX8FLK4EMUJMF27" hidden="1">#REF!</definedName>
    <definedName name="BExKSU0MKNAVZYYPKCYTZDWQX4R8" localSheetId="56" hidden="1">#REF!</definedName>
    <definedName name="BExKSU0MKNAVZYYPKCYTZDWQX4R8" localSheetId="55" hidden="1">#REF!</definedName>
    <definedName name="BExKSU0MKNAVZYYPKCYTZDWQX4R8" localSheetId="4" hidden="1">#REF!</definedName>
    <definedName name="BExKSU0MKNAVZYYPKCYTZDWQX4R8" localSheetId="1" hidden="1">#REF!</definedName>
    <definedName name="BExKSU0MKNAVZYYPKCYTZDWQX4R8" localSheetId="9" hidden="1">#REF!</definedName>
    <definedName name="BExKSU0MKNAVZYYPKCYTZDWQX4R8" hidden="1">#REF!</definedName>
    <definedName name="BExKSX60G1MUS689FXIGYP2F7C62" localSheetId="56" hidden="1">#REF!</definedName>
    <definedName name="BExKSX60G1MUS689FXIGYP2F7C62" localSheetId="55" hidden="1">#REF!</definedName>
    <definedName name="BExKSX60G1MUS689FXIGYP2F7C62" localSheetId="4" hidden="1">#REF!</definedName>
    <definedName name="BExKSX60G1MUS689FXIGYP2F7C62" localSheetId="1" hidden="1">#REF!</definedName>
    <definedName name="BExKSX60G1MUS689FXIGYP2F7C62" localSheetId="9" hidden="1">#REF!</definedName>
    <definedName name="BExKSX60G1MUS689FXIGYP2F7C62" hidden="1">#REF!</definedName>
    <definedName name="BExKT2UZ7Y2VWF5NQE18SJRLD2RN" localSheetId="56" hidden="1">#REF!</definedName>
    <definedName name="BExKT2UZ7Y2VWF5NQE18SJRLD2RN" localSheetId="55" hidden="1">#REF!</definedName>
    <definedName name="BExKT2UZ7Y2VWF5NQE18SJRLD2RN" localSheetId="4" hidden="1">#REF!</definedName>
    <definedName name="BExKT2UZ7Y2VWF5NQE18SJRLD2RN" localSheetId="1" hidden="1">#REF!</definedName>
    <definedName name="BExKT2UZ7Y2VWF5NQE18SJRLD2RN" localSheetId="9" hidden="1">#REF!</definedName>
    <definedName name="BExKT2UZ7Y2VWF5NQE18SJRLD2RN" hidden="1">#REF!</definedName>
    <definedName name="BExKT3GJFNGAM09H5F615E36A38C" localSheetId="56" hidden="1">#REF!</definedName>
    <definedName name="BExKT3GJFNGAM09H5F615E36A38C" localSheetId="55" hidden="1">#REF!</definedName>
    <definedName name="BExKT3GJFNGAM09H5F615E36A38C" localSheetId="4" hidden="1">#REF!</definedName>
    <definedName name="BExKT3GJFNGAM09H5F615E36A38C" localSheetId="1" hidden="1">#REF!</definedName>
    <definedName name="BExKT3GJFNGAM09H5F615E36A38C" localSheetId="9" hidden="1">#REF!</definedName>
    <definedName name="BExKT3GJFNGAM09H5F615E36A38C" hidden="1">#REF!</definedName>
    <definedName name="BExKTD1UM9PTLYETG1RM502XDNC0" localSheetId="56" hidden="1">#REF!</definedName>
    <definedName name="BExKTD1UM9PTLYETG1RM502XDNC0" localSheetId="55" hidden="1">#REF!</definedName>
    <definedName name="BExKTD1UM9PTLYETG1RM502XDNC0" localSheetId="4" hidden="1">#REF!</definedName>
    <definedName name="BExKTD1UM9PTLYETG1RM502XDNC0" localSheetId="1" hidden="1">#REF!</definedName>
    <definedName name="BExKTD1UM9PTLYETG1RM502XDNC0" localSheetId="9" hidden="1">#REF!</definedName>
    <definedName name="BExKTD1UM9PTLYETG1RM502XDNC0" hidden="1">#REF!</definedName>
    <definedName name="BExKTJN26AY45CE6JUAX3OIL48F7" localSheetId="56" hidden="1">#REF!</definedName>
    <definedName name="BExKTJN26AY45CE6JUAX3OIL48F7" localSheetId="55" hidden="1">#REF!</definedName>
    <definedName name="BExKTJN26AY45CE6JUAX3OIL48F7" localSheetId="4" hidden="1">#REF!</definedName>
    <definedName name="BExKTJN26AY45CE6JUAX3OIL48F7" localSheetId="1" hidden="1">#REF!</definedName>
    <definedName name="BExKTJN26AY45CE6JUAX3OIL48F7" localSheetId="9" hidden="1">#REF!</definedName>
    <definedName name="BExKTJN26AY45CE6JUAX3OIL48F7" hidden="1">#REF!</definedName>
    <definedName name="BExKTQZGN8GI3XGSEXMPCCA3S19H" localSheetId="56" hidden="1">#REF!</definedName>
    <definedName name="BExKTQZGN8GI3XGSEXMPCCA3S19H" localSheetId="55" hidden="1">#REF!</definedName>
    <definedName name="BExKTQZGN8GI3XGSEXMPCCA3S19H" localSheetId="4" hidden="1">#REF!</definedName>
    <definedName name="BExKTQZGN8GI3XGSEXMPCCA3S19H" localSheetId="1" hidden="1">#REF!</definedName>
    <definedName name="BExKTQZGN8GI3XGSEXMPCCA3S19H" localSheetId="9" hidden="1">#REF!</definedName>
    <definedName name="BExKTQZGN8GI3XGSEXMPCCA3S19H" hidden="1">#REF!</definedName>
    <definedName name="BExKTUKYYU0F6TUW1RXV24LRAZFE" localSheetId="56" hidden="1">#REF!</definedName>
    <definedName name="BExKTUKYYU0F6TUW1RXV24LRAZFE" localSheetId="55" hidden="1">#REF!</definedName>
    <definedName name="BExKTUKYYU0F6TUW1RXV24LRAZFE" localSheetId="4" hidden="1">#REF!</definedName>
    <definedName name="BExKTUKYYU0F6TUW1RXV24LRAZFE" localSheetId="1" hidden="1">#REF!</definedName>
    <definedName name="BExKTUKYYU0F6TUW1RXV24LRAZFE" localSheetId="9" hidden="1">#REF!</definedName>
    <definedName name="BExKTUKYYU0F6TUW1RXV24LRAZFE" hidden="1">#REF!</definedName>
    <definedName name="BExKU3FBLHQBIUTN6XEZW5GC9OG1" localSheetId="56" hidden="1">#REF!</definedName>
    <definedName name="BExKU3FBLHQBIUTN6XEZW5GC9OG1" localSheetId="55" hidden="1">#REF!</definedName>
    <definedName name="BExKU3FBLHQBIUTN6XEZW5GC9OG1" localSheetId="4" hidden="1">#REF!</definedName>
    <definedName name="BExKU3FBLHQBIUTN6XEZW5GC9OG1" localSheetId="1" hidden="1">#REF!</definedName>
    <definedName name="BExKU3FBLHQBIUTN6XEZW5GC9OG1" localSheetId="9" hidden="1">#REF!</definedName>
    <definedName name="BExKU3FBLHQBIUTN6XEZW5GC9OG1" hidden="1">#REF!</definedName>
    <definedName name="BExKU82I99FEUIZLODXJDOJC96CQ" localSheetId="56" hidden="1">#REF!</definedName>
    <definedName name="BExKU82I99FEUIZLODXJDOJC96CQ" localSheetId="55" hidden="1">#REF!</definedName>
    <definedName name="BExKU82I99FEUIZLODXJDOJC96CQ" localSheetId="4" hidden="1">#REF!</definedName>
    <definedName name="BExKU82I99FEUIZLODXJDOJC96CQ" localSheetId="1" hidden="1">#REF!</definedName>
    <definedName name="BExKU82I99FEUIZLODXJDOJC96CQ" localSheetId="9" hidden="1">#REF!</definedName>
    <definedName name="BExKU82I99FEUIZLODXJDOJC96CQ" hidden="1">#REF!</definedName>
    <definedName name="BExKUDM0DFSCM3D91SH0XLXJSL18" localSheetId="56" hidden="1">#REF!</definedName>
    <definedName name="BExKUDM0DFSCM3D91SH0XLXJSL18" localSheetId="55" hidden="1">#REF!</definedName>
    <definedName name="BExKUDM0DFSCM3D91SH0XLXJSL18" localSheetId="4" hidden="1">#REF!</definedName>
    <definedName name="BExKUDM0DFSCM3D91SH0XLXJSL18" localSheetId="1" hidden="1">#REF!</definedName>
    <definedName name="BExKUDM0DFSCM3D91SH0XLXJSL18" localSheetId="9" hidden="1">#REF!</definedName>
    <definedName name="BExKUDM0DFSCM3D91SH0XLXJSL18" hidden="1">#REF!</definedName>
    <definedName name="BExKUHYKD9TJTMQOOBS4EX04FCEZ" localSheetId="56" hidden="1">#REF!</definedName>
    <definedName name="BExKUHYKD9TJTMQOOBS4EX04FCEZ" localSheetId="55" hidden="1">#REF!</definedName>
    <definedName name="BExKUHYKD9TJTMQOOBS4EX04FCEZ" localSheetId="4" hidden="1">#REF!</definedName>
    <definedName name="BExKUHYKD9TJTMQOOBS4EX04FCEZ" localSheetId="1" hidden="1">#REF!</definedName>
    <definedName name="BExKUHYKD9TJTMQOOBS4EX04FCEZ" localSheetId="9" hidden="1">#REF!</definedName>
    <definedName name="BExKUHYKD9TJTMQOOBS4EX04FCEZ" hidden="1">#REF!</definedName>
    <definedName name="BExKULEKJLA77AUQPDUHSM94Y76Z" localSheetId="56" hidden="1">#REF!</definedName>
    <definedName name="BExKULEKJLA77AUQPDUHSM94Y76Z" localSheetId="55" hidden="1">#REF!</definedName>
    <definedName name="BExKULEKJLA77AUQPDUHSM94Y76Z" localSheetId="4" hidden="1">#REF!</definedName>
    <definedName name="BExKULEKJLA77AUQPDUHSM94Y76Z" localSheetId="1" hidden="1">#REF!</definedName>
    <definedName name="BExKULEKJLA77AUQPDUHSM94Y76Z" localSheetId="9" hidden="1">#REF!</definedName>
    <definedName name="BExKULEKJLA77AUQPDUHSM94Y76Z" hidden="1">#REF!</definedName>
    <definedName name="BExKUXE506JSYMR4CV866RHRDYR9" localSheetId="56" hidden="1">#REF!</definedName>
    <definedName name="BExKUXE506JSYMR4CV866RHRDYR9" localSheetId="55" hidden="1">#REF!</definedName>
    <definedName name="BExKUXE506JSYMR4CV866RHRDYR9" localSheetId="4" hidden="1">#REF!</definedName>
    <definedName name="BExKUXE506JSYMR4CV866RHRDYR9" localSheetId="1" hidden="1">#REF!</definedName>
    <definedName name="BExKUXE506JSYMR4CV866RHRDYR9" localSheetId="9" hidden="1">#REF!</definedName>
    <definedName name="BExKUXE506JSYMR4CV866RHRDYR9" hidden="1">#REF!</definedName>
    <definedName name="BExKV08R85MKI3MAX9E2HERNQUNL" localSheetId="56" hidden="1">#REF!</definedName>
    <definedName name="BExKV08R85MKI3MAX9E2HERNQUNL" localSheetId="55" hidden="1">#REF!</definedName>
    <definedName name="BExKV08R85MKI3MAX9E2HERNQUNL" localSheetId="4" hidden="1">#REF!</definedName>
    <definedName name="BExKV08R85MKI3MAX9E2HERNQUNL" localSheetId="1" hidden="1">#REF!</definedName>
    <definedName name="BExKV08R85MKI3MAX9E2HERNQUNL" localSheetId="9" hidden="1">#REF!</definedName>
    <definedName name="BExKV08R85MKI3MAX9E2HERNQUNL" hidden="1">#REF!</definedName>
    <definedName name="BExKV4AAUNNJL5JWD7PX6BFKVS6O" localSheetId="56" hidden="1">#REF!</definedName>
    <definedName name="BExKV4AAUNNJL5JWD7PX6BFKVS6O" localSheetId="55" hidden="1">#REF!</definedName>
    <definedName name="BExKV4AAUNNJL5JWD7PX6BFKVS6O" localSheetId="4" hidden="1">#REF!</definedName>
    <definedName name="BExKV4AAUNNJL5JWD7PX6BFKVS6O" localSheetId="1" hidden="1">#REF!</definedName>
    <definedName name="BExKV4AAUNNJL5JWD7PX6BFKVS6O" localSheetId="9" hidden="1">#REF!</definedName>
    <definedName name="BExKV4AAUNNJL5JWD7PX6BFKVS6O" hidden="1">#REF!</definedName>
    <definedName name="BExKVDVK6HN74GQPTXICP9BFC8CF" localSheetId="56" hidden="1">#REF!</definedName>
    <definedName name="BExKVDVK6HN74GQPTXICP9BFC8CF" localSheetId="55" hidden="1">#REF!</definedName>
    <definedName name="BExKVDVK6HN74GQPTXICP9BFC8CF" localSheetId="4" hidden="1">#REF!</definedName>
    <definedName name="BExKVDVK6HN74GQPTXICP9BFC8CF" localSheetId="1" hidden="1">#REF!</definedName>
    <definedName name="BExKVDVK6HN74GQPTXICP9BFC8CF" localSheetId="9" hidden="1">#REF!</definedName>
    <definedName name="BExKVDVK6HN74GQPTXICP9BFC8CF" hidden="1">#REF!</definedName>
    <definedName name="BExKVFZ3ZZGIC1QI8XN6BYFWN0ZY" localSheetId="56" hidden="1">#REF!</definedName>
    <definedName name="BExKVFZ3ZZGIC1QI8XN6BYFWN0ZY" localSheetId="55" hidden="1">#REF!</definedName>
    <definedName name="BExKVFZ3ZZGIC1QI8XN6BYFWN0ZY" localSheetId="4" hidden="1">#REF!</definedName>
    <definedName name="BExKVFZ3ZZGIC1QI8XN6BYFWN0ZY" localSheetId="1" hidden="1">#REF!</definedName>
    <definedName name="BExKVFZ3ZZGIC1QI8XN6BYFWN0ZY" localSheetId="9" hidden="1">#REF!</definedName>
    <definedName name="BExKVFZ3ZZGIC1QI8XN6BYFWN0ZY" hidden="1">#REF!</definedName>
    <definedName name="BExKVG4KGO28KPGTAFL1R8TTZ10N" localSheetId="56" hidden="1">#REF!</definedName>
    <definedName name="BExKVG4KGO28KPGTAFL1R8TTZ10N" localSheetId="55" hidden="1">#REF!</definedName>
    <definedName name="BExKVG4KGO28KPGTAFL1R8TTZ10N" localSheetId="4" hidden="1">#REF!</definedName>
    <definedName name="BExKVG4KGO28KPGTAFL1R8TTZ10N" localSheetId="1" hidden="1">#REF!</definedName>
    <definedName name="BExKVG4KGO28KPGTAFL1R8TTZ10N" localSheetId="9" hidden="1">#REF!</definedName>
    <definedName name="BExKVG4KGO28KPGTAFL1R8TTZ10N" hidden="1">#REF!</definedName>
    <definedName name="BExKW0CSH7DA02YSNV64PSEIXB2P" localSheetId="56" hidden="1">#REF!</definedName>
    <definedName name="BExKW0CSH7DA02YSNV64PSEIXB2P" localSheetId="55" hidden="1">#REF!</definedName>
    <definedName name="BExKW0CSH7DA02YSNV64PSEIXB2P" localSheetId="4" hidden="1">#REF!</definedName>
    <definedName name="BExKW0CSH7DA02YSNV64PSEIXB2P" localSheetId="1" hidden="1">#REF!</definedName>
    <definedName name="BExKW0CSH7DA02YSNV64PSEIXB2P" localSheetId="9" hidden="1">#REF!</definedName>
    <definedName name="BExKW0CSH7DA02YSNV64PSEIXB2P" hidden="1">#REF!</definedName>
    <definedName name="BExM9NUG3Q31X01AI9ZJCZIX25CS" localSheetId="56" hidden="1">#REF!</definedName>
    <definedName name="BExM9NUG3Q31X01AI9ZJCZIX25CS" localSheetId="55" hidden="1">#REF!</definedName>
    <definedName name="BExM9NUG3Q31X01AI9ZJCZIX25CS" localSheetId="4" hidden="1">#REF!</definedName>
    <definedName name="BExM9NUG3Q31X01AI9ZJCZIX25CS" localSheetId="1" hidden="1">#REF!</definedName>
    <definedName name="BExM9NUG3Q31X01AI9ZJCZIX25CS" localSheetId="9" hidden="1">#REF!</definedName>
    <definedName name="BExM9NUG3Q31X01AI9ZJCZIX25CS" hidden="1">#REF!</definedName>
    <definedName name="BExM9OG182RP30MY23PG49LVPZ1C" localSheetId="56" hidden="1">#REF!</definedName>
    <definedName name="BExM9OG182RP30MY23PG49LVPZ1C" localSheetId="55" hidden="1">#REF!</definedName>
    <definedName name="BExM9OG182RP30MY23PG49LVPZ1C" localSheetId="4" hidden="1">#REF!</definedName>
    <definedName name="BExM9OG182RP30MY23PG49LVPZ1C" localSheetId="1" hidden="1">#REF!</definedName>
    <definedName name="BExM9OG182RP30MY23PG49LVPZ1C" localSheetId="9" hidden="1">#REF!</definedName>
    <definedName name="BExM9OG182RP30MY23PG49LVPZ1C" hidden="1">#REF!</definedName>
    <definedName name="BExMA64MW1S18NH8DCKPCCEI5KCB" localSheetId="56" hidden="1">#REF!</definedName>
    <definedName name="BExMA64MW1S18NH8DCKPCCEI5KCB" localSheetId="55" hidden="1">#REF!</definedName>
    <definedName name="BExMA64MW1S18NH8DCKPCCEI5KCB" localSheetId="4" hidden="1">#REF!</definedName>
    <definedName name="BExMA64MW1S18NH8DCKPCCEI5KCB" localSheetId="1" hidden="1">#REF!</definedName>
    <definedName name="BExMA64MW1S18NH8DCKPCCEI5KCB" localSheetId="9" hidden="1">#REF!</definedName>
    <definedName name="BExMA64MW1S18NH8DCKPCCEI5KCB" hidden="1">#REF!</definedName>
    <definedName name="BExMALEWFUEM8Y686IT03ECURUBR" localSheetId="56" hidden="1">#REF!</definedName>
    <definedName name="BExMALEWFUEM8Y686IT03ECURUBR" localSheetId="55" hidden="1">#REF!</definedName>
    <definedName name="BExMALEWFUEM8Y686IT03ECURUBR" localSheetId="4" hidden="1">#REF!</definedName>
    <definedName name="BExMALEWFUEM8Y686IT03ECURUBR" localSheetId="1" hidden="1">#REF!</definedName>
    <definedName name="BExMALEWFUEM8Y686IT03ECURUBR" localSheetId="9" hidden="1">#REF!</definedName>
    <definedName name="BExMALEWFUEM8Y686IT03ECURUBR" hidden="1">#REF!</definedName>
    <definedName name="BExMAS0AQY7KMMTBTBPK0SWWDITB" localSheetId="56" hidden="1">#REF!</definedName>
    <definedName name="BExMAS0AQY7KMMTBTBPK0SWWDITB" localSheetId="55" hidden="1">#REF!</definedName>
    <definedName name="BExMAS0AQY7KMMTBTBPK0SWWDITB" localSheetId="4" hidden="1">#REF!</definedName>
    <definedName name="BExMAS0AQY7KMMTBTBPK0SWWDITB" localSheetId="1" hidden="1">#REF!</definedName>
    <definedName name="BExMAS0AQY7KMMTBTBPK0SWWDITB" localSheetId="9" hidden="1">#REF!</definedName>
    <definedName name="BExMAS0AQY7KMMTBTBPK0SWWDITB" hidden="1">#REF!</definedName>
    <definedName name="BExMAXJS82ZJ8RS22VLE0V0LDUII" localSheetId="56" hidden="1">#REF!</definedName>
    <definedName name="BExMAXJS82ZJ8RS22VLE0V0LDUII" localSheetId="55" hidden="1">#REF!</definedName>
    <definedName name="BExMAXJS82ZJ8RS22VLE0V0LDUII" localSheetId="4" hidden="1">#REF!</definedName>
    <definedName name="BExMAXJS82ZJ8RS22VLE0V0LDUII" localSheetId="1" hidden="1">#REF!</definedName>
    <definedName name="BExMAXJS82ZJ8RS22VLE0V0LDUII" localSheetId="9" hidden="1">#REF!</definedName>
    <definedName name="BExMAXJS82ZJ8RS22VLE0V0LDUII" hidden="1">#REF!</definedName>
    <definedName name="BExMB4QRS0R3MTB4CMUHFZ84LNZQ" localSheetId="56" hidden="1">#REF!</definedName>
    <definedName name="BExMB4QRS0R3MTB4CMUHFZ84LNZQ" localSheetId="55" hidden="1">#REF!</definedName>
    <definedName name="BExMB4QRS0R3MTB4CMUHFZ84LNZQ" localSheetId="4" hidden="1">#REF!</definedName>
    <definedName name="BExMB4QRS0R3MTB4CMUHFZ84LNZQ" localSheetId="1" hidden="1">#REF!</definedName>
    <definedName name="BExMB4QRS0R3MTB4CMUHFZ84LNZQ" localSheetId="9" hidden="1">#REF!</definedName>
    <definedName name="BExMB4QRS0R3MTB4CMUHFZ84LNZQ" hidden="1">#REF!</definedName>
    <definedName name="BExMB7AICZ233JKSCEUSR9RQXRS0" localSheetId="56" hidden="1">#REF!</definedName>
    <definedName name="BExMB7AICZ233JKSCEUSR9RQXRS0" localSheetId="55" hidden="1">#REF!</definedName>
    <definedName name="BExMB7AICZ233JKSCEUSR9RQXRS0" localSheetId="4" hidden="1">#REF!</definedName>
    <definedName name="BExMB7AICZ233JKSCEUSR9RQXRS0" localSheetId="1" hidden="1">#REF!</definedName>
    <definedName name="BExMB7AICZ233JKSCEUSR9RQXRS0" localSheetId="9" hidden="1">#REF!</definedName>
    <definedName name="BExMB7AICZ233JKSCEUSR9RQXRS0" hidden="1">#REF!</definedName>
    <definedName name="BExMBC35WKQY5CWQJLV4D05O6971" localSheetId="56" hidden="1">#REF!</definedName>
    <definedName name="BExMBC35WKQY5CWQJLV4D05O6971" localSheetId="55" hidden="1">#REF!</definedName>
    <definedName name="BExMBC35WKQY5CWQJLV4D05O6971" localSheetId="4" hidden="1">#REF!</definedName>
    <definedName name="BExMBC35WKQY5CWQJLV4D05O6971" localSheetId="1" hidden="1">#REF!</definedName>
    <definedName name="BExMBC35WKQY5CWQJLV4D05O6971" localSheetId="9" hidden="1">#REF!</definedName>
    <definedName name="BExMBC35WKQY5CWQJLV4D05O6971" hidden="1">#REF!</definedName>
    <definedName name="BExMBFTZV4Q1A5KG25C1N9PHQNSW" localSheetId="56" hidden="1">#REF!</definedName>
    <definedName name="BExMBFTZV4Q1A5KG25C1N9PHQNSW" localSheetId="55" hidden="1">#REF!</definedName>
    <definedName name="BExMBFTZV4Q1A5KG25C1N9PHQNSW" localSheetId="4" hidden="1">#REF!</definedName>
    <definedName name="BExMBFTZV4Q1A5KG25C1N9PHQNSW" localSheetId="1" hidden="1">#REF!</definedName>
    <definedName name="BExMBFTZV4Q1A5KG25C1N9PHQNSW" localSheetId="9" hidden="1">#REF!</definedName>
    <definedName name="BExMBFTZV4Q1A5KG25C1N9PHQNSW" hidden="1">#REF!</definedName>
    <definedName name="BExMBFZFXQDH3H55R89930TFTU36" localSheetId="56" hidden="1">#REF!</definedName>
    <definedName name="BExMBFZFXQDH3H55R89930TFTU36" localSheetId="55" hidden="1">#REF!</definedName>
    <definedName name="BExMBFZFXQDH3H55R89930TFTU36" localSheetId="4" hidden="1">#REF!</definedName>
    <definedName name="BExMBFZFXQDH3H55R89930TFTU36" localSheetId="1" hidden="1">#REF!</definedName>
    <definedName name="BExMBFZFXQDH3H55R89930TFTU36" localSheetId="9" hidden="1">#REF!</definedName>
    <definedName name="BExMBFZFXQDH3H55R89930TFTU36" hidden="1">#REF!</definedName>
    <definedName name="BExMBK6ISK3U7KHZKUJXIDKGF6VW" localSheetId="56" hidden="1">#REF!</definedName>
    <definedName name="BExMBK6ISK3U7KHZKUJXIDKGF6VW" localSheetId="55" hidden="1">#REF!</definedName>
    <definedName name="BExMBK6ISK3U7KHZKUJXIDKGF6VW" localSheetId="4" hidden="1">#REF!</definedName>
    <definedName name="BExMBK6ISK3U7KHZKUJXIDKGF6VW" localSheetId="1" hidden="1">#REF!</definedName>
    <definedName name="BExMBK6ISK3U7KHZKUJXIDKGF6VW" localSheetId="9" hidden="1">#REF!</definedName>
    <definedName name="BExMBK6ISK3U7KHZKUJXIDKGF6VW" hidden="1">#REF!</definedName>
    <definedName name="BExMBYPQDG9AYDQ5E8IECVFREPO6" localSheetId="45" hidden="1">#REF!</definedName>
    <definedName name="BExMBYPQDG9AYDQ5E8IECVFREPO6" localSheetId="51" hidden="1">#REF!</definedName>
    <definedName name="BExMBYPQDG9AYDQ5E8IECVFREPO6" localSheetId="52" hidden="1">#REF!</definedName>
    <definedName name="BExMBYPQDG9AYDQ5E8IECVFREPO6" localSheetId="56" hidden="1">#REF!</definedName>
    <definedName name="BExMBYPQDG9AYDQ5E8IECVFREPO6" localSheetId="55" hidden="1">#REF!</definedName>
    <definedName name="BExMBYPQDG9AYDQ5E8IECVFREPO6" localSheetId="53" hidden="1">#REF!</definedName>
    <definedName name="BExMBYPQDG9AYDQ5E8IECVFREPO6" localSheetId="54" hidden="1">#REF!</definedName>
    <definedName name="BExMBYPQDG9AYDQ5E8IECVFREPO6" localSheetId="4" hidden="1">#REF!</definedName>
    <definedName name="BExMBYPQDG9AYDQ5E8IECVFREPO6" localSheetId="1" hidden="1">#REF!</definedName>
    <definedName name="BExMBYPQDG9AYDQ5E8IECVFREPO6" localSheetId="9" hidden="1">#REF!</definedName>
    <definedName name="BExMBYPQDG9AYDQ5E8IECVFREPO6" hidden="1">#REF!</definedName>
    <definedName name="BExMC8AZUTX8LG89K2JJR7ZG62XX" localSheetId="56" hidden="1">#REF!</definedName>
    <definedName name="BExMC8AZUTX8LG89K2JJR7ZG62XX" localSheetId="55" hidden="1">#REF!</definedName>
    <definedName name="BExMC8AZUTX8LG89K2JJR7ZG62XX" localSheetId="4" hidden="1">#REF!</definedName>
    <definedName name="BExMC8AZUTX8LG89K2JJR7ZG62XX" localSheetId="1" hidden="1">#REF!</definedName>
    <definedName name="BExMC8AZUTX8LG89K2JJR7ZG62XX" localSheetId="9" hidden="1">#REF!</definedName>
    <definedName name="BExMC8AZUTX8LG89K2JJR7ZG62XX" hidden="1">#REF!</definedName>
    <definedName name="BExMCA96YR10V72G2R0SCIKPZLIZ" localSheetId="56" hidden="1">#REF!</definedName>
    <definedName name="BExMCA96YR10V72G2R0SCIKPZLIZ" localSheetId="55" hidden="1">#REF!</definedName>
    <definedName name="BExMCA96YR10V72G2R0SCIKPZLIZ" localSheetId="4" hidden="1">#REF!</definedName>
    <definedName name="BExMCA96YR10V72G2R0SCIKPZLIZ" localSheetId="1" hidden="1">#REF!</definedName>
    <definedName name="BExMCA96YR10V72G2R0SCIKPZLIZ" localSheetId="9" hidden="1">#REF!</definedName>
    <definedName name="BExMCA96YR10V72G2R0SCIKPZLIZ" hidden="1">#REF!</definedName>
    <definedName name="BExMCB5JU5I2VQDUBS4O42BTEVKI" localSheetId="56" hidden="1">#REF!</definedName>
    <definedName name="BExMCB5JU5I2VQDUBS4O42BTEVKI" localSheetId="55" hidden="1">#REF!</definedName>
    <definedName name="BExMCB5JU5I2VQDUBS4O42BTEVKI" localSheetId="4" hidden="1">#REF!</definedName>
    <definedName name="BExMCB5JU5I2VQDUBS4O42BTEVKI" localSheetId="1" hidden="1">#REF!</definedName>
    <definedName name="BExMCB5JU5I2VQDUBS4O42BTEVKI" localSheetId="9" hidden="1">#REF!</definedName>
    <definedName name="BExMCB5JU5I2VQDUBS4O42BTEVKI" hidden="1">#REF!</definedName>
    <definedName name="BExMCFSQFSEMPY5IXDIRKZDASDBR" localSheetId="56" hidden="1">#REF!</definedName>
    <definedName name="BExMCFSQFSEMPY5IXDIRKZDASDBR" localSheetId="55" hidden="1">#REF!</definedName>
    <definedName name="BExMCFSQFSEMPY5IXDIRKZDASDBR" localSheetId="4" hidden="1">#REF!</definedName>
    <definedName name="BExMCFSQFSEMPY5IXDIRKZDASDBR" localSheetId="1" hidden="1">#REF!</definedName>
    <definedName name="BExMCFSQFSEMPY5IXDIRKZDASDBR" localSheetId="9" hidden="1">#REF!</definedName>
    <definedName name="BExMCFSQFSEMPY5IXDIRKZDASDBR" hidden="1">#REF!</definedName>
    <definedName name="BExMCH58I9XOLK7WEE6VSJGYPJGL" localSheetId="56" hidden="1">#REF!</definedName>
    <definedName name="BExMCH58I9XOLK7WEE6VSJGYPJGL" localSheetId="55" hidden="1">#REF!</definedName>
    <definedName name="BExMCH58I9XOLK7WEE6VSJGYPJGL" localSheetId="4" hidden="1">#REF!</definedName>
    <definedName name="BExMCH58I9XOLK7WEE6VSJGYPJGL" localSheetId="1" hidden="1">#REF!</definedName>
    <definedName name="BExMCH58I9XOLK7WEE6VSJGYPJGL" localSheetId="9" hidden="1">#REF!</definedName>
    <definedName name="BExMCH58I9XOLK7WEE6VSJGYPJGL" hidden="1">#REF!</definedName>
    <definedName name="BExMCMZOEYWVOOJ98TBHTTCS7XB8" localSheetId="56" hidden="1">#REF!</definedName>
    <definedName name="BExMCMZOEYWVOOJ98TBHTTCS7XB8" localSheetId="55" hidden="1">#REF!</definedName>
    <definedName name="BExMCMZOEYWVOOJ98TBHTTCS7XB8" localSheetId="4" hidden="1">#REF!</definedName>
    <definedName name="BExMCMZOEYWVOOJ98TBHTTCS7XB8" localSheetId="1" hidden="1">#REF!</definedName>
    <definedName name="BExMCMZOEYWVOOJ98TBHTTCS7XB8" localSheetId="9" hidden="1">#REF!</definedName>
    <definedName name="BExMCMZOEYWVOOJ98TBHTTCS7XB8" hidden="1">#REF!</definedName>
    <definedName name="BExMCS8EF2W3FS9QADNKREYSI8P0" localSheetId="56" hidden="1">#REF!</definedName>
    <definedName name="BExMCS8EF2W3FS9QADNKREYSI8P0" localSheetId="55" hidden="1">#REF!</definedName>
    <definedName name="BExMCS8EF2W3FS9QADNKREYSI8P0" localSheetId="4" hidden="1">#REF!</definedName>
    <definedName name="BExMCS8EF2W3FS9QADNKREYSI8P0" localSheetId="1" hidden="1">#REF!</definedName>
    <definedName name="BExMCS8EF2W3FS9QADNKREYSI8P0" localSheetId="9" hidden="1">#REF!</definedName>
    <definedName name="BExMCS8EF2W3FS9QADNKREYSI8P0" hidden="1">#REF!</definedName>
    <definedName name="BExMCSU0KZGHALEL7N5DJBVL94K7" localSheetId="56" hidden="1">#REF!</definedName>
    <definedName name="BExMCSU0KZGHALEL7N5DJBVL94K7" localSheetId="55" hidden="1">#REF!</definedName>
    <definedName name="BExMCSU0KZGHALEL7N5DJBVL94K7" localSheetId="4" hidden="1">#REF!</definedName>
    <definedName name="BExMCSU0KZGHALEL7N5DJBVL94K7" localSheetId="1" hidden="1">#REF!</definedName>
    <definedName name="BExMCSU0KZGHALEL7N5DJBVL94K7" localSheetId="9" hidden="1">#REF!</definedName>
    <definedName name="BExMCSU0KZGHALEL7N5DJBVL94K7" hidden="1">#REF!</definedName>
    <definedName name="BExMCUS7GSOM96J0HJ7EH0FFM2AC" localSheetId="56" hidden="1">#REF!</definedName>
    <definedName name="BExMCUS7GSOM96J0HJ7EH0FFM2AC" localSheetId="55" hidden="1">#REF!</definedName>
    <definedName name="BExMCUS7GSOM96J0HJ7EH0FFM2AC" localSheetId="4" hidden="1">#REF!</definedName>
    <definedName name="BExMCUS7GSOM96J0HJ7EH0FFM2AC" localSheetId="1" hidden="1">#REF!</definedName>
    <definedName name="BExMCUS7GSOM96J0HJ7EH0FFM2AC" localSheetId="9" hidden="1">#REF!</definedName>
    <definedName name="BExMCUS7GSOM96J0HJ7EH0FFM2AC" hidden="1">#REF!</definedName>
    <definedName name="BExMCYTT6TVDWMJXO1NZANRTVNAN" localSheetId="56" hidden="1">#REF!</definedName>
    <definedName name="BExMCYTT6TVDWMJXO1NZANRTVNAN" localSheetId="55" hidden="1">#REF!</definedName>
    <definedName name="BExMCYTT6TVDWMJXO1NZANRTVNAN" localSheetId="4" hidden="1">#REF!</definedName>
    <definedName name="BExMCYTT6TVDWMJXO1NZANRTVNAN" localSheetId="1" hidden="1">#REF!</definedName>
    <definedName name="BExMCYTT6TVDWMJXO1NZANRTVNAN" localSheetId="9" hidden="1">#REF!</definedName>
    <definedName name="BExMCYTT6TVDWMJXO1NZANRTVNAN" hidden="1">#REF!</definedName>
    <definedName name="BExMD54CT1VTE5YGBM90H90NF28M" localSheetId="56" hidden="1">#REF!</definedName>
    <definedName name="BExMD54CT1VTE5YGBM90H90NF28M" localSheetId="55" hidden="1">#REF!</definedName>
    <definedName name="BExMD54CT1VTE5YGBM90H90NF28M" localSheetId="4" hidden="1">#REF!</definedName>
    <definedName name="BExMD54CT1VTE5YGBM90H90NF28M" localSheetId="1" hidden="1">#REF!</definedName>
    <definedName name="BExMD54CT1VTE5YGBM90H90NF28M" localSheetId="9" hidden="1">#REF!</definedName>
    <definedName name="BExMD54CT1VTE5YGBM90H90NF28M" hidden="1">#REF!</definedName>
    <definedName name="BExMD5F6IAV108XYJLXUO9HD0IT6" localSheetId="56" hidden="1">#REF!</definedName>
    <definedName name="BExMD5F6IAV108XYJLXUO9HD0IT6" localSheetId="55" hidden="1">#REF!</definedName>
    <definedName name="BExMD5F6IAV108XYJLXUO9HD0IT6" localSheetId="4" hidden="1">#REF!</definedName>
    <definedName name="BExMD5F6IAV108XYJLXUO9HD0IT6" localSheetId="1" hidden="1">#REF!</definedName>
    <definedName name="BExMD5F6IAV108XYJLXUO9HD0IT6" localSheetId="9" hidden="1">#REF!</definedName>
    <definedName name="BExMD5F6IAV108XYJLXUO9HD0IT6" hidden="1">#REF!</definedName>
    <definedName name="BExMDANV66W9T3XAXID40XFJ0J93" localSheetId="56" hidden="1">#REF!</definedName>
    <definedName name="BExMDANV66W9T3XAXID40XFJ0J93" localSheetId="55" hidden="1">#REF!</definedName>
    <definedName name="BExMDANV66W9T3XAXID40XFJ0J93" localSheetId="4" hidden="1">#REF!</definedName>
    <definedName name="BExMDANV66W9T3XAXID40XFJ0J93" localSheetId="1" hidden="1">#REF!</definedName>
    <definedName name="BExMDANV66W9T3XAXID40XFJ0J93" localSheetId="9" hidden="1">#REF!</definedName>
    <definedName name="BExMDANV66W9T3XAXID40XFJ0J93" hidden="1">#REF!</definedName>
    <definedName name="BExMDGD1KQP7NNR78X2ZX4FCBQ1S" localSheetId="56" hidden="1">#REF!</definedName>
    <definedName name="BExMDGD1KQP7NNR78X2ZX4FCBQ1S" localSheetId="55" hidden="1">#REF!</definedName>
    <definedName name="BExMDGD1KQP7NNR78X2ZX4FCBQ1S" localSheetId="4" hidden="1">#REF!</definedName>
    <definedName name="BExMDGD1KQP7NNR78X2ZX4FCBQ1S" localSheetId="1" hidden="1">#REF!</definedName>
    <definedName name="BExMDGD1KQP7NNR78X2ZX4FCBQ1S" localSheetId="9" hidden="1">#REF!</definedName>
    <definedName name="BExMDGD1KQP7NNR78X2ZX4FCBQ1S" hidden="1">#REF!</definedName>
    <definedName name="BExMDIRDK0DI8P86HB7WPH8QWLSQ" localSheetId="56" hidden="1">#REF!</definedName>
    <definedName name="BExMDIRDK0DI8P86HB7WPH8QWLSQ" localSheetId="55" hidden="1">#REF!</definedName>
    <definedName name="BExMDIRDK0DI8P86HB7WPH8QWLSQ" localSheetId="4" hidden="1">#REF!</definedName>
    <definedName name="BExMDIRDK0DI8P86HB7WPH8QWLSQ" localSheetId="1" hidden="1">#REF!</definedName>
    <definedName name="BExMDIRDK0DI8P86HB7WPH8QWLSQ" localSheetId="9" hidden="1">#REF!</definedName>
    <definedName name="BExMDIRDK0DI8P86HB7WPH8QWLSQ" hidden="1">#REF!</definedName>
    <definedName name="BExMDOWGDLP3BZZB4ZPI31VS10FP" localSheetId="56" hidden="1">#REF!</definedName>
    <definedName name="BExMDOWGDLP3BZZB4ZPI31VS10FP" localSheetId="55" hidden="1">#REF!</definedName>
    <definedName name="BExMDOWGDLP3BZZB4ZPI31VS10FP" localSheetId="4" hidden="1">#REF!</definedName>
    <definedName name="BExMDOWGDLP3BZZB4ZPI31VS10FP" localSheetId="1" hidden="1">#REF!</definedName>
    <definedName name="BExMDOWGDLP3BZZB4ZPI31VS10FP" localSheetId="9" hidden="1">#REF!</definedName>
    <definedName name="BExMDOWGDLP3BZZB4ZPI31VS10FP" hidden="1">#REF!</definedName>
    <definedName name="BExMDPI2FVMORSWDDCVAJ85WYAYO" localSheetId="56" hidden="1">#REF!</definedName>
    <definedName name="BExMDPI2FVMORSWDDCVAJ85WYAYO" localSheetId="55" hidden="1">#REF!</definedName>
    <definedName name="BExMDPI2FVMORSWDDCVAJ85WYAYO" localSheetId="4" hidden="1">#REF!</definedName>
    <definedName name="BExMDPI2FVMORSWDDCVAJ85WYAYO" localSheetId="1" hidden="1">#REF!</definedName>
    <definedName name="BExMDPI2FVMORSWDDCVAJ85WYAYO" localSheetId="9" hidden="1">#REF!</definedName>
    <definedName name="BExMDPI2FVMORSWDDCVAJ85WYAYO" hidden="1">#REF!</definedName>
    <definedName name="BExMDUWB7VWHFFR266QXO46BNV2S" localSheetId="56" hidden="1">#REF!</definedName>
    <definedName name="BExMDUWB7VWHFFR266QXO46BNV2S" localSheetId="55" hidden="1">#REF!</definedName>
    <definedName name="BExMDUWB7VWHFFR266QXO46BNV2S" localSheetId="4" hidden="1">#REF!</definedName>
    <definedName name="BExMDUWB7VWHFFR266QXO46BNV2S" localSheetId="1" hidden="1">#REF!</definedName>
    <definedName name="BExMDUWB7VWHFFR266QXO46BNV2S" localSheetId="9" hidden="1">#REF!</definedName>
    <definedName name="BExMDUWB7VWHFFR266QXO46BNV2S" hidden="1">#REF!</definedName>
    <definedName name="BExME2U47N8LZG0BPJ49ANY5QVV2" localSheetId="56" hidden="1">#REF!</definedName>
    <definedName name="BExME2U47N8LZG0BPJ49ANY5QVV2" localSheetId="55" hidden="1">#REF!</definedName>
    <definedName name="BExME2U47N8LZG0BPJ49ANY5QVV2" localSheetId="4" hidden="1">#REF!</definedName>
    <definedName name="BExME2U47N8LZG0BPJ49ANY5QVV2" localSheetId="1" hidden="1">#REF!</definedName>
    <definedName name="BExME2U47N8LZG0BPJ49ANY5QVV2" localSheetId="9" hidden="1">#REF!</definedName>
    <definedName name="BExME2U47N8LZG0BPJ49ANY5QVV2" hidden="1">#REF!</definedName>
    <definedName name="BExME88DH5DUKMUFI9FNVECXFD2E" localSheetId="56" hidden="1">#REF!</definedName>
    <definedName name="BExME88DH5DUKMUFI9FNVECXFD2E" localSheetId="55" hidden="1">#REF!</definedName>
    <definedName name="BExME88DH5DUKMUFI9FNVECXFD2E" localSheetId="4" hidden="1">#REF!</definedName>
    <definedName name="BExME88DH5DUKMUFI9FNVECXFD2E" localSheetId="1" hidden="1">#REF!</definedName>
    <definedName name="BExME88DH5DUKMUFI9FNVECXFD2E" localSheetId="9" hidden="1">#REF!</definedName>
    <definedName name="BExME88DH5DUKMUFI9FNVECXFD2E" hidden="1">#REF!</definedName>
    <definedName name="BExME9A7MOGAK7YTTQYXP5DL6VYA" localSheetId="56" hidden="1">#REF!</definedName>
    <definedName name="BExME9A7MOGAK7YTTQYXP5DL6VYA" localSheetId="55" hidden="1">#REF!</definedName>
    <definedName name="BExME9A7MOGAK7YTTQYXP5DL6VYA" localSheetId="4" hidden="1">#REF!</definedName>
    <definedName name="BExME9A7MOGAK7YTTQYXP5DL6VYA" localSheetId="1" hidden="1">#REF!</definedName>
    <definedName name="BExME9A7MOGAK7YTTQYXP5DL6VYA" localSheetId="9" hidden="1">#REF!</definedName>
    <definedName name="BExME9A7MOGAK7YTTQYXP5DL6VYA" hidden="1">#REF!</definedName>
    <definedName name="BExMEOV9YFRY5C3GDLU60GIX10BY" localSheetId="56" hidden="1">#REF!</definedName>
    <definedName name="BExMEOV9YFRY5C3GDLU60GIX10BY" localSheetId="55" hidden="1">#REF!</definedName>
    <definedName name="BExMEOV9YFRY5C3GDLU60GIX10BY" localSheetId="4" hidden="1">#REF!</definedName>
    <definedName name="BExMEOV9YFRY5C3GDLU60GIX10BY" localSheetId="1" hidden="1">#REF!</definedName>
    <definedName name="BExMEOV9YFRY5C3GDLU60GIX10BY" localSheetId="9" hidden="1">#REF!</definedName>
    <definedName name="BExMEOV9YFRY5C3GDLU60GIX10BY" hidden="1">#REF!</definedName>
    <definedName name="BExMEUK2Q5GZGZFZ77Z2IYUKOOYW" localSheetId="56" hidden="1">#REF!</definedName>
    <definedName name="BExMEUK2Q5GZGZFZ77Z2IYUKOOYW" localSheetId="55" hidden="1">#REF!</definedName>
    <definedName name="BExMEUK2Q5GZGZFZ77Z2IYUKOOYW" localSheetId="4" hidden="1">#REF!</definedName>
    <definedName name="BExMEUK2Q5GZGZFZ77Z2IYUKOOYW" localSheetId="1" hidden="1">#REF!</definedName>
    <definedName name="BExMEUK2Q5GZGZFZ77Z2IYUKOOYW" localSheetId="9" hidden="1">#REF!</definedName>
    <definedName name="BExMEUK2Q5GZGZFZ77Z2IYUKOOYW" hidden="1">#REF!</definedName>
    <definedName name="BExMEWT36INWIP0VNS94NEP3WZ4U" localSheetId="56" hidden="1">#REF!</definedName>
    <definedName name="BExMEWT36INWIP0VNS94NEP3WZ4U" localSheetId="55" hidden="1">#REF!</definedName>
    <definedName name="BExMEWT36INWIP0VNS94NEP3WZ4U" localSheetId="4" hidden="1">#REF!</definedName>
    <definedName name="BExMEWT36INWIP0VNS94NEP3WZ4U" localSheetId="1" hidden="1">#REF!</definedName>
    <definedName name="BExMEWT36INWIP0VNS94NEP3WZ4U" localSheetId="9" hidden="1">#REF!</definedName>
    <definedName name="BExMEWT36INWIP0VNS94NEP3WZ4U" hidden="1">#REF!</definedName>
    <definedName name="BExMEY09ESM4H2YGKEQQRYUD114R" localSheetId="56" hidden="1">#REF!</definedName>
    <definedName name="BExMEY09ESM4H2YGKEQQRYUD114R" localSheetId="55" hidden="1">#REF!</definedName>
    <definedName name="BExMEY09ESM4H2YGKEQQRYUD114R" localSheetId="4" hidden="1">#REF!</definedName>
    <definedName name="BExMEY09ESM4H2YGKEQQRYUD114R" localSheetId="1" hidden="1">#REF!</definedName>
    <definedName name="BExMEY09ESM4H2YGKEQQRYUD114R" localSheetId="9" hidden="1">#REF!</definedName>
    <definedName name="BExMEY09ESM4H2YGKEQQRYUD114R" hidden="1">#REF!</definedName>
    <definedName name="BExMF0UU4SBJHOJ4SG09QMF1TC7H" localSheetId="56" hidden="1">#REF!</definedName>
    <definedName name="BExMF0UU4SBJHOJ4SG09QMF1TC7H" localSheetId="55" hidden="1">#REF!</definedName>
    <definedName name="BExMF0UU4SBJHOJ4SG09QMF1TC7H" localSheetId="4" hidden="1">#REF!</definedName>
    <definedName name="BExMF0UU4SBJHOJ4SG09QMF1TC7H" localSheetId="1" hidden="1">#REF!</definedName>
    <definedName name="BExMF0UU4SBJHOJ4SG09QMF1TC7H" localSheetId="9" hidden="1">#REF!</definedName>
    <definedName name="BExMF0UU4SBJHOJ4SG09QMF1TC7H" hidden="1">#REF!</definedName>
    <definedName name="BExMF2YDPQWGK3CSN8LJG16MLFQZ" localSheetId="56" hidden="1">#REF!</definedName>
    <definedName name="BExMF2YDPQWGK3CSN8LJG16MLFQZ" localSheetId="55" hidden="1">#REF!</definedName>
    <definedName name="BExMF2YDPQWGK3CSN8LJG16MLFQZ" localSheetId="4" hidden="1">#REF!</definedName>
    <definedName name="BExMF2YDPQWGK3CSN8LJG16MLFQZ" localSheetId="1" hidden="1">#REF!</definedName>
    <definedName name="BExMF2YDPQWGK3CSN8LJG16MLFQZ" localSheetId="9" hidden="1">#REF!</definedName>
    <definedName name="BExMF2YDPQWGK3CSN8LJG16MLFQZ" hidden="1">#REF!</definedName>
    <definedName name="BExMF4G4IUPQY1Y5GEY5N3E04CL6" localSheetId="56" hidden="1">#REF!</definedName>
    <definedName name="BExMF4G4IUPQY1Y5GEY5N3E04CL6" localSheetId="55" hidden="1">#REF!</definedName>
    <definedName name="BExMF4G4IUPQY1Y5GEY5N3E04CL6" localSheetId="4" hidden="1">#REF!</definedName>
    <definedName name="BExMF4G4IUPQY1Y5GEY5N3E04CL6" localSheetId="1" hidden="1">#REF!</definedName>
    <definedName name="BExMF4G4IUPQY1Y5GEY5N3E04CL6" localSheetId="9" hidden="1">#REF!</definedName>
    <definedName name="BExMF4G4IUPQY1Y5GEY5N3E04CL6" hidden="1">#REF!</definedName>
    <definedName name="BExMF9UIGYMOAQK0ELUWP0S0HZZY" localSheetId="56" hidden="1">#REF!</definedName>
    <definedName name="BExMF9UIGYMOAQK0ELUWP0S0HZZY" localSheetId="55" hidden="1">#REF!</definedName>
    <definedName name="BExMF9UIGYMOAQK0ELUWP0S0HZZY" localSheetId="4" hidden="1">#REF!</definedName>
    <definedName name="BExMF9UIGYMOAQK0ELUWP0S0HZZY" localSheetId="1" hidden="1">#REF!</definedName>
    <definedName name="BExMF9UIGYMOAQK0ELUWP0S0HZZY" localSheetId="9" hidden="1">#REF!</definedName>
    <definedName name="BExMF9UIGYMOAQK0ELUWP0S0HZZY" hidden="1">#REF!</definedName>
    <definedName name="BExMFDLBSWFMRDYJ2DZETI3EXKN2" localSheetId="56" hidden="1">#REF!</definedName>
    <definedName name="BExMFDLBSWFMRDYJ2DZETI3EXKN2" localSheetId="55" hidden="1">#REF!</definedName>
    <definedName name="BExMFDLBSWFMRDYJ2DZETI3EXKN2" localSheetId="4" hidden="1">#REF!</definedName>
    <definedName name="BExMFDLBSWFMRDYJ2DZETI3EXKN2" localSheetId="1" hidden="1">#REF!</definedName>
    <definedName name="BExMFDLBSWFMRDYJ2DZETI3EXKN2" localSheetId="9" hidden="1">#REF!</definedName>
    <definedName name="BExMFDLBSWFMRDYJ2DZETI3EXKN2" hidden="1">#REF!</definedName>
    <definedName name="BExMFLDTMRTCHKA37LQW67BG8D5C" localSheetId="56" hidden="1">#REF!</definedName>
    <definedName name="BExMFLDTMRTCHKA37LQW67BG8D5C" localSheetId="55" hidden="1">#REF!</definedName>
    <definedName name="BExMFLDTMRTCHKA37LQW67BG8D5C" localSheetId="4" hidden="1">#REF!</definedName>
    <definedName name="BExMFLDTMRTCHKA37LQW67BG8D5C" localSheetId="1" hidden="1">#REF!</definedName>
    <definedName name="BExMFLDTMRTCHKA37LQW67BG8D5C" localSheetId="9" hidden="1">#REF!</definedName>
    <definedName name="BExMFLDTMRTCHKA37LQW67BG8D5C" hidden="1">#REF!</definedName>
    <definedName name="BExMFTH63LTWA2JYJTJYMT5K2OF2" localSheetId="56" hidden="1">#REF!</definedName>
    <definedName name="BExMFTH63LTWA2JYJTJYMT5K2OF2" localSheetId="55" hidden="1">#REF!</definedName>
    <definedName name="BExMFTH63LTWA2JYJTJYMT5K2OF2" localSheetId="4" hidden="1">#REF!</definedName>
    <definedName name="BExMFTH63LTWA2JYJTJYMT5K2OF2" localSheetId="1" hidden="1">#REF!</definedName>
    <definedName name="BExMFTH63LTWA2JYJTJYMT5K2OF2" localSheetId="9" hidden="1">#REF!</definedName>
    <definedName name="BExMFTH63LTWA2JYJTJYMT5K2OF2" hidden="1">#REF!</definedName>
    <definedName name="BExMFY4AG5T27EVMCCNE00GOAR66" localSheetId="56" hidden="1">#REF!</definedName>
    <definedName name="BExMFY4AG5T27EVMCCNE00GOAR66" localSheetId="55" hidden="1">#REF!</definedName>
    <definedName name="BExMFY4AG5T27EVMCCNE00GOAR66" localSheetId="4" hidden="1">#REF!</definedName>
    <definedName name="BExMFY4AG5T27EVMCCNE00GOAR66" localSheetId="1" hidden="1">#REF!</definedName>
    <definedName name="BExMFY4AG5T27EVMCCNE00GOAR66" localSheetId="9" hidden="1">#REF!</definedName>
    <definedName name="BExMFY4AG5T27EVMCCNE00GOAR66" hidden="1">#REF!</definedName>
    <definedName name="BExMGQQNOFER1MEVQ961XARTRIOB" localSheetId="56" hidden="1">#REF!</definedName>
    <definedName name="BExMGQQNOFER1MEVQ961XARTRIOB" localSheetId="55" hidden="1">#REF!</definedName>
    <definedName name="BExMGQQNOFER1MEVQ961XARTRIOB" localSheetId="4" hidden="1">#REF!</definedName>
    <definedName name="BExMGQQNOFER1MEVQ961XARTRIOB" localSheetId="1" hidden="1">#REF!</definedName>
    <definedName name="BExMGQQNOFER1MEVQ961XARTRIOB" localSheetId="9" hidden="1">#REF!</definedName>
    <definedName name="BExMGQQNOFER1MEVQ961XARTRIOB" hidden="1">#REF!</definedName>
    <definedName name="BExMH189E60TZBQFN2UWVA1UZA7X" localSheetId="56" hidden="1">#REF!</definedName>
    <definedName name="BExMH189E60TZBQFN2UWVA1UZA7X" localSheetId="55" hidden="1">#REF!</definedName>
    <definedName name="BExMH189E60TZBQFN2UWVA1UZA7X" localSheetId="4" hidden="1">#REF!</definedName>
    <definedName name="BExMH189E60TZBQFN2UWVA1UZA7X" localSheetId="1" hidden="1">#REF!</definedName>
    <definedName name="BExMH189E60TZBQFN2UWVA1UZA7X" localSheetId="9" hidden="1">#REF!</definedName>
    <definedName name="BExMH189E60TZBQFN2UWVA1UZA7X" hidden="1">#REF!</definedName>
    <definedName name="BExMH3H9TW5TJCNU5Z1EWXP3BAEP" localSheetId="56" hidden="1">#REF!</definedName>
    <definedName name="BExMH3H9TW5TJCNU5Z1EWXP3BAEP" localSheetId="55" hidden="1">#REF!</definedName>
    <definedName name="BExMH3H9TW5TJCNU5Z1EWXP3BAEP" localSheetId="4" hidden="1">#REF!</definedName>
    <definedName name="BExMH3H9TW5TJCNU5Z1EWXP3BAEP" localSheetId="1" hidden="1">#REF!</definedName>
    <definedName name="BExMH3H9TW5TJCNU5Z1EWXP3BAEP" localSheetId="9" hidden="1">#REF!</definedName>
    <definedName name="BExMH3H9TW5TJCNU5Z1EWXP3BAEP" hidden="1">#REF!</definedName>
    <definedName name="BExMH5A1B01SYXROP70DOKTQ5D6Z" localSheetId="56" hidden="1">#REF!</definedName>
    <definedName name="BExMH5A1B01SYXROP70DOKTQ5D6Z" localSheetId="55" hidden="1">#REF!</definedName>
    <definedName name="BExMH5A1B01SYXROP70DOKTQ5D6Z" localSheetId="4" hidden="1">#REF!</definedName>
    <definedName name="BExMH5A1B01SYXROP70DOKTQ5D6Z" localSheetId="1" hidden="1">#REF!</definedName>
    <definedName name="BExMH5A1B01SYXROP70DOKTQ5D6Z" localSheetId="9" hidden="1">#REF!</definedName>
    <definedName name="BExMH5A1B01SYXROP70DOKTQ5D6Z" hidden="1">#REF!</definedName>
    <definedName name="BExMHCGUJ8A3L31NU0XU0FGXE4P3" localSheetId="56" hidden="1">#REF!</definedName>
    <definedName name="BExMHCGUJ8A3L31NU0XU0FGXE4P3" localSheetId="55" hidden="1">#REF!</definedName>
    <definedName name="BExMHCGUJ8A3L31NU0XU0FGXE4P3" localSheetId="4" hidden="1">#REF!</definedName>
    <definedName name="BExMHCGUJ8A3L31NU0XU0FGXE4P3" localSheetId="1" hidden="1">#REF!</definedName>
    <definedName name="BExMHCGUJ8A3L31NU0XU0FGXE4P3" localSheetId="9" hidden="1">#REF!</definedName>
    <definedName name="BExMHCGUJ8A3L31NU0XU0FGXE4P3" hidden="1">#REF!</definedName>
    <definedName name="BExMHOWPB34KPZ76M2KIX2C9R2VB" localSheetId="56" hidden="1">#REF!</definedName>
    <definedName name="BExMHOWPB34KPZ76M2KIX2C9R2VB" localSheetId="55" hidden="1">#REF!</definedName>
    <definedName name="BExMHOWPB34KPZ76M2KIX2C9R2VB" localSheetId="4" hidden="1">#REF!</definedName>
    <definedName name="BExMHOWPB34KPZ76M2KIX2C9R2VB" localSheetId="1" hidden="1">#REF!</definedName>
    <definedName name="BExMHOWPB34KPZ76M2KIX2C9R2VB" localSheetId="9" hidden="1">#REF!</definedName>
    <definedName name="BExMHOWPB34KPZ76M2KIX2C9R2VB" hidden="1">#REF!</definedName>
    <definedName name="BExMHSSYC6KVHA3QDTSYPN92TWMI" localSheetId="56" hidden="1">#REF!</definedName>
    <definedName name="BExMHSSYC6KVHA3QDTSYPN92TWMI" localSheetId="55" hidden="1">#REF!</definedName>
    <definedName name="BExMHSSYC6KVHA3QDTSYPN92TWMI" localSheetId="4" hidden="1">#REF!</definedName>
    <definedName name="BExMHSSYC6KVHA3QDTSYPN92TWMI" localSheetId="1" hidden="1">#REF!</definedName>
    <definedName name="BExMHSSYC6KVHA3QDTSYPN92TWMI" localSheetId="9" hidden="1">#REF!</definedName>
    <definedName name="BExMHSSYC6KVHA3QDTSYPN92TWMI" hidden="1">#REF!</definedName>
    <definedName name="BExMI3AJ9477KDL4T9DHET4LJJTW" localSheetId="56" hidden="1">#REF!</definedName>
    <definedName name="BExMI3AJ9477KDL4T9DHET4LJJTW" localSheetId="55" hidden="1">#REF!</definedName>
    <definedName name="BExMI3AJ9477KDL4T9DHET4LJJTW" localSheetId="4" hidden="1">#REF!</definedName>
    <definedName name="BExMI3AJ9477KDL4T9DHET4LJJTW" localSheetId="1" hidden="1">#REF!</definedName>
    <definedName name="BExMI3AJ9477KDL4T9DHET4LJJTW" localSheetId="9" hidden="1">#REF!</definedName>
    <definedName name="BExMI3AJ9477KDL4T9DHET4LJJTW" hidden="1">#REF!</definedName>
    <definedName name="BExMI6QQ20XHD0NWJUN741B37182" localSheetId="56" hidden="1">#REF!</definedName>
    <definedName name="BExMI6QQ20XHD0NWJUN741B37182" localSheetId="55" hidden="1">#REF!</definedName>
    <definedName name="BExMI6QQ20XHD0NWJUN741B37182" localSheetId="4" hidden="1">#REF!</definedName>
    <definedName name="BExMI6QQ20XHD0NWJUN741B37182" localSheetId="1" hidden="1">#REF!</definedName>
    <definedName name="BExMI6QQ20XHD0NWJUN741B37182" localSheetId="9" hidden="1">#REF!</definedName>
    <definedName name="BExMI6QQ20XHD0NWJUN741B37182" hidden="1">#REF!</definedName>
    <definedName name="BExMI7MYDIMC9K16SBAFUY33RHK6" localSheetId="56" hidden="1">#REF!</definedName>
    <definedName name="BExMI7MYDIMC9K16SBAFUY33RHK6" localSheetId="55" hidden="1">#REF!</definedName>
    <definedName name="BExMI7MYDIMC9K16SBAFUY33RHK6" localSheetId="4" hidden="1">#REF!</definedName>
    <definedName name="BExMI7MYDIMC9K16SBAFUY33RHK6" localSheetId="1" hidden="1">#REF!</definedName>
    <definedName name="BExMI7MYDIMC9K16SBAFUY33RHK6" localSheetId="9" hidden="1">#REF!</definedName>
    <definedName name="BExMI7MYDIMC9K16SBAFUY33RHK6" hidden="1">#REF!</definedName>
    <definedName name="BExMI8JB94SBD9EMNJEK7Y2T6GYU" localSheetId="56" hidden="1">#REF!</definedName>
    <definedName name="BExMI8JB94SBD9EMNJEK7Y2T6GYU" localSheetId="55" hidden="1">#REF!</definedName>
    <definedName name="BExMI8JB94SBD9EMNJEK7Y2T6GYU" localSheetId="4" hidden="1">#REF!</definedName>
    <definedName name="BExMI8JB94SBD9EMNJEK7Y2T6GYU" localSheetId="1" hidden="1">#REF!</definedName>
    <definedName name="BExMI8JB94SBD9EMNJEK7Y2T6GYU" localSheetId="9" hidden="1">#REF!</definedName>
    <definedName name="BExMI8JB94SBD9EMNJEK7Y2T6GYU" hidden="1">#REF!</definedName>
    <definedName name="BExMI8OS85YTW3KYVE4YD0R7Z6UV" localSheetId="56" hidden="1">#REF!</definedName>
    <definedName name="BExMI8OS85YTW3KYVE4YD0R7Z6UV" localSheetId="55" hidden="1">#REF!</definedName>
    <definedName name="BExMI8OS85YTW3KYVE4YD0R7Z6UV" localSheetId="4" hidden="1">#REF!</definedName>
    <definedName name="BExMI8OS85YTW3KYVE4YD0R7Z6UV" localSheetId="1" hidden="1">#REF!</definedName>
    <definedName name="BExMI8OS85YTW3KYVE4YD0R7Z6UV" localSheetId="9" hidden="1">#REF!</definedName>
    <definedName name="BExMI8OS85YTW3KYVE4YD0R7Z6UV" hidden="1">#REF!</definedName>
    <definedName name="BExMI9QNOMVZ44I3BFMGU1EL1RSY" localSheetId="56" hidden="1">#REF!</definedName>
    <definedName name="BExMI9QNOMVZ44I3BFMGU1EL1RSY" localSheetId="55" hidden="1">#REF!</definedName>
    <definedName name="BExMI9QNOMVZ44I3BFMGU1EL1RSY" localSheetId="4" hidden="1">#REF!</definedName>
    <definedName name="BExMI9QNOMVZ44I3BFMGU1EL1RSY" localSheetId="1" hidden="1">#REF!</definedName>
    <definedName name="BExMI9QNOMVZ44I3BFMGU1EL1RSY" localSheetId="9" hidden="1">#REF!</definedName>
    <definedName name="BExMI9QNOMVZ44I3BFMGU1EL1RSY" hidden="1">#REF!</definedName>
    <definedName name="BExMIBOOZU40JS3F89OMPSRCE9MM" localSheetId="56" hidden="1">#REF!</definedName>
    <definedName name="BExMIBOOZU40JS3F89OMPSRCE9MM" localSheetId="55" hidden="1">#REF!</definedName>
    <definedName name="BExMIBOOZU40JS3F89OMPSRCE9MM" localSheetId="4" hidden="1">#REF!</definedName>
    <definedName name="BExMIBOOZU40JS3F89OMPSRCE9MM" localSheetId="1" hidden="1">#REF!</definedName>
    <definedName name="BExMIBOOZU40JS3F89OMPSRCE9MM" localSheetId="9" hidden="1">#REF!</definedName>
    <definedName name="BExMIBOOZU40JS3F89OMPSRCE9MM" hidden="1">#REF!</definedName>
    <definedName name="BExMIIQ5MBWSIHTFWAQADXMZC22Q" localSheetId="56" hidden="1">#REF!</definedName>
    <definedName name="BExMIIQ5MBWSIHTFWAQADXMZC22Q" localSheetId="55" hidden="1">#REF!</definedName>
    <definedName name="BExMIIQ5MBWSIHTFWAQADXMZC22Q" localSheetId="4" hidden="1">#REF!</definedName>
    <definedName name="BExMIIQ5MBWSIHTFWAQADXMZC22Q" localSheetId="1" hidden="1">#REF!</definedName>
    <definedName name="BExMIIQ5MBWSIHTFWAQADXMZC22Q" localSheetId="9" hidden="1">#REF!</definedName>
    <definedName name="BExMIIQ5MBWSIHTFWAQADXMZC22Q" hidden="1">#REF!</definedName>
    <definedName name="BExMIL4I2GE866I25CR5JBLJWJ6A" localSheetId="56" hidden="1">#REF!</definedName>
    <definedName name="BExMIL4I2GE866I25CR5JBLJWJ6A" localSheetId="55" hidden="1">#REF!</definedName>
    <definedName name="BExMIL4I2GE866I25CR5JBLJWJ6A" localSheetId="4" hidden="1">#REF!</definedName>
    <definedName name="BExMIL4I2GE866I25CR5JBLJWJ6A" localSheetId="1" hidden="1">#REF!</definedName>
    <definedName name="BExMIL4I2GE866I25CR5JBLJWJ6A" localSheetId="9" hidden="1">#REF!</definedName>
    <definedName name="BExMIL4I2GE866I25CR5JBLJWJ6A" hidden="1">#REF!</definedName>
    <definedName name="BExMIRKIPF27SNO82SPFSB3T5U17" localSheetId="56" hidden="1">#REF!</definedName>
    <definedName name="BExMIRKIPF27SNO82SPFSB3T5U17" localSheetId="55" hidden="1">#REF!</definedName>
    <definedName name="BExMIRKIPF27SNO82SPFSB3T5U17" localSheetId="4" hidden="1">#REF!</definedName>
    <definedName name="BExMIRKIPF27SNO82SPFSB3T5U17" localSheetId="1" hidden="1">#REF!</definedName>
    <definedName name="BExMIRKIPF27SNO82SPFSB3T5U17" localSheetId="9" hidden="1">#REF!</definedName>
    <definedName name="BExMIRKIPF27SNO82SPFSB3T5U17" hidden="1">#REF!</definedName>
    <definedName name="BExMIV0KC8555D5E42ZGWG15Y0MO" localSheetId="56" hidden="1">#REF!</definedName>
    <definedName name="BExMIV0KC8555D5E42ZGWG15Y0MO" localSheetId="55" hidden="1">#REF!</definedName>
    <definedName name="BExMIV0KC8555D5E42ZGWG15Y0MO" localSheetId="4" hidden="1">#REF!</definedName>
    <definedName name="BExMIV0KC8555D5E42ZGWG15Y0MO" localSheetId="1" hidden="1">#REF!</definedName>
    <definedName name="BExMIV0KC8555D5E42ZGWG15Y0MO" localSheetId="9" hidden="1">#REF!</definedName>
    <definedName name="BExMIV0KC8555D5E42ZGWG15Y0MO" hidden="1">#REF!</definedName>
    <definedName name="BExMIZT6AN7E6YMW2S87CTCN2UXH" localSheetId="56" hidden="1">#REF!</definedName>
    <definedName name="BExMIZT6AN7E6YMW2S87CTCN2UXH" localSheetId="55" hidden="1">#REF!</definedName>
    <definedName name="BExMIZT6AN7E6YMW2S87CTCN2UXH" localSheetId="4" hidden="1">#REF!</definedName>
    <definedName name="BExMIZT6AN7E6YMW2S87CTCN2UXH" localSheetId="1" hidden="1">#REF!</definedName>
    <definedName name="BExMIZT6AN7E6YMW2S87CTCN2UXH" localSheetId="9" hidden="1">#REF!</definedName>
    <definedName name="BExMIZT6AN7E6YMW2S87CTCN2UXH" hidden="1">#REF!</definedName>
    <definedName name="BExMJB76UESLVRD81AJBOB78JDTT" localSheetId="56" hidden="1">#REF!</definedName>
    <definedName name="BExMJB76UESLVRD81AJBOB78JDTT" localSheetId="55" hidden="1">#REF!</definedName>
    <definedName name="BExMJB76UESLVRD81AJBOB78JDTT" localSheetId="4" hidden="1">#REF!</definedName>
    <definedName name="BExMJB76UESLVRD81AJBOB78JDTT" localSheetId="1" hidden="1">#REF!</definedName>
    <definedName name="BExMJB76UESLVRD81AJBOB78JDTT" localSheetId="9" hidden="1">#REF!</definedName>
    <definedName name="BExMJB76UESLVRD81AJBOB78JDTT" hidden="1">#REF!</definedName>
    <definedName name="BExMJI8OLFZQCGOW3F99ETW8A21E" localSheetId="56" hidden="1">#REF!</definedName>
    <definedName name="BExMJI8OLFZQCGOW3F99ETW8A21E" localSheetId="55" hidden="1">#REF!</definedName>
    <definedName name="BExMJI8OLFZQCGOW3F99ETW8A21E" localSheetId="4" hidden="1">#REF!</definedName>
    <definedName name="BExMJI8OLFZQCGOW3F99ETW8A21E" localSheetId="1" hidden="1">#REF!</definedName>
    <definedName name="BExMJI8OLFZQCGOW3F99ETW8A21E" localSheetId="9" hidden="1">#REF!</definedName>
    <definedName name="BExMJI8OLFZQCGOW3F99ETW8A21E" hidden="1">#REF!</definedName>
    <definedName name="BExMJNC8ZFB9DRFOJ961ZAJ8U3A8" localSheetId="56" hidden="1">#REF!</definedName>
    <definedName name="BExMJNC8ZFB9DRFOJ961ZAJ8U3A8" localSheetId="55" hidden="1">#REF!</definedName>
    <definedName name="BExMJNC8ZFB9DRFOJ961ZAJ8U3A8" localSheetId="4" hidden="1">#REF!</definedName>
    <definedName name="BExMJNC8ZFB9DRFOJ961ZAJ8U3A8" localSheetId="1" hidden="1">#REF!</definedName>
    <definedName name="BExMJNC8ZFB9DRFOJ961ZAJ8U3A8" localSheetId="9" hidden="1">#REF!</definedName>
    <definedName name="BExMJNC8ZFB9DRFOJ961ZAJ8U3A8" hidden="1">#REF!</definedName>
    <definedName name="BExMJTBV8A3D31W2IQHP9RDFPPHQ" localSheetId="56" hidden="1">#REF!</definedName>
    <definedName name="BExMJTBV8A3D31W2IQHP9RDFPPHQ" localSheetId="55" hidden="1">#REF!</definedName>
    <definedName name="BExMJTBV8A3D31W2IQHP9RDFPPHQ" localSheetId="4" hidden="1">#REF!</definedName>
    <definedName name="BExMJTBV8A3D31W2IQHP9RDFPPHQ" localSheetId="1" hidden="1">#REF!</definedName>
    <definedName name="BExMJTBV8A3D31W2IQHP9RDFPPHQ" localSheetId="9" hidden="1">#REF!</definedName>
    <definedName name="BExMJTBV8A3D31W2IQHP9RDFPPHQ" hidden="1">#REF!</definedName>
    <definedName name="BExMK2RTXN4QJWEUNX002XK8VQP8" localSheetId="56" hidden="1">#REF!</definedName>
    <definedName name="BExMK2RTXN4QJWEUNX002XK8VQP8" localSheetId="55" hidden="1">#REF!</definedName>
    <definedName name="BExMK2RTXN4QJWEUNX002XK8VQP8" localSheetId="4" hidden="1">#REF!</definedName>
    <definedName name="BExMK2RTXN4QJWEUNX002XK8VQP8" localSheetId="1" hidden="1">#REF!</definedName>
    <definedName name="BExMK2RTXN4QJWEUNX002XK8VQP8" localSheetId="9" hidden="1">#REF!</definedName>
    <definedName name="BExMK2RTXN4QJWEUNX002XK8VQP8" hidden="1">#REF!</definedName>
    <definedName name="BExMKBGQDUZ8AWXYHA3QVMSDVZ3D" localSheetId="56" hidden="1">#REF!</definedName>
    <definedName name="BExMKBGQDUZ8AWXYHA3QVMSDVZ3D" localSheetId="55" hidden="1">#REF!</definedName>
    <definedName name="BExMKBGQDUZ8AWXYHA3QVMSDVZ3D" localSheetId="4" hidden="1">#REF!</definedName>
    <definedName name="BExMKBGQDUZ8AWXYHA3QVMSDVZ3D" localSheetId="1" hidden="1">#REF!</definedName>
    <definedName name="BExMKBGQDUZ8AWXYHA3QVMSDVZ3D" localSheetId="9" hidden="1">#REF!</definedName>
    <definedName name="BExMKBGQDUZ8AWXYHA3QVMSDVZ3D" hidden="1">#REF!</definedName>
    <definedName name="BExMKBM1467553LDFZRRKVSHN374" localSheetId="56" hidden="1">#REF!</definedName>
    <definedName name="BExMKBM1467553LDFZRRKVSHN374" localSheetId="55" hidden="1">#REF!</definedName>
    <definedName name="BExMKBM1467553LDFZRRKVSHN374" localSheetId="4" hidden="1">#REF!</definedName>
    <definedName name="BExMKBM1467553LDFZRRKVSHN374" localSheetId="1" hidden="1">#REF!</definedName>
    <definedName name="BExMKBM1467553LDFZRRKVSHN374" localSheetId="9" hidden="1">#REF!</definedName>
    <definedName name="BExMKBM1467553LDFZRRKVSHN374" hidden="1">#REF!</definedName>
    <definedName name="BExMKGK5FJUC0AU8MABRGDC5ZM70" localSheetId="56" hidden="1">#REF!</definedName>
    <definedName name="BExMKGK5FJUC0AU8MABRGDC5ZM70" localSheetId="55" hidden="1">#REF!</definedName>
    <definedName name="BExMKGK5FJUC0AU8MABRGDC5ZM70" localSheetId="4" hidden="1">#REF!</definedName>
    <definedName name="BExMKGK5FJUC0AU8MABRGDC5ZM70" localSheetId="1" hidden="1">#REF!</definedName>
    <definedName name="BExMKGK5FJUC0AU8MABRGDC5ZM70" localSheetId="9" hidden="1">#REF!</definedName>
    <definedName name="BExMKGK5FJUC0AU8MABRGDC5ZM70" hidden="1">#REF!</definedName>
    <definedName name="BExMKP92JGBM5BJO174H9A4HQIB9" localSheetId="56" hidden="1">#REF!</definedName>
    <definedName name="BExMKP92JGBM5BJO174H9A4HQIB9" localSheetId="55" hidden="1">#REF!</definedName>
    <definedName name="BExMKP92JGBM5BJO174H9A4HQIB9" localSheetId="4" hidden="1">#REF!</definedName>
    <definedName name="BExMKP92JGBM5BJO174H9A4HQIB9" localSheetId="1" hidden="1">#REF!</definedName>
    <definedName name="BExMKP92JGBM5BJO174H9A4HQIB9" localSheetId="9" hidden="1">#REF!</definedName>
    <definedName name="BExMKP92JGBM5BJO174H9A4HQIB9" hidden="1">#REF!</definedName>
    <definedName name="BExMKTW7R5SOV4PHAFGHU3W73DYE" localSheetId="56" hidden="1">#REF!</definedName>
    <definedName name="BExMKTW7R5SOV4PHAFGHU3W73DYE" localSheetId="55" hidden="1">#REF!</definedName>
    <definedName name="BExMKTW7R5SOV4PHAFGHU3W73DYE" localSheetId="4" hidden="1">#REF!</definedName>
    <definedName name="BExMKTW7R5SOV4PHAFGHU3W73DYE" localSheetId="1" hidden="1">#REF!</definedName>
    <definedName name="BExMKTW7R5SOV4PHAFGHU3W73DYE" localSheetId="9" hidden="1">#REF!</definedName>
    <definedName name="BExMKTW7R5SOV4PHAFGHU3W73DYE" hidden="1">#REF!</definedName>
    <definedName name="BExMKU7051J2W1RQXGZGE62NBRUZ" localSheetId="56" hidden="1">#REF!</definedName>
    <definedName name="BExMKU7051J2W1RQXGZGE62NBRUZ" localSheetId="55" hidden="1">#REF!</definedName>
    <definedName name="BExMKU7051J2W1RQXGZGE62NBRUZ" localSheetId="4" hidden="1">#REF!</definedName>
    <definedName name="BExMKU7051J2W1RQXGZGE62NBRUZ" localSheetId="1" hidden="1">#REF!</definedName>
    <definedName name="BExMKU7051J2W1RQXGZGE62NBRUZ" localSheetId="9" hidden="1">#REF!</definedName>
    <definedName name="BExMKU7051J2W1RQXGZGE62NBRUZ" hidden="1">#REF!</definedName>
    <definedName name="BExMKUN3WPECJR2XRID2R7GZRGNX" localSheetId="56" hidden="1">#REF!</definedName>
    <definedName name="BExMKUN3WPECJR2XRID2R7GZRGNX" localSheetId="55" hidden="1">#REF!</definedName>
    <definedName name="BExMKUN3WPECJR2XRID2R7GZRGNX" localSheetId="4" hidden="1">#REF!</definedName>
    <definedName name="BExMKUN3WPECJR2XRID2R7GZRGNX" localSheetId="1" hidden="1">#REF!</definedName>
    <definedName name="BExMKUN3WPECJR2XRID2R7GZRGNX" localSheetId="9" hidden="1">#REF!</definedName>
    <definedName name="BExMKUN3WPECJR2XRID2R7GZRGNX" hidden="1">#REF!</definedName>
    <definedName name="BExMKZ535P011X4TNV16GCOH4H21" localSheetId="56" hidden="1">#REF!</definedName>
    <definedName name="BExMKZ535P011X4TNV16GCOH4H21" localSheetId="55" hidden="1">#REF!</definedName>
    <definedName name="BExMKZ535P011X4TNV16GCOH4H21" localSheetId="4" hidden="1">#REF!</definedName>
    <definedName name="BExMKZ535P011X4TNV16GCOH4H21" localSheetId="1" hidden="1">#REF!</definedName>
    <definedName name="BExMKZ535P011X4TNV16GCOH4H21" localSheetId="9" hidden="1">#REF!</definedName>
    <definedName name="BExMKZ535P011X4TNV16GCOH4H21" hidden="1">#REF!</definedName>
    <definedName name="BExML3XQNDIMX55ZCHHXKUV3D6E6" localSheetId="56" hidden="1">#REF!</definedName>
    <definedName name="BExML3XQNDIMX55ZCHHXKUV3D6E6" localSheetId="55" hidden="1">#REF!</definedName>
    <definedName name="BExML3XQNDIMX55ZCHHXKUV3D6E6" localSheetId="4" hidden="1">#REF!</definedName>
    <definedName name="BExML3XQNDIMX55ZCHHXKUV3D6E6" localSheetId="1" hidden="1">#REF!</definedName>
    <definedName name="BExML3XQNDIMX55ZCHHXKUV3D6E6" localSheetId="9" hidden="1">#REF!</definedName>
    <definedName name="BExML3XQNDIMX55ZCHHXKUV3D6E6" hidden="1">#REF!</definedName>
    <definedName name="BExML5QGSWHLI18BGY4CGOTD3UWH" localSheetId="56" hidden="1">#REF!</definedName>
    <definedName name="BExML5QGSWHLI18BGY4CGOTD3UWH" localSheetId="55" hidden="1">#REF!</definedName>
    <definedName name="BExML5QGSWHLI18BGY4CGOTD3UWH" localSheetId="4" hidden="1">#REF!</definedName>
    <definedName name="BExML5QGSWHLI18BGY4CGOTD3UWH" localSheetId="1" hidden="1">#REF!</definedName>
    <definedName name="BExML5QGSWHLI18BGY4CGOTD3UWH" localSheetId="9" hidden="1">#REF!</definedName>
    <definedName name="BExML5QGSWHLI18BGY4CGOTD3UWH" hidden="1">#REF!</definedName>
    <definedName name="BExML6BVFCV80776USR7X70HVRZT" localSheetId="56" hidden="1">#REF!</definedName>
    <definedName name="BExML6BVFCV80776USR7X70HVRZT" localSheetId="55" hidden="1">#REF!</definedName>
    <definedName name="BExML6BVFCV80776USR7X70HVRZT" localSheetId="4" hidden="1">#REF!</definedName>
    <definedName name="BExML6BVFCV80776USR7X70HVRZT" localSheetId="1" hidden="1">#REF!</definedName>
    <definedName name="BExML6BVFCV80776USR7X70HVRZT" localSheetId="9" hidden="1">#REF!</definedName>
    <definedName name="BExML6BVFCV80776USR7X70HVRZT" hidden="1">#REF!</definedName>
    <definedName name="BExMLO5Z61RE85X8HHX2G4IU3AZW" localSheetId="56" hidden="1">#REF!</definedName>
    <definedName name="BExMLO5Z61RE85X8HHX2G4IU3AZW" localSheetId="55" hidden="1">#REF!</definedName>
    <definedName name="BExMLO5Z61RE85X8HHX2G4IU3AZW" localSheetId="4" hidden="1">#REF!</definedName>
    <definedName name="BExMLO5Z61RE85X8HHX2G4IU3AZW" localSheetId="1" hidden="1">#REF!</definedName>
    <definedName name="BExMLO5Z61RE85X8HHX2G4IU3AZW" localSheetId="9" hidden="1">#REF!</definedName>
    <definedName name="BExMLO5Z61RE85X8HHX2G4IU3AZW" hidden="1">#REF!</definedName>
    <definedName name="BExMLVI7UORSHM9FMO8S2EI0TMTS" localSheetId="56" hidden="1">#REF!</definedName>
    <definedName name="BExMLVI7UORSHM9FMO8S2EI0TMTS" localSheetId="55" hidden="1">#REF!</definedName>
    <definedName name="BExMLVI7UORSHM9FMO8S2EI0TMTS" localSheetId="4" hidden="1">#REF!</definedName>
    <definedName name="BExMLVI7UORSHM9FMO8S2EI0TMTS" localSheetId="1" hidden="1">#REF!</definedName>
    <definedName name="BExMLVI7UORSHM9FMO8S2EI0TMTS" localSheetId="9" hidden="1">#REF!</definedName>
    <definedName name="BExMLVI7UORSHM9FMO8S2EI0TMTS" hidden="1">#REF!</definedName>
    <definedName name="BExMM5UCOT2HSSN0ZIPZW55GSOVO" localSheetId="56" hidden="1">#REF!</definedName>
    <definedName name="BExMM5UCOT2HSSN0ZIPZW55GSOVO" localSheetId="55" hidden="1">#REF!</definedName>
    <definedName name="BExMM5UCOT2HSSN0ZIPZW55GSOVO" localSheetId="4" hidden="1">#REF!</definedName>
    <definedName name="BExMM5UCOT2HSSN0ZIPZW55GSOVO" localSheetId="1" hidden="1">#REF!</definedName>
    <definedName name="BExMM5UCOT2HSSN0ZIPZW55GSOVO" localSheetId="9" hidden="1">#REF!</definedName>
    <definedName name="BExMM5UCOT2HSSN0ZIPZW55GSOVO" hidden="1">#REF!</definedName>
    <definedName name="BExMM8ZRS5RQ8H1H55RVPVTDL5NL" localSheetId="56" hidden="1">#REF!</definedName>
    <definedName name="BExMM8ZRS5RQ8H1H55RVPVTDL5NL" localSheetId="55" hidden="1">#REF!</definedName>
    <definedName name="BExMM8ZRS5RQ8H1H55RVPVTDL5NL" localSheetId="4" hidden="1">#REF!</definedName>
    <definedName name="BExMM8ZRS5RQ8H1H55RVPVTDL5NL" localSheetId="1" hidden="1">#REF!</definedName>
    <definedName name="BExMM8ZRS5RQ8H1H55RVPVTDL5NL" localSheetId="9" hidden="1">#REF!</definedName>
    <definedName name="BExMM8ZRS5RQ8H1H55RVPVTDL5NL" hidden="1">#REF!</definedName>
    <definedName name="BExMMH8EAZB09XXQ5X4LR0P4NHG9" localSheetId="56" hidden="1">#REF!</definedName>
    <definedName name="BExMMH8EAZB09XXQ5X4LR0P4NHG9" localSheetId="55" hidden="1">#REF!</definedName>
    <definedName name="BExMMH8EAZB09XXQ5X4LR0P4NHG9" localSheetId="4" hidden="1">#REF!</definedName>
    <definedName name="BExMMH8EAZB09XXQ5X4LR0P4NHG9" localSheetId="1" hidden="1">#REF!</definedName>
    <definedName name="BExMMH8EAZB09XXQ5X4LR0P4NHG9" localSheetId="9" hidden="1">#REF!</definedName>
    <definedName name="BExMMH8EAZB09XXQ5X4LR0P4NHG9" hidden="1">#REF!</definedName>
    <definedName name="BExMMIQH5BABNZVCIQ7TBCQ10AY5" localSheetId="56" hidden="1">#REF!</definedName>
    <definedName name="BExMMIQH5BABNZVCIQ7TBCQ10AY5" localSheetId="55" hidden="1">#REF!</definedName>
    <definedName name="BExMMIQH5BABNZVCIQ7TBCQ10AY5" localSheetId="4" hidden="1">#REF!</definedName>
    <definedName name="BExMMIQH5BABNZVCIQ7TBCQ10AY5" localSheetId="1" hidden="1">#REF!</definedName>
    <definedName name="BExMMIQH5BABNZVCIQ7TBCQ10AY5" localSheetId="9" hidden="1">#REF!</definedName>
    <definedName name="BExMMIQH5BABNZVCIQ7TBCQ10AY5" hidden="1">#REF!</definedName>
    <definedName name="BExMMNIZ2T7M22WECMUQXEF4NJ71" localSheetId="56" hidden="1">#REF!</definedName>
    <definedName name="BExMMNIZ2T7M22WECMUQXEF4NJ71" localSheetId="55" hidden="1">#REF!</definedName>
    <definedName name="BExMMNIZ2T7M22WECMUQXEF4NJ71" localSheetId="4" hidden="1">#REF!</definedName>
    <definedName name="BExMMNIZ2T7M22WECMUQXEF4NJ71" localSheetId="1" hidden="1">#REF!</definedName>
    <definedName name="BExMMNIZ2T7M22WECMUQXEF4NJ71" localSheetId="9" hidden="1">#REF!</definedName>
    <definedName name="BExMMNIZ2T7M22WECMUQXEF4NJ71" hidden="1">#REF!</definedName>
    <definedName name="BExMMPMIOU7BURTV0L1K6ACW9X73" localSheetId="56" hidden="1">#REF!</definedName>
    <definedName name="BExMMPMIOU7BURTV0L1K6ACW9X73" localSheetId="55" hidden="1">#REF!</definedName>
    <definedName name="BExMMPMIOU7BURTV0L1K6ACW9X73" localSheetId="4" hidden="1">#REF!</definedName>
    <definedName name="BExMMPMIOU7BURTV0L1K6ACW9X73" localSheetId="1" hidden="1">#REF!</definedName>
    <definedName name="BExMMPMIOU7BURTV0L1K6ACW9X73" localSheetId="9" hidden="1">#REF!</definedName>
    <definedName name="BExMMPMIOU7BURTV0L1K6ACW9X73" hidden="1">#REF!</definedName>
    <definedName name="BExMMQ835AJDHS4B419SS645P67Q" localSheetId="56" hidden="1">#REF!</definedName>
    <definedName name="BExMMQ835AJDHS4B419SS645P67Q" localSheetId="55" hidden="1">#REF!</definedName>
    <definedName name="BExMMQ835AJDHS4B419SS645P67Q" localSheetId="4" hidden="1">#REF!</definedName>
    <definedName name="BExMMQ835AJDHS4B419SS645P67Q" localSheetId="1" hidden="1">#REF!</definedName>
    <definedName name="BExMMQ835AJDHS4B419SS645P67Q" localSheetId="9" hidden="1">#REF!</definedName>
    <definedName name="BExMMQ835AJDHS4B419SS645P67Q" hidden="1">#REF!</definedName>
    <definedName name="BExMMQIUVPCOBISTEJJYNCCLUCPY" localSheetId="56" hidden="1">#REF!</definedName>
    <definedName name="BExMMQIUVPCOBISTEJJYNCCLUCPY" localSheetId="55" hidden="1">#REF!</definedName>
    <definedName name="BExMMQIUVPCOBISTEJJYNCCLUCPY" localSheetId="4" hidden="1">#REF!</definedName>
    <definedName name="BExMMQIUVPCOBISTEJJYNCCLUCPY" localSheetId="1" hidden="1">#REF!</definedName>
    <definedName name="BExMMQIUVPCOBISTEJJYNCCLUCPY" localSheetId="9" hidden="1">#REF!</definedName>
    <definedName name="BExMMQIUVPCOBISTEJJYNCCLUCPY" hidden="1">#REF!</definedName>
    <definedName name="BExMMTIXETA5VAKBSOFDD5SRU887" localSheetId="56" hidden="1">#REF!</definedName>
    <definedName name="BExMMTIXETA5VAKBSOFDD5SRU887" localSheetId="55" hidden="1">#REF!</definedName>
    <definedName name="BExMMTIXETA5VAKBSOFDD5SRU887" localSheetId="4" hidden="1">#REF!</definedName>
    <definedName name="BExMMTIXETA5VAKBSOFDD5SRU887" localSheetId="1" hidden="1">#REF!</definedName>
    <definedName name="BExMMTIXETA5VAKBSOFDD5SRU887" localSheetId="9" hidden="1">#REF!</definedName>
    <definedName name="BExMMTIXETA5VAKBSOFDD5SRU887" hidden="1">#REF!</definedName>
    <definedName name="BExMMV0P6P5YS3C35G0JYYHI7992" localSheetId="56" hidden="1">#REF!</definedName>
    <definedName name="BExMMV0P6P5YS3C35G0JYYHI7992" localSheetId="55" hidden="1">#REF!</definedName>
    <definedName name="BExMMV0P6P5YS3C35G0JYYHI7992" localSheetId="4" hidden="1">#REF!</definedName>
    <definedName name="BExMMV0P6P5YS3C35G0JYYHI7992" localSheetId="1" hidden="1">#REF!</definedName>
    <definedName name="BExMMV0P6P5YS3C35G0JYYHI7992" localSheetId="9" hidden="1">#REF!</definedName>
    <definedName name="BExMMV0P6P5YS3C35G0JYYHI7992" hidden="1">#REF!</definedName>
    <definedName name="BExMNJLFWZBRN9PZF1IO9CYWV1B2" localSheetId="56" hidden="1">#REF!</definedName>
    <definedName name="BExMNJLFWZBRN9PZF1IO9CYWV1B2" localSheetId="55" hidden="1">#REF!</definedName>
    <definedName name="BExMNJLFWZBRN9PZF1IO9CYWV1B2" localSheetId="4" hidden="1">#REF!</definedName>
    <definedName name="BExMNJLFWZBRN9PZF1IO9CYWV1B2" localSheetId="1" hidden="1">#REF!</definedName>
    <definedName name="BExMNJLFWZBRN9PZF1IO9CYWV1B2" localSheetId="9" hidden="1">#REF!</definedName>
    <definedName name="BExMNJLFWZBRN9PZF1IO9CYWV1B2" hidden="1">#REF!</definedName>
    <definedName name="BExMNKCJ0FA57YEUUAJE43U1QN5P" localSheetId="56" hidden="1">#REF!</definedName>
    <definedName name="BExMNKCJ0FA57YEUUAJE43U1QN5P" localSheetId="55" hidden="1">#REF!</definedName>
    <definedName name="BExMNKCJ0FA57YEUUAJE43U1QN5P" localSheetId="4" hidden="1">#REF!</definedName>
    <definedName name="BExMNKCJ0FA57YEUUAJE43U1QN5P" localSheetId="1" hidden="1">#REF!</definedName>
    <definedName name="BExMNKCJ0FA57YEUUAJE43U1QN5P" localSheetId="9" hidden="1">#REF!</definedName>
    <definedName name="BExMNKCJ0FA57YEUUAJE43U1QN5P" hidden="1">#REF!</definedName>
    <definedName name="BExMNKN5D1WEF2OOJVP6LZ6DLU3Y" localSheetId="56" hidden="1">#REF!</definedName>
    <definedName name="BExMNKN5D1WEF2OOJVP6LZ6DLU3Y" localSheetId="55" hidden="1">#REF!</definedName>
    <definedName name="BExMNKN5D1WEF2OOJVP6LZ6DLU3Y" localSheetId="4" hidden="1">#REF!</definedName>
    <definedName name="BExMNKN5D1WEF2OOJVP6LZ6DLU3Y" localSheetId="1" hidden="1">#REF!</definedName>
    <definedName name="BExMNKN5D1WEF2OOJVP6LZ6DLU3Y" localSheetId="9" hidden="1">#REF!</definedName>
    <definedName name="BExMNKN5D1WEF2OOJVP6LZ6DLU3Y" hidden="1">#REF!</definedName>
    <definedName name="BExMNR38HMPLWAJRQ9MMS3ZAZ9IU" localSheetId="56" hidden="1">#REF!</definedName>
    <definedName name="BExMNR38HMPLWAJRQ9MMS3ZAZ9IU" localSheetId="55" hidden="1">#REF!</definedName>
    <definedName name="BExMNR38HMPLWAJRQ9MMS3ZAZ9IU" localSheetId="4" hidden="1">#REF!</definedName>
    <definedName name="BExMNR38HMPLWAJRQ9MMS3ZAZ9IU" localSheetId="1" hidden="1">#REF!</definedName>
    <definedName name="BExMNR38HMPLWAJRQ9MMS3ZAZ9IU" localSheetId="9" hidden="1">#REF!</definedName>
    <definedName name="BExMNR38HMPLWAJRQ9MMS3ZAZ9IU" hidden="1">#REF!</definedName>
    <definedName name="BExMNRDZULKJMVY2VKIIRM2M5A1M" localSheetId="56" hidden="1">#REF!</definedName>
    <definedName name="BExMNRDZULKJMVY2VKIIRM2M5A1M" localSheetId="55" hidden="1">#REF!</definedName>
    <definedName name="BExMNRDZULKJMVY2VKIIRM2M5A1M" localSheetId="4" hidden="1">#REF!</definedName>
    <definedName name="BExMNRDZULKJMVY2VKIIRM2M5A1M" localSheetId="1" hidden="1">#REF!</definedName>
    <definedName name="BExMNRDZULKJMVY2VKIIRM2M5A1M" localSheetId="9" hidden="1">#REF!</definedName>
    <definedName name="BExMNRDZULKJMVY2VKIIRM2M5A1M" hidden="1">#REF!</definedName>
    <definedName name="BExMNVFKZIBQSCAH71DIF1CJG89T" localSheetId="56" hidden="1">#REF!</definedName>
    <definedName name="BExMNVFKZIBQSCAH71DIF1CJG89T" localSheetId="55" hidden="1">#REF!</definedName>
    <definedName name="BExMNVFKZIBQSCAH71DIF1CJG89T" localSheetId="4" hidden="1">#REF!</definedName>
    <definedName name="BExMNVFKZIBQSCAH71DIF1CJG89T" localSheetId="1" hidden="1">#REF!</definedName>
    <definedName name="BExMNVFKZIBQSCAH71DIF1CJG89T" localSheetId="9" hidden="1">#REF!</definedName>
    <definedName name="BExMNVFKZIBQSCAH71DIF1CJG89T" hidden="1">#REF!</definedName>
    <definedName name="BExMNVVUQAGQY9SA29FGI7D7R5MN" localSheetId="56" hidden="1">#REF!</definedName>
    <definedName name="BExMNVVUQAGQY9SA29FGI7D7R5MN" localSheetId="55" hidden="1">#REF!</definedName>
    <definedName name="BExMNVVUQAGQY9SA29FGI7D7R5MN" localSheetId="4" hidden="1">#REF!</definedName>
    <definedName name="BExMNVVUQAGQY9SA29FGI7D7R5MN" localSheetId="1" hidden="1">#REF!</definedName>
    <definedName name="BExMNVVUQAGQY9SA29FGI7D7R5MN" localSheetId="9" hidden="1">#REF!</definedName>
    <definedName name="BExMNVVUQAGQY9SA29FGI7D7R5MN" hidden="1">#REF!</definedName>
    <definedName name="BExMO9IOWKTWHO8LQJJQI5P3INWY" localSheetId="56" hidden="1">#REF!</definedName>
    <definedName name="BExMO9IOWKTWHO8LQJJQI5P3INWY" localSheetId="55" hidden="1">#REF!</definedName>
    <definedName name="BExMO9IOWKTWHO8LQJJQI5P3INWY" localSheetId="4" hidden="1">#REF!</definedName>
    <definedName name="BExMO9IOWKTWHO8LQJJQI5P3INWY" localSheetId="1" hidden="1">#REF!</definedName>
    <definedName name="BExMO9IOWKTWHO8LQJJQI5P3INWY" localSheetId="9" hidden="1">#REF!</definedName>
    <definedName name="BExMO9IOWKTWHO8LQJJQI5P3INWY" hidden="1">#REF!</definedName>
    <definedName name="BExMOI29DOEK5R1A5QZPUDKF7N6T" localSheetId="56" hidden="1">#REF!</definedName>
    <definedName name="BExMOI29DOEK5R1A5QZPUDKF7N6T" localSheetId="55" hidden="1">#REF!</definedName>
    <definedName name="BExMOI29DOEK5R1A5QZPUDKF7N6T" localSheetId="4" hidden="1">#REF!</definedName>
    <definedName name="BExMOI29DOEK5R1A5QZPUDKF7N6T" localSheetId="1" hidden="1">#REF!</definedName>
    <definedName name="BExMOI29DOEK5R1A5QZPUDKF7N6T" localSheetId="9" hidden="1">#REF!</definedName>
    <definedName name="BExMOI29DOEK5R1A5QZPUDKF7N6T" hidden="1">#REF!</definedName>
    <definedName name="BExMONRAU0S904NLJHPI47RVQDBH" localSheetId="56" hidden="1">#REF!</definedName>
    <definedName name="BExMONRAU0S904NLJHPI47RVQDBH" localSheetId="55" hidden="1">#REF!</definedName>
    <definedName name="BExMONRAU0S904NLJHPI47RVQDBH" localSheetId="4" hidden="1">#REF!</definedName>
    <definedName name="BExMONRAU0S904NLJHPI47RVQDBH" localSheetId="1" hidden="1">#REF!</definedName>
    <definedName name="BExMONRAU0S904NLJHPI47RVQDBH" localSheetId="9" hidden="1">#REF!</definedName>
    <definedName name="BExMONRAU0S904NLJHPI47RVQDBH" hidden="1">#REF!</definedName>
    <definedName name="BExMPAJ5AJAXGKGK3F6H3ODS6RF4" localSheetId="56" hidden="1">#REF!</definedName>
    <definedName name="BExMPAJ5AJAXGKGK3F6H3ODS6RF4" localSheetId="55" hidden="1">#REF!</definedName>
    <definedName name="BExMPAJ5AJAXGKGK3F6H3ODS6RF4" localSheetId="4" hidden="1">#REF!</definedName>
    <definedName name="BExMPAJ5AJAXGKGK3F6H3ODS6RF4" localSheetId="1" hidden="1">#REF!</definedName>
    <definedName name="BExMPAJ5AJAXGKGK3F6H3ODS6RF4" localSheetId="9" hidden="1">#REF!</definedName>
    <definedName name="BExMPAJ5AJAXGKGK3F6H3ODS6RF4" hidden="1">#REF!</definedName>
    <definedName name="BExMPD2X55FFBVJ6CBUKNPROIOEU" localSheetId="56" hidden="1">#REF!</definedName>
    <definedName name="BExMPD2X55FFBVJ6CBUKNPROIOEU" localSheetId="55" hidden="1">#REF!</definedName>
    <definedName name="BExMPD2X55FFBVJ6CBUKNPROIOEU" localSheetId="4" hidden="1">#REF!</definedName>
    <definedName name="BExMPD2X55FFBVJ6CBUKNPROIOEU" localSheetId="1" hidden="1">#REF!</definedName>
    <definedName name="BExMPD2X55FFBVJ6CBUKNPROIOEU" localSheetId="9" hidden="1">#REF!</definedName>
    <definedName name="BExMPD2X55FFBVJ6CBUKNPROIOEU" hidden="1">#REF!</definedName>
    <definedName name="BExMPGZ848E38FUH1JBQN97DGWAT" localSheetId="56" hidden="1">#REF!</definedName>
    <definedName name="BExMPGZ848E38FUH1JBQN97DGWAT" localSheetId="55" hidden="1">#REF!</definedName>
    <definedName name="BExMPGZ848E38FUH1JBQN97DGWAT" localSheetId="4" hidden="1">#REF!</definedName>
    <definedName name="BExMPGZ848E38FUH1JBQN97DGWAT" localSheetId="1" hidden="1">#REF!</definedName>
    <definedName name="BExMPGZ848E38FUH1JBQN97DGWAT" localSheetId="9" hidden="1">#REF!</definedName>
    <definedName name="BExMPGZ848E38FUH1JBQN97DGWAT" hidden="1">#REF!</definedName>
    <definedName name="BExMPMTICOSMQENOFKQ18K0ZT4S8" localSheetId="56" hidden="1">#REF!</definedName>
    <definedName name="BExMPMTICOSMQENOFKQ18K0ZT4S8" localSheetId="55" hidden="1">#REF!</definedName>
    <definedName name="BExMPMTICOSMQENOFKQ18K0ZT4S8" localSheetId="4" hidden="1">#REF!</definedName>
    <definedName name="BExMPMTICOSMQENOFKQ18K0ZT4S8" localSheetId="1" hidden="1">#REF!</definedName>
    <definedName name="BExMPMTICOSMQENOFKQ18K0ZT4S8" localSheetId="9" hidden="1">#REF!</definedName>
    <definedName name="BExMPMTICOSMQENOFKQ18K0ZT4S8" hidden="1">#REF!</definedName>
    <definedName name="BExMPMZ07II0R4KGWQQ7PGS3RZS4" localSheetId="56" hidden="1">#REF!</definedName>
    <definedName name="BExMPMZ07II0R4KGWQQ7PGS3RZS4" localSheetId="55" hidden="1">#REF!</definedName>
    <definedName name="BExMPMZ07II0R4KGWQQ7PGS3RZS4" localSheetId="4" hidden="1">#REF!</definedName>
    <definedName name="BExMPMZ07II0R4KGWQQ7PGS3RZS4" localSheetId="1" hidden="1">#REF!</definedName>
    <definedName name="BExMPMZ07II0R4KGWQQ7PGS3RZS4" localSheetId="9" hidden="1">#REF!</definedName>
    <definedName name="BExMPMZ07II0R4KGWQQ7PGS3RZS4" hidden="1">#REF!</definedName>
    <definedName name="BExMPOBH04JMDO6Z8DMSEJZM4ANN" localSheetId="56" hidden="1">#REF!</definedName>
    <definedName name="BExMPOBH04JMDO6Z8DMSEJZM4ANN" localSheetId="55" hidden="1">#REF!</definedName>
    <definedName name="BExMPOBH04JMDO6Z8DMSEJZM4ANN" localSheetId="4" hidden="1">#REF!</definedName>
    <definedName name="BExMPOBH04JMDO6Z8DMSEJZM4ANN" localSheetId="1" hidden="1">#REF!</definedName>
    <definedName name="BExMPOBH04JMDO6Z8DMSEJZM4ANN" localSheetId="9" hidden="1">#REF!</definedName>
    <definedName name="BExMPOBH04JMDO6Z8DMSEJZM4ANN" hidden="1">#REF!</definedName>
    <definedName name="BExMPSD77XQ3HA6A4FZOJK8G2JP3" localSheetId="56" hidden="1">#REF!</definedName>
    <definedName name="BExMPSD77XQ3HA6A4FZOJK8G2JP3" localSheetId="55" hidden="1">#REF!</definedName>
    <definedName name="BExMPSD77XQ3HA6A4FZOJK8G2JP3" localSheetId="4" hidden="1">#REF!</definedName>
    <definedName name="BExMPSD77XQ3HA6A4FZOJK8G2JP3" localSheetId="1" hidden="1">#REF!</definedName>
    <definedName name="BExMPSD77XQ3HA6A4FZOJK8G2JP3" localSheetId="9" hidden="1">#REF!</definedName>
    <definedName name="BExMPSD77XQ3HA6A4FZOJK8G2JP3" hidden="1">#REF!</definedName>
    <definedName name="BExMQ4I3Q7F0BMPHSFMFW9TZ87UD" localSheetId="56" hidden="1">#REF!</definedName>
    <definedName name="BExMQ4I3Q7F0BMPHSFMFW9TZ87UD" localSheetId="55" hidden="1">#REF!</definedName>
    <definedName name="BExMQ4I3Q7F0BMPHSFMFW9TZ87UD" localSheetId="4" hidden="1">#REF!</definedName>
    <definedName name="BExMQ4I3Q7F0BMPHSFMFW9TZ87UD" localSheetId="1" hidden="1">#REF!</definedName>
    <definedName name="BExMQ4I3Q7F0BMPHSFMFW9TZ87UD" localSheetId="9" hidden="1">#REF!</definedName>
    <definedName name="BExMQ4I3Q7F0BMPHSFMFW9TZ87UD" hidden="1">#REF!</definedName>
    <definedName name="BExMQ4SWDWI4N16AZ0T5CJ6HH8WC" localSheetId="56" hidden="1">#REF!</definedName>
    <definedName name="BExMQ4SWDWI4N16AZ0T5CJ6HH8WC" localSheetId="55" hidden="1">#REF!</definedName>
    <definedName name="BExMQ4SWDWI4N16AZ0T5CJ6HH8WC" localSheetId="4" hidden="1">#REF!</definedName>
    <definedName name="BExMQ4SWDWI4N16AZ0T5CJ6HH8WC" localSheetId="1" hidden="1">#REF!</definedName>
    <definedName name="BExMQ4SWDWI4N16AZ0T5CJ6HH8WC" localSheetId="9" hidden="1">#REF!</definedName>
    <definedName name="BExMQ4SWDWI4N16AZ0T5CJ6HH8WC" hidden="1">#REF!</definedName>
    <definedName name="BExMQ71WHW50GVX45JU951AGPLFQ" localSheetId="56" hidden="1">#REF!</definedName>
    <definedName name="BExMQ71WHW50GVX45JU951AGPLFQ" localSheetId="55" hidden="1">#REF!</definedName>
    <definedName name="BExMQ71WHW50GVX45JU951AGPLFQ" localSheetId="4" hidden="1">#REF!</definedName>
    <definedName name="BExMQ71WHW50GVX45JU951AGPLFQ" localSheetId="1" hidden="1">#REF!</definedName>
    <definedName name="BExMQ71WHW50GVX45JU951AGPLFQ" localSheetId="9" hidden="1">#REF!</definedName>
    <definedName name="BExMQ71WHW50GVX45JU951AGPLFQ" hidden="1">#REF!</definedName>
    <definedName name="BExMQGXSLPT4A6N47LE6FBVHWBOF" localSheetId="56" hidden="1">#REF!</definedName>
    <definedName name="BExMQGXSLPT4A6N47LE6FBVHWBOF" localSheetId="55" hidden="1">#REF!</definedName>
    <definedName name="BExMQGXSLPT4A6N47LE6FBVHWBOF" localSheetId="4" hidden="1">#REF!</definedName>
    <definedName name="BExMQGXSLPT4A6N47LE6FBVHWBOF" localSheetId="1" hidden="1">#REF!</definedName>
    <definedName name="BExMQGXSLPT4A6N47LE6FBVHWBOF" localSheetId="9" hidden="1">#REF!</definedName>
    <definedName name="BExMQGXSLPT4A6N47LE6FBVHWBOF" hidden="1">#REF!</definedName>
    <definedName name="BExMQNZGFHW75W9HWRCR0FEF0XF0" localSheetId="56" hidden="1">#REF!</definedName>
    <definedName name="BExMQNZGFHW75W9HWRCR0FEF0XF0" localSheetId="55" hidden="1">#REF!</definedName>
    <definedName name="BExMQNZGFHW75W9HWRCR0FEF0XF0" localSheetId="4" hidden="1">#REF!</definedName>
    <definedName name="BExMQNZGFHW75W9HWRCR0FEF0XF0" localSheetId="1" hidden="1">#REF!</definedName>
    <definedName name="BExMQNZGFHW75W9HWRCR0FEF0XF0" localSheetId="9" hidden="1">#REF!</definedName>
    <definedName name="BExMQNZGFHW75W9HWRCR0FEF0XF0" hidden="1">#REF!</definedName>
    <definedName name="BExMQRKVQPDFPD0WQUA9QND8OV7P" localSheetId="56" hidden="1">#REF!</definedName>
    <definedName name="BExMQRKVQPDFPD0WQUA9QND8OV7P" localSheetId="55" hidden="1">#REF!</definedName>
    <definedName name="BExMQRKVQPDFPD0WQUA9QND8OV7P" localSheetId="4" hidden="1">#REF!</definedName>
    <definedName name="BExMQRKVQPDFPD0WQUA9QND8OV7P" localSheetId="1" hidden="1">#REF!</definedName>
    <definedName name="BExMQRKVQPDFPD0WQUA9QND8OV7P" localSheetId="9" hidden="1">#REF!</definedName>
    <definedName name="BExMQRKVQPDFPD0WQUA9QND8OV7P" hidden="1">#REF!</definedName>
    <definedName name="BExMQSBR7PL4KLB1Q4961QO45Y4G" localSheetId="56" hidden="1">#REF!</definedName>
    <definedName name="BExMQSBR7PL4KLB1Q4961QO45Y4G" localSheetId="55" hidden="1">#REF!</definedName>
    <definedName name="BExMQSBR7PL4KLB1Q4961QO45Y4G" localSheetId="4" hidden="1">#REF!</definedName>
    <definedName name="BExMQSBR7PL4KLB1Q4961QO45Y4G" localSheetId="1" hidden="1">#REF!</definedName>
    <definedName name="BExMQSBR7PL4KLB1Q4961QO45Y4G" localSheetId="9" hidden="1">#REF!</definedName>
    <definedName name="BExMQSBR7PL4KLB1Q4961QO45Y4G" hidden="1">#REF!</definedName>
    <definedName name="BExMR1MA4I1X77714ZEPUVC8W398" localSheetId="56" hidden="1">#REF!</definedName>
    <definedName name="BExMR1MA4I1X77714ZEPUVC8W398" localSheetId="55" hidden="1">#REF!</definedName>
    <definedName name="BExMR1MA4I1X77714ZEPUVC8W398" localSheetId="4" hidden="1">#REF!</definedName>
    <definedName name="BExMR1MA4I1X77714ZEPUVC8W398" localSheetId="1" hidden="1">#REF!</definedName>
    <definedName name="BExMR1MA4I1X77714ZEPUVC8W398" localSheetId="9" hidden="1">#REF!</definedName>
    <definedName name="BExMR1MA4I1X77714ZEPUVC8W398" hidden="1">#REF!</definedName>
    <definedName name="BExMR8YQHA7N77HGHY4Y6R30I3XT" localSheetId="56" hidden="1">#REF!</definedName>
    <definedName name="BExMR8YQHA7N77HGHY4Y6R30I3XT" localSheetId="55" hidden="1">#REF!</definedName>
    <definedName name="BExMR8YQHA7N77HGHY4Y6R30I3XT" localSheetId="4" hidden="1">#REF!</definedName>
    <definedName name="BExMR8YQHA7N77HGHY4Y6R30I3XT" localSheetId="1" hidden="1">#REF!</definedName>
    <definedName name="BExMR8YQHA7N77HGHY4Y6R30I3XT" localSheetId="9" hidden="1">#REF!</definedName>
    <definedName name="BExMR8YQHA7N77HGHY4Y6R30I3XT" hidden="1">#REF!</definedName>
    <definedName name="BExMRENOIARWRYOIVPDIEBVNRDO7" localSheetId="56" hidden="1">#REF!</definedName>
    <definedName name="BExMRENOIARWRYOIVPDIEBVNRDO7" localSheetId="55" hidden="1">#REF!</definedName>
    <definedName name="BExMRENOIARWRYOIVPDIEBVNRDO7" localSheetId="4" hidden="1">#REF!</definedName>
    <definedName name="BExMRENOIARWRYOIVPDIEBVNRDO7" localSheetId="1" hidden="1">#REF!</definedName>
    <definedName name="BExMRENOIARWRYOIVPDIEBVNRDO7" localSheetId="9" hidden="1">#REF!</definedName>
    <definedName name="BExMRENOIARWRYOIVPDIEBVNRDO7" hidden="1">#REF!</definedName>
    <definedName name="BExMRF3SCIUZL945WMMDCT29MTLN" localSheetId="56" hidden="1">#REF!</definedName>
    <definedName name="BExMRF3SCIUZL945WMMDCT29MTLN" localSheetId="55" hidden="1">#REF!</definedName>
    <definedName name="BExMRF3SCIUZL945WMMDCT29MTLN" localSheetId="4" hidden="1">#REF!</definedName>
    <definedName name="BExMRF3SCIUZL945WMMDCT29MTLN" localSheetId="1" hidden="1">#REF!</definedName>
    <definedName name="BExMRF3SCIUZL945WMMDCT29MTLN" localSheetId="9" hidden="1">#REF!</definedName>
    <definedName name="BExMRF3SCIUZL945WMMDCT29MTLN" hidden="1">#REF!</definedName>
    <definedName name="BExMRRJNUMGRSDD5GGKKGEIZ6FTS" localSheetId="56" hidden="1">#REF!</definedName>
    <definedName name="BExMRRJNUMGRSDD5GGKKGEIZ6FTS" localSheetId="55" hidden="1">#REF!</definedName>
    <definedName name="BExMRRJNUMGRSDD5GGKKGEIZ6FTS" localSheetId="4" hidden="1">#REF!</definedName>
    <definedName name="BExMRRJNUMGRSDD5GGKKGEIZ6FTS" localSheetId="1" hidden="1">#REF!</definedName>
    <definedName name="BExMRRJNUMGRSDD5GGKKGEIZ6FTS" localSheetId="9" hidden="1">#REF!</definedName>
    <definedName name="BExMRRJNUMGRSDD5GGKKGEIZ6FTS" hidden="1">#REF!</definedName>
    <definedName name="BExMRU3ACIU0RD2BNWO55LH5U2BR" localSheetId="56" hidden="1">#REF!</definedName>
    <definedName name="BExMRU3ACIU0RD2BNWO55LH5U2BR" localSheetId="55" hidden="1">#REF!</definedName>
    <definedName name="BExMRU3ACIU0RD2BNWO55LH5U2BR" localSheetId="4" hidden="1">#REF!</definedName>
    <definedName name="BExMRU3ACIU0RD2BNWO55LH5U2BR" localSheetId="1" hidden="1">#REF!</definedName>
    <definedName name="BExMRU3ACIU0RD2BNWO55LH5U2BR" localSheetId="9" hidden="1">#REF!</definedName>
    <definedName name="BExMRU3ACIU0RD2BNWO55LH5U2BR" hidden="1">#REF!</definedName>
    <definedName name="BExMRWC9LD1LDAVIUQHQWIYMK129" localSheetId="56" hidden="1">#REF!</definedName>
    <definedName name="BExMRWC9LD1LDAVIUQHQWIYMK129" localSheetId="55" hidden="1">#REF!</definedName>
    <definedName name="BExMRWC9LD1LDAVIUQHQWIYMK129" localSheetId="4" hidden="1">#REF!</definedName>
    <definedName name="BExMRWC9LD1LDAVIUQHQWIYMK129" localSheetId="1" hidden="1">#REF!</definedName>
    <definedName name="BExMRWC9LD1LDAVIUQHQWIYMK129" localSheetId="9" hidden="1">#REF!</definedName>
    <definedName name="BExMRWC9LD1LDAVIUQHQWIYMK129" hidden="1">#REF!</definedName>
    <definedName name="BExMSBH3T898ERC4BT51ZURKDCH1" localSheetId="56" hidden="1">#REF!</definedName>
    <definedName name="BExMSBH3T898ERC4BT51ZURKDCH1" localSheetId="55" hidden="1">#REF!</definedName>
    <definedName name="BExMSBH3T898ERC4BT51ZURKDCH1" localSheetId="4" hidden="1">#REF!</definedName>
    <definedName name="BExMSBH3T898ERC4BT51ZURKDCH1" localSheetId="1" hidden="1">#REF!</definedName>
    <definedName name="BExMSBH3T898ERC4BT51ZURKDCH1" localSheetId="9" hidden="1">#REF!</definedName>
    <definedName name="BExMSBH3T898ERC4BT51ZURKDCH1" hidden="1">#REF!</definedName>
    <definedName name="BExMSQRCC40AP8BDUPL2I2DNC210" localSheetId="56" hidden="1">#REF!</definedName>
    <definedName name="BExMSQRCC40AP8BDUPL2I2DNC210" localSheetId="55" hidden="1">#REF!</definedName>
    <definedName name="BExMSQRCC40AP8BDUPL2I2DNC210" localSheetId="4" hidden="1">#REF!</definedName>
    <definedName name="BExMSQRCC40AP8BDUPL2I2DNC210" localSheetId="1" hidden="1">#REF!</definedName>
    <definedName name="BExMSQRCC40AP8BDUPL2I2DNC210" localSheetId="9" hidden="1">#REF!</definedName>
    <definedName name="BExMSQRCC40AP8BDUPL2I2DNC210" hidden="1">#REF!</definedName>
    <definedName name="BExO4J9LR712G00TVA82VNTG8O7H" localSheetId="56" hidden="1">#REF!</definedName>
    <definedName name="BExO4J9LR712G00TVA82VNTG8O7H" localSheetId="55" hidden="1">#REF!</definedName>
    <definedName name="BExO4J9LR712G00TVA82VNTG8O7H" localSheetId="4" hidden="1">#REF!</definedName>
    <definedName name="BExO4J9LR712G00TVA82VNTG8O7H" localSheetId="1" hidden="1">#REF!</definedName>
    <definedName name="BExO4J9LR712G00TVA82VNTG8O7H" localSheetId="9" hidden="1">#REF!</definedName>
    <definedName name="BExO4J9LR712G00TVA82VNTG8O7H" hidden="1">#REF!</definedName>
    <definedName name="BExO55G2KVZ7MIJ30N827CLH0I2A" localSheetId="56" hidden="1">#REF!</definedName>
    <definedName name="BExO55G2KVZ7MIJ30N827CLH0I2A" localSheetId="55" hidden="1">#REF!</definedName>
    <definedName name="BExO55G2KVZ7MIJ30N827CLH0I2A" localSheetId="4" hidden="1">#REF!</definedName>
    <definedName name="BExO55G2KVZ7MIJ30N827CLH0I2A" localSheetId="1" hidden="1">#REF!</definedName>
    <definedName name="BExO55G2KVZ7MIJ30N827CLH0I2A" localSheetId="9" hidden="1">#REF!</definedName>
    <definedName name="BExO55G2KVZ7MIJ30N827CLH0I2A" hidden="1">#REF!</definedName>
    <definedName name="BExO5A8PZD9EUHC5CMPU6N3SQ15L" localSheetId="56" hidden="1">#REF!</definedName>
    <definedName name="BExO5A8PZD9EUHC5CMPU6N3SQ15L" localSheetId="55" hidden="1">#REF!</definedName>
    <definedName name="BExO5A8PZD9EUHC5CMPU6N3SQ15L" localSheetId="4" hidden="1">#REF!</definedName>
    <definedName name="BExO5A8PZD9EUHC5CMPU6N3SQ15L" localSheetId="1" hidden="1">#REF!</definedName>
    <definedName name="BExO5A8PZD9EUHC5CMPU6N3SQ15L" localSheetId="9" hidden="1">#REF!</definedName>
    <definedName name="BExO5A8PZD9EUHC5CMPU6N3SQ15L" hidden="1">#REF!</definedName>
    <definedName name="BExO5XMAHL7CY3X0B1OPKZ28DCJ5" localSheetId="56" hidden="1">#REF!</definedName>
    <definedName name="BExO5XMAHL7CY3X0B1OPKZ28DCJ5" localSheetId="55" hidden="1">#REF!</definedName>
    <definedName name="BExO5XMAHL7CY3X0B1OPKZ28DCJ5" localSheetId="4" hidden="1">#REF!</definedName>
    <definedName name="BExO5XMAHL7CY3X0B1OPKZ28DCJ5" localSheetId="1" hidden="1">#REF!</definedName>
    <definedName name="BExO5XMAHL7CY3X0B1OPKZ28DCJ5" localSheetId="9" hidden="1">#REF!</definedName>
    <definedName name="BExO5XMAHL7CY3X0B1OPKZ28DCJ5" hidden="1">#REF!</definedName>
    <definedName name="BExO66LZJKY4PTQVREELI6POS4AY" localSheetId="56" hidden="1">#REF!</definedName>
    <definedName name="BExO66LZJKY4PTQVREELI6POS4AY" localSheetId="55" hidden="1">#REF!</definedName>
    <definedName name="BExO66LZJKY4PTQVREELI6POS4AY" localSheetId="4" hidden="1">#REF!</definedName>
    <definedName name="BExO66LZJKY4PTQVREELI6POS4AY" localSheetId="1" hidden="1">#REF!</definedName>
    <definedName name="BExO66LZJKY4PTQVREELI6POS4AY" localSheetId="9" hidden="1">#REF!</definedName>
    <definedName name="BExO66LZJKY4PTQVREELI6POS4AY" hidden="1">#REF!</definedName>
    <definedName name="BExO6LLHCYTF7CIVHKAO0NMET14Q" localSheetId="56" hidden="1">#REF!</definedName>
    <definedName name="BExO6LLHCYTF7CIVHKAO0NMET14Q" localSheetId="55" hidden="1">#REF!</definedName>
    <definedName name="BExO6LLHCYTF7CIVHKAO0NMET14Q" localSheetId="4" hidden="1">#REF!</definedName>
    <definedName name="BExO6LLHCYTF7CIVHKAO0NMET14Q" localSheetId="1" hidden="1">#REF!</definedName>
    <definedName name="BExO6LLHCYTF7CIVHKAO0NMET14Q" localSheetId="9" hidden="1">#REF!</definedName>
    <definedName name="BExO6LLHCYTF7CIVHKAO0NMET14Q" hidden="1">#REF!</definedName>
    <definedName name="BExO6NOZIPWELHV0XX25APL9UNOP" localSheetId="56" hidden="1">#REF!</definedName>
    <definedName name="BExO6NOZIPWELHV0XX25APL9UNOP" localSheetId="55" hidden="1">#REF!</definedName>
    <definedName name="BExO6NOZIPWELHV0XX25APL9UNOP" localSheetId="4" hidden="1">#REF!</definedName>
    <definedName name="BExO6NOZIPWELHV0XX25APL9UNOP" localSheetId="1" hidden="1">#REF!</definedName>
    <definedName name="BExO6NOZIPWELHV0XX25APL9UNOP" localSheetId="9" hidden="1">#REF!</definedName>
    <definedName name="BExO6NOZIPWELHV0XX25APL9UNOP" hidden="1">#REF!</definedName>
    <definedName name="BExO71MMHEBC11LG4HXDEQNHOII2" localSheetId="56" hidden="1">#REF!</definedName>
    <definedName name="BExO71MMHEBC11LG4HXDEQNHOII2" localSheetId="55" hidden="1">#REF!</definedName>
    <definedName name="BExO71MMHEBC11LG4HXDEQNHOII2" localSheetId="4" hidden="1">#REF!</definedName>
    <definedName name="BExO71MMHEBC11LG4HXDEQNHOII2" localSheetId="1" hidden="1">#REF!</definedName>
    <definedName name="BExO71MMHEBC11LG4HXDEQNHOII2" localSheetId="9" hidden="1">#REF!</definedName>
    <definedName name="BExO71MMHEBC11LG4HXDEQNHOII2" hidden="1">#REF!</definedName>
    <definedName name="BExO71S28H4XYOYYLAXOO93QV4TF" localSheetId="56" hidden="1">#REF!</definedName>
    <definedName name="BExO71S28H4XYOYYLAXOO93QV4TF" localSheetId="55" hidden="1">#REF!</definedName>
    <definedName name="BExO71S28H4XYOYYLAXOO93QV4TF" localSheetId="4" hidden="1">#REF!</definedName>
    <definedName name="BExO71S28H4XYOYYLAXOO93QV4TF" localSheetId="1" hidden="1">#REF!</definedName>
    <definedName name="BExO71S28H4XYOYYLAXOO93QV4TF" localSheetId="9" hidden="1">#REF!</definedName>
    <definedName name="BExO71S28H4XYOYYLAXOO93QV4TF" hidden="1">#REF!</definedName>
    <definedName name="BExO7BIP1737MIY7S6K4XYMTIO95" localSheetId="56" hidden="1">#REF!</definedName>
    <definedName name="BExO7BIP1737MIY7S6K4XYMTIO95" localSheetId="55" hidden="1">#REF!</definedName>
    <definedName name="BExO7BIP1737MIY7S6K4XYMTIO95" localSheetId="4" hidden="1">#REF!</definedName>
    <definedName name="BExO7BIP1737MIY7S6K4XYMTIO95" localSheetId="1" hidden="1">#REF!</definedName>
    <definedName name="BExO7BIP1737MIY7S6K4XYMTIO95" localSheetId="9" hidden="1">#REF!</definedName>
    <definedName name="BExO7BIP1737MIY7S6K4XYMTIO95" hidden="1">#REF!</definedName>
    <definedName name="BExO7OUQS3XTUQ2LDKGQ8AAQ3OJJ" localSheetId="56" hidden="1">#REF!</definedName>
    <definedName name="BExO7OUQS3XTUQ2LDKGQ8AAQ3OJJ" localSheetId="55" hidden="1">#REF!</definedName>
    <definedName name="BExO7OUQS3XTUQ2LDKGQ8AAQ3OJJ" localSheetId="4" hidden="1">#REF!</definedName>
    <definedName name="BExO7OUQS3XTUQ2LDKGQ8AAQ3OJJ" localSheetId="1" hidden="1">#REF!</definedName>
    <definedName name="BExO7OUQS3XTUQ2LDKGQ8AAQ3OJJ" localSheetId="9" hidden="1">#REF!</definedName>
    <definedName name="BExO7OUQS3XTUQ2LDKGQ8AAQ3OJJ" hidden="1">#REF!</definedName>
    <definedName name="BExO85HMYXZJ7SONWBKKIAXMCI3C" localSheetId="56" hidden="1">#REF!</definedName>
    <definedName name="BExO85HMYXZJ7SONWBKKIAXMCI3C" localSheetId="55" hidden="1">#REF!</definedName>
    <definedName name="BExO85HMYXZJ7SONWBKKIAXMCI3C" localSheetId="4" hidden="1">#REF!</definedName>
    <definedName name="BExO85HMYXZJ7SONWBKKIAXMCI3C" localSheetId="1" hidden="1">#REF!</definedName>
    <definedName name="BExO85HMYXZJ7SONWBKKIAXMCI3C" localSheetId="9" hidden="1">#REF!</definedName>
    <definedName name="BExO85HMYXZJ7SONWBKKIAXMCI3C" hidden="1">#REF!</definedName>
    <definedName name="BExO863922O4PBGQMUNEQKGN3K96" localSheetId="56" hidden="1">#REF!</definedName>
    <definedName name="BExO863922O4PBGQMUNEQKGN3K96" localSheetId="55" hidden="1">#REF!</definedName>
    <definedName name="BExO863922O4PBGQMUNEQKGN3K96" localSheetId="4" hidden="1">#REF!</definedName>
    <definedName name="BExO863922O4PBGQMUNEQKGN3K96" localSheetId="1" hidden="1">#REF!</definedName>
    <definedName name="BExO863922O4PBGQMUNEQKGN3K96" localSheetId="9" hidden="1">#REF!</definedName>
    <definedName name="BExO863922O4PBGQMUNEQKGN3K96" hidden="1">#REF!</definedName>
    <definedName name="BExO89ZIOXN0HOKHY24F7HDZ87UT" localSheetId="56" hidden="1">#REF!</definedName>
    <definedName name="BExO89ZIOXN0HOKHY24F7HDZ87UT" localSheetId="55" hidden="1">#REF!</definedName>
    <definedName name="BExO89ZIOXN0HOKHY24F7HDZ87UT" localSheetId="4" hidden="1">#REF!</definedName>
    <definedName name="BExO89ZIOXN0HOKHY24F7HDZ87UT" localSheetId="1" hidden="1">#REF!</definedName>
    <definedName name="BExO89ZIOXN0HOKHY24F7HDZ87UT" localSheetId="9" hidden="1">#REF!</definedName>
    <definedName name="BExO89ZIOXN0HOKHY24F7HDZ87UT" hidden="1">#REF!</definedName>
    <definedName name="BExO8A4SWOKD9WI5E6DITCL3LZZC" localSheetId="56" hidden="1">#REF!</definedName>
    <definedName name="BExO8A4SWOKD9WI5E6DITCL3LZZC" localSheetId="55" hidden="1">#REF!</definedName>
    <definedName name="BExO8A4SWOKD9WI5E6DITCL3LZZC" localSheetId="4" hidden="1">#REF!</definedName>
    <definedName name="BExO8A4SWOKD9WI5E6DITCL3LZZC" localSheetId="1" hidden="1">#REF!</definedName>
    <definedName name="BExO8A4SWOKD9WI5E6DITCL3LZZC" localSheetId="9" hidden="1">#REF!</definedName>
    <definedName name="BExO8A4SWOKD9WI5E6DITCL3LZZC" hidden="1">#REF!</definedName>
    <definedName name="BExO8CDTBCABLEUD6PE2UM2EZ6C4" localSheetId="56" hidden="1">#REF!</definedName>
    <definedName name="BExO8CDTBCABLEUD6PE2UM2EZ6C4" localSheetId="55" hidden="1">#REF!</definedName>
    <definedName name="BExO8CDTBCABLEUD6PE2UM2EZ6C4" localSheetId="4" hidden="1">#REF!</definedName>
    <definedName name="BExO8CDTBCABLEUD6PE2UM2EZ6C4" localSheetId="1" hidden="1">#REF!</definedName>
    <definedName name="BExO8CDTBCABLEUD6PE2UM2EZ6C4" localSheetId="9" hidden="1">#REF!</definedName>
    <definedName name="BExO8CDTBCABLEUD6PE2UM2EZ6C4" hidden="1">#REF!</definedName>
    <definedName name="BExO8UTAGQWDBQZEEF4HUNMLQCVU" localSheetId="56" hidden="1">#REF!</definedName>
    <definedName name="BExO8UTAGQWDBQZEEF4HUNMLQCVU" localSheetId="55" hidden="1">#REF!</definedName>
    <definedName name="BExO8UTAGQWDBQZEEF4HUNMLQCVU" localSheetId="4" hidden="1">#REF!</definedName>
    <definedName name="BExO8UTAGQWDBQZEEF4HUNMLQCVU" localSheetId="1" hidden="1">#REF!</definedName>
    <definedName name="BExO8UTAGQWDBQZEEF4HUNMLQCVU" localSheetId="9" hidden="1">#REF!</definedName>
    <definedName name="BExO8UTAGQWDBQZEEF4HUNMLQCVU" hidden="1">#REF!</definedName>
    <definedName name="BExO937E20IHMGQOZMECL3VZC7OX" localSheetId="56" hidden="1">#REF!</definedName>
    <definedName name="BExO937E20IHMGQOZMECL3VZC7OX" localSheetId="55" hidden="1">#REF!</definedName>
    <definedName name="BExO937E20IHMGQOZMECL3VZC7OX" localSheetId="4" hidden="1">#REF!</definedName>
    <definedName name="BExO937E20IHMGQOZMECL3VZC7OX" localSheetId="1" hidden="1">#REF!</definedName>
    <definedName name="BExO937E20IHMGQOZMECL3VZC7OX" localSheetId="9" hidden="1">#REF!</definedName>
    <definedName name="BExO937E20IHMGQOZMECL3VZC7OX" hidden="1">#REF!</definedName>
    <definedName name="BExO94UTJKQQ7TJTTJRTSR70YVJC" localSheetId="56" hidden="1">#REF!</definedName>
    <definedName name="BExO94UTJKQQ7TJTTJRTSR70YVJC" localSheetId="55" hidden="1">#REF!</definedName>
    <definedName name="BExO94UTJKQQ7TJTTJRTSR70YVJC" localSheetId="4" hidden="1">#REF!</definedName>
    <definedName name="BExO94UTJKQQ7TJTTJRTSR70YVJC" localSheetId="1" hidden="1">#REF!</definedName>
    <definedName name="BExO94UTJKQQ7TJTTJRTSR70YVJC" localSheetId="9" hidden="1">#REF!</definedName>
    <definedName name="BExO94UTJKQQ7TJTTJRTSR70YVJC" hidden="1">#REF!</definedName>
    <definedName name="BExO9EALFB2R8VULHML1AVRPHME0" localSheetId="56" hidden="1">#REF!</definedName>
    <definedName name="BExO9EALFB2R8VULHML1AVRPHME0" localSheetId="55" hidden="1">#REF!</definedName>
    <definedName name="BExO9EALFB2R8VULHML1AVRPHME0" localSheetId="4" hidden="1">#REF!</definedName>
    <definedName name="BExO9EALFB2R8VULHML1AVRPHME0" localSheetId="1" hidden="1">#REF!</definedName>
    <definedName name="BExO9EALFB2R8VULHML1AVRPHME0" localSheetId="9" hidden="1">#REF!</definedName>
    <definedName name="BExO9EALFB2R8VULHML1AVRPHME0" hidden="1">#REF!</definedName>
    <definedName name="BExO9J3A438976RXIUX5U9SU5T55" localSheetId="56" hidden="1">#REF!</definedName>
    <definedName name="BExO9J3A438976RXIUX5U9SU5T55" localSheetId="55" hidden="1">#REF!</definedName>
    <definedName name="BExO9J3A438976RXIUX5U9SU5T55" localSheetId="4" hidden="1">#REF!</definedName>
    <definedName name="BExO9J3A438976RXIUX5U9SU5T55" localSheetId="1" hidden="1">#REF!</definedName>
    <definedName name="BExO9J3A438976RXIUX5U9SU5T55" localSheetId="9" hidden="1">#REF!</definedName>
    <definedName name="BExO9J3A438976RXIUX5U9SU5T55" hidden="1">#REF!</definedName>
    <definedName name="BExO9RS5RXFJ1911HL3CCK6M74EP" localSheetId="56" hidden="1">#REF!</definedName>
    <definedName name="BExO9RS5RXFJ1911HL3CCK6M74EP" localSheetId="55" hidden="1">#REF!</definedName>
    <definedName name="BExO9RS5RXFJ1911HL3CCK6M74EP" localSheetId="4" hidden="1">#REF!</definedName>
    <definedName name="BExO9RS5RXFJ1911HL3CCK6M74EP" localSheetId="1" hidden="1">#REF!</definedName>
    <definedName name="BExO9RS5RXFJ1911HL3CCK6M74EP" localSheetId="9" hidden="1">#REF!</definedName>
    <definedName name="BExO9RS5RXFJ1911HL3CCK6M74EP" hidden="1">#REF!</definedName>
    <definedName name="BExO9SDRI1M6KMHXSG3AE5L0F2U3" localSheetId="56" hidden="1">#REF!</definedName>
    <definedName name="BExO9SDRI1M6KMHXSG3AE5L0F2U3" localSheetId="55" hidden="1">#REF!</definedName>
    <definedName name="BExO9SDRI1M6KMHXSG3AE5L0F2U3" localSheetId="4" hidden="1">#REF!</definedName>
    <definedName name="BExO9SDRI1M6KMHXSG3AE5L0F2U3" localSheetId="1" hidden="1">#REF!</definedName>
    <definedName name="BExO9SDRI1M6KMHXSG3AE5L0F2U3" localSheetId="9" hidden="1">#REF!</definedName>
    <definedName name="BExO9SDRI1M6KMHXSG3AE5L0F2U3" hidden="1">#REF!</definedName>
    <definedName name="BExO9US253B9UNAYT7DWLMK2BO44" localSheetId="56" hidden="1">#REF!</definedName>
    <definedName name="BExO9US253B9UNAYT7DWLMK2BO44" localSheetId="55" hidden="1">#REF!</definedName>
    <definedName name="BExO9US253B9UNAYT7DWLMK2BO44" localSheetId="4" hidden="1">#REF!</definedName>
    <definedName name="BExO9US253B9UNAYT7DWLMK2BO44" localSheetId="1" hidden="1">#REF!</definedName>
    <definedName name="BExO9US253B9UNAYT7DWLMK2BO44" localSheetId="9" hidden="1">#REF!</definedName>
    <definedName name="BExO9US253B9UNAYT7DWLMK2BO44" hidden="1">#REF!</definedName>
    <definedName name="BExO9V2U2YXAY904GYYGU6TD8Y7M" localSheetId="56" hidden="1">#REF!</definedName>
    <definedName name="BExO9V2U2YXAY904GYYGU6TD8Y7M" localSheetId="55" hidden="1">#REF!</definedName>
    <definedName name="BExO9V2U2YXAY904GYYGU6TD8Y7M" localSheetId="4" hidden="1">#REF!</definedName>
    <definedName name="BExO9V2U2YXAY904GYYGU6TD8Y7M" localSheetId="1" hidden="1">#REF!</definedName>
    <definedName name="BExO9V2U2YXAY904GYYGU6TD8Y7M" localSheetId="9" hidden="1">#REF!</definedName>
    <definedName name="BExO9V2U2YXAY904GYYGU6TD8Y7M" hidden="1">#REF!</definedName>
    <definedName name="BExOAAIG18X4V98C7122L5F65P5C" localSheetId="56" hidden="1">#REF!</definedName>
    <definedName name="BExOAAIG18X4V98C7122L5F65P5C" localSheetId="55" hidden="1">#REF!</definedName>
    <definedName name="BExOAAIG18X4V98C7122L5F65P5C" localSheetId="4" hidden="1">#REF!</definedName>
    <definedName name="BExOAAIG18X4V98C7122L5F65P5C" localSheetId="1" hidden="1">#REF!</definedName>
    <definedName name="BExOAAIG18X4V98C7122L5F65P5C" localSheetId="9" hidden="1">#REF!</definedName>
    <definedName name="BExOAAIG18X4V98C7122L5F65P5C" hidden="1">#REF!</definedName>
    <definedName name="BExOAQ3GKCT7YZW1EMVU3EILSZL2" localSheetId="56" hidden="1">#REF!</definedName>
    <definedName name="BExOAQ3GKCT7YZW1EMVU3EILSZL2" localSheetId="55" hidden="1">#REF!</definedName>
    <definedName name="BExOAQ3GKCT7YZW1EMVU3EILSZL2" localSheetId="4" hidden="1">#REF!</definedName>
    <definedName name="BExOAQ3GKCT7YZW1EMVU3EILSZL2" localSheetId="1" hidden="1">#REF!</definedName>
    <definedName name="BExOAQ3GKCT7YZW1EMVU3EILSZL2" localSheetId="9" hidden="1">#REF!</definedName>
    <definedName name="BExOAQ3GKCT7YZW1EMVU3EILSZL2" hidden="1">#REF!</definedName>
    <definedName name="BExOATZQ6SF8DASYLBQ0Z6D2WPSC" localSheetId="56" hidden="1">#REF!</definedName>
    <definedName name="BExOATZQ6SF8DASYLBQ0Z6D2WPSC" localSheetId="55" hidden="1">#REF!</definedName>
    <definedName name="BExOATZQ6SF8DASYLBQ0Z6D2WPSC" localSheetId="4" hidden="1">#REF!</definedName>
    <definedName name="BExOATZQ6SF8DASYLBQ0Z6D2WPSC" localSheetId="1" hidden="1">#REF!</definedName>
    <definedName name="BExOATZQ6SF8DASYLBQ0Z6D2WPSC" localSheetId="9" hidden="1">#REF!</definedName>
    <definedName name="BExOATZQ6SF8DASYLBQ0Z6D2WPSC" hidden="1">#REF!</definedName>
    <definedName name="BExOB9KT2THGV4SPLDVFTFXS4B14" localSheetId="56" hidden="1">#REF!</definedName>
    <definedName name="BExOB9KT2THGV4SPLDVFTFXS4B14" localSheetId="55" hidden="1">#REF!</definedName>
    <definedName name="BExOB9KT2THGV4SPLDVFTFXS4B14" localSheetId="4" hidden="1">#REF!</definedName>
    <definedName name="BExOB9KT2THGV4SPLDVFTFXS4B14" localSheetId="1" hidden="1">#REF!</definedName>
    <definedName name="BExOB9KT2THGV4SPLDVFTFXS4B14" localSheetId="9" hidden="1">#REF!</definedName>
    <definedName name="BExOB9KT2THGV4SPLDVFTFXS4B14" hidden="1">#REF!</definedName>
    <definedName name="BExOBEZ0IE2WBEYY3D3CMRI72N1K" localSheetId="56" hidden="1">#REF!</definedName>
    <definedName name="BExOBEZ0IE2WBEYY3D3CMRI72N1K" localSheetId="55" hidden="1">#REF!</definedName>
    <definedName name="BExOBEZ0IE2WBEYY3D3CMRI72N1K" localSheetId="4" hidden="1">#REF!</definedName>
    <definedName name="BExOBEZ0IE2WBEYY3D3CMRI72N1K" localSheetId="1" hidden="1">#REF!</definedName>
    <definedName name="BExOBEZ0IE2WBEYY3D3CMRI72N1K" localSheetId="9" hidden="1">#REF!</definedName>
    <definedName name="BExOBEZ0IE2WBEYY3D3CMRI72N1K" hidden="1">#REF!</definedName>
    <definedName name="BExOBF9TFH4NSBTR7JD2Q1165NIU" localSheetId="56" hidden="1">#REF!</definedName>
    <definedName name="BExOBF9TFH4NSBTR7JD2Q1165NIU" localSheetId="55" hidden="1">#REF!</definedName>
    <definedName name="BExOBF9TFH4NSBTR7JD2Q1165NIU" localSheetId="4" hidden="1">#REF!</definedName>
    <definedName name="BExOBF9TFH4NSBTR7JD2Q1165NIU" localSheetId="1" hidden="1">#REF!</definedName>
    <definedName name="BExOBF9TFH4NSBTR7JD2Q1165NIU" localSheetId="9" hidden="1">#REF!</definedName>
    <definedName name="BExOBF9TFH4NSBTR7JD2Q1165NIU" hidden="1">#REF!</definedName>
    <definedName name="BExOBIPU8760ITY0C8N27XZ3KWEF" localSheetId="56" hidden="1">#REF!</definedName>
    <definedName name="BExOBIPU8760ITY0C8N27XZ3KWEF" localSheetId="55" hidden="1">#REF!</definedName>
    <definedName name="BExOBIPU8760ITY0C8N27XZ3KWEF" localSheetId="4" hidden="1">#REF!</definedName>
    <definedName name="BExOBIPU8760ITY0C8N27XZ3KWEF" localSheetId="1" hidden="1">#REF!</definedName>
    <definedName name="BExOBIPU8760ITY0C8N27XZ3KWEF" localSheetId="9" hidden="1">#REF!</definedName>
    <definedName name="BExOBIPU8760ITY0C8N27XZ3KWEF" hidden="1">#REF!</definedName>
    <definedName name="BExOBM0I5L0MZ1G4H9MGMD87SBMZ" localSheetId="56" hidden="1">#REF!</definedName>
    <definedName name="BExOBM0I5L0MZ1G4H9MGMD87SBMZ" localSheetId="55" hidden="1">#REF!</definedName>
    <definedName name="BExOBM0I5L0MZ1G4H9MGMD87SBMZ" localSheetId="4" hidden="1">#REF!</definedName>
    <definedName name="BExOBM0I5L0MZ1G4H9MGMD87SBMZ" localSheetId="1" hidden="1">#REF!</definedName>
    <definedName name="BExOBM0I5L0MZ1G4H9MGMD87SBMZ" localSheetId="9" hidden="1">#REF!</definedName>
    <definedName name="BExOBM0I5L0MZ1G4H9MGMD87SBMZ" hidden="1">#REF!</definedName>
    <definedName name="BExOBOUXMP88KJY2BX2JLUJH5N0K" localSheetId="56" hidden="1">#REF!</definedName>
    <definedName name="BExOBOUXMP88KJY2BX2JLUJH5N0K" localSheetId="55" hidden="1">#REF!</definedName>
    <definedName name="BExOBOUXMP88KJY2BX2JLUJH5N0K" localSheetId="4" hidden="1">#REF!</definedName>
    <definedName name="BExOBOUXMP88KJY2BX2JLUJH5N0K" localSheetId="1" hidden="1">#REF!</definedName>
    <definedName name="BExOBOUXMP88KJY2BX2JLUJH5N0K" localSheetId="9" hidden="1">#REF!</definedName>
    <definedName name="BExOBOUXMP88KJY2BX2JLUJH5N0K" hidden="1">#REF!</definedName>
    <definedName name="BExOBP0FKQ4SVR59FB48UNLKCOR6" localSheetId="56" hidden="1">#REF!</definedName>
    <definedName name="BExOBP0FKQ4SVR59FB48UNLKCOR6" localSheetId="55" hidden="1">#REF!</definedName>
    <definedName name="BExOBP0FKQ4SVR59FB48UNLKCOR6" localSheetId="4" hidden="1">#REF!</definedName>
    <definedName name="BExOBP0FKQ4SVR59FB48UNLKCOR6" localSheetId="1" hidden="1">#REF!</definedName>
    <definedName name="BExOBP0FKQ4SVR59FB48UNLKCOR6" localSheetId="9" hidden="1">#REF!</definedName>
    <definedName name="BExOBP0FKQ4SVR59FB48UNLKCOR6" hidden="1">#REF!</definedName>
    <definedName name="BExOBTNR0XX9V82O76VVWUQABHT8" localSheetId="56" hidden="1">#REF!</definedName>
    <definedName name="BExOBTNR0XX9V82O76VVWUQABHT8" localSheetId="55" hidden="1">#REF!</definedName>
    <definedName name="BExOBTNR0XX9V82O76VVWUQABHT8" localSheetId="4" hidden="1">#REF!</definedName>
    <definedName name="BExOBTNR0XX9V82O76VVWUQABHT8" localSheetId="1" hidden="1">#REF!</definedName>
    <definedName name="BExOBTNR0XX9V82O76VVWUQABHT8" localSheetId="9" hidden="1">#REF!</definedName>
    <definedName name="BExOBTNR0XX9V82O76VVWUQABHT8" hidden="1">#REF!</definedName>
    <definedName name="BExOBYAVUCQ0IGM0Y6A75QHP0Q1A" localSheetId="56" hidden="1">#REF!</definedName>
    <definedName name="BExOBYAVUCQ0IGM0Y6A75QHP0Q1A" localSheetId="55" hidden="1">#REF!</definedName>
    <definedName name="BExOBYAVUCQ0IGM0Y6A75QHP0Q1A" localSheetId="4" hidden="1">#REF!</definedName>
    <definedName name="BExOBYAVUCQ0IGM0Y6A75QHP0Q1A" localSheetId="1" hidden="1">#REF!</definedName>
    <definedName name="BExOBYAVUCQ0IGM0Y6A75QHP0Q1A" localSheetId="9" hidden="1">#REF!</definedName>
    <definedName name="BExOBYAVUCQ0IGM0Y6A75QHP0Q1A" hidden="1">#REF!</definedName>
    <definedName name="BExOC3UEHB1CZNINSQHZANWJYKR8" localSheetId="56" hidden="1">#REF!</definedName>
    <definedName name="BExOC3UEHB1CZNINSQHZANWJYKR8" localSheetId="55" hidden="1">#REF!</definedName>
    <definedName name="BExOC3UEHB1CZNINSQHZANWJYKR8" localSheetId="4" hidden="1">#REF!</definedName>
    <definedName name="BExOC3UEHB1CZNINSQHZANWJYKR8" localSheetId="1" hidden="1">#REF!</definedName>
    <definedName name="BExOC3UEHB1CZNINSQHZANWJYKR8" localSheetId="9" hidden="1">#REF!</definedName>
    <definedName name="BExOC3UEHB1CZNINSQHZANWJYKR8" hidden="1">#REF!</definedName>
    <definedName name="BExOCBSF3XGO9YJ23LX2H78VOUR7" localSheetId="56" hidden="1">#REF!</definedName>
    <definedName name="BExOCBSF3XGO9YJ23LX2H78VOUR7" localSheetId="55" hidden="1">#REF!</definedName>
    <definedName name="BExOCBSF3XGO9YJ23LX2H78VOUR7" localSheetId="4" hidden="1">#REF!</definedName>
    <definedName name="BExOCBSF3XGO9YJ23LX2H78VOUR7" localSheetId="1" hidden="1">#REF!</definedName>
    <definedName name="BExOCBSF3XGO9YJ23LX2H78VOUR7" localSheetId="9" hidden="1">#REF!</definedName>
    <definedName name="BExOCBSF3XGO9YJ23LX2H78VOUR7" hidden="1">#REF!</definedName>
    <definedName name="BExOCEHJCLIUR23CB4TC9OEFJGFX" localSheetId="56" hidden="1">#REF!</definedName>
    <definedName name="BExOCEHJCLIUR23CB4TC9OEFJGFX" localSheetId="55" hidden="1">#REF!</definedName>
    <definedName name="BExOCEHJCLIUR23CB4TC9OEFJGFX" localSheetId="4" hidden="1">#REF!</definedName>
    <definedName name="BExOCEHJCLIUR23CB4TC9OEFJGFX" localSheetId="1" hidden="1">#REF!</definedName>
    <definedName name="BExOCEHJCLIUR23CB4TC9OEFJGFX" localSheetId="9" hidden="1">#REF!</definedName>
    <definedName name="BExOCEHJCLIUR23CB4TC9OEFJGFX" hidden="1">#REF!</definedName>
    <definedName name="BExOCKXFMOW6WPFEVX1I7R7FNDSS" localSheetId="56" hidden="1">#REF!</definedName>
    <definedName name="BExOCKXFMOW6WPFEVX1I7R7FNDSS" localSheetId="55" hidden="1">#REF!</definedName>
    <definedName name="BExOCKXFMOW6WPFEVX1I7R7FNDSS" localSheetId="4" hidden="1">#REF!</definedName>
    <definedName name="BExOCKXFMOW6WPFEVX1I7R7FNDSS" localSheetId="1" hidden="1">#REF!</definedName>
    <definedName name="BExOCKXFMOW6WPFEVX1I7R7FNDSS" localSheetId="9" hidden="1">#REF!</definedName>
    <definedName name="BExOCKXFMOW6WPFEVX1I7R7FNDSS" hidden="1">#REF!</definedName>
    <definedName name="BExOCM4L30L6FV3N2PR4O6X8WY2M" localSheetId="56" hidden="1">#REF!</definedName>
    <definedName name="BExOCM4L30L6FV3N2PR4O6X8WY2M" localSheetId="55" hidden="1">#REF!</definedName>
    <definedName name="BExOCM4L30L6FV3N2PR4O6X8WY2M" localSheetId="4" hidden="1">#REF!</definedName>
    <definedName name="BExOCM4L30L6FV3N2PR4O6X8WY2M" localSheetId="1" hidden="1">#REF!</definedName>
    <definedName name="BExOCM4L30L6FV3N2PR4O6X8WY2M" localSheetId="9" hidden="1">#REF!</definedName>
    <definedName name="BExOCM4L30L6FV3N2PR4O6X8WY2M" hidden="1">#REF!</definedName>
    <definedName name="BExOCYEXOB95DH5NOB0M5NOYX398" localSheetId="56" hidden="1">#REF!</definedName>
    <definedName name="BExOCYEXOB95DH5NOB0M5NOYX398" localSheetId="55" hidden="1">#REF!</definedName>
    <definedName name="BExOCYEXOB95DH5NOB0M5NOYX398" localSheetId="4" hidden="1">#REF!</definedName>
    <definedName name="BExOCYEXOB95DH5NOB0M5NOYX398" localSheetId="1" hidden="1">#REF!</definedName>
    <definedName name="BExOCYEXOB95DH5NOB0M5NOYX398" localSheetId="9" hidden="1">#REF!</definedName>
    <definedName name="BExOCYEXOB95DH5NOB0M5NOYX398" hidden="1">#REF!</definedName>
    <definedName name="BExOD4ERMDMFD8X1016N4EXOUR0S" localSheetId="56" hidden="1">#REF!</definedName>
    <definedName name="BExOD4ERMDMFD8X1016N4EXOUR0S" localSheetId="55" hidden="1">#REF!</definedName>
    <definedName name="BExOD4ERMDMFD8X1016N4EXOUR0S" localSheetId="4" hidden="1">#REF!</definedName>
    <definedName name="BExOD4ERMDMFD8X1016N4EXOUR0S" localSheetId="1" hidden="1">#REF!</definedName>
    <definedName name="BExOD4ERMDMFD8X1016N4EXOUR0S" localSheetId="9" hidden="1">#REF!</definedName>
    <definedName name="BExOD4ERMDMFD8X1016N4EXOUR0S" hidden="1">#REF!</definedName>
    <definedName name="BExOD55RS7BQUHRQ6H3USVGKR0P7" localSheetId="56" hidden="1">#REF!</definedName>
    <definedName name="BExOD55RS7BQUHRQ6H3USVGKR0P7" localSheetId="55" hidden="1">#REF!</definedName>
    <definedName name="BExOD55RS7BQUHRQ6H3USVGKR0P7" localSheetId="4" hidden="1">#REF!</definedName>
    <definedName name="BExOD55RS7BQUHRQ6H3USVGKR0P7" localSheetId="1" hidden="1">#REF!</definedName>
    <definedName name="BExOD55RS7BQUHRQ6H3USVGKR0P7" localSheetId="9" hidden="1">#REF!</definedName>
    <definedName name="BExOD55RS7BQUHRQ6H3USVGKR0P7" hidden="1">#REF!</definedName>
    <definedName name="BExODEWDDEABM4ZY3XREJIBZ8IVP" localSheetId="56" hidden="1">#REF!</definedName>
    <definedName name="BExODEWDDEABM4ZY3XREJIBZ8IVP" localSheetId="55" hidden="1">#REF!</definedName>
    <definedName name="BExODEWDDEABM4ZY3XREJIBZ8IVP" localSheetId="4" hidden="1">#REF!</definedName>
    <definedName name="BExODEWDDEABM4ZY3XREJIBZ8IVP" localSheetId="1" hidden="1">#REF!</definedName>
    <definedName name="BExODEWDDEABM4ZY3XREJIBZ8IVP" localSheetId="9" hidden="1">#REF!</definedName>
    <definedName name="BExODEWDDEABM4ZY3XREJIBZ8IVP" hidden="1">#REF!</definedName>
    <definedName name="BExODICDVVLFKWA22B3L0CKKTAZA" localSheetId="56" hidden="1">#REF!</definedName>
    <definedName name="BExODICDVVLFKWA22B3L0CKKTAZA" localSheetId="55" hidden="1">#REF!</definedName>
    <definedName name="BExODICDVVLFKWA22B3L0CKKTAZA" localSheetId="4" hidden="1">#REF!</definedName>
    <definedName name="BExODICDVVLFKWA22B3L0CKKTAZA" localSheetId="1" hidden="1">#REF!</definedName>
    <definedName name="BExODICDVVLFKWA22B3L0CKKTAZA" localSheetId="9" hidden="1">#REF!</definedName>
    <definedName name="BExODICDVVLFKWA22B3L0CKKTAZA" hidden="1">#REF!</definedName>
    <definedName name="BExODZFEIWV26E8RFU7XQYX1J458" localSheetId="56" hidden="1">#REF!</definedName>
    <definedName name="BExODZFEIWV26E8RFU7XQYX1J458" localSheetId="55" hidden="1">#REF!</definedName>
    <definedName name="BExODZFEIWV26E8RFU7XQYX1J458" localSheetId="4" hidden="1">#REF!</definedName>
    <definedName name="BExODZFEIWV26E8RFU7XQYX1J458" localSheetId="1" hidden="1">#REF!</definedName>
    <definedName name="BExODZFEIWV26E8RFU7XQYX1J458" localSheetId="9" hidden="1">#REF!</definedName>
    <definedName name="BExODZFEIWV26E8RFU7XQYX1J458" hidden="1">#REF!</definedName>
    <definedName name="BExOE0S111KPTELH26PPXE94J3GJ" localSheetId="56" hidden="1">#REF!</definedName>
    <definedName name="BExOE0S111KPTELH26PPXE94J3GJ" localSheetId="55" hidden="1">#REF!</definedName>
    <definedName name="BExOE0S111KPTELH26PPXE94J3GJ" localSheetId="4" hidden="1">#REF!</definedName>
    <definedName name="BExOE0S111KPTELH26PPXE94J3GJ" localSheetId="1" hidden="1">#REF!</definedName>
    <definedName name="BExOE0S111KPTELH26PPXE94J3GJ" localSheetId="9" hidden="1">#REF!</definedName>
    <definedName name="BExOE0S111KPTELH26PPXE94J3GJ" hidden="1">#REF!</definedName>
    <definedName name="BExOE5KH3JKKPZO401YAB3A11G1U" localSheetId="56" hidden="1">#REF!</definedName>
    <definedName name="BExOE5KH3JKKPZO401YAB3A11G1U" localSheetId="55" hidden="1">#REF!</definedName>
    <definedName name="BExOE5KH3JKKPZO401YAB3A11G1U" localSheetId="4" hidden="1">#REF!</definedName>
    <definedName name="BExOE5KH3JKKPZO401YAB3A11G1U" localSheetId="1" hidden="1">#REF!</definedName>
    <definedName name="BExOE5KH3JKKPZO401YAB3A11G1U" localSheetId="9" hidden="1">#REF!</definedName>
    <definedName name="BExOE5KH3JKKPZO401YAB3A11G1U" hidden="1">#REF!</definedName>
    <definedName name="BExOEBKG55EROA2VL360A06LKASE" localSheetId="56" hidden="1">#REF!</definedName>
    <definedName name="BExOEBKG55EROA2VL360A06LKASE" localSheetId="55" hidden="1">#REF!</definedName>
    <definedName name="BExOEBKG55EROA2VL360A06LKASE" localSheetId="4" hidden="1">#REF!</definedName>
    <definedName name="BExOEBKG55EROA2VL360A06LKASE" localSheetId="1" hidden="1">#REF!</definedName>
    <definedName name="BExOEBKG55EROA2VL360A06LKASE" localSheetId="9" hidden="1">#REF!</definedName>
    <definedName name="BExOEBKG55EROA2VL360A06LKASE" hidden="1">#REF!</definedName>
    <definedName name="BExOEFWUBETCPIYF89P9SBDOI3X5" localSheetId="56" hidden="1">#REF!</definedName>
    <definedName name="BExOEFWUBETCPIYF89P9SBDOI3X5" localSheetId="55" hidden="1">#REF!</definedName>
    <definedName name="BExOEFWUBETCPIYF89P9SBDOI3X5" localSheetId="4" hidden="1">#REF!</definedName>
    <definedName name="BExOEFWUBETCPIYF89P9SBDOI3X5" localSheetId="1" hidden="1">#REF!</definedName>
    <definedName name="BExOEFWUBETCPIYF89P9SBDOI3X5" localSheetId="9" hidden="1">#REF!</definedName>
    <definedName name="BExOEFWUBETCPIYF89P9SBDOI3X5" hidden="1">#REF!</definedName>
    <definedName name="BExOEL08MN74RQKVY0P43PFHPTVB" localSheetId="56" hidden="1">#REF!</definedName>
    <definedName name="BExOEL08MN74RQKVY0P43PFHPTVB" localSheetId="55" hidden="1">#REF!</definedName>
    <definedName name="BExOEL08MN74RQKVY0P43PFHPTVB" localSheetId="4" hidden="1">#REF!</definedName>
    <definedName name="BExOEL08MN74RQKVY0P43PFHPTVB" localSheetId="1" hidden="1">#REF!</definedName>
    <definedName name="BExOEL08MN74RQKVY0P43PFHPTVB" localSheetId="9" hidden="1">#REF!</definedName>
    <definedName name="BExOEL08MN74RQKVY0P43PFHPTVB" hidden="1">#REF!</definedName>
    <definedName name="BExOERG5LWXYYEN1DY1H2FWRJS9T" localSheetId="56" hidden="1">#REF!</definedName>
    <definedName name="BExOERG5LWXYYEN1DY1H2FWRJS9T" localSheetId="55" hidden="1">#REF!</definedName>
    <definedName name="BExOERG5LWXYYEN1DY1H2FWRJS9T" localSheetId="4" hidden="1">#REF!</definedName>
    <definedName name="BExOERG5LWXYYEN1DY1H2FWRJS9T" localSheetId="1" hidden="1">#REF!</definedName>
    <definedName name="BExOERG5LWXYYEN1DY1H2FWRJS9T" localSheetId="9" hidden="1">#REF!</definedName>
    <definedName name="BExOERG5LWXYYEN1DY1H2FWRJS9T" hidden="1">#REF!</definedName>
    <definedName name="BExOEV1S6JJVO5PP4BZ20SNGZR7D" localSheetId="56" hidden="1">#REF!</definedName>
    <definedName name="BExOEV1S6JJVO5PP4BZ20SNGZR7D" localSheetId="55" hidden="1">#REF!</definedName>
    <definedName name="BExOEV1S6JJVO5PP4BZ20SNGZR7D" localSheetId="4" hidden="1">#REF!</definedName>
    <definedName name="BExOEV1S6JJVO5PP4BZ20SNGZR7D" localSheetId="1" hidden="1">#REF!</definedName>
    <definedName name="BExOEV1S6JJVO5PP4BZ20SNGZR7D" localSheetId="9" hidden="1">#REF!</definedName>
    <definedName name="BExOEV1S6JJVO5PP4BZ20SNGZR7D" hidden="1">#REF!</definedName>
    <definedName name="BExOEVNDLRXW33RF3AMMCDLTLROJ" localSheetId="56" hidden="1">#REF!</definedName>
    <definedName name="BExOEVNDLRXW33RF3AMMCDLTLROJ" localSheetId="55" hidden="1">#REF!</definedName>
    <definedName name="BExOEVNDLRXW33RF3AMMCDLTLROJ" localSheetId="4" hidden="1">#REF!</definedName>
    <definedName name="BExOEVNDLRXW33RF3AMMCDLTLROJ" localSheetId="1" hidden="1">#REF!</definedName>
    <definedName name="BExOEVNDLRXW33RF3AMMCDLTLROJ" localSheetId="9" hidden="1">#REF!</definedName>
    <definedName name="BExOEVNDLRXW33RF3AMMCDLTLROJ" hidden="1">#REF!</definedName>
    <definedName name="BExOEZOXV3VXUB6VGSS85GXATYAC" localSheetId="56" hidden="1">#REF!</definedName>
    <definedName name="BExOEZOXV3VXUB6VGSS85GXATYAC" localSheetId="55" hidden="1">#REF!</definedName>
    <definedName name="BExOEZOXV3VXUB6VGSS85GXATYAC" localSheetId="4" hidden="1">#REF!</definedName>
    <definedName name="BExOEZOXV3VXUB6VGSS85GXATYAC" localSheetId="1" hidden="1">#REF!</definedName>
    <definedName name="BExOEZOXV3VXUB6VGSS85GXATYAC" localSheetId="9" hidden="1">#REF!</definedName>
    <definedName name="BExOEZOXV3VXUB6VGSS85GXATYAC" hidden="1">#REF!</definedName>
    <definedName name="BExOFDBSAZV60157PIDWCSSUN3MJ" localSheetId="56" hidden="1">#REF!</definedName>
    <definedName name="BExOFDBSAZV60157PIDWCSSUN3MJ" localSheetId="55" hidden="1">#REF!</definedName>
    <definedName name="BExOFDBSAZV60157PIDWCSSUN3MJ" localSheetId="4" hidden="1">#REF!</definedName>
    <definedName name="BExOFDBSAZV60157PIDWCSSUN3MJ" localSheetId="1" hidden="1">#REF!</definedName>
    <definedName name="BExOFDBSAZV60157PIDWCSSUN3MJ" localSheetId="9" hidden="1">#REF!</definedName>
    <definedName name="BExOFDBSAZV60157PIDWCSSUN3MJ" hidden="1">#REF!</definedName>
    <definedName name="BExOFEDNCYI2TPTMQ8SJN3AW4YMF" localSheetId="56" hidden="1">#REF!</definedName>
    <definedName name="BExOFEDNCYI2TPTMQ8SJN3AW4YMF" localSheetId="55" hidden="1">#REF!</definedName>
    <definedName name="BExOFEDNCYI2TPTMQ8SJN3AW4YMF" localSheetId="4" hidden="1">#REF!</definedName>
    <definedName name="BExOFEDNCYI2TPTMQ8SJN3AW4YMF" localSheetId="1" hidden="1">#REF!</definedName>
    <definedName name="BExOFEDNCYI2TPTMQ8SJN3AW4YMF" localSheetId="9" hidden="1">#REF!</definedName>
    <definedName name="BExOFEDNCYI2TPTMQ8SJN3AW4YMF" hidden="1">#REF!</definedName>
    <definedName name="BExOFVLXVD6RVHSQO8KZOOACSV24" localSheetId="56" hidden="1">#REF!</definedName>
    <definedName name="BExOFVLXVD6RVHSQO8KZOOACSV24" localSheetId="55" hidden="1">#REF!</definedName>
    <definedName name="BExOFVLXVD6RVHSQO8KZOOACSV24" localSheetId="4" hidden="1">#REF!</definedName>
    <definedName name="BExOFVLXVD6RVHSQO8KZOOACSV24" localSheetId="1" hidden="1">#REF!</definedName>
    <definedName name="BExOFVLXVD6RVHSQO8KZOOACSV24" localSheetId="9" hidden="1">#REF!</definedName>
    <definedName name="BExOFVLXVD6RVHSQO8KZOOACSV24" hidden="1">#REF!</definedName>
    <definedName name="BExOG2SW3XOGP9VAPQ3THV3VWV12" localSheetId="56" hidden="1">#REF!</definedName>
    <definedName name="BExOG2SW3XOGP9VAPQ3THV3VWV12" localSheetId="55" hidden="1">#REF!</definedName>
    <definedName name="BExOG2SW3XOGP9VAPQ3THV3VWV12" localSheetId="4" hidden="1">#REF!</definedName>
    <definedName name="BExOG2SW3XOGP9VAPQ3THV3VWV12" localSheetId="1" hidden="1">#REF!</definedName>
    <definedName name="BExOG2SW3XOGP9VAPQ3THV3VWV12" localSheetId="9" hidden="1">#REF!</definedName>
    <definedName name="BExOG2SW3XOGP9VAPQ3THV3VWV12" hidden="1">#REF!</definedName>
    <definedName name="BExOG45J81K4OPA40KW5VQU54KY3" localSheetId="56" hidden="1">#REF!</definedName>
    <definedName name="BExOG45J81K4OPA40KW5VQU54KY3" localSheetId="55" hidden="1">#REF!</definedName>
    <definedName name="BExOG45J81K4OPA40KW5VQU54KY3" localSheetId="4" hidden="1">#REF!</definedName>
    <definedName name="BExOG45J81K4OPA40KW5VQU54KY3" localSheetId="1" hidden="1">#REF!</definedName>
    <definedName name="BExOG45J81K4OPA40KW5VQU54KY3" localSheetId="9" hidden="1">#REF!</definedName>
    <definedName name="BExOG45J81K4OPA40KW5VQU54KY3" hidden="1">#REF!</definedName>
    <definedName name="BExOGFE2SCL8HHT4DFAXKLUTJZOG" localSheetId="56" hidden="1">#REF!</definedName>
    <definedName name="BExOGFE2SCL8HHT4DFAXKLUTJZOG" localSheetId="55" hidden="1">#REF!</definedName>
    <definedName name="BExOGFE2SCL8HHT4DFAXKLUTJZOG" localSheetId="4" hidden="1">#REF!</definedName>
    <definedName name="BExOGFE2SCL8HHT4DFAXKLUTJZOG" localSheetId="1" hidden="1">#REF!</definedName>
    <definedName name="BExOGFE2SCL8HHT4DFAXKLUTJZOG" localSheetId="9" hidden="1">#REF!</definedName>
    <definedName name="BExOGFE2SCL8HHT4DFAXKLUTJZOG" hidden="1">#REF!</definedName>
    <definedName name="BExOGH1IMADJCZMFDE6NMBBKO558" localSheetId="56" hidden="1">#REF!</definedName>
    <definedName name="BExOGH1IMADJCZMFDE6NMBBKO558" localSheetId="55" hidden="1">#REF!</definedName>
    <definedName name="BExOGH1IMADJCZMFDE6NMBBKO558" localSheetId="4" hidden="1">#REF!</definedName>
    <definedName name="BExOGH1IMADJCZMFDE6NMBBKO558" localSheetId="1" hidden="1">#REF!</definedName>
    <definedName name="BExOGH1IMADJCZMFDE6NMBBKO558" localSheetId="9" hidden="1">#REF!</definedName>
    <definedName name="BExOGH1IMADJCZMFDE6NMBBKO558" hidden="1">#REF!</definedName>
    <definedName name="BExOGT6D0LJ3C22RDW8COECKB1J5" localSheetId="56" hidden="1">#REF!</definedName>
    <definedName name="BExOGT6D0LJ3C22RDW8COECKB1J5" localSheetId="55" hidden="1">#REF!</definedName>
    <definedName name="BExOGT6D0LJ3C22RDW8COECKB1J5" localSheetId="4" hidden="1">#REF!</definedName>
    <definedName name="BExOGT6D0LJ3C22RDW8COECKB1J5" localSheetId="1" hidden="1">#REF!</definedName>
    <definedName name="BExOGT6D0LJ3C22RDW8COECKB1J5" localSheetId="9" hidden="1">#REF!</definedName>
    <definedName name="BExOGT6D0LJ3C22RDW8COECKB1J5" hidden="1">#REF!</definedName>
    <definedName name="BExOGTMI1HT31M1RGWVRAVHAK7DE" localSheetId="56" hidden="1">#REF!</definedName>
    <definedName name="BExOGTMI1HT31M1RGWVRAVHAK7DE" localSheetId="55" hidden="1">#REF!</definedName>
    <definedName name="BExOGTMI1HT31M1RGWVRAVHAK7DE" localSheetId="4" hidden="1">#REF!</definedName>
    <definedName name="BExOGTMI1HT31M1RGWVRAVHAK7DE" localSheetId="1" hidden="1">#REF!</definedName>
    <definedName name="BExOGTMI1HT31M1RGWVRAVHAK7DE" localSheetId="9" hidden="1">#REF!</definedName>
    <definedName name="BExOGTMI1HT31M1RGWVRAVHAK7DE" hidden="1">#REF!</definedName>
    <definedName name="BExOGXO9JE5XSE9GC3I6O21UEKAO" localSheetId="56" hidden="1">#REF!</definedName>
    <definedName name="BExOGXO9JE5XSE9GC3I6O21UEKAO" localSheetId="55" hidden="1">#REF!</definedName>
    <definedName name="BExOGXO9JE5XSE9GC3I6O21UEKAO" localSheetId="4" hidden="1">#REF!</definedName>
    <definedName name="BExOGXO9JE5XSE9GC3I6O21UEKAO" localSheetId="1" hidden="1">#REF!</definedName>
    <definedName name="BExOGXO9JE5XSE9GC3I6O21UEKAO" localSheetId="9" hidden="1">#REF!</definedName>
    <definedName name="BExOGXO9JE5XSE9GC3I6O21UEKAO" hidden="1">#REF!</definedName>
    <definedName name="BExOH9ICQA5WPLVJIKJVPWUPKSYO" localSheetId="56" hidden="1">#REF!</definedName>
    <definedName name="BExOH9ICQA5WPLVJIKJVPWUPKSYO" localSheetId="55" hidden="1">#REF!</definedName>
    <definedName name="BExOH9ICQA5WPLVJIKJVPWUPKSYO" localSheetId="4" hidden="1">#REF!</definedName>
    <definedName name="BExOH9ICQA5WPLVJIKJVPWUPKSYO" localSheetId="1" hidden="1">#REF!</definedName>
    <definedName name="BExOH9ICQA5WPLVJIKJVPWUPKSYO" localSheetId="9" hidden="1">#REF!</definedName>
    <definedName name="BExOH9ICQA5WPLVJIKJVPWUPKSYO" hidden="1">#REF!</definedName>
    <definedName name="BExOH9ICZ13C1LAW8OTYTR9S7ZP3" localSheetId="56" hidden="1">#REF!</definedName>
    <definedName name="BExOH9ICZ13C1LAW8OTYTR9S7ZP3" localSheetId="55" hidden="1">#REF!</definedName>
    <definedName name="BExOH9ICZ13C1LAW8OTYTR9S7ZP3" localSheetId="4" hidden="1">#REF!</definedName>
    <definedName name="BExOH9ICZ13C1LAW8OTYTR9S7ZP3" localSheetId="1" hidden="1">#REF!</definedName>
    <definedName name="BExOH9ICZ13C1LAW8OTYTR9S7ZP3" localSheetId="9" hidden="1">#REF!</definedName>
    <definedName name="BExOH9ICZ13C1LAW8OTYTR9S7ZP3" hidden="1">#REF!</definedName>
    <definedName name="BExOHGEJ8V8OXT32FSU173XLXBDH" localSheetId="56" hidden="1">#REF!</definedName>
    <definedName name="BExOHGEJ8V8OXT32FSU173XLXBDH" localSheetId="55" hidden="1">#REF!</definedName>
    <definedName name="BExOHGEJ8V8OXT32FSU173XLXBDH" localSheetId="4" hidden="1">#REF!</definedName>
    <definedName name="BExOHGEJ8V8OXT32FSU173XLXBDH" localSheetId="1" hidden="1">#REF!</definedName>
    <definedName name="BExOHGEJ8V8OXT32FSU173XLXBDH" localSheetId="9" hidden="1">#REF!</definedName>
    <definedName name="BExOHGEJ8V8OXT32FSU173XLXBDH" hidden="1">#REF!</definedName>
    <definedName name="BExOHL75H3OT4WAKKPUXIVXWFVDS" localSheetId="56" hidden="1">#REF!</definedName>
    <definedName name="BExOHL75H3OT4WAKKPUXIVXWFVDS" localSheetId="55" hidden="1">#REF!</definedName>
    <definedName name="BExOHL75H3OT4WAKKPUXIVXWFVDS" localSheetId="4" hidden="1">#REF!</definedName>
    <definedName name="BExOHL75H3OT4WAKKPUXIVXWFVDS" localSheetId="1" hidden="1">#REF!</definedName>
    <definedName name="BExOHL75H3OT4WAKKPUXIVXWFVDS" localSheetId="9" hidden="1">#REF!</definedName>
    <definedName name="BExOHL75H3OT4WAKKPUXIVXWFVDS" hidden="1">#REF!</definedName>
    <definedName name="BExOHLHXXJL6363CC082M9M5VVXQ" localSheetId="56" hidden="1">#REF!</definedName>
    <definedName name="BExOHLHXXJL6363CC082M9M5VVXQ" localSheetId="55" hidden="1">#REF!</definedName>
    <definedName name="BExOHLHXXJL6363CC082M9M5VVXQ" localSheetId="4" hidden="1">#REF!</definedName>
    <definedName name="BExOHLHXXJL6363CC082M9M5VVXQ" localSheetId="1" hidden="1">#REF!</definedName>
    <definedName name="BExOHLHXXJL6363CC082M9M5VVXQ" localSheetId="9" hidden="1">#REF!</definedName>
    <definedName name="BExOHLHXXJL6363CC082M9M5VVXQ" hidden="1">#REF!</definedName>
    <definedName name="BExOHNAO5UDXSO73BK2ARHWKS90Y" localSheetId="56" hidden="1">#REF!</definedName>
    <definedName name="BExOHNAO5UDXSO73BK2ARHWKS90Y" localSheetId="55" hidden="1">#REF!</definedName>
    <definedName name="BExOHNAO5UDXSO73BK2ARHWKS90Y" localSheetId="4" hidden="1">#REF!</definedName>
    <definedName name="BExOHNAO5UDXSO73BK2ARHWKS90Y" localSheetId="1" hidden="1">#REF!</definedName>
    <definedName name="BExOHNAO5UDXSO73BK2ARHWKS90Y" localSheetId="9" hidden="1">#REF!</definedName>
    <definedName name="BExOHNAO5UDXSO73BK2ARHWKS90Y" hidden="1">#REF!</definedName>
    <definedName name="BExOHR1G1I9A9CI1HG94EWBLWNM2" localSheetId="56" hidden="1">#REF!</definedName>
    <definedName name="BExOHR1G1I9A9CI1HG94EWBLWNM2" localSheetId="55" hidden="1">#REF!</definedName>
    <definedName name="BExOHR1G1I9A9CI1HG94EWBLWNM2" localSheetId="4" hidden="1">#REF!</definedName>
    <definedName name="BExOHR1G1I9A9CI1HG94EWBLWNM2" localSheetId="1" hidden="1">#REF!</definedName>
    <definedName name="BExOHR1G1I9A9CI1HG94EWBLWNM2" localSheetId="9" hidden="1">#REF!</definedName>
    <definedName name="BExOHR1G1I9A9CI1HG94EWBLWNM2" hidden="1">#REF!</definedName>
    <definedName name="BExOHTQPP8LQ98L6PYUI6QW08YID" localSheetId="56" hidden="1">#REF!</definedName>
    <definedName name="BExOHTQPP8LQ98L6PYUI6QW08YID" localSheetId="55" hidden="1">#REF!</definedName>
    <definedName name="BExOHTQPP8LQ98L6PYUI6QW08YID" localSheetId="4" hidden="1">#REF!</definedName>
    <definedName name="BExOHTQPP8LQ98L6PYUI6QW08YID" localSheetId="1" hidden="1">#REF!</definedName>
    <definedName name="BExOHTQPP8LQ98L6PYUI6QW08YID" localSheetId="9" hidden="1">#REF!</definedName>
    <definedName name="BExOHTQPP8LQ98L6PYUI6QW08YID" hidden="1">#REF!</definedName>
    <definedName name="BExOHUHN7UXHYAJFJJFU805UZ0NB" localSheetId="56" hidden="1">#REF!</definedName>
    <definedName name="BExOHUHN7UXHYAJFJJFU805UZ0NB" localSheetId="55" hidden="1">#REF!</definedName>
    <definedName name="BExOHUHN7UXHYAJFJJFU805UZ0NB" localSheetId="4" hidden="1">#REF!</definedName>
    <definedName name="BExOHUHN7UXHYAJFJJFU805UZ0NB" localSheetId="1" hidden="1">#REF!</definedName>
    <definedName name="BExOHUHN7UXHYAJFJJFU805UZ0NB" localSheetId="9" hidden="1">#REF!</definedName>
    <definedName name="BExOHUHN7UXHYAJFJJFU805UZ0NB" hidden="1">#REF!</definedName>
    <definedName name="BExOHX6Q6NJI793PGX59O5EKTP4G" localSheetId="56" hidden="1">#REF!</definedName>
    <definedName name="BExOHX6Q6NJI793PGX59O5EKTP4G" localSheetId="55" hidden="1">#REF!</definedName>
    <definedName name="BExOHX6Q6NJI793PGX59O5EKTP4G" localSheetId="4" hidden="1">#REF!</definedName>
    <definedName name="BExOHX6Q6NJI793PGX59O5EKTP4G" localSheetId="1" hidden="1">#REF!</definedName>
    <definedName name="BExOHX6Q6NJI793PGX59O5EKTP4G" localSheetId="9" hidden="1">#REF!</definedName>
    <definedName name="BExOHX6Q6NJI793PGX59O5EKTP4G" hidden="1">#REF!</definedName>
    <definedName name="BExOI5VMTHH7Y8MQQ1N635CHYI0P" localSheetId="56" hidden="1">#REF!</definedName>
    <definedName name="BExOI5VMTHH7Y8MQQ1N635CHYI0P" localSheetId="55" hidden="1">#REF!</definedName>
    <definedName name="BExOI5VMTHH7Y8MQQ1N635CHYI0P" localSheetId="4" hidden="1">#REF!</definedName>
    <definedName name="BExOI5VMTHH7Y8MQQ1N635CHYI0P" localSheetId="1" hidden="1">#REF!</definedName>
    <definedName name="BExOI5VMTHH7Y8MQQ1N635CHYI0P" localSheetId="9" hidden="1">#REF!</definedName>
    <definedName name="BExOI5VMTHH7Y8MQQ1N635CHYI0P" hidden="1">#REF!</definedName>
    <definedName name="BExOIEVCP4Y6VDS23AK84MCYYHRT" localSheetId="56" hidden="1">#REF!</definedName>
    <definedName name="BExOIEVCP4Y6VDS23AK84MCYYHRT" localSheetId="55" hidden="1">#REF!</definedName>
    <definedName name="BExOIEVCP4Y6VDS23AK84MCYYHRT" localSheetId="4" hidden="1">#REF!</definedName>
    <definedName name="BExOIEVCP4Y6VDS23AK84MCYYHRT" localSheetId="1" hidden="1">#REF!</definedName>
    <definedName name="BExOIEVCP4Y6VDS23AK84MCYYHRT" localSheetId="9" hidden="1">#REF!</definedName>
    <definedName name="BExOIEVCP4Y6VDS23AK84MCYYHRT" hidden="1">#REF!</definedName>
    <definedName name="BExOIFRP0HEHF5D7JSZ0X8ADJ79U" localSheetId="56" hidden="1">#REF!</definedName>
    <definedName name="BExOIFRP0HEHF5D7JSZ0X8ADJ79U" localSheetId="55" hidden="1">#REF!</definedName>
    <definedName name="BExOIFRP0HEHF5D7JSZ0X8ADJ79U" localSheetId="4" hidden="1">#REF!</definedName>
    <definedName name="BExOIFRP0HEHF5D7JSZ0X8ADJ79U" localSheetId="1" hidden="1">#REF!</definedName>
    <definedName name="BExOIFRP0HEHF5D7JSZ0X8ADJ79U" localSheetId="9" hidden="1">#REF!</definedName>
    <definedName name="BExOIFRP0HEHF5D7JSZ0X8ADJ79U" hidden="1">#REF!</definedName>
    <definedName name="BExOIHPQIXR0NDR5WD01BZKPKEO3" localSheetId="56" hidden="1">#REF!</definedName>
    <definedName name="BExOIHPQIXR0NDR5WD01BZKPKEO3" localSheetId="55" hidden="1">#REF!</definedName>
    <definedName name="BExOIHPQIXR0NDR5WD01BZKPKEO3" localSheetId="4" hidden="1">#REF!</definedName>
    <definedName name="BExOIHPQIXR0NDR5WD01BZKPKEO3" localSheetId="1" hidden="1">#REF!</definedName>
    <definedName name="BExOIHPQIXR0NDR5WD01BZKPKEO3" localSheetId="9" hidden="1">#REF!</definedName>
    <definedName name="BExOIHPQIXR0NDR5WD01BZKPKEO3" hidden="1">#REF!</definedName>
    <definedName name="BExOIM7L0Z3LSII9P7ZTV4KJ8RMA" localSheetId="56" hidden="1">#REF!</definedName>
    <definedName name="BExOIM7L0Z3LSII9P7ZTV4KJ8RMA" localSheetId="55" hidden="1">#REF!</definedName>
    <definedName name="BExOIM7L0Z3LSII9P7ZTV4KJ8RMA" localSheetId="4" hidden="1">#REF!</definedName>
    <definedName name="BExOIM7L0Z3LSII9P7ZTV4KJ8RMA" localSheetId="1" hidden="1">#REF!</definedName>
    <definedName name="BExOIM7L0Z3LSII9P7ZTV4KJ8RMA" localSheetId="9" hidden="1">#REF!</definedName>
    <definedName name="BExOIM7L0Z3LSII9P7ZTV4KJ8RMA" hidden="1">#REF!</definedName>
    <definedName name="BExOIWJVMJ6MG6JC4SPD1L00OHU1" localSheetId="56" hidden="1">#REF!</definedName>
    <definedName name="BExOIWJVMJ6MG6JC4SPD1L00OHU1" localSheetId="55" hidden="1">#REF!</definedName>
    <definedName name="BExOIWJVMJ6MG6JC4SPD1L00OHU1" localSheetId="4" hidden="1">#REF!</definedName>
    <definedName name="BExOIWJVMJ6MG6JC4SPD1L00OHU1" localSheetId="1" hidden="1">#REF!</definedName>
    <definedName name="BExOIWJVMJ6MG6JC4SPD1L00OHU1" localSheetId="9" hidden="1">#REF!</definedName>
    <definedName name="BExOIWJVMJ6MG6JC4SPD1L00OHU1" hidden="1">#REF!</definedName>
    <definedName name="BExOIYCN8Z4JK3OOG86KYUCV0ME8" localSheetId="56" hidden="1">#REF!</definedName>
    <definedName name="BExOIYCN8Z4JK3OOG86KYUCV0ME8" localSheetId="55" hidden="1">#REF!</definedName>
    <definedName name="BExOIYCN8Z4JK3OOG86KYUCV0ME8" localSheetId="4" hidden="1">#REF!</definedName>
    <definedName name="BExOIYCN8Z4JK3OOG86KYUCV0ME8" localSheetId="1" hidden="1">#REF!</definedName>
    <definedName name="BExOIYCN8Z4JK3OOG86KYUCV0ME8" localSheetId="9" hidden="1">#REF!</definedName>
    <definedName name="BExOIYCN8Z4JK3OOG86KYUCV0ME8" hidden="1">#REF!</definedName>
    <definedName name="BExOJ3AKZ9BCBZT3KD8WMSLK6MN2" localSheetId="56" hidden="1">#REF!</definedName>
    <definedName name="BExOJ3AKZ9BCBZT3KD8WMSLK6MN2" localSheetId="55" hidden="1">#REF!</definedName>
    <definedName name="BExOJ3AKZ9BCBZT3KD8WMSLK6MN2" localSheetId="4" hidden="1">#REF!</definedName>
    <definedName name="BExOJ3AKZ9BCBZT3KD8WMSLK6MN2" localSheetId="1" hidden="1">#REF!</definedName>
    <definedName name="BExOJ3AKZ9BCBZT3KD8WMSLK6MN2" localSheetId="9" hidden="1">#REF!</definedName>
    <definedName name="BExOJ3AKZ9BCBZT3KD8WMSLK6MN2" hidden="1">#REF!</definedName>
    <definedName name="BExOJ7XQK71I4YZDD29AKOOWZ47E" localSheetId="56" hidden="1">#REF!</definedName>
    <definedName name="BExOJ7XQK71I4YZDD29AKOOWZ47E" localSheetId="55" hidden="1">#REF!</definedName>
    <definedName name="BExOJ7XQK71I4YZDD29AKOOWZ47E" localSheetId="4" hidden="1">#REF!</definedName>
    <definedName name="BExOJ7XQK71I4YZDD29AKOOWZ47E" localSheetId="1" hidden="1">#REF!</definedName>
    <definedName name="BExOJ7XQK71I4YZDD29AKOOWZ47E" localSheetId="9" hidden="1">#REF!</definedName>
    <definedName name="BExOJ7XQK71I4YZDD29AKOOWZ47E" hidden="1">#REF!</definedName>
    <definedName name="BExOJAXS2THXXIJMV2F2LZKMI589" localSheetId="56" hidden="1">#REF!</definedName>
    <definedName name="BExOJAXS2THXXIJMV2F2LZKMI589" localSheetId="55" hidden="1">#REF!</definedName>
    <definedName name="BExOJAXS2THXXIJMV2F2LZKMI589" localSheetId="4" hidden="1">#REF!</definedName>
    <definedName name="BExOJAXS2THXXIJMV2F2LZKMI589" localSheetId="1" hidden="1">#REF!</definedName>
    <definedName name="BExOJAXS2THXXIJMV2F2LZKMI589" localSheetId="9" hidden="1">#REF!</definedName>
    <definedName name="BExOJAXS2THXXIJMV2F2LZKMI589" hidden="1">#REF!</definedName>
    <definedName name="BExOJDXKJ43BMD5CFWEMSU5R1BP9" localSheetId="56" hidden="1">#REF!</definedName>
    <definedName name="BExOJDXKJ43BMD5CFWEMSU5R1BP9" localSheetId="55" hidden="1">#REF!</definedName>
    <definedName name="BExOJDXKJ43BMD5CFWEMSU5R1BP9" localSheetId="4" hidden="1">#REF!</definedName>
    <definedName name="BExOJDXKJ43BMD5CFWEMSU5R1BP9" localSheetId="1" hidden="1">#REF!</definedName>
    <definedName name="BExOJDXKJ43BMD5CFWEMSU5R1BP9" localSheetId="9" hidden="1">#REF!</definedName>
    <definedName name="BExOJDXKJ43BMD5CFWEMSU5R1BP9" hidden="1">#REF!</definedName>
    <definedName name="BExOJHZ9KOD9LEP7ES426LHOCXEY" localSheetId="56" hidden="1">#REF!</definedName>
    <definedName name="BExOJHZ9KOD9LEP7ES426LHOCXEY" localSheetId="55" hidden="1">#REF!</definedName>
    <definedName name="BExOJHZ9KOD9LEP7ES426LHOCXEY" localSheetId="4" hidden="1">#REF!</definedName>
    <definedName name="BExOJHZ9KOD9LEP7ES426LHOCXEY" localSheetId="1" hidden="1">#REF!</definedName>
    <definedName name="BExOJHZ9KOD9LEP7ES426LHOCXEY" localSheetId="9" hidden="1">#REF!</definedName>
    <definedName name="BExOJHZ9KOD9LEP7ES426LHOCXEY" hidden="1">#REF!</definedName>
    <definedName name="BExOJM0W6XGSW5MXPTTX0GNF6SFT" localSheetId="56" hidden="1">#REF!</definedName>
    <definedName name="BExOJM0W6XGSW5MXPTTX0GNF6SFT" localSheetId="55" hidden="1">#REF!</definedName>
    <definedName name="BExOJM0W6XGSW5MXPTTX0GNF6SFT" localSheetId="4" hidden="1">#REF!</definedName>
    <definedName name="BExOJM0W6XGSW5MXPTTX0GNF6SFT" localSheetId="1" hidden="1">#REF!</definedName>
    <definedName name="BExOJM0W6XGSW5MXPTTX0GNF6SFT" localSheetId="9" hidden="1">#REF!</definedName>
    <definedName name="BExOJM0W6XGSW5MXPTTX0GNF6SFT" hidden="1">#REF!</definedName>
    <definedName name="BExOJQ7XL1X94G2GP88DSU6OTRKY" localSheetId="56" hidden="1">#REF!</definedName>
    <definedName name="BExOJQ7XL1X94G2GP88DSU6OTRKY" localSheetId="55" hidden="1">#REF!</definedName>
    <definedName name="BExOJQ7XL1X94G2GP88DSU6OTRKY" localSheetId="4" hidden="1">#REF!</definedName>
    <definedName name="BExOJQ7XL1X94G2GP88DSU6OTRKY" localSheetId="1" hidden="1">#REF!</definedName>
    <definedName name="BExOJQ7XL1X94G2GP88DSU6OTRKY" localSheetId="9" hidden="1">#REF!</definedName>
    <definedName name="BExOJQ7XL1X94G2GP88DSU6OTRKY" hidden="1">#REF!</definedName>
    <definedName name="BExOJXEUJJ9SYRJXKYYV2NCCDT2R" localSheetId="56" hidden="1">#REF!</definedName>
    <definedName name="BExOJXEUJJ9SYRJXKYYV2NCCDT2R" localSheetId="55" hidden="1">#REF!</definedName>
    <definedName name="BExOJXEUJJ9SYRJXKYYV2NCCDT2R" localSheetId="4" hidden="1">#REF!</definedName>
    <definedName name="BExOJXEUJJ9SYRJXKYYV2NCCDT2R" localSheetId="1" hidden="1">#REF!</definedName>
    <definedName name="BExOJXEUJJ9SYRJXKYYV2NCCDT2R" localSheetId="9" hidden="1">#REF!</definedName>
    <definedName name="BExOJXEUJJ9SYRJXKYYV2NCCDT2R" hidden="1">#REF!</definedName>
    <definedName name="BExOK0EQYM9JUMAGWOUN7QDH7VMZ" localSheetId="56" hidden="1">#REF!</definedName>
    <definedName name="BExOK0EQYM9JUMAGWOUN7QDH7VMZ" localSheetId="55" hidden="1">#REF!</definedName>
    <definedName name="BExOK0EQYM9JUMAGWOUN7QDH7VMZ" localSheetId="4" hidden="1">#REF!</definedName>
    <definedName name="BExOK0EQYM9JUMAGWOUN7QDH7VMZ" localSheetId="1" hidden="1">#REF!</definedName>
    <definedName name="BExOK0EQYM9JUMAGWOUN7QDH7VMZ" localSheetId="9" hidden="1">#REF!</definedName>
    <definedName name="BExOK0EQYM9JUMAGWOUN7QDH7VMZ" hidden="1">#REF!</definedName>
    <definedName name="BExOK10DBCM0O0CLRF8BB6EEWGB2" localSheetId="56" hidden="1">#REF!</definedName>
    <definedName name="BExOK10DBCM0O0CLRF8BB6EEWGB2" localSheetId="55" hidden="1">#REF!</definedName>
    <definedName name="BExOK10DBCM0O0CLRF8BB6EEWGB2" localSheetId="4" hidden="1">#REF!</definedName>
    <definedName name="BExOK10DBCM0O0CLRF8BB6EEWGB2" localSheetId="1" hidden="1">#REF!</definedName>
    <definedName name="BExOK10DBCM0O0CLRF8BB6EEWGB2" localSheetId="9" hidden="1">#REF!</definedName>
    <definedName name="BExOK10DBCM0O0CLRF8BB6EEWGB2" hidden="1">#REF!</definedName>
    <definedName name="BExOK45QZPFPJ08Z5BZOFLNGPHCZ" localSheetId="56" hidden="1">#REF!</definedName>
    <definedName name="BExOK45QZPFPJ08Z5BZOFLNGPHCZ" localSheetId="55" hidden="1">#REF!</definedName>
    <definedName name="BExOK45QZPFPJ08Z5BZOFLNGPHCZ" localSheetId="4" hidden="1">#REF!</definedName>
    <definedName name="BExOK45QZPFPJ08Z5BZOFLNGPHCZ" localSheetId="1" hidden="1">#REF!</definedName>
    <definedName name="BExOK45QZPFPJ08Z5BZOFLNGPHCZ" localSheetId="9" hidden="1">#REF!</definedName>
    <definedName name="BExOK45QZPFPJ08Z5BZOFLNGPHCZ" hidden="1">#REF!</definedName>
    <definedName name="BExOK4WM9O7QNG6O57FOASI5QSN1" localSheetId="56" hidden="1">#REF!</definedName>
    <definedName name="BExOK4WM9O7QNG6O57FOASI5QSN1" localSheetId="55" hidden="1">#REF!</definedName>
    <definedName name="BExOK4WM9O7QNG6O57FOASI5QSN1" localSheetId="4" hidden="1">#REF!</definedName>
    <definedName name="BExOK4WM9O7QNG6O57FOASI5QSN1" localSheetId="1" hidden="1">#REF!</definedName>
    <definedName name="BExOK4WM9O7QNG6O57FOASI5QSN1" localSheetId="9" hidden="1">#REF!</definedName>
    <definedName name="BExOK4WM9O7QNG6O57FOASI5QSN1" hidden="1">#REF!</definedName>
    <definedName name="BExOK57E3HXBUDOQB4M87JK9OPNE" localSheetId="56" hidden="1">#REF!</definedName>
    <definedName name="BExOK57E3HXBUDOQB4M87JK9OPNE" localSheetId="55" hidden="1">#REF!</definedName>
    <definedName name="BExOK57E3HXBUDOQB4M87JK9OPNE" localSheetId="4" hidden="1">#REF!</definedName>
    <definedName name="BExOK57E3HXBUDOQB4M87JK9OPNE" localSheetId="1" hidden="1">#REF!</definedName>
    <definedName name="BExOK57E3HXBUDOQB4M87JK9OPNE" localSheetId="9" hidden="1">#REF!</definedName>
    <definedName name="BExOK57E3HXBUDOQB4M87JK9OPNE" hidden="1">#REF!</definedName>
    <definedName name="BExOKJLBFD15HACQ01HQLY1U5SE2" localSheetId="56" hidden="1">#REF!</definedName>
    <definedName name="BExOKJLBFD15HACQ01HQLY1U5SE2" localSheetId="55" hidden="1">#REF!</definedName>
    <definedName name="BExOKJLBFD15HACQ01HQLY1U5SE2" localSheetId="4" hidden="1">#REF!</definedName>
    <definedName name="BExOKJLBFD15HACQ01HQLY1U5SE2" localSheetId="1" hidden="1">#REF!</definedName>
    <definedName name="BExOKJLBFD15HACQ01HQLY1U5SE2" localSheetId="9" hidden="1">#REF!</definedName>
    <definedName name="BExOKJLBFD15HACQ01HQLY1U5SE2" hidden="1">#REF!</definedName>
    <definedName name="BExOKTXMJP351VXKH8VT6SXUNIMF" localSheetId="56" hidden="1">#REF!</definedName>
    <definedName name="BExOKTXMJP351VXKH8VT6SXUNIMF" localSheetId="55" hidden="1">#REF!</definedName>
    <definedName name="BExOKTXMJP351VXKH8VT6SXUNIMF" localSheetId="4" hidden="1">#REF!</definedName>
    <definedName name="BExOKTXMJP351VXKH8VT6SXUNIMF" localSheetId="1" hidden="1">#REF!</definedName>
    <definedName name="BExOKTXMJP351VXKH8VT6SXUNIMF" localSheetId="9" hidden="1">#REF!</definedName>
    <definedName name="BExOKTXMJP351VXKH8VT6SXUNIMF" hidden="1">#REF!</definedName>
    <definedName name="BExOKU8GMLOCNVORDE329819XN67" localSheetId="56" hidden="1">#REF!</definedName>
    <definedName name="BExOKU8GMLOCNVORDE329819XN67" localSheetId="55" hidden="1">#REF!</definedName>
    <definedName name="BExOKU8GMLOCNVORDE329819XN67" localSheetId="4" hidden="1">#REF!</definedName>
    <definedName name="BExOKU8GMLOCNVORDE329819XN67" localSheetId="1" hidden="1">#REF!</definedName>
    <definedName name="BExOKU8GMLOCNVORDE329819XN67" localSheetId="9" hidden="1">#REF!</definedName>
    <definedName name="BExOKU8GMLOCNVORDE329819XN67" hidden="1">#REF!</definedName>
    <definedName name="BExOL0Z3Z7IAMHPB91EO2MF49U57" localSheetId="56" hidden="1">#REF!</definedName>
    <definedName name="BExOL0Z3Z7IAMHPB91EO2MF49U57" localSheetId="55" hidden="1">#REF!</definedName>
    <definedName name="BExOL0Z3Z7IAMHPB91EO2MF49U57" localSheetId="4" hidden="1">#REF!</definedName>
    <definedName name="BExOL0Z3Z7IAMHPB91EO2MF49U57" localSheetId="1" hidden="1">#REF!</definedName>
    <definedName name="BExOL0Z3Z7IAMHPB91EO2MF49U57" localSheetId="9" hidden="1">#REF!</definedName>
    <definedName name="BExOL0Z3Z7IAMHPB91EO2MF49U57" hidden="1">#REF!</definedName>
    <definedName name="BExOL7KH12VAR0LG741SIOJTLWFD" localSheetId="56" hidden="1">#REF!</definedName>
    <definedName name="BExOL7KH12VAR0LG741SIOJTLWFD" localSheetId="55" hidden="1">#REF!</definedName>
    <definedName name="BExOL7KH12VAR0LG741SIOJTLWFD" localSheetId="4" hidden="1">#REF!</definedName>
    <definedName name="BExOL7KH12VAR0LG741SIOJTLWFD" localSheetId="1" hidden="1">#REF!</definedName>
    <definedName name="BExOL7KH12VAR0LG741SIOJTLWFD" localSheetId="9" hidden="1">#REF!</definedName>
    <definedName name="BExOL7KH12VAR0LG741SIOJTLWFD" hidden="1">#REF!</definedName>
    <definedName name="BExOLGUYDBS2V3UOK4DVPUW5JZN7" localSheetId="56" hidden="1">#REF!</definedName>
    <definedName name="BExOLGUYDBS2V3UOK4DVPUW5JZN7" localSheetId="55" hidden="1">#REF!</definedName>
    <definedName name="BExOLGUYDBS2V3UOK4DVPUW5JZN7" localSheetId="4" hidden="1">#REF!</definedName>
    <definedName name="BExOLGUYDBS2V3UOK4DVPUW5JZN7" localSheetId="1" hidden="1">#REF!</definedName>
    <definedName name="BExOLGUYDBS2V3UOK4DVPUW5JZN7" localSheetId="9" hidden="1">#REF!</definedName>
    <definedName name="BExOLGUYDBS2V3UOK4DVPUW5JZN7" hidden="1">#REF!</definedName>
    <definedName name="BExOLICXFHJLILCJVFMJE5MGGWKR" localSheetId="56" hidden="1">#REF!</definedName>
    <definedName name="BExOLICXFHJLILCJVFMJE5MGGWKR" localSheetId="55" hidden="1">#REF!</definedName>
    <definedName name="BExOLICXFHJLILCJVFMJE5MGGWKR" localSheetId="4" hidden="1">#REF!</definedName>
    <definedName name="BExOLICXFHJLILCJVFMJE5MGGWKR" localSheetId="1" hidden="1">#REF!</definedName>
    <definedName name="BExOLICXFHJLILCJVFMJE5MGGWKR" localSheetId="9" hidden="1">#REF!</definedName>
    <definedName name="BExOLICXFHJLILCJVFMJE5MGGWKR" hidden="1">#REF!</definedName>
    <definedName name="BExOLOI0WJS3QC12I3ISL0D9AWOF" localSheetId="56" hidden="1">#REF!</definedName>
    <definedName name="BExOLOI0WJS3QC12I3ISL0D9AWOF" localSheetId="55" hidden="1">#REF!</definedName>
    <definedName name="BExOLOI0WJS3QC12I3ISL0D9AWOF" localSheetId="4" hidden="1">#REF!</definedName>
    <definedName name="BExOLOI0WJS3QC12I3ISL0D9AWOF" localSheetId="1" hidden="1">#REF!</definedName>
    <definedName name="BExOLOI0WJS3QC12I3ISL0D9AWOF" localSheetId="9" hidden="1">#REF!</definedName>
    <definedName name="BExOLOI0WJS3QC12I3ISL0D9AWOF" hidden="1">#REF!</definedName>
    <definedName name="BExOLQ5A7IWI0W12J7315E7LBI0O" localSheetId="56" hidden="1">#REF!</definedName>
    <definedName name="BExOLQ5A7IWI0W12J7315E7LBI0O" localSheetId="55" hidden="1">#REF!</definedName>
    <definedName name="BExOLQ5A7IWI0W12J7315E7LBI0O" localSheetId="4" hidden="1">#REF!</definedName>
    <definedName name="BExOLQ5A7IWI0W12J7315E7LBI0O" localSheetId="1" hidden="1">#REF!</definedName>
    <definedName name="BExOLQ5A7IWI0W12J7315E7LBI0O" localSheetId="9" hidden="1">#REF!</definedName>
    <definedName name="BExOLQ5A7IWI0W12J7315E7LBI0O" hidden="1">#REF!</definedName>
    <definedName name="BExOLYZNG5RBD0BTS1OEZJNU92Q5" localSheetId="56" hidden="1">#REF!</definedName>
    <definedName name="BExOLYZNG5RBD0BTS1OEZJNU92Q5" localSheetId="55" hidden="1">#REF!</definedName>
    <definedName name="BExOLYZNG5RBD0BTS1OEZJNU92Q5" localSheetId="4" hidden="1">#REF!</definedName>
    <definedName name="BExOLYZNG5RBD0BTS1OEZJNU92Q5" localSheetId="1" hidden="1">#REF!</definedName>
    <definedName name="BExOLYZNG5RBD0BTS1OEZJNU92Q5" localSheetId="9" hidden="1">#REF!</definedName>
    <definedName name="BExOLYZNG5RBD0BTS1OEZJNU92Q5" hidden="1">#REF!</definedName>
    <definedName name="BExOM136CSOYSV2NE3NAU04Z4414" localSheetId="56" hidden="1">#REF!</definedName>
    <definedName name="BExOM136CSOYSV2NE3NAU04Z4414" localSheetId="55" hidden="1">#REF!</definedName>
    <definedName name="BExOM136CSOYSV2NE3NAU04Z4414" localSheetId="4" hidden="1">#REF!</definedName>
    <definedName name="BExOM136CSOYSV2NE3NAU04Z4414" localSheetId="1" hidden="1">#REF!</definedName>
    <definedName name="BExOM136CSOYSV2NE3NAU04Z4414" localSheetId="9" hidden="1">#REF!</definedName>
    <definedName name="BExOM136CSOYSV2NE3NAU04Z4414" hidden="1">#REF!</definedName>
    <definedName name="BExOM3HIJ3UZPOKJI68KPBJAHPDC" localSheetId="56" hidden="1">#REF!</definedName>
    <definedName name="BExOM3HIJ3UZPOKJI68KPBJAHPDC" localSheetId="55" hidden="1">#REF!</definedName>
    <definedName name="BExOM3HIJ3UZPOKJI68KPBJAHPDC" localSheetId="4" hidden="1">#REF!</definedName>
    <definedName name="BExOM3HIJ3UZPOKJI68KPBJAHPDC" localSheetId="1" hidden="1">#REF!</definedName>
    <definedName name="BExOM3HIJ3UZPOKJI68KPBJAHPDC" localSheetId="9" hidden="1">#REF!</definedName>
    <definedName name="BExOM3HIJ3UZPOKJI68KPBJAHPDC" hidden="1">#REF!</definedName>
    <definedName name="BExOM5QC0I90GVJG1G7NFAIINKAQ" localSheetId="56" hidden="1">#REF!</definedName>
    <definedName name="BExOM5QC0I90GVJG1G7NFAIINKAQ" localSheetId="55" hidden="1">#REF!</definedName>
    <definedName name="BExOM5QC0I90GVJG1G7NFAIINKAQ" localSheetId="4" hidden="1">#REF!</definedName>
    <definedName name="BExOM5QC0I90GVJG1G7NFAIINKAQ" localSheetId="1" hidden="1">#REF!</definedName>
    <definedName name="BExOM5QC0I90GVJG1G7NFAIINKAQ" localSheetId="9" hidden="1">#REF!</definedName>
    <definedName name="BExOM5QC0I90GVJG1G7NFAIINKAQ" hidden="1">#REF!</definedName>
    <definedName name="BExOMKPURE33YQ3K1JG9NVQD4W49" localSheetId="56" hidden="1">#REF!</definedName>
    <definedName name="BExOMKPURE33YQ3K1JG9NVQD4W49" localSheetId="55" hidden="1">#REF!</definedName>
    <definedName name="BExOMKPURE33YQ3K1JG9NVQD4W49" localSheetId="4" hidden="1">#REF!</definedName>
    <definedName name="BExOMKPURE33YQ3K1JG9NVQD4W49" localSheetId="1" hidden="1">#REF!</definedName>
    <definedName name="BExOMKPURE33YQ3K1JG9NVQD4W49" localSheetId="9" hidden="1">#REF!</definedName>
    <definedName name="BExOMKPURE33YQ3K1JG9NVQD4W49" hidden="1">#REF!</definedName>
    <definedName name="BExOMP7NGCLUNFK50QD2LPKRG078" localSheetId="56" hidden="1">#REF!</definedName>
    <definedName name="BExOMP7NGCLUNFK50QD2LPKRG078" localSheetId="55" hidden="1">#REF!</definedName>
    <definedName name="BExOMP7NGCLUNFK50QD2LPKRG078" localSheetId="4" hidden="1">#REF!</definedName>
    <definedName name="BExOMP7NGCLUNFK50QD2LPKRG078" localSheetId="1" hidden="1">#REF!</definedName>
    <definedName name="BExOMP7NGCLUNFK50QD2LPKRG078" localSheetId="9" hidden="1">#REF!</definedName>
    <definedName name="BExOMP7NGCLUNFK50QD2LPKRG078" hidden="1">#REF!</definedName>
    <definedName name="BExOMPNX2853XA8AUM0BLA7CS86A" localSheetId="56" hidden="1">#REF!</definedName>
    <definedName name="BExOMPNX2853XA8AUM0BLA7CS86A" localSheetId="55" hidden="1">#REF!</definedName>
    <definedName name="BExOMPNX2853XA8AUM0BLA7CS86A" localSheetId="4" hidden="1">#REF!</definedName>
    <definedName name="BExOMPNX2853XA8AUM0BLA7CS86A" localSheetId="1" hidden="1">#REF!</definedName>
    <definedName name="BExOMPNX2853XA8AUM0BLA7CS86A" localSheetId="9" hidden="1">#REF!</definedName>
    <definedName name="BExOMPNX2853XA8AUM0BLA7CS86A" hidden="1">#REF!</definedName>
    <definedName name="BExOMU0A6XMY48SZRYL4WQZD13BI" localSheetId="56" hidden="1">#REF!</definedName>
    <definedName name="BExOMU0A6XMY48SZRYL4WQZD13BI" localSheetId="55" hidden="1">#REF!</definedName>
    <definedName name="BExOMU0A6XMY48SZRYL4WQZD13BI" localSheetId="4" hidden="1">#REF!</definedName>
    <definedName name="BExOMU0A6XMY48SZRYL4WQZD13BI" localSheetId="1" hidden="1">#REF!</definedName>
    <definedName name="BExOMU0A6XMY48SZRYL4WQZD13BI" localSheetId="9" hidden="1">#REF!</definedName>
    <definedName name="BExOMU0A6XMY48SZRYL4WQZD13BI" hidden="1">#REF!</definedName>
    <definedName name="BExOMVT0HSNC59DJP4CLISASGHKL" localSheetId="56" hidden="1">#REF!</definedName>
    <definedName name="BExOMVT0HSNC59DJP4CLISASGHKL" localSheetId="55" hidden="1">#REF!</definedName>
    <definedName name="BExOMVT0HSNC59DJP4CLISASGHKL" localSheetId="4" hidden="1">#REF!</definedName>
    <definedName name="BExOMVT0HSNC59DJP4CLISASGHKL" localSheetId="1" hidden="1">#REF!</definedName>
    <definedName name="BExOMVT0HSNC59DJP4CLISASGHKL" localSheetId="9" hidden="1">#REF!</definedName>
    <definedName name="BExOMVT0HSNC59DJP4CLISASGHKL" hidden="1">#REF!</definedName>
    <definedName name="BExON0AX35F2SI0UCVMGWGVIUNI3" localSheetId="56" hidden="1">#REF!</definedName>
    <definedName name="BExON0AX35F2SI0UCVMGWGVIUNI3" localSheetId="55" hidden="1">#REF!</definedName>
    <definedName name="BExON0AX35F2SI0UCVMGWGVIUNI3" localSheetId="4" hidden="1">#REF!</definedName>
    <definedName name="BExON0AX35F2SI0UCVMGWGVIUNI3" localSheetId="1" hidden="1">#REF!</definedName>
    <definedName name="BExON0AX35F2SI0UCVMGWGVIUNI3" localSheetId="9" hidden="1">#REF!</definedName>
    <definedName name="BExON0AX35F2SI0UCVMGWGVIUNI3" hidden="1">#REF!</definedName>
    <definedName name="BExON1I19LN0T10YIIYC5NE9UGMR" localSheetId="56" hidden="1">#REF!</definedName>
    <definedName name="BExON1I19LN0T10YIIYC5NE9UGMR" localSheetId="55" hidden="1">#REF!</definedName>
    <definedName name="BExON1I19LN0T10YIIYC5NE9UGMR" localSheetId="4" hidden="1">#REF!</definedName>
    <definedName name="BExON1I19LN0T10YIIYC5NE9UGMR" localSheetId="1" hidden="1">#REF!</definedName>
    <definedName name="BExON1I19LN0T10YIIYC5NE9UGMR" localSheetId="9" hidden="1">#REF!</definedName>
    <definedName name="BExON1I19LN0T10YIIYC5NE9UGMR" hidden="1">#REF!</definedName>
    <definedName name="BExON41U4296DV3DPG6I5EF3OEYF" localSheetId="56" hidden="1">#REF!</definedName>
    <definedName name="BExON41U4296DV3DPG6I5EF3OEYF" localSheetId="55" hidden="1">#REF!</definedName>
    <definedName name="BExON41U4296DV3DPG6I5EF3OEYF" localSheetId="4" hidden="1">#REF!</definedName>
    <definedName name="BExON41U4296DV3DPG6I5EF3OEYF" localSheetId="1" hidden="1">#REF!</definedName>
    <definedName name="BExON41U4296DV3DPG6I5EF3OEYF" localSheetId="9" hidden="1">#REF!</definedName>
    <definedName name="BExON41U4296DV3DPG6I5EF3OEYF" hidden="1">#REF!</definedName>
    <definedName name="BExONB3A7CO4YD8RB41PHC93BQ9M" localSheetId="56" hidden="1">#REF!</definedName>
    <definedName name="BExONB3A7CO4YD8RB41PHC93BQ9M" localSheetId="55" hidden="1">#REF!</definedName>
    <definedName name="BExONB3A7CO4YD8RB41PHC93BQ9M" localSheetId="4" hidden="1">#REF!</definedName>
    <definedName name="BExONB3A7CO4YD8RB41PHC93BQ9M" localSheetId="1" hidden="1">#REF!</definedName>
    <definedName name="BExONB3A7CO4YD8RB41PHC93BQ9M" localSheetId="9" hidden="1">#REF!</definedName>
    <definedName name="BExONB3A7CO4YD8RB41PHC93BQ9M" hidden="1">#REF!</definedName>
    <definedName name="BExONFQH6UUXF8V0GI4BRIST9RFO" localSheetId="56" hidden="1">#REF!</definedName>
    <definedName name="BExONFQH6UUXF8V0GI4BRIST9RFO" localSheetId="55" hidden="1">#REF!</definedName>
    <definedName name="BExONFQH6UUXF8V0GI4BRIST9RFO" localSheetId="4" hidden="1">#REF!</definedName>
    <definedName name="BExONFQH6UUXF8V0GI4BRIST9RFO" localSheetId="1" hidden="1">#REF!</definedName>
    <definedName name="BExONFQH6UUXF8V0GI4BRIST9RFO" localSheetId="9" hidden="1">#REF!</definedName>
    <definedName name="BExONFQH6UUXF8V0GI4BRIST9RFO" hidden="1">#REF!</definedName>
    <definedName name="BExONIL31DZWU7IFVN3VV0XTXJA1" localSheetId="56" hidden="1">#REF!</definedName>
    <definedName name="BExONIL31DZWU7IFVN3VV0XTXJA1" localSheetId="55" hidden="1">#REF!</definedName>
    <definedName name="BExONIL31DZWU7IFVN3VV0XTXJA1" localSheetId="4" hidden="1">#REF!</definedName>
    <definedName name="BExONIL31DZWU7IFVN3VV0XTXJA1" localSheetId="1" hidden="1">#REF!</definedName>
    <definedName name="BExONIL31DZWU7IFVN3VV0XTXJA1" localSheetId="9" hidden="1">#REF!</definedName>
    <definedName name="BExONIL31DZWU7IFVN3VV0XTXJA1" hidden="1">#REF!</definedName>
    <definedName name="BExONJ1BU17R0F5A2UP1UGJBOGKS" localSheetId="56" hidden="1">#REF!</definedName>
    <definedName name="BExONJ1BU17R0F5A2UP1UGJBOGKS" localSheetId="55" hidden="1">#REF!</definedName>
    <definedName name="BExONJ1BU17R0F5A2UP1UGJBOGKS" localSheetId="4" hidden="1">#REF!</definedName>
    <definedName name="BExONJ1BU17R0F5A2UP1UGJBOGKS" localSheetId="1" hidden="1">#REF!</definedName>
    <definedName name="BExONJ1BU17R0F5A2UP1UGJBOGKS" localSheetId="9" hidden="1">#REF!</definedName>
    <definedName name="BExONJ1BU17R0F5A2UP1UGJBOGKS" hidden="1">#REF!</definedName>
    <definedName name="BExONKZDHE8SS0P4YRLGEQR9KYHF" localSheetId="56" hidden="1">#REF!</definedName>
    <definedName name="BExONKZDHE8SS0P4YRLGEQR9KYHF" localSheetId="55" hidden="1">#REF!</definedName>
    <definedName name="BExONKZDHE8SS0P4YRLGEQR9KYHF" localSheetId="4" hidden="1">#REF!</definedName>
    <definedName name="BExONKZDHE8SS0P4YRLGEQR9KYHF" localSheetId="1" hidden="1">#REF!</definedName>
    <definedName name="BExONKZDHE8SS0P4YRLGEQR9KYHF" localSheetId="9" hidden="1">#REF!</definedName>
    <definedName name="BExONKZDHE8SS0P4YRLGEQR9KYHF" hidden="1">#REF!</definedName>
    <definedName name="BExONNZ9VMHVX3J6NLNJY7KZA61O" localSheetId="56" hidden="1">#REF!</definedName>
    <definedName name="BExONNZ9VMHVX3J6NLNJY7KZA61O" localSheetId="55" hidden="1">#REF!</definedName>
    <definedName name="BExONNZ9VMHVX3J6NLNJY7KZA61O" localSheetId="4" hidden="1">#REF!</definedName>
    <definedName name="BExONNZ9VMHVX3J6NLNJY7KZA61O" localSheetId="1" hidden="1">#REF!</definedName>
    <definedName name="BExONNZ9VMHVX3J6NLNJY7KZA61O" localSheetId="9" hidden="1">#REF!</definedName>
    <definedName name="BExONNZ9VMHVX3J6NLNJY7KZA61O" hidden="1">#REF!</definedName>
    <definedName name="BExONRQ1BAA4F3TXP2MYQ4YCZ09S" localSheetId="56" hidden="1">#REF!</definedName>
    <definedName name="BExONRQ1BAA4F3TXP2MYQ4YCZ09S" localSheetId="55" hidden="1">#REF!</definedName>
    <definedName name="BExONRQ1BAA4F3TXP2MYQ4YCZ09S" localSheetId="4" hidden="1">#REF!</definedName>
    <definedName name="BExONRQ1BAA4F3TXP2MYQ4YCZ09S" localSheetId="1" hidden="1">#REF!</definedName>
    <definedName name="BExONRQ1BAA4F3TXP2MYQ4YCZ09S" localSheetId="9" hidden="1">#REF!</definedName>
    <definedName name="BExONRQ1BAA4F3TXP2MYQ4YCZ09S" hidden="1">#REF!</definedName>
    <definedName name="BExONU4ENMND8RLZX0L5EHPYQQSB" localSheetId="56" hidden="1">#REF!</definedName>
    <definedName name="BExONU4ENMND8RLZX0L5EHPYQQSB" localSheetId="55" hidden="1">#REF!</definedName>
    <definedName name="BExONU4ENMND8RLZX0L5EHPYQQSB" localSheetId="4" hidden="1">#REF!</definedName>
    <definedName name="BExONU4ENMND8RLZX0L5EHPYQQSB" localSheetId="1" hidden="1">#REF!</definedName>
    <definedName name="BExONU4ENMND8RLZX0L5EHPYQQSB" localSheetId="9" hidden="1">#REF!</definedName>
    <definedName name="BExONU4ENMND8RLZX0L5EHPYQQSB" hidden="1">#REF!</definedName>
    <definedName name="BExONXPUEU6ZRSIX4PDJ1DXY679I" localSheetId="56" hidden="1">#REF!</definedName>
    <definedName name="BExONXPUEU6ZRSIX4PDJ1DXY679I" localSheetId="55" hidden="1">#REF!</definedName>
    <definedName name="BExONXPUEU6ZRSIX4PDJ1DXY679I" localSheetId="4" hidden="1">#REF!</definedName>
    <definedName name="BExONXPUEU6ZRSIX4PDJ1DXY679I" localSheetId="1" hidden="1">#REF!</definedName>
    <definedName name="BExONXPUEU6ZRSIX4PDJ1DXY679I" localSheetId="9" hidden="1">#REF!</definedName>
    <definedName name="BExONXPUEU6ZRSIX4PDJ1DXY679I" hidden="1">#REF!</definedName>
    <definedName name="BExOO0KEG2WL5WKKMHN0S2UTIUNG" localSheetId="56" hidden="1">#REF!</definedName>
    <definedName name="BExOO0KEG2WL5WKKMHN0S2UTIUNG" localSheetId="55" hidden="1">#REF!</definedName>
    <definedName name="BExOO0KEG2WL5WKKMHN0S2UTIUNG" localSheetId="4" hidden="1">#REF!</definedName>
    <definedName name="BExOO0KEG2WL5WKKMHN0S2UTIUNG" localSheetId="1" hidden="1">#REF!</definedName>
    <definedName name="BExOO0KEG2WL5WKKMHN0S2UTIUNG" localSheetId="9" hidden="1">#REF!</definedName>
    <definedName name="BExOO0KEG2WL5WKKMHN0S2UTIUNG" hidden="1">#REF!</definedName>
    <definedName name="BExOO1WWIZSGB0YTGKESB45TSVMZ" localSheetId="56" hidden="1">#REF!</definedName>
    <definedName name="BExOO1WWIZSGB0YTGKESB45TSVMZ" localSheetId="55" hidden="1">#REF!</definedName>
    <definedName name="BExOO1WWIZSGB0YTGKESB45TSVMZ" localSheetId="4" hidden="1">#REF!</definedName>
    <definedName name="BExOO1WWIZSGB0YTGKESB45TSVMZ" localSheetId="1" hidden="1">#REF!</definedName>
    <definedName name="BExOO1WWIZSGB0YTGKESB45TSVMZ" localSheetId="9" hidden="1">#REF!</definedName>
    <definedName name="BExOO1WWIZSGB0YTGKESB45TSVMZ" hidden="1">#REF!</definedName>
    <definedName name="BExOO4B8FPAFYPHCTYTX37P1TQM5" localSheetId="56" hidden="1">#REF!</definedName>
    <definedName name="BExOO4B8FPAFYPHCTYTX37P1TQM5" localSheetId="55" hidden="1">#REF!</definedName>
    <definedName name="BExOO4B8FPAFYPHCTYTX37P1TQM5" localSheetId="4" hidden="1">#REF!</definedName>
    <definedName name="BExOO4B8FPAFYPHCTYTX37P1TQM5" localSheetId="1" hidden="1">#REF!</definedName>
    <definedName name="BExOO4B8FPAFYPHCTYTX37P1TQM5" localSheetId="9" hidden="1">#REF!</definedName>
    <definedName name="BExOO4B8FPAFYPHCTYTX37P1TQM5" hidden="1">#REF!</definedName>
    <definedName name="BExOOIULUDOJRMYABWV5CCL906X6" localSheetId="56" hidden="1">#REF!</definedName>
    <definedName name="BExOOIULUDOJRMYABWV5CCL906X6" localSheetId="55" hidden="1">#REF!</definedName>
    <definedName name="BExOOIULUDOJRMYABWV5CCL906X6" localSheetId="4" hidden="1">#REF!</definedName>
    <definedName name="BExOOIULUDOJRMYABWV5CCL906X6" localSheetId="1" hidden="1">#REF!</definedName>
    <definedName name="BExOOIULUDOJRMYABWV5CCL906X6" localSheetId="9" hidden="1">#REF!</definedName>
    <definedName name="BExOOIULUDOJRMYABWV5CCL906X6" hidden="1">#REF!</definedName>
    <definedName name="BExOOJLIWKJW5S7XWJXD8TYV5HQ9" localSheetId="56" hidden="1">#REF!</definedName>
    <definedName name="BExOOJLIWKJW5S7XWJXD8TYV5HQ9" localSheetId="55" hidden="1">#REF!</definedName>
    <definedName name="BExOOJLIWKJW5S7XWJXD8TYV5HQ9" localSheetId="4" hidden="1">#REF!</definedName>
    <definedName name="BExOOJLIWKJW5S7XWJXD8TYV5HQ9" localSheetId="1" hidden="1">#REF!</definedName>
    <definedName name="BExOOJLIWKJW5S7XWJXD8TYV5HQ9" localSheetId="9" hidden="1">#REF!</definedName>
    <definedName name="BExOOJLIWKJW5S7XWJXD8TYV5HQ9" hidden="1">#REF!</definedName>
    <definedName name="BExOOQ1JVWQ9LYXD0V94BRXKTA1I" localSheetId="56" hidden="1">#REF!</definedName>
    <definedName name="BExOOQ1JVWQ9LYXD0V94BRXKTA1I" localSheetId="55" hidden="1">#REF!</definedName>
    <definedName name="BExOOQ1JVWQ9LYXD0V94BRXKTA1I" localSheetId="4" hidden="1">#REF!</definedName>
    <definedName name="BExOOQ1JVWQ9LYXD0V94BRXKTA1I" localSheetId="1" hidden="1">#REF!</definedName>
    <definedName name="BExOOQ1JVWQ9LYXD0V94BRXKTA1I" localSheetId="9" hidden="1">#REF!</definedName>
    <definedName name="BExOOQ1JVWQ9LYXD0V94BRXKTA1I" hidden="1">#REF!</definedName>
    <definedName name="BExOOTN0KTXJCL7E476XBN1CJ553" localSheetId="56" hidden="1">#REF!</definedName>
    <definedName name="BExOOTN0KTXJCL7E476XBN1CJ553" localSheetId="55" hidden="1">#REF!</definedName>
    <definedName name="BExOOTN0KTXJCL7E476XBN1CJ553" localSheetId="4" hidden="1">#REF!</definedName>
    <definedName name="BExOOTN0KTXJCL7E476XBN1CJ553" localSheetId="1" hidden="1">#REF!</definedName>
    <definedName name="BExOOTN0KTXJCL7E476XBN1CJ553" localSheetId="9" hidden="1">#REF!</definedName>
    <definedName name="BExOOTN0KTXJCL7E476XBN1CJ553" hidden="1">#REF!</definedName>
    <definedName name="BExOOVVUJIJNAYDICUUQQ9O7O3TW" localSheetId="56" hidden="1">#REF!</definedName>
    <definedName name="BExOOVVUJIJNAYDICUUQQ9O7O3TW" localSheetId="55" hidden="1">#REF!</definedName>
    <definedName name="BExOOVVUJIJNAYDICUUQQ9O7O3TW" localSheetId="4" hidden="1">#REF!</definedName>
    <definedName name="BExOOVVUJIJNAYDICUUQQ9O7O3TW" localSheetId="1" hidden="1">#REF!</definedName>
    <definedName name="BExOOVVUJIJNAYDICUUQQ9O7O3TW" localSheetId="9" hidden="1">#REF!</definedName>
    <definedName name="BExOOVVUJIJNAYDICUUQQ9O7O3TW" hidden="1">#REF!</definedName>
    <definedName name="BExOP9DDU5MZJKWGFT0MKL44YKIV" localSheetId="56" hidden="1">#REF!</definedName>
    <definedName name="BExOP9DDU5MZJKWGFT0MKL44YKIV" localSheetId="55" hidden="1">#REF!</definedName>
    <definedName name="BExOP9DDU5MZJKWGFT0MKL44YKIV" localSheetId="4" hidden="1">#REF!</definedName>
    <definedName name="BExOP9DDU5MZJKWGFT0MKL44YKIV" localSheetId="1" hidden="1">#REF!</definedName>
    <definedName name="BExOP9DDU5MZJKWGFT0MKL44YKIV" localSheetId="9" hidden="1">#REF!</definedName>
    <definedName name="BExOP9DDU5MZJKWGFT0MKL44YKIV" hidden="1">#REF!</definedName>
    <definedName name="BExOP9DEBV5W5P4Q25J3XCJBP5S9" localSheetId="56" hidden="1">#REF!</definedName>
    <definedName name="BExOP9DEBV5W5P4Q25J3XCJBP5S9" localSheetId="55" hidden="1">#REF!</definedName>
    <definedName name="BExOP9DEBV5W5P4Q25J3XCJBP5S9" localSheetId="4" hidden="1">#REF!</definedName>
    <definedName name="BExOP9DEBV5W5P4Q25J3XCJBP5S9" localSheetId="1" hidden="1">#REF!</definedName>
    <definedName name="BExOP9DEBV5W5P4Q25J3XCJBP5S9" localSheetId="9" hidden="1">#REF!</definedName>
    <definedName name="BExOP9DEBV5W5P4Q25J3XCJBP5S9" hidden="1">#REF!</definedName>
    <definedName name="BExOPFNYRBL0BFM23LZBJTADNOE4" localSheetId="56" hidden="1">#REF!</definedName>
    <definedName name="BExOPFNYRBL0BFM23LZBJTADNOE4" localSheetId="55" hidden="1">#REF!</definedName>
    <definedName name="BExOPFNYRBL0BFM23LZBJTADNOE4" localSheetId="4" hidden="1">#REF!</definedName>
    <definedName name="BExOPFNYRBL0BFM23LZBJTADNOE4" localSheetId="1" hidden="1">#REF!</definedName>
    <definedName name="BExOPFNYRBL0BFM23LZBJTADNOE4" localSheetId="9" hidden="1">#REF!</definedName>
    <definedName name="BExOPFNYRBL0BFM23LZBJTADNOE4" hidden="1">#REF!</definedName>
    <definedName name="BExOPINVFSIZMCVT9YGT2AODVCX3" localSheetId="56" hidden="1">#REF!</definedName>
    <definedName name="BExOPINVFSIZMCVT9YGT2AODVCX3" localSheetId="55" hidden="1">#REF!</definedName>
    <definedName name="BExOPINVFSIZMCVT9YGT2AODVCX3" localSheetId="4" hidden="1">#REF!</definedName>
    <definedName name="BExOPINVFSIZMCVT9YGT2AODVCX3" localSheetId="1" hidden="1">#REF!</definedName>
    <definedName name="BExOPINVFSIZMCVT9YGT2AODVCX3" localSheetId="9" hidden="1">#REF!</definedName>
    <definedName name="BExOPINVFSIZMCVT9YGT2AODVCX3" hidden="1">#REF!</definedName>
    <definedName name="BExOQ1JN4SAC44RTMZIGHSW023WA" localSheetId="56" hidden="1">#REF!</definedName>
    <definedName name="BExOQ1JN4SAC44RTMZIGHSW023WA" localSheetId="55" hidden="1">#REF!</definedName>
    <definedName name="BExOQ1JN4SAC44RTMZIGHSW023WA" localSheetId="4" hidden="1">#REF!</definedName>
    <definedName name="BExOQ1JN4SAC44RTMZIGHSW023WA" localSheetId="1" hidden="1">#REF!</definedName>
    <definedName name="BExOQ1JN4SAC44RTMZIGHSW023WA" localSheetId="9" hidden="1">#REF!</definedName>
    <definedName name="BExOQ1JN4SAC44RTMZIGHSW023WA" hidden="1">#REF!</definedName>
    <definedName name="BExOQ256YMF115DJL3KBPNKABJ90" localSheetId="56" hidden="1">#REF!</definedName>
    <definedName name="BExOQ256YMF115DJL3KBPNKABJ90" localSheetId="55" hidden="1">#REF!</definedName>
    <definedName name="BExOQ256YMF115DJL3KBPNKABJ90" localSheetId="4" hidden="1">#REF!</definedName>
    <definedName name="BExOQ256YMF115DJL3KBPNKABJ90" localSheetId="1" hidden="1">#REF!</definedName>
    <definedName name="BExOQ256YMF115DJL3KBPNKABJ90" localSheetId="9" hidden="1">#REF!</definedName>
    <definedName name="BExOQ256YMF115DJL3KBPNKABJ90" hidden="1">#REF!</definedName>
    <definedName name="BExQ19DEUOLC11IW32E2AMVZLFF1" localSheetId="56" hidden="1">#REF!</definedName>
    <definedName name="BExQ19DEUOLC11IW32E2AMVZLFF1" localSheetId="55" hidden="1">#REF!</definedName>
    <definedName name="BExQ19DEUOLC11IW32E2AMVZLFF1" localSheetId="4" hidden="1">#REF!</definedName>
    <definedName name="BExQ19DEUOLC11IW32E2AMVZLFF1" localSheetId="1" hidden="1">#REF!</definedName>
    <definedName name="BExQ19DEUOLC11IW32E2AMVZLFF1" localSheetId="9" hidden="1">#REF!</definedName>
    <definedName name="BExQ19DEUOLC11IW32E2AMVZLFF1" hidden="1">#REF!</definedName>
    <definedName name="BExQ1OCW3L24TN0BYVRE2NE3IK1O" localSheetId="56" hidden="1">#REF!</definedName>
    <definedName name="BExQ1OCW3L24TN0BYVRE2NE3IK1O" localSheetId="55" hidden="1">#REF!</definedName>
    <definedName name="BExQ1OCW3L24TN0BYVRE2NE3IK1O" localSheetId="4" hidden="1">#REF!</definedName>
    <definedName name="BExQ1OCW3L24TN0BYVRE2NE3IK1O" localSheetId="1" hidden="1">#REF!</definedName>
    <definedName name="BExQ1OCW3L24TN0BYVRE2NE3IK1O" localSheetId="9" hidden="1">#REF!</definedName>
    <definedName name="BExQ1OCW3L24TN0BYVRE2NE3IK1O" hidden="1">#REF!</definedName>
    <definedName name="BExQ29C73XR33S3668YYSYZAIHTG" localSheetId="56" hidden="1">#REF!</definedName>
    <definedName name="BExQ29C73XR33S3668YYSYZAIHTG" localSheetId="55" hidden="1">#REF!</definedName>
    <definedName name="BExQ29C73XR33S3668YYSYZAIHTG" localSheetId="4" hidden="1">#REF!</definedName>
    <definedName name="BExQ29C73XR33S3668YYSYZAIHTG" localSheetId="1" hidden="1">#REF!</definedName>
    <definedName name="BExQ29C73XR33S3668YYSYZAIHTG" localSheetId="9" hidden="1">#REF!</definedName>
    <definedName name="BExQ29C73XR33S3668YYSYZAIHTG" hidden="1">#REF!</definedName>
    <definedName name="BExQ2FS228IUDUP2023RA1D4AO4C" localSheetId="56" hidden="1">#REF!</definedName>
    <definedName name="BExQ2FS228IUDUP2023RA1D4AO4C" localSheetId="55" hidden="1">#REF!</definedName>
    <definedName name="BExQ2FS228IUDUP2023RA1D4AO4C" localSheetId="4" hidden="1">#REF!</definedName>
    <definedName name="BExQ2FS228IUDUP2023RA1D4AO4C" localSheetId="1" hidden="1">#REF!</definedName>
    <definedName name="BExQ2FS228IUDUP2023RA1D4AO4C" localSheetId="9" hidden="1">#REF!</definedName>
    <definedName name="BExQ2FS228IUDUP2023RA1D4AO4C" hidden="1">#REF!</definedName>
    <definedName name="BExQ2L0XYWLY9VPZWXYYFRIRQRJ1" localSheetId="56" hidden="1">#REF!</definedName>
    <definedName name="BExQ2L0XYWLY9VPZWXYYFRIRQRJ1" localSheetId="55" hidden="1">#REF!</definedName>
    <definedName name="BExQ2L0XYWLY9VPZWXYYFRIRQRJ1" localSheetId="4" hidden="1">#REF!</definedName>
    <definedName name="BExQ2L0XYWLY9VPZWXYYFRIRQRJ1" localSheetId="1" hidden="1">#REF!</definedName>
    <definedName name="BExQ2L0XYWLY9VPZWXYYFRIRQRJ1" localSheetId="9" hidden="1">#REF!</definedName>
    <definedName name="BExQ2L0XYWLY9VPZWXYYFRIRQRJ1" hidden="1">#REF!</definedName>
    <definedName name="BExQ2M841F5Z1BQYR8DG5FKK0LIU" localSheetId="56" hidden="1">#REF!</definedName>
    <definedName name="BExQ2M841F5Z1BQYR8DG5FKK0LIU" localSheetId="55" hidden="1">#REF!</definedName>
    <definedName name="BExQ2M841F5Z1BQYR8DG5FKK0LIU" localSheetId="4" hidden="1">#REF!</definedName>
    <definedName name="BExQ2M841F5Z1BQYR8DG5FKK0LIU" localSheetId="1" hidden="1">#REF!</definedName>
    <definedName name="BExQ2M841F5Z1BQYR8DG5FKK0LIU" localSheetId="9" hidden="1">#REF!</definedName>
    <definedName name="BExQ2M841F5Z1BQYR8DG5FKK0LIU" hidden="1">#REF!</definedName>
    <definedName name="BExQ2STHO7AXYTS1VPPHQMX1WT30" localSheetId="56" hidden="1">#REF!</definedName>
    <definedName name="BExQ2STHO7AXYTS1VPPHQMX1WT30" localSheetId="55" hidden="1">#REF!</definedName>
    <definedName name="BExQ2STHO7AXYTS1VPPHQMX1WT30" localSheetId="4" hidden="1">#REF!</definedName>
    <definedName name="BExQ2STHO7AXYTS1VPPHQMX1WT30" localSheetId="1" hidden="1">#REF!</definedName>
    <definedName name="BExQ2STHO7AXYTS1VPPHQMX1WT30" localSheetId="9" hidden="1">#REF!</definedName>
    <definedName name="BExQ2STHO7AXYTS1VPPHQMX1WT30" hidden="1">#REF!</definedName>
    <definedName name="BExQ2XWXHMQMQ99FF9293AEQHABB" localSheetId="56" hidden="1">#REF!</definedName>
    <definedName name="BExQ2XWXHMQMQ99FF9293AEQHABB" localSheetId="55" hidden="1">#REF!</definedName>
    <definedName name="BExQ2XWXHMQMQ99FF9293AEQHABB" localSheetId="4" hidden="1">#REF!</definedName>
    <definedName name="BExQ2XWXHMQMQ99FF9293AEQHABB" localSheetId="1" hidden="1">#REF!</definedName>
    <definedName name="BExQ2XWXHMQMQ99FF9293AEQHABB" localSheetId="9" hidden="1">#REF!</definedName>
    <definedName name="BExQ2XWXHMQMQ99FF9293AEQHABB" hidden="1">#REF!</definedName>
    <definedName name="BExQ300G8I8TK45A0MVHV15422EU" localSheetId="56" hidden="1">#REF!</definedName>
    <definedName name="BExQ300G8I8TK45A0MVHV15422EU" localSheetId="55" hidden="1">#REF!</definedName>
    <definedName name="BExQ300G8I8TK45A0MVHV15422EU" localSheetId="4" hidden="1">#REF!</definedName>
    <definedName name="BExQ300G8I8TK45A0MVHV15422EU" localSheetId="1" hidden="1">#REF!</definedName>
    <definedName name="BExQ300G8I8TK45A0MVHV15422EU" localSheetId="9" hidden="1">#REF!</definedName>
    <definedName name="BExQ300G8I8TK45A0MVHV15422EU" hidden="1">#REF!</definedName>
    <definedName name="BExQ305RBEODGNAETZ0EZQLLDZZD" localSheetId="56" hidden="1">#REF!</definedName>
    <definedName name="BExQ305RBEODGNAETZ0EZQLLDZZD" localSheetId="55" hidden="1">#REF!</definedName>
    <definedName name="BExQ305RBEODGNAETZ0EZQLLDZZD" localSheetId="4" hidden="1">#REF!</definedName>
    <definedName name="BExQ305RBEODGNAETZ0EZQLLDZZD" localSheetId="1" hidden="1">#REF!</definedName>
    <definedName name="BExQ305RBEODGNAETZ0EZQLLDZZD" localSheetId="9" hidden="1">#REF!</definedName>
    <definedName name="BExQ305RBEODGNAETZ0EZQLLDZZD" hidden="1">#REF!</definedName>
    <definedName name="BExQ37SZQJSC2C73FY2IJY852LVP" localSheetId="56" hidden="1">#REF!</definedName>
    <definedName name="BExQ37SZQJSC2C73FY2IJY852LVP" localSheetId="55" hidden="1">#REF!</definedName>
    <definedName name="BExQ37SZQJSC2C73FY2IJY852LVP" localSheetId="4" hidden="1">#REF!</definedName>
    <definedName name="BExQ37SZQJSC2C73FY2IJY852LVP" localSheetId="1" hidden="1">#REF!</definedName>
    <definedName name="BExQ37SZQJSC2C73FY2IJY852LVP" localSheetId="9" hidden="1">#REF!</definedName>
    <definedName name="BExQ37SZQJSC2C73FY2IJY852LVP" hidden="1">#REF!</definedName>
    <definedName name="BExQ39R28MXSG2SEV956F0KZ20AN" localSheetId="56" hidden="1">#REF!</definedName>
    <definedName name="BExQ39R28MXSG2SEV956F0KZ20AN" localSheetId="55" hidden="1">#REF!</definedName>
    <definedName name="BExQ39R28MXSG2SEV956F0KZ20AN" localSheetId="4" hidden="1">#REF!</definedName>
    <definedName name="BExQ39R28MXSG2SEV956F0KZ20AN" localSheetId="1" hidden="1">#REF!</definedName>
    <definedName name="BExQ39R28MXSG2SEV956F0KZ20AN" localSheetId="9" hidden="1">#REF!</definedName>
    <definedName name="BExQ39R28MXSG2SEV956F0KZ20AN" hidden="1">#REF!</definedName>
    <definedName name="BExQ3D1P3M5Z3HLMEZ17E0BLEE4U" localSheetId="56" hidden="1">#REF!</definedName>
    <definedName name="BExQ3D1P3M5Z3HLMEZ17E0BLEE4U" localSheetId="55" hidden="1">#REF!</definedName>
    <definedName name="BExQ3D1P3M5Z3HLMEZ17E0BLEE4U" localSheetId="4" hidden="1">#REF!</definedName>
    <definedName name="BExQ3D1P3M5Z3HLMEZ17E0BLEE4U" localSheetId="1" hidden="1">#REF!</definedName>
    <definedName name="BExQ3D1P3M5Z3HLMEZ17E0BLEE4U" localSheetId="9" hidden="1">#REF!</definedName>
    <definedName name="BExQ3D1P3M5Z3HLMEZ17E0BLEE4U" hidden="1">#REF!</definedName>
    <definedName name="BExQ3EZX6BA2WHKI84SG78UPRTSE" localSheetId="56" hidden="1">#REF!</definedName>
    <definedName name="BExQ3EZX6BA2WHKI84SG78UPRTSE" localSheetId="55" hidden="1">#REF!</definedName>
    <definedName name="BExQ3EZX6BA2WHKI84SG78UPRTSE" localSheetId="4" hidden="1">#REF!</definedName>
    <definedName name="BExQ3EZX6BA2WHKI84SG78UPRTSE" localSheetId="1" hidden="1">#REF!</definedName>
    <definedName name="BExQ3EZX6BA2WHKI84SG78UPRTSE" localSheetId="9" hidden="1">#REF!</definedName>
    <definedName name="BExQ3EZX6BA2WHKI84SG78UPRTSE" hidden="1">#REF!</definedName>
    <definedName name="BExQ3KOX6620WUSBG7PGACNC936P" localSheetId="56" hidden="1">#REF!</definedName>
    <definedName name="BExQ3KOX6620WUSBG7PGACNC936P" localSheetId="55" hidden="1">#REF!</definedName>
    <definedName name="BExQ3KOX6620WUSBG7PGACNC936P" localSheetId="4" hidden="1">#REF!</definedName>
    <definedName name="BExQ3KOX6620WUSBG7PGACNC936P" localSheetId="1" hidden="1">#REF!</definedName>
    <definedName name="BExQ3KOX6620WUSBG7PGACNC936P" localSheetId="9" hidden="1">#REF!</definedName>
    <definedName name="BExQ3KOX6620WUSBG7PGACNC936P" hidden="1">#REF!</definedName>
    <definedName name="BExQ3O4W7QF8BOXTUT4IOGF6YKUD" localSheetId="56" hidden="1">#REF!</definedName>
    <definedName name="BExQ3O4W7QF8BOXTUT4IOGF6YKUD" localSheetId="55" hidden="1">#REF!</definedName>
    <definedName name="BExQ3O4W7QF8BOXTUT4IOGF6YKUD" localSheetId="4" hidden="1">#REF!</definedName>
    <definedName name="BExQ3O4W7QF8BOXTUT4IOGF6YKUD" localSheetId="1" hidden="1">#REF!</definedName>
    <definedName name="BExQ3O4W7QF8BOXTUT4IOGF6YKUD" localSheetId="9" hidden="1">#REF!</definedName>
    <definedName name="BExQ3O4W7QF8BOXTUT4IOGF6YKUD" hidden="1">#REF!</definedName>
    <definedName name="BExQ3PXOWSN8561ZR8IEY8ZASI3B" localSheetId="56" hidden="1">#REF!</definedName>
    <definedName name="BExQ3PXOWSN8561ZR8IEY8ZASI3B" localSheetId="55" hidden="1">#REF!</definedName>
    <definedName name="BExQ3PXOWSN8561ZR8IEY8ZASI3B" localSheetId="4" hidden="1">#REF!</definedName>
    <definedName name="BExQ3PXOWSN8561ZR8IEY8ZASI3B" localSheetId="1" hidden="1">#REF!</definedName>
    <definedName name="BExQ3PXOWSN8561ZR8IEY8ZASI3B" localSheetId="9" hidden="1">#REF!</definedName>
    <definedName name="BExQ3PXOWSN8561ZR8IEY8ZASI3B" hidden="1">#REF!</definedName>
    <definedName name="BExQ3TZF04IPY0B0UG9CQQ5736UA" localSheetId="56" hidden="1">#REF!</definedName>
    <definedName name="BExQ3TZF04IPY0B0UG9CQQ5736UA" localSheetId="55" hidden="1">#REF!</definedName>
    <definedName name="BExQ3TZF04IPY0B0UG9CQQ5736UA" localSheetId="4" hidden="1">#REF!</definedName>
    <definedName name="BExQ3TZF04IPY0B0UG9CQQ5736UA" localSheetId="1" hidden="1">#REF!</definedName>
    <definedName name="BExQ3TZF04IPY0B0UG9CQQ5736UA" localSheetId="9" hidden="1">#REF!</definedName>
    <definedName name="BExQ3TZF04IPY0B0UG9CQQ5736UA" hidden="1">#REF!</definedName>
    <definedName name="BExQ42IU9MNDYLODP41DL6YTZMAR" localSheetId="56" hidden="1">#REF!</definedName>
    <definedName name="BExQ42IU9MNDYLODP41DL6YTZMAR" localSheetId="55" hidden="1">#REF!</definedName>
    <definedName name="BExQ42IU9MNDYLODP41DL6YTZMAR" localSheetId="4" hidden="1">#REF!</definedName>
    <definedName name="BExQ42IU9MNDYLODP41DL6YTZMAR" localSheetId="1" hidden="1">#REF!</definedName>
    <definedName name="BExQ42IU9MNDYLODP41DL6YTZMAR" localSheetId="9" hidden="1">#REF!</definedName>
    <definedName name="BExQ42IU9MNDYLODP41DL6YTZMAR" hidden="1">#REF!</definedName>
    <definedName name="BExQ42O4PHH156IHXSW0JAYAC0NJ" localSheetId="56" hidden="1">#REF!</definedName>
    <definedName name="BExQ42O4PHH156IHXSW0JAYAC0NJ" localSheetId="55" hidden="1">#REF!</definedName>
    <definedName name="BExQ42O4PHH156IHXSW0JAYAC0NJ" localSheetId="4" hidden="1">#REF!</definedName>
    <definedName name="BExQ42O4PHH156IHXSW0JAYAC0NJ" localSheetId="1" hidden="1">#REF!</definedName>
    <definedName name="BExQ42O4PHH156IHXSW0JAYAC0NJ" localSheetId="9" hidden="1">#REF!</definedName>
    <definedName name="BExQ42O4PHH156IHXSW0JAYAC0NJ" hidden="1">#REF!</definedName>
    <definedName name="BExQ452HF7N1HYPXJXQ8WD6SOWUV" localSheetId="56" hidden="1">#REF!</definedName>
    <definedName name="BExQ452HF7N1HYPXJXQ8WD6SOWUV" localSheetId="55" hidden="1">#REF!</definedName>
    <definedName name="BExQ452HF7N1HYPXJXQ8WD6SOWUV" localSheetId="4" hidden="1">#REF!</definedName>
    <definedName name="BExQ452HF7N1HYPXJXQ8WD6SOWUV" localSheetId="1" hidden="1">#REF!</definedName>
    <definedName name="BExQ452HF7N1HYPXJXQ8WD6SOWUV" localSheetId="9" hidden="1">#REF!</definedName>
    <definedName name="BExQ452HF7N1HYPXJXQ8WD6SOWUV" hidden="1">#REF!</definedName>
    <definedName name="BExQ4BTBSHPHVEDRCXC2ROW8PLFC" localSheetId="56" hidden="1">#REF!</definedName>
    <definedName name="BExQ4BTBSHPHVEDRCXC2ROW8PLFC" localSheetId="55" hidden="1">#REF!</definedName>
    <definedName name="BExQ4BTBSHPHVEDRCXC2ROW8PLFC" localSheetId="4" hidden="1">#REF!</definedName>
    <definedName name="BExQ4BTBSHPHVEDRCXC2ROW8PLFC" localSheetId="1" hidden="1">#REF!</definedName>
    <definedName name="BExQ4BTBSHPHVEDRCXC2ROW8PLFC" localSheetId="9" hidden="1">#REF!</definedName>
    <definedName name="BExQ4BTBSHPHVEDRCXC2ROW8PLFC" hidden="1">#REF!</definedName>
    <definedName name="BExQ4DGKF54SRKQUTUT4B1CZSS62" localSheetId="56" hidden="1">#REF!</definedName>
    <definedName name="BExQ4DGKF54SRKQUTUT4B1CZSS62" localSheetId="55" hidden="1">#REF!</definedName>
    <definedName name="BExQ4DGKF54SRKQUTUT4B1CZSS62" localSheetId="4" hidden="1">#REF!</definedName>
    <definedName name="BExQ4DGKF54SRKQUTUT4B1CZSS62" localSheetId="1" hidden="1">#REF!</definedName>
    <definedName name="BExQ4DGKF54SRKQUTUT4B1CZSS62" localSheetId="9" hidden="1">#REF!</definedName>
    <definedName name="BExQ4DGKF54SRKQUTUT4B1CZSS62" hidden="1">#REF!</definedName>
    <definedName name="BExQ4T74LQ5PYTV1MUQUW75A4BDY" localSheetId="56" hidden="1">#REF!</definedName>
    <definedName name="BExQ4T74LQ5PYTV1MUQUW75A4BDY" localSheetId="55" hidden="1">#REF!</definedName>
    <definedName name="BExQ4T74LQ5PYTV1MUQUW75A4BDY" localSheetId="4" hidden="1">#REF!</definedName>
    <definedName name="BExQ4T74LQ5PYTV1MUQUW75A4BDY" localSheetId="1" hidden="1">#REF!</definedName>
    <definedName name="BExQ4T74LQ5PYTV1MUQUW75A4BDY" localSheetId="9" hidden="1">#REF!</definedName>
    <definedName name="BExQ4T74LQ5PYTV1MUQUW75A4BDY" hidden="1">#REF!</definedName>
    <definedName name="BExQ4XJHD7EJCNH7S1MJDZJ2MNWG" localSheetId="56" hidden="1">#REF!</definedName>
    <definedName name="BExQ4XJHD7EJCNH7S1MJDZJ2MNWG" localSheetId="55" hidden="1">#REF!</definedName>
    <definedName name="BExQ4XJHD7EJCNH7S1MJDZJ2MNWG" localSheetId="4" hidden="1">#REF!</definedName>
    <definedName name="BExQ4XJHD7EJCNH7S1MJDZJ2MNWG" localSheetId="1" hidden="1">#REF!</definedName>
    <definedName name="BExQ4XJHD7EJCNH7S1MJDZJ2MNWG" localSheetId="9" hidden="1">#REF!</definedName>
    <definedName name="BExQ4XJHD7EJCNH7S1MJDZJ2MNWG" hidden="1">#REF!</definedName>
    <definedName name="BExQ5039ZCEWBUJHU682G4S89J03" localSheetId="56" hidden="1">#REF!</definedName>
    <definedName name="BExQ5039ZCEWBUJHU682G4S89J03" localSheetId="55" hidden="1">#REF!</definedName>
    <definedName name="BExQ5039ZCEWBUJHU682G4S89J03" localSheetId="4" hidden="1">#REF!</definedName>
    <definedName name="BExQ5039ZCEWBUJHU682G4S89J03" localSheetId="1" hidden="1">#REF!</definedName>
    <definedName name="BExQ5039ZCEWBUJHU682G4S89J03" localSheetId="9" hidden="1">#REF!</definedName>
    <definedName name="BExQ5039ZCEWBUJHU682G4S89J03" hidden="1">#REF!</definedName>
    <definedName name="BExQ56Z9W6YHZHRXOFFI8EFA7CDI" localSheetId="56" hidden="1">#REF!</definedName>
    <definedName name="BExQ56Z9W6YHZHRXOFFI8EFA7CDI" localSheetId="55" hidden="1">#REF!</definedName>
    <definedName name="BExQ56Z9W6YHZHRXOFFI8EFA7CDI" localSheetId="4" hidden="1">#REF!</definedName>
    <definedName name="BExQ56Z9W6YHZHRXOFFI8EFA7CDI" localSheetId="1" hidden="1">#REF!</definedName>
    <definedName name="BExQ56Z9W6YHZHRXOFFI8EFA7CDI" localSheetId="9" hidden="1">#REF!</definedName>
    <definedName name="BExQ56Z9W6YHZHRXOFFI8EFA7CDI" hidden="1">#REF!</definedName>
    <definedName name="BExQ58MP5FO5Q5CIXVMMYWWPEFW3" localSheetId="56" hidden="1">#REF!</definedName>
    <definedName name="BExQ58MP5FO5Q5CIXVMMYWWPEFW3" localSheetId="55" hidden="1">#REF!</definedName>
    <definedName name="BExQ58MP5FO5Q5CIXVMMYWWPEFW3" localSheetId="4" hidden="1">#REF!</definedName>
    <definedName name="BExQ58MP5FO5Q5CIXVMMYWWPEFW3" localSheetId="1" hidden="1">#REF!</definedName>
    <definedName name="BExQ58MP5FO5Q5CIXVMMYWWPEFW3" localSheetId="9" hidden="1">#REF!</definedName>
    <definedName name="BExQ58MP5FO5Q5CIXVMMYWWPEFW3" hidden="1">#REF!</definedName>
    <definedName name="BExQ5KX3Z668H1KUCKZ9J24HUQ1F" localSheetId="56" hidden="1">#REF!</definedName>
    <definedName name="BExQ5KX3Z668H1KUCKZ9J24HUQ1F" localSheetId="55" hidden="1">#REF!</definedName>
    <definedName name="BExQ5KX3Z668H1KUCKZ9J24HUQ1F" localSheetId="4" hidden="1">#REF!</definedName>
    <definedName name="BExQ5KX3Z668H1KUCKZ9J24HUQ1F" localSheetId="1" hidden="1">#REF!</definedName>
    <definedName name="BExQ5KX3Z668H1KUCKZ9J24HUQ1F" localSheetId="9" hidden="1">#REF!</definedName>
    <definedName name="BExQ5KX3Z668H1KUCKZ9J24HUQ1F" hidden="1">#REF!</definedName>
    <definedName name="BExQ5SPMSOCJYLAY20NB5A6O32RE" localSheetId="56" hidden="1">#REF!</definedName>
    <definedName name="BExQ5SPMSOCJYLAY20NB5A6O32RE" localSheetId="55" hidden="1">#REF!</definedName>
    <definedName name="BExQ5SPMSOCJYLAY20NB5A6O32RE" localSheetId="4" hidden="1">#REF!</definedName>
    <definedName name="BExQ5SPMSOCJYLAY20NB5A6O32RE" localSheetId="1" hidden="1">#REF!</definedName>
    <definedName name="BExQ5SPMSOCJYLAY20NB5A6O32RE" localSheetId="9" hidden="1">#REF!</definedName>
    <definedName name="BExQ5SPMSOCJYLAY20NB5A6O32RE" hidden="1">#REF!</definedName>
    <definedName name="BExQ5UICMGTMK790KTLK49MAGXRC" localSheetId="56" hidden="1">#REF!</definedName>
    <definedName name="BExQ5UICMGTMK790KTLK49MAGXRC" localSheetId="55" hidden="1">#REF!</definedName>
    <definedName name="BExQ5UICMGTMK790KTLK49MAGXRC" localSheetId="4" hidden="1">#REF!</definedName>
    <definedName name="BExQ5UICMGTMK790KTLK49MAGXRC" localSheetId="1" hidden="1">#REF!</definedName>
    <definedName name="BExQ5UICMGTMK790KTLK49MAGXRC" localSheetId="9" hidden="1">#REF!</definedName>
    <definedName name="BExQ5UICMGTMK790KTLK49MAGXRC" hidden="1">#REF!</definedName>
    <definedName name="BExQ5YUUK9FD0QGTY4WD0W90O7OL" localSheetId="56" hidden="1">#REF!</definedName>
    <definedName name="BExQ5YUUK9FD0QGTY4WD0W90O7OL" localSheetId="55" hidden="1">#REF!</definedName>
    <definedName name="BExQ5YUUK9FD0QGTY4WD0W90O7OL" localSheetId="4" hidden="1">#REF!</definedName>
    <definedName name="BExQ5YUUK9FD0QGTY4WD0W90O7OL" localSheetId="1" hidden="1">#REF!</definedName>
    <definedName name="BExQ5YUUK9FD0QGTY4WD0W90O7OL" localSheetId="9" hidden="1">#REF!</definedName>
    <definedName name="BExQ5YUUK9FD0QGTY4WD0W90O7OL" hidden="1">#REF!</definedName>
    <definedName name="BExQ62WGBSDPG7ZU34W0N8X45R3X" localSheetId="56" hidden="1">#REF!</definedName>
    <definedName name="BExQ62WGBSDPG7ZU34W0N8X45R3X" localSheetId="55" hidden="1">#REF!</definedName>
    <definedName name="BExQ62WGBSDPG7ZU34W0N8X45R3X" localSheetId="4" hidden="1">#REF!</definedName>
    <definedName name="BExQ62WGBSDPG7ZU34W0N8X45R3X" localSheetId="1" hidden="1">#REF!</definedName>
    <definedName name="BExQ62WGBSDPG7ZU34W0N8X45R3X" localSheetId="9" hidden="1">#REF!</definedName>
    <definedName name="BExQ62WGBSDPG7ZU34W0N8X45R3X" hidden="1">#REF!</definedName>
    <definedName name="BExQ63793YQ9BH7JLCNRIATIGTRG" localSheetId="56" hidden="1">#REF!</definedName>
    <definedName name="BExQ63793YQ9BH7JLCNRIATIGTRG" localSheetId="55" hidden="1">#REF!</definedName>
    <definedName name="BExQ63793YQ9BH7JLCNRIATIGTRG" localSheetId="4" hidden="1">#REF!</definedName>
    <definedName name="BExQ63793YQ9BH7JLCNRIATIGTRG" localSheetId="1" hidden="1">#REF!</definedName>
    <definedName name="BExQ63793YQ9BH7JLCNRIATIGTRG" localSheetId="9" hidden="1">#REF!</definedName>
    <definedName name="BExQ63793YQ9BH7JLCNRIATIGTRG" hidden="1">#REF!</definedName>
    <definedName name="BExQ6CN1EF2UPZ57ZYMGK8TUJQSS" localSheetId="56" hidden="1">#REF!</definedName>
    <definedName name="BExQ6CN1EF2UPZ57ZYMGK8TUJQSS" localSheetId="55" hidden="1">#REF!</definedName>
    <definedName name="BExQ6CN1EF2UPZ57ZYMGK8TUJQSS" localSheetId="4" hidden="1">#REF!</definedName>
    <definedName name="BExQ6CN1EF2UPZ57ZYMGK8TUJQSS" localSheetId="1" hidden="1">#REF!</definedName>
    <definedName name="BExQ6CN1EF2UPZ57ZYMGK8TUJQSS" localSheetId="9" hidden="1">#REF!</definedName>
    <definedName name="BExQ6CN1EF2UPZ57ZYMGK8TUJQSS" hidden="1">#REF!</definedName>
    <definedName name="BExQ6FSF8BMWVLJI7Y7MKPG9SU5O" localSheetId="56" hidden="1">#REF!</definedName>
    <definedName name="BExQ6FSF8BMWVLJI7Y7MKPG9SU5O" localSheetId="55" hidden="1">#REF!</definedName>
    <definedName name="BExQ6FSF8BMWVLJI7Y7MKPG9SU5O" localSheetId="4" hidden="1">#REF!</definedName>
    <definedName name="BExQ6FSF8BMWVLJI7Y7MKPG9SU5O" localSheetId="1" hidden="1">#REF!</definedName>
    <definedName name="BExQ6FSF8BMWVLJI7Y7MKPG9SU5O" localSheetId="9" hidden="1">#REF!</definedName>
    <definedName name="BExQ6FSF8BMWVLJI7Y7MKPG9SU5O" hidden="1">#REF!</definedName>
    <definedName name="BExQ6M2YXJ8AMRJF3QGHC40ADAHZ" localSheetId="56" hidden="1">#REF!</definedName>
    <definedName name="BExQ6M2YXJ8AMRJF3QGHC40ADAHZ" localSheetId="55" hidden="1">#REF!</definedName>
    <definedName name="BExQ6M2YXJ8AMRJF3QGHC40ADAHZ" localSheetId="4" hidden="1">#REF!</definedName>
    <definedName name="BExQ6M2YXJ8AMRJF3QGHC40ADAHZ" localSheetId="1" hidden="1">#REF!</definedName>
    <definedName name="BExQ6M2YXJ8AMRJF3QGHC40ADAHZ" localSheetId="9" hidden="1">#REF!</definedName>
    <definedName name="BExQ6M2YXJ8AMRJF3QGHC40ADAHZ" hidden="1">#REF!</definedName>
    <definedName name="BExQ6M8B0X44N9TV56ATUVHGDI00" localSheetId="56" hidden="1">#REF!</definedName>
    <definedName name="BExQ6M8B0X44N9TV56ATUVHGDI00" localSheetId="55" hidden="1">#REF!</definedName>
    <definedName name="BExQ6M8B0X44N9TV56ATUVHGDI00" localSheetId="4" hidden="1">#REF!</definedName>
    <definedName name="BExQ6M8B0X44N9TV56ATUVHGDI00" localSheetId="1" hidden="1">#REF!</definedName>
    <definedName name="BExQ6M8B0X44N9TV56ATUVHGDI00" localSheetId="9" hidden="1">#REF!</definedName>
    <definedName name="BExQ6M8B0X44N9TV56ATUVHGDI00" hidden="1">#REF!</definedName>
    <definedName name="BExQ6POH065GV0I74XXVD0VUPBJW" localSheetId="56" hidden="1">#REF!</definedName>
    <definedName name="BExQ6POH065GV0I74XXVD0VUPBJW" localSheetId="55" hidden="1">#REF!</definedName>
    <definedName name="BExQ6POH065GV0I74XXVD0VUPBJW" localSheetId="4" hidden="1">#REF!</definedName>
    <definedName name="BExQ6POH065GV0I74XXVD0VUPBJW" localSheetId="1" hidden="1">#REF!</definedName>
    <definedName name="BExQ6POH065GV0I74XXVD0VUPBJW" localSheetId="9" hidden="1">#REF!</definedName>
    <definedName name="BExQ6POH065GV0I74XXVD0VUPBJW" hidden="1">#REF!</definedName>
    <definedName name="BExQ6WV9KPSMXPPLGZ3KK4WNYTHU" localSheetId="56" hidden="1">#REF!</definedName>
    <definedName name="BExQ6WV9KPSMXPPLGZ3KK4WNYTHU" localSheetId="55" hidden="1">#REF!</definedName>
    <definedName name="BExQ6WV9KPSMXPPLGZ3KK4WNYTHU" localSheetId="4" hidden="1">#REF!</definedName>
    <definedName name="BExQ6WV9KPSMXPPLGZ3KK4WNYTHU" localSheetId="1" hidden="1">#REF!</definedName>
    <definedName name="BExQ6WV9KPSMXPPLGZ3KK4WNYTHU" localSheetId="9" hidden="1">#REF!</definedName>
    <definedName name="BExQ6WV9KPSMXPPLGZ3KK4WNYTHU" hidden="1">#REF!</definedName>
    <definedName name="BExQ7541G92R52ECOIYO6UXIWJJ4" localSheetId="56" hidden="1">#REF!</definedName>
    <definedName name="BExQ7541G92R52ECOIYO6UXIWJJ4" localSheetId="55" hidden="1">#REF!</definedName>
    <definedName name="BExQ7541G92R52ECOIYO6UXIWJJ4" localSheetId="4" hidden="1">#REF!</definedName>
    <definedName name="BExQ7541G92R52ECOIYO6UXIWJJ4" localSheetId="1" hidden="1">#REF!</definedName>
    <definedName name="BExQ7541G92R52ECOIYO6UXIWJJ4" localSheetId="9" hidden="1">#REF!</definedName>
    <definedName name="BExQ7541G92R52ECOIYO6UXIWJJ4" hidden="1">#REF!</definedName>
    <definedName name="BExQ783XTMM2A9I3UKCFWJH1PP2N" localSheetId="56" hidden="1">#REF!</definedName>
    <definedName name="BExQ783XTMM2A9I3UKCFWJH1PP2N" localSheetId="55" hidden="1">#REF!</definedName>
    <definedName name="BExQ783XTMM2A9I3UKCFWJH1PP2N" localSheetId="4" hidden="1">#REF!</definedName>
    <definedName name="BExQ783XTMM2A9I3UKCFWJH1PP2N" localSheetId="1" hidden="1">#REF!</definedName>
    <definedName name="BExQ783XTMM2A9I3UKCFWJH1PP2N" localSheetId="9" hidden="1">#REF!</definedName>
    <definedName name="BExQ783XTMM2A9I3UKCFWJH1PP2N" hidden="1">#REF!</definedName>
    <definedName name="BExQ79LX01ZPQB8EGD1ZHR2VK2H3" localSheetId="56" hidden="1">#REF!</definedName>
    <definedName name="BExQ79LX01ZPQB8EGD1ZHR2VK2H3" localSheetId="55" hidden="1">#REF!</definedName>
    <definedName name="BExQ79LX01ZPQB8EGD1ZHR2VK2H3" localSheetId="4" hidden="1">#REF!</definedName>
    <definedName name="BExQ79LX01ZPQB8EGD1ZHR2VK2H3" localSheetId="1" hidden="1">#REF!</definedName>
    <definedName name="BExQ79LX01ZPQB8EGD1ZHR2VK2H3" localSheetId="9" hidden="1">#REF!</definedName>
    <definedName name="BExQ79LX01ZPQB8EGD1ZHR2VK2H3" hidden="1">#REF!</definedName>
    <definedName name="BExQ7B3V9MGDK2OIJ61XXFBFLJFZ" localSheetId="56" hidden="1">#REF!</definedName>
    <definedName name="BExQ7B3V9MGDK2OIJ61XXFBFLJFZ" localSheetId="55" hidden="1">#REF!</definedName>
    <definedName name="BExQ7B3V9MGDK2OIJ61XXFBFLJFZ" localSheetId="4" hidden="1">#REF!</definedName>
    <definedName name="BExQ7B3V9MGDK2OIJ61XXFBFLJFZ" localSheetId="1" hidden="1">#REF!</definedName>
    <definedName name="BExQ7B3V9MGDK2OIJ61XXFBFLJFZ" localSheetId="9" hidden="1">#REF!</definedName>
    <definedName name="BExQ7B3V9MGDK2OIJ61XXFBFLJFZ" hidden="1">#REF!</definedName>
    <definedName name="BExQ7CB046NVPF9ZXDGA7OXOLSLX" localSheetId="56" hidden="1">#REF!</definedName>
    <definedName name="BExQ7CB046NVPF9ZXDGA7OXOLSLX" localSheetId="55" hidden="1">#REF!</definedName>
    <definedName name="BExQ7CB046NVPF9ZXDGA7OXOLSLX" localSheetId="4" hidden="1">#REF!</definedName>
    <definedName name="BExQ7CB046NVPF9ZXDGA7OXOLSLX" localSheetId="1" hidden="1">#REF!</definedName>
    <definedName name="BExQ7CB046NVPF9ZXDGA7OXOLSLX" localSheetId="9" hidden="1">#REF!</definedName>
    <definedName name="BExQ7CB046NVPF9ZXDGA7OXOLSLX" hidden="1">#REF!</definedName>
    <definedName name="BExQ7IWDCGGOO1HTJ97YGO1CK3R9" localSheetId="56" hidden="1">#REF!</definedName>
    <definedName name="BExQ7IWDCGGOO1HTJ97YGO1CK3R9" localSheetId="55" hidden="1">#REF!</definedName>
    <definedName name="BExQ7IWDCGGOO1HTJ97YGO1CK3R9" localSheetId="4" hidden="1">#REF!</definedName>
    <definedName name="BExQ7IWDCGGOO1HTJ97YGO1CK3R9" localSheetId="1" hidden="1">#REF!</definedName>
    <definedName name="BExQ7IWDCGGOO1HTJ97YGO1CK3R9" localSheetId="9" hidden="1">#REF!</definedName>
    <definedName name="BExQ7IWDCGGOO1HTJ97YGO1CK3R9" hidden="1">#REF!</definedName>
    <definedName name="BExQ7JNFIEGS2HKNBALH3Q2N5G7Z" localSheetId="56" hidden="1">#REF!</definedName>
    <definedName name="BExQ7JNFIEGS2HKNBALH3Q2N5G7Z" localSheetId="55" hidden="1">#REF!</definedName>
    <definedName name="BExQ7JNFIEGS2HKNBALH3Q2N5G7Z" localSheetId="4" hidden="1">#REF!</definedName>
    <definedName name="BExQ7JNFIEGS2HKNBALH3Q2N5G7Z" localSheetId="1" hidden="1">#REF!</definedName>
    <definedName name="BExQ7JNFIEGS2HKNBALH3Q2N5G7Z" localSheetId="9" hidden="1">#REF!</definedName>
    <definedName name="BExQ7JNFIEGS2HKNBALH3Q2N5G7Z" hidden="1">#REF!</definedName>
    <definedName name="BExQ7MY3U2Z1IZ71U5LJUD00VVB4" localSheetId="56" hidden="1">#REF!</definedName>
    <definedName name="BExQ7MY3U2Z1IZ71U5LJUD00VVB4" localSheetId="55" hidden="1">#REF!</definedName>
    <definedName name="BExQ7MY3U2Z1IZ71U5LJUD00VVB4" localSheetId="4" hidden="1">#REF!</definedName>
    <definedName name="BExQ7MY3U2Z1IZ71U5LJUD00VVB4" localSheetId="1" hidden="1">#REF!</definedName>
    <definedName name="BExQ7MY3U2Z1IZ71U5LJUD00VVB4" localSheetId="9" hidden="1">#REF!</definedName>
    <definedName name="BExQ7MY3U2Z1IZ71U5LJUD00VVB4" hidden="1">#REF!</definedName>
    <definedName name="BExQ7XL2Q1GVUFL1F9KK0K0EXMWG" localSheetId="56" hidden="1">#REF!</definedName>
    <definedName name="BExQ7XL2Q1GVUFL1F9KK0K0EXMWG" localSheetId="55" hidden="1">#REF!</definedName>
    <definedName name="BExQ7XL2Q1GVUFL1F9KK0K0EXMWG" localSheetId="4" hidden="1">#REF!</definedName>
    <definedName name="BExQ7XL2Q1GVUFL1F9KK0K0EXMWG" localSheetId="1" hidden="1">#REF!</definedName>
    <definedName name="BExQ7XL2Q1GVUFL1F9KK0K0EXMWG" localSheetId="9" hidden="1">#REF!</definedName>
    <definedName name="BExQ7XL2Q1GVUFL1F9KK0K0EXMWG" hidden="1">#REF!</definedName>
    <definedName name="BExQ8469L3ZRZ3KYZPYMSJIDL7Y5" localSheetId="56" hidden="1">#REF!</definedName>
    <definedName name="BExQ8469L3ZRZ3KYZPYMSJIDL7Y5" localSheetId="55" hidden="1">#REF!</definedName>
    <definedName name="BExQ8469L3ZRZ3KYZPYMSJIDL7Y5" localSheetId="4" hidden="1">#REF!</definedName>
    <definedName name="BExQ8469L3ZRZ3KYZPYMSJIDL7Y5" localSheetId="1" hidden="1">#REF!</definedName>
    <definedName name="BExQ8469L3ZRZ3KYZPYMSJIDL7Y5" localSheetId="9" hidden="1">#REF!</definedName>
    <definedName name="BExQ8469L3ZRZ3KYZPYMSJIDL7Y5" hidden="1">#REF!</definedName>
    <definedName name="BExQ84MJB94HL3BWRN50M4NCB6Z0" localSheetId="56" hidden="1">#REF!</definedName>
    <definedName name="BExQ84MJB94HL3BWRN50M4NCB6Z0" localSheetId="55" hidden="1">#REF!</definedName>
    <definedName name="BExQ84MJB94HL3BWRN50M4NCB6Z0" localSheetId="4" hidden="1">#REF!</definedName>
    <definedName name="BExQ84MJB94HL3BWRN50M4NCB6Z0" localSheetId="1" hidden="1">#REF!</definedName>
    <definedName name="BExQ84MJB94HL3BWRN50M4NCB6Z0" localSheetId="9" hidden="1">#REF!</definedName>
    <definedName name="BExQ84MJB94HL3BWRN50M4NCB6Z0" hidden="1">#REF!</definedName>
    <definedName name="BExQ8583ZE00NW7T9OF11OT9IA14" localSheetId="56" hidden="1">#REF!</definedName>
    <definedName name="BExQ8583ZE00NW7T9OF11OT9IA14" localSheetId="55" hidden="1">#REF!</definedName>
    <definedName name="BExQ8583ZE00NW7T9OF11OT9IA14" localSheetId="4" hidden="1">#REF!</definedName>
    <definedName name="BExQ8583ZE00NW7T9OF11OT9IA14" localSheetId="1" hidden="1">#REF!</definedName>
    <definedName name="BExQ8583ZE00NW7T9OF11OT9IA14" localSheetId="9" hidden="1">#REF!</definedName>
    <definedName name="BExQ8583ZE00NW7T9OF11OT9IA14" hidden="1">#REF!</definedName>
    <definedName name="BExQ8A0RPE3IMIFIZLUE7KD2N21W" localSheetId="56" hidden="1">#REF!</definedName>
    <definedName name="BExQ8A0RPE3IMIFIZLUE7KD2N21W" localSheetId="55" hidden="1">#REF!</definedName>
    <definedName name="BExQ8A0RPE3IMIFIZLUE7KD2N21W" localSheetId="4" hidden="1">#REF!</definedName>
    <definedName name="BExQ8A0RPE3IMIFIZLUE7KD2N21W" localSheetId="1" hidden="1">#REF!</definedName>
    <definedName name="BExQ8A0RPE3IMIFIZLUE7KD2N21W" localSheetId="9" hidden="1">#REF!</definedName>
    <definedName name="BExQ8A0RPE3IMIFIZLUE7KD2N21W" hidden="1">#REF!</definedName>
    <definedName name="BExQ8ABK6H1ADV2R2OYT8NFFYG2N" localSheetId="56" hidden="1">#REF!</definedName>
    <definedName name="BExQ8ABK6H1ADV2R2OYT8NFFYG2N" localSheetId="55" hidden="1">#REF!</definedName>
    <definedName name="BExQ8ABK6H1ADV2R2OYT8NFFYG2N" localSheetId="4" hidden="1">#REF!</definedName>
    <definedName name="BExQ8ABK6H1ADV2R2OYT8NFFYG2N" localSheetId="1" hidden="1">#REF!</definedName>
    <definedName name="BExQ8ABK6H1ADV2R2OYT8NFFYG2N" localSheetId="9" hidden="1">#REF!</definedName>
    <definedName name="BExQ8ABK6H1ADV2R2OYT8NFFYG2N" hidden="1">#REF!</definedName>
    <definedName name="BExQ8DM90XJ6GCJIK9LC5O82I2TJ" localSheetId="56" hidden="1">#REF!</definedName>
    <definedName name="BExQ8DM90XJ6GCJIK9LC5O82I2TJ" localSheetId="55" hidden="1">#REF!</definedName>
    <definedName name="BExQ8DM90XJ6GCJIK9LC5O82I2TJ" localSheetId="4" hidden="1">#REF!</definedName>
    <definedName name="BExQ8DM90XJ6GCJIK9LC5O82I2TJ" localSheetId="1" hidden="1">#REF!</definedName>
    <definedName name="BExQ8DM90XJ6GCJIK9LC5O82I2TJ" localSheetId="9" hidden="1">#REF!</definedName>
    <definedName name="BExQ8DM90XJ6GCJIK9LC5O82I2TJ" hidden="1">#REF!</definedName>
    <definedName name="BExQ8G0K46ZORA0QVQTDI7Z8LXGF" localSheetId="56" hidden="1">#REF!</definedName>
    <definedName name="BExQ8G0K46ZORA0QVQTDI7Z8LXGF" localSheetId="55" hidden="1">#REF!</definedName>
    <definedName name="BExQ8G0K46ZORA0QVQTDI7Z8LXGF" localSheetId="4" hidden="1">#REF!</definedName>
    <definedName name="BExQ8G0K46ZORA0QVQTDI7Z8LXGF" localSheetId="1" hidden="1">#REF!</definedName>
    <definedName name="BExQ8G0K46ZORA0QVQTDI7Z8LXGF" localSheetId="9" hidden="1">#REF!</definedName>
    <definedName name="BExQ8G0K46ZORA0QVQTDI7Z8LXGF" hidden="1">#REF!</definedName>
    <definedName name="BExQ8O3WEU8HNTTGKTW5T0QSKCLP" localSheetId="56" hidden="1">#REF!</definedName>
    <definedName name="BExQ8O3WEU8HNTTGKTW5T0QSKCLP" localSheetId="55" hidden="1">#REF!</definedName>
    <definedName name="BExQ8O3WEU8HNTTGKTW5T0QSKCLP" localSheetId="4" hidden="1">#REF!</definedName>
    <definedName name="BExQ8O3WEU8HNTTGKTW5T0QSKCLP" localSheetId="1" hidden="1">#REF!</definedName>
    <definedName name="BExQ8O3WEU8HNTTGKTW5T0QSKCLP" localSheetId="9" hidden="1">#REF!</definedName>
    <definedName name="BExQ8O3WEU8HNTTGKTW5T0QSKCLP" hidden="1">#REF!</definedName>
    <definedName name="BExQ8ZCEDBOBJA3D9LDP5TU2WYGR" localSheetId="56" hidden="1">#REF!</definedName>
    <definedName name="BExQ8ZCEDBOBJA3D9LDP5TU2WYGR" localSheetId="55" hidden="1">#REF!</definedName>
    <definedName name="BExQ8ZCEDBOBJA3D9LDP5TU2WYGR" localSheetId="4" hidden="1">#REF!</definedName>
    <definedName name="BExQ8ZCEDBOBJA3D9LDP5TU2WYGR" localSheetId="1" hidden="1">#REF!</definedName>
    <definedName name="BExQ8ZCEDBOBJA3D9LDP5TU2WYGR" localSheetId="9" hidden="1">#REF!</definedName>
    <definedName name="BExQ8ZCEDBOBJA3D9LDP5TU2WYGR" hidden="1">#REF!</definedName>
    <definedName name="BExQ94LAW6MAQBWY25WTBFV5PPZJ" localSheetId="56" hidden="1">#REF!</definedName>
    <definedName name="BExQ94LAW6MAQBWY25WTBFV5PPZJ" localSheetId="55" hidden="1">#REF!</definedName>
    <definedName name="BExQ94LAW6MAQBWY25WTBFV5PPZJ" localSheetId="4" hidden="1">#REF!</definedName>
    <definedName name="BExQ94LAW6MAQBWY25WTBFV5PPZJ" localSheetId="1" hidden="1">#REF!</definedName>
    <definedName name="BExQ94LAW6MAQBWY25WTBFV5PPZJ" localSheetId="9" hidden="1">#REF!</definedName>
    <definedName name="BExQ94LAW6MAQBWY25WTBFV5PPZJ" hidden="1">#REF!</definedName>
    <definedName name="BExQ968K8V66L55PCVI3B4VR4FW6" localSheetId="56" hidden="1">#REF!</definedName>
    <definedName name="BExQ968K8V66L55PCVI3B4VR4FW6" localSheetId="55" hidden="1">#REF!</definedName>
    <definedName name="BExQ968K8V66L55PCVI3B4VR4FW6" localSheetId="4" hidden="1">#REF!</definedName>
    <definedName name="BExQ968K8V66L55PCVI3B4VR4FW6" localSheetId="1" hidden="1">#REF!</definedName>
    <definedName name="BExQ968K8V66L55PCVI3B4VR4FW6" localSheetId="9" hidden="1">#REF!</definedName>
    <definedName name="BExQ968K8V66L55PCVI3B4VR4FW6" hidden="1">#REF!</definedName>
    <definedName name="BExQ97QIPOSSRK978N8P234Y1XA4" localSheetId="56" hidden="1">#REF!</definedName>
    <definedName name="BExQ97QIPOSSRK978N8P234Y1XA4" localSheetId="55" hidden="1">#REF!</definedName>
    <definedName name="BExQ97QIPOSSRK978N8P234Y1XA4" localSheetId="4" hidden="1">#REF!</definedName>
    <definedName name="BExQ97QIPOSSRK978N8P234Y1XA4" localSheetId="1" hidden="1">#REF!</definedName>
    <definedName name="BExQ97QIPOSSRK978N8P234Y1XA4" localSheetId="9" hidden="1">#REF!</definedName>
    <definedName name="BExQ97QIPOSSRK978N8P234Y1XA4" hidden="1">#REF!</definedName>
    <definedName name="BExQ9DFHXLBKBS9DWH05G83SL12Z" localSheetId="56" hidden="1">#REF!</definedName>
    <definedName name="BExQ9DFHXLBKBS9DWH05G83SL12Z" localSheetId="55" hidden="1">#REF!</definedName>
    <definedName name="BExQ9DFHXLBKBS9DWH05G83SL12Z" localSheetId="4" hidden="1">#REF!</definedName>
    <definedName name="BExQ9DFHXLBKBS9DWH05G83SL12Z" localSheetId="1" hidden="1">#REF!</definedName>
    <definedName name="BExQ9DFHXLBKBS9DWH05G83SL12Z" localSheetId="9" hidden="1">#REF!</definedName>
    <definedName name="BExQ9DFHXLBKBS9DWH05G83SL12Z" hidden="1">#REF!</definedName>
    <definedName name="BExQ9E6FBAXTHGF3RXANFIA77GXP" localSheetId="56" hidden="1">#REF!</definedName>
    <definedName name="BExQ9E6FBAXTHGF3RXANFIA77GXP" localSheetId="55" hidden="1">#REF!</definedName>
    <definedName name="BExQ9E6FBAXTHGF3RXANFIA77GXP" localSheetId="4" hidden="1">#REF!</definedName>
    <definedName name="BExQ9E6FBAXTHGF3RXANFIA77GXP" localSheetId="1" hidden="1">#REF!</definedName>
    <definedName name="BExQ9E6FBAXTHGF3RXANFIA77GXP" localSheetId="9" hidden="1">#REF!</definedName>
    <definedName name="BExQ9E6FBAXTHGF3RXANFIA77GXP" hidden="1">#REF!</definedName>
    <definedName name="BExQ9J4ID0TGFFFJSQ9PFAMXOYZ1" localSheetId="56" hidden="1">#REF!</definedName>
    <definedName name="BExQ9J4ID0TGFFFJSQ9PFAMXOYZ1" localSheetId="55" hidden="1">#REF!</definedName>
    <definedName name="BExQ9J4ID0TGFFFJSQ9PFAMXOYZ1" localSheetId="4" hidden="1">#REF!</definedName>
    <definedName name="BExQ9J4ID0TGFFFJSQ9PFAMXOYZ1" localSheetId="1" hidden="1">#REF!</definedName>
    <definedName name="BExQ9J4ID0TGFFFJSQ9PFAMXOYZ1" localSheetId="9" hidden="1">#REF!</definedName>
    <definedName name="BExQ9J4ID0TGFFFJSQ9PFAMXOYZ1" hidden="1">#REF!</definedName>
    <definedName name="BExQ9KX9734KIAK7IMRLHCPYDHO2" localSheetId="56" hidden="1">#REF!</definedName>
    <definedName name="BExQ9KX9734KIAK7IMRLHCPYDHO2" localSheetId="55" hidden="1">#REF!</definedName>
    <definedName name="BExQ9KX9734KIAK7IMRLHCPYDHO2" localSheetId="4" hidden="1">#REF!</definedName>
    <definedName name="BExQ9KX9734KIAK7IMRLHCPYDHO2" localSheetId="1" hidden="1">#REF!</definedName>
    <definedName name="BExQ9KX9734KIAK7IMRLHCPYDHO2" localSheetId="9" hidden="1">#REF!</definedName>
    <definedName name="BExQ9KX9734KIAK7IMRLHCPYDHO2" hidden="1">#REF!</definedName>
    <definedName name="BExQ9L81FF4I7816VTPFBDWVU4CW" localSheetId="56" hidden="1">#REF!</definedName>
    <definedName name="BExQ9L81FF4I7816VTPFBDWVU4CW" localSheetId="55" hidden="1">#REF!</definedName>
    <definedName name="BExQ9L81FF4I7816VTPFBDWVU4CW" localSheetId="4" hidden="1">#REF!</definedName>
    <definedName name="BExQ9L81FF4I7816VTPFBDWVU4CW" localSheetId="1" hidden="1">#REF!</definedName>
    <definedName name="BExQ9L81FF4I7816VTPFBDWVU4CW" localSheetId="9" hidden="1">#REF!</definedName>
    <definedName name="BExQ9L81FF4I7816VTPFBDWVU4CW" hidden="1">#REF!</definedName>
    <definedName name="BExQ9M4E2ACZOWWWP1JJIQO8AHUM" localSheetId="56" hidden="1">#REF!</definedName>
    <definedName name="BExQ9M4E2ACZOWWWP1JJIQO8AHUM" localSheetId="55" hidden="1">#REF!</definedName>
    <definedName name="BExQ9M4E2ACZOWWWP1JJIQO8AHUM" localSheetId="4" hidden="1">#REF!</definedName>
    <definedName name="BExQ9M4E2ACZOWWWP1JJIQO8AHUM" localSheetId="1" hidden="1">#REF!</definedName>
    <definedName name="BExQ9M4E2ACZOWWWP1JJIQO8AHUM" localSheetId="9" hidden="1">#REF!</definedName>
    <definedName name="BExQ9M4E2ACZOWWWP1JJIQO8AHUM" hidden="1">#REF!</definedName>
    <definedName name="BExQ9TBCP5IJKSQLYEBE6FQLF16I" localSheetId="56" hidden="1">#REF!</definedName>
    <definedName name="BExQ9TBCP5IJKSQLYEBE6FQLF16I" localSheetId="55" hidden="1">#REF!</definedName>
    <definedName name="BExQ9TBCP5IJKSQLYEBE6FQLF16I" localSheetId="4" hidden="1">#REF!</definedName>
    <definedName name="BExQ9TBCP5IJKSQLYEBE6FQLF16I" localSheetId="1" hidden="1">#REF!</definedName>
    <definedName name="BExQ9TBCP5IJKSQLYEBE6FQLF16I" localSheetId="9" hidden="1">#REF!</definedName>
    <definedName name="BExQ9TBCP5IJKSQLYEBE6FQLF16I" hidden="1">#REF!</definedName>
    <definedName name="BExQ9UTANMJCK7LJ4OQMD6F2Q01L" localSheetId="56" hidden="1">#REF!</definedName>
    <definedName name="BExQ9UTANMJCK7LJ4OQMD6F2Q01L" localSheetId="55" hidden="1">#REF!</definedName>
    <definedName name="BExQ9UTANMJCK7LJ4OQMD6F2Q01L" localSheetId="4" hidden="1">#REF!</definedName>
    <definedName name="BExQ9UTANMJCK7LJ4OQMD6F2Q01L" localSheetId="1" hidden="1">#REF!</definedName>
    <definedName name="BExQ9UTANMJCK7LJ4OQMD6F2Q01L" localSheetId="9" hidden="1">#REF!</definedName>
    <definedName name="BExQ9UTANMJCK7LJ4OQMD6F2Q01L" hidden="1">#REF!</definedName>
    <definedName name="BExQ9ZLYHWABXAA9NJDW8ZS0UQ9P" localSheetId="45" hidden="1">#REF!</definedName>
    <definedName name="BExQ9ZLYHWABXAA9NJDW8ZS0UQ9P" localSheetId="51" hidden="1">#REF!</definedName>
    <definedName name="BExQ9ZLYHWABXAA9NJDW8ZS0UQ9P" localSheetId="52" hidden="1">#REF!</definedName>
    <definedName name="BExQ9ZLYHWABXAA9NJDW8ZS0UQ9P" localSheetId="56" hidden="1">#REF!</definedName>
    <definedName name="BExQ9ZLYHWABXAA9NJDW8ZS0UQ9P" localSheetId="55" hidden="1">#REF!</definedName>
    <definedName name="BExQ9ZLYHWABXAA9NJDW8ZS0UQ9P" localSheetId="53" hidden="1">#REF!</definedName>
    <definedName name="BExQ9ZLYHWABXAA9NJDW8ZS0UQ9P" localSheetId="54" hidden="1">#REF!</definedName>
    <definedName name="BExQ9ZLYHWABXAA9NJDW8ZS0UQ9P" localSheetId="4" hidden="1">#REF!</definedName>
    <definedName name="BExQ9ZLYHWABXAA9NJDW8ZS0UQ9P" localSheetId="1" hidden="1">#REF!</definedName>
    <definedName name="BExQ9ZLYHWABXAA9NJDW8ZS0UQ9P" localSheetId="9" hidden="1">#REF!</definedName>
    <definedName name="BExQ9ZLYHWABXAA9NJDW8ZS0UQ9P" hidden="1">#REF!</definedName>
    <definedName name="BExQ9ZWQ19KSRZNZNPY6ZNWEST1J" localSheetId="56" hidden="1">#REF!</definedName>
    <definedName name="BExQ9ZWQ19KSRZNZNPY6ZNWEST1J" localSheetId="55" hidden="1">#REF!</definedName>
    <definedName name="BExQ9ZWQ19KSRZNZNPY6ZNWEST1J" localSheetId="4" hidden="1">#REF!</definedName>
    <definedName name="BExQ9ZWQ19KSRZNZNPY6ZNWEST1J" localSheetId="1" hidden="1">#REF!</definedName>
    <definedName name="BExQ9ZWQ19KSRZNZNPY6ZNWEST1J" localSheetId="9" hidden="1">#REF!</definedName>
    <definedName name="BExQ9ZWQ19KSRZNZNPY6ZNWEST1J" hidden="1">#REF!</definedName>
    <definedName name="BExQA324HSCK40ENJUT9CS9EC71B" localSheetId="56" hidden="1">#REF!</definedName>
    <definedName name="BExQA324HSCK40ENJUT9CS9EC71B" localSheetId="55" hidden="1">#REF!</definedName>
    <definedName name="BExQA324HSCK40ENJUT9CS9EC71B" localSheetId="4" hidden="1">#REF!</definedName>
    <definedName name="BExQA324HSCK40ENJUT9CS9EC71B" localSheetId="1" hidden="1">#REF!</definedName>
    <definedName name="BExQA324HSCK40ENJUT9CS9EC71B" localSheetId="9" hidden="1">#REF!</definedName>
    <definedName name="BExQA324HSCK40ENJUT9CS9EC71B" hidden="1">#REF!</definedName>
    <definedName name="BExQA55GY0STSNBWQCWN8E31ZXCS" localSheetId="56" hidden="1">#REF!</definedName>
    <definedName name="BExQA55GY0STSNBWQCWN8E31ZXCS" localSheetId="55" hidden="1">#REF!</definedName>
    <definedName name="BExQA55GY0STSNBWQCWN8E31ZXCS" localSheetId="4" hidden="1">#REF!</definedName>
    <definedName name="BExQA55GY0STSNBWQCWN8E31ZXCS" localSheetId="1" hidden="1">#REF!</definedName>
    <definedName name="BExQA55GY0STSNBWQCWN8E31ZXCS" localSheetId="9" hidden="1">#REF!</definedName>
    <definedName name="BExQA55GY0STSNBWQCWN8E31ZXCS" hidden="1">#REF!</definedName>
    <definedName name="BExQA7URC7M82I0T9RUF90GCS15S" localSheetId="56" hidden="1">#REF!</definedName>
    <definedName name="BExQA7URC7M82I0T9RUF90GCS15S" localSheetId="55" hidden="1">#REF!</definedName>
    <definedName name="BExQA7URC7M82I0T9RUF90GCS15S" localSheetId="4" hidden="1">#REF!</definedName>
    <definedName name="BExQA7URC7M82I0T9RUF90GCS15S" localSheetId="1" hidden="1">#REF!</definedName>
    <definedName name="BExQA7URC7M82I0T9RUF90GCS15S" localSheetId="9" hidden="1">#REF!</definedName>
    <definedName name="BExQA7URC7M82I0T9RUF90GCS15S" hidden="1">#REF!</definedName>
    <definedName name="BExQA9HZIN9XEMHEEVHT99UU9Z82" localSheetId="56" hidden="1">#REF!</definedName>
    <definedName name="BExQA9HZIN9XEMHEEVHT99UU9Z82" localSheetId="55" hidden="1">#REF!</definedName>
    <definedName name="BExQA9HZIN9XEMHEEVHT99UU9Z82" localSheetId="4" hidden="1">#REF!</definedName>
    <definedName name="BExQA9HZIN9XEMHEEVHT99UU9Z82" localSheetId="1" hidden="1">#REF!</definedName>
    <definedName name="BExQA9HZIN9XEMHEEVHT99UU9Z82" localSheetId="9" hidden="1">#REF!</definedName>
    <definedName name="BExQA9HZIN9XEMHEEVHT99UU9Z82" hidden="1">#REF!</definedName>
    <definedName name="BExQAELFYH92K8CJL155181UDORO" localSheetId="56" hidden="1">#REF!</definedName>
    <definedName name="BExQAELFYH92K8CJL155181UDORO" localSheetId="55" hidden="1">#REF!</definedName>
    <definedName name="BExQAELFYH92K8CJL155181UDORO" localSheetId="4" hidden="1">#REF!</definedName>
    <definedName name="BExQAELFYH92K8CJL155181UDORO" localSheetId="1" hidden="1">#REF!</definedName>
    <definedName name="BExQAELFYH92K8CJL155181UDORO" localSheetId="9" hidden="1">#REF!</definedName>
    <definedName name="BExQAELFYH92K8CJL155181UDORO" hidden="1">#REF!</definedName>
    <definedName name="BExQAG8PP8R5NJKNQD1U4QOSD6X5" localSheetId="56" hidden="1">#REF!</definedName>
    <definedName name="BExQAG8PP8R5NJKNQD1U4QOSD6X5" localSheetId="55" hidden="1">#REF!</definedName>
    <definedName name="BExQAG8PP8R5NJKNQD1U4QOSD6X5" localSheetId="4" hidden="1">#REF!</definedName>
    <definedName name="BExQAG8PP8R5NJKNQD1U4QOSD6X5" localSheetId="1" hidden="1">#REF!</definedName>
    <definedName name="BExQAG8PP8R5NJKNQD1U4QOSD6X5" localSheetId="9" hidden="1">#REF!</definedName>
    <definedName name="BExQAG8PP8R5NJKNQD1U4QOSD6X5" hidden="1">#REF!</definedName>
    <definedName name="BExQAVTR32SDHZQ69KNYF6UXXKS2" localSheetId="56" hidden="1">#REF!</definedName>
    <definedName name="BExQAVTR32SDHZQ69KNYF6UXXKS2" localSheetId="55" hidden="1">#REF!</definedName>
    <definedName name="BExQAVTR32SDHZQ69KNYF6UXXKS2" localSheetId="4" hidden="1">#REF!</definedName>
    <definedName name="BExQAVTR32SDHZQ69KNYF6UXXKS2" localSheetId="1" hidden="1">#REF!</definedName>
    <definedName name="BExQAVTR32SDHZQ69KNYF6UXXKS2" localSheetId="9" hidden="1">#REF!</definedName>
    <definedName name="BExQAVTR32SDHZQ69KNYF6UXXKS2" hidden="1">#REF!</definedName>
    <definedName name="BExQBBETZJ7LHJ9CLAL3GEKQFEGR" localSheetId="56" hidden="1">#REF!</definedName>
    <definedName name="BExQBBETZJ7LHJ9CLAL3GEKQFEGR" localSheetId="55" hidden="1">#REF!</definedName>
    <definedName name="BExQBBETZJ7LHJ9CLAL3GEKQFEGR" localSheetId="4" hidden="1">#REF!</definedName>
    <definedName name="BExQBBETZJ7LHJ9CLAL3GEKQFEGR" localSheetId="1" hidden="1">#REF!</definedName>
    <definedName name="BExQBBETZJ7LHJ9CLAL3GEKQFEGR" localSheetId="9" hidden="1">#REF!</definedName>
    <definedName name="BExQBBETZJ7LHJ9CLAL3GEKQFEGR" hidden="1">#REF!</definedName>
    <definedName name="BExQBDICMZTSA1X73TMHNO4JSFLN" localSheetId="56" hidden="1">#REF!</definedName>
    <definedName name="BExQBDICMZTSA1X73TMHNO4JSFLN" localSheetId="55" hidden="1">#REF!</definedName>
    <definedName name="BExQBDICMZTSA1X73TMHNO4JSFLN" localSheetId="4" hidden="1">#REF!</definedName>
    <definedName name="BExQBDICMZTSA1X73TMHNO4JSFLN" localSheetId="1" hidden="1">#REF!</definedName>
    <definedName name="BExQBDICMZTSA1X73TMHNO4JSFLN" localSheetId="9" hidden="1">#REF!</definedName>
    <definedName name="BExQBDICMZTSA1X73TMHNO4JSFLN" hidden="1">#REF!</definedName>
    <definedName name="BExQBEER6CRCRPSSL61S0OMH57ZA" localSheetId="56" hidden="1">#REF!</definedName>
    <definedName name="BExQBEER6CRCRPSSL61S0OMH57ZA" localSheetId="55" hidden="1">#REF!</definedName>
    <definedName name="BExQBEER6CRCRPSSL61S0OMH57ZA" localSheetId="4" hidden="1">#REF!</definedName>
    <definedName name="BExQBEER6CRCRPSSL61S0OMH57ZA" localSheetId="1" hidden="1">#REF!</definedName>
    <definedName name="BExQBEER6CRCRPSSL61S0OMH57ZA" localSheetId="9" hidden="1">#REF!</definedName>
    <definedName name="BExQBEER6CRCRPSSL61S0OMH57ZA" hidden="1">#REF!</definedName>
    <definedName name="BExQBFR753FNBMC27WEQJT8UKANJ" localSheetId="56" hidden="1">#REF!</definedName>
    <definedName name="BExQBFR753FNBMC27WEQJT8UKANJ" localSheetId="55" hidden="1">#REF!</definedName>
    <definedName name="BExQBFR753FNBMC27WEQJT8UKANJ" localSheetId="4" hidden="1">#REF!</definedName>
    <definedName name="BExQBFR753FNBMC27WEQJT8UKANJ" localSheetId="1" hidden="1">#REF!</definedName>
    <definedName name="BExQBFR753FNBMC27WEQJT8UKANJ" localSheetId="9" hidden="1">#REF!</definedName>
    <definedName name="BExQBFR753FNBMC27WEQJT8UKANJ" hidden="1">#REF!</definedName>
    <definedName name="BExQBIGGY5TXI2FJVVZSLZ0LTZYH" localSheetId="56" hidden="1">#REF!</definedName>
    <definedName name="BExQBIGGY5TXI2FJVVZSLZ0LTZYH" localSheetId="55" hidden="1">#REF!</definedName>
    <definedName name="BExQBIGGY5TXI2FJVVZSLZ0LTZYH" localSheetId="4" hidden="1">#REF!</definedName>
    <definedName name="BExQBIGGY5TXI2FJVVZSLZ0LTZYH" localSheetId="1" hidden="1">#REF!</definedName>
    <definedName name="BExQBIGGY5TXI2FJVVZSLZ0LTZYH" localSheetId="9" hidden="1">#REF!</definedName>
    <definedName name="BExQBIGGY5TXI2FJVVZSLZ0LTZYH" hidden="1">#REF!</definedName>
    <definedName name="BExQBM1RUSIQ85LLMM2159BYDPIP" localSheetId="56" hidden="1">#REF!</definedName>
    <definedName name="BExQBM1RUSIQ85LLMM2159BYDPIP" localSheetId="55" hidden="1">#REF!</definedName>
    <definedName name="BExQBM1RUSIQ85LLMM2159BYDPIP" localSheetId="4" hidden="1">#REF!</definedName>
    <definedName name="BExQBM1RUSIQ85LLMM2159BYDPIP" localSheetId="1" hidden="1">#REF!</definedName>
    <definedName name="BExQBM1RUSIQ85LLMM2159BYDPIP" localSheetId="9" hidden="1">#REF!</definedName>
    <definedName name="BExQBM1RUSIQ85LLMM2159BYDPIP" hidden="1">#REF!</definedName>
    <definedName name="BExQBOWE543K7PGA5S7SVU2QKPM3" localSheetId="56" hidden="1">#REF!</definedName>
    <definedName name="BExQBOWE543K7PGA5S7SVU2QKPM3" localSheetId="55" hidden="1">#REF!</definedName>
    <definedName name="BExQBOWE543K7PGA5S7SVU2QKPM3" localSheetId="4" hidden="1">#REF!</definedName>
    <definedName name="BExQBOWE543K7PGA5S7SVU2QKPM3" localSheetId="1" hidden="1">#REF!</definedName>
    <definedName name="BExQBOWE543K7PGA5S7SVU2QKPM3" localSheetId="9" hidden="1">#REF!</definedName>
    <definedName name="BExQBOWE543K7PGA5S7SVU2QKPM3" hidden="1">#REF!</definedName>
    <definedName name="BExQBPSOZ47V81YAEURP0NQJNTJH" localSheetId="56" hidden="1">#REF!</definedName>
    <definedName name="BExQBPSOZ47V81YAEURP0NQJNTJH" localSheetId="55" hidden="1">#REF!</definedName>
    <definedName name="BExQBPSOZ47V81YAEURP0NQJNTJH" localSheetId="4" hidden="1">#REF!</definedName>
    <definedName name="BExQBPSOZ47V81YAEURP0NQJNTJH" localSheetId="1" hidden="1">#REF!</definedName>
    <definedName name="BExQBPSOZ47V81YAEURP0NQJNTJH" localSheetId="9" hidden="1">#REF!</definedName>
    <definedName name="BExQBPSOZ47V81YAEURP0NQJNTJH" hidden="1">#REF!</definedName>
    <definedName name="BExQC5TWT21CGBKD0IHAXTIN2QB8" localSheetId="56" hidden="1">#REF!</definedName>
    <definedName name="BExQC5TWT21CGBKD0IHAXTIN2QB8" localSheetId="55" hidden="1">#REF!</definedName>
    <definedName name="BExQC5TWT21CGBKD0IHAXTIN2QB8" localSheetId="4" hidden="1">#REF!</definedName>
    <definedName name="BExQC5TWT21CGBKD0IHAXTIN2QB8" localSheetId="1" hidden="1">#REF!</definedName>
    <definedName name="BExQC5TWT21CGBKD0IHAXTIN2QB8" localSheetId="9" hidden="1">#REF!</definedName>
    <definedName name="BExQC5TWT21CGBKD0IHAXTIN2QB8" hidden="1">#REF!</definedName>
    <definedName name="BExQC94JL9F5GW4S8DQCAF4WB2DA" localSheetId="56" hidden="1">#REF!</definedName>
    <definedName name="BExQC94JL9F5GW4S8DQCAF4WB2DA" localSheetId="55" hidden="1">#REF!</definedName>
    <definedName name="BExQC94JL9F5GW4S8DQCAF4WB2DA" localSheetId="4" hidden="1">#REF!</definedName>
    <definedName name="BExQC94JL9F5GW4S8DQCAF4WB2DA" localSheetId="1" hidden="1">#REF!</definedName>
    <definedName name="BExQC94JL9F5GW4S8DQCAF4WB2DA" localSheetId="9" hidden="1">#REF!</definedName>
    <definedName name="BExQC94JL9F5GW4S8DQCAF4WB2DA" hidden="1">#REF!</definedName>
    <definedName name="BExQCKTD8AT0824LGWREXM1B5D1X" localSheetId="56" hidden="1">#REF!</definedName>
    <definedName name="BExQCKTD8AT0824LGWREXM1B5D1X" localSheetId="55" hidden="1">#REF!</definedName>
    <definedName name="BExQCKTD8AT0824LGWREXM1B5D1X" localSheetId="4" hidden="1">#REF!</definedName>
    <definedName name="BExQCKTD8AT0824LGWREXM1B5D1X" localSheetId="1" hidden="1">#REF!</definedName>
    <definedName name="BExQCKTD8AT0824LGWREXM1B5D1X" localSheetId="9" hidden="1">#REF!</definedName>
    <definedName name="BExQCKTD8AT0824LGWREXM1B5D1X" hidden="1">#REF!</definedName>
    <definedName name="BExQCQ7KF4HVXSD72FF3DJGNNO3M" localSheetId="56" hidden="1">#REF!</definedName>
    <definedName name="BExQCQ7KF4HVXSD72FF3DJGNNO3M" localSheetId="55" hidden="1">#REF!</definedName>
    <definedName name="BExQCQ7KF4HVXSD72FF3DJGNNO3M" localSheetId="4" hidden="1">#REF!</definedName>
    <definedName name="BExQCQ7KF4HVXSD72FF3DJGNNO3M" localSheetId="1" hidden="1">#REF!</definedName>
    <definedName name="BExQCQ7KF4HVXSD72FF3DJGNNO3M" localSheetId="9" hidden="1">#REF!</definedName>
    <definedName name="BExQCQ7KF4HVXSD72FF3DJGNNO3M" hidden="1">#REF!</definedName>
    <definedName name="BExQCRPJXI0WNJUFFAC39C0PFUFK" localSheetId="56" hidden="1">#REF!</definedName>
    <definedName name="BExQCRPJXI0WNJUFFAC39C0PFUFK" localSheetId="55" hidden="1">#REF!</definedName>
    <definedName name="BExQCRPJXI0WNJUFFAC39C0PFUFK" localSheetId="4" hidden="1">#REF!</definedName>
    <definedName name="BExQCRPJXI0WNJUFFAC39C0PFUFK" localSheetId="1" hidden="1">#REF!</definedName>
    <definedName name="BExQCRPJXI0WNJUFFAC39C0PFUFK" localSheetId="9" hidden="1">#REF!</definedName>
    <definedName name="BExQCRPJXI0WNJUFFAC39C0PFUFK" hidden="1">#REF!</definedName>
    <definedName name="BExQD571YWOXKR2SX85K5MKQ0AO2" localSheetId="56" hidden="1">#REF!</definedName>
    <definedName name="BExQD571YWOXKR2SX85K5MKQ0AO2" localSheetId="55" hidden="1">#REF!</definedName>
    <definedName name="BExQD571YWOXKR2SX85K5MKQ0AO2" localSheetId="4" hidden="1">#REF!</definedName>
    <definedName name="BExQD571YWOXKR2SX85K5MKQ0AO2" localSheetId="1" hidden="1">#REF!</definedName>
    <definedName name="BExQD571YWOXKR2SX85K5MKQ0AO2" localSheetId="9" hidden="1">#REF!</definedName>
    <definedName name="BExQD571YWOXKR2SX85K5MKQ0AO2" hidden="1">#REF!</definedName>
    <definedName name="BExQDB6VCHN8PNX8EA6JNIEQ2JC2" localSheetId="56" hidden="1">#REF!</definedName>
    <definedName name="BExQDB6VCHN8PNX8EA6JNIEQ2JC2" localSheetId="55" hidden="1">#REF!</definedName>
    <definedName name="BExQDB6VCHN8PNX8EA6JNIEQ2JC2" localSheetId="4" hidden="1">#REF!</definedName>
    <definedName name="BExQDB6VCHN8PNX8EA6JNIEQ2JC2" localSheetId="1" hidden="1">#REF!</definedName>
    <definedName name="BExQDB6VCHN8PNX8EA6JNIEQ2JC2" localSheetId="9" hidden="1">#REF!</definedName>
    <definedName name="BExQDB6VCHN8PNX8EA6JNIEQ2JC2" hidden="1">#REF!</definedName>
    <definedName name="BExQDE1B6U2Q9B73KBENABP71YM1" localSheetId="56" hidden="1">#REF!</definedName>
    <definedName name="BExQDE1B6U2Q9B73KBENABP71YM1" localSheetId="55" hidden="1">#REF!</definedName>
    <definedName name="BExQDE1B6U2Q9B73KBENABP71YM1" localSheetId="4" hidden="1">#REF!</definedName>
    <definedName name="BExQDE1B6U2Q9B73KBENABP71YM1" localSheetId="1" hidden="1">#REF!</definedName>
    <definedName name="BExQDE1B6U2Q9B73KBENABP71YM1" localSheetId="9" hidden="1">#REF!</definedName>
    <definedName name="BExQDE1B6U2Q9B73KBENABP71YM1" hidden="1">#REF!</definedName>
    <definedName name="BExQDGQCN7ZW41QDUHOBJUGQAX40" localSheetId="56" hidden="1">#REF!</definedName>
    <definedName name="BExQDGQCN7ZW41QDUHOBJUGQAX40" localSheetId="55" hidden="1">#REF!</definedName>
    <definedName name="BExQDGQCN7ZW41QDUHOBJUGQAX40" localSheetId="4" hidden="1">#REF!</definedName>
    <definedName name="BExQDGQCN7ZW41QDUHOBJUGQAX40" localSheetId="1" hidden="1">#REF!</definedName>
    <definedName name="BExQDGQCN7ZW41QDUHOBJUGQAX40" localSheetId="9" hidden="1">#REF!</definedName>
    <definedName name="BExQDGQCN7ZW41QDUHOBJUGQAX40" hidden="1">#REF!</definedName>
    <definedName name="BExQED8ZZUEH0WRNOHXI7V9TVC8K" localSheetId="56" hidden="1">#REF!</definedName>
    <definedName name="BExQED8ZZUEH0WRNOHXI7V9TVC8K" localSheetId="55" hidden="1">#REF!</definedName>
    <definedName name="BExQED8ZZUEH0WRNOHXI7V9TVC8K" localSheetId="4" hidden="1">#REF!</definedName>
    <definedName name="BExQED8ZZUEH0WRNOHXI7V9TVC8K" localSheetId="1" hidden="1">#REF!</definedName>
    <definedName name="BExQED8ZZUEH0WRNOHXI7V9TVC8K" localSheetId="9" hidden="1">#REF!</definedName>
    <definedName name="BExQED8ZZUEH0WRNOHXI7V9TVC8K" hidden="1">#REF!</definedName>
    <definedName name="BExQEF1PIJIB9J24OB0M4X1WLBB0" localSheetId="56" hidden="1">#REF!</definedName>
    <definedName name="BExQEF1PIJIB9J24OB0M4X1WLBB0" localSheetId="55" hidden="1">#REF!</definedName>
    <definedName name="BExQEF1PIJIB9J24OB0M4X1WLBB0" localSheetId="4" hidden="1">#REF!</definedName>
    <definedName name="BExQEF1PIJIB9J24OB0M4X1WLBB0" localSheetId="1" hidden="1">#REF!</definedName>
    <definedName name="BExQEF1PIJIB9J24OB0M4X1WLBB0" localSheetId="9" hidden="1">#REF!</definedName>
    <definedName name="BExQEF1PIJIB9J24OB0M4X1WLBB0" hidden="1">#REF!</definedName>
    <definedName name="BExQEMUA4HEFM4OVO8M8MA8PIAW1" localSheetId="56" hidden="1">#REF!</definedName>
    <definedName name="BExQEMUA4HEFM4OVO8M8MA8PIAW1" localSheetId="55" hidden="1">#REF!</definedName>
    <definedName name="BExQEMUA4HEFM4OVO8M8MA8PIAW1" localSheetId="4" hidden="1">#REF!</definedName>
    <definedName name="BExQEMUA4HEFM4OVO8M8MA8PIAW1" localSheetId="1" hidden="1">#REF!</definedName>
    <definedName name="BExQEMUA4HEFM4OVO8M8MA8PIAW1" localSheetId="9" hidden="1">#REF!</definedName>
    <definedName name="BExQEMUA4HEFM4OVO8M8MA8PIAW1" hidden="1">#REF!</definedName>
    <definedName name="BExQEP38QPDKB85WG2WOL17IMB5S" localSheetId="56" hidden="1">#REF!</definedName>
    <definedName name="BExQEP38QPDKB85WG2WOL17IMB5S" localSheetId="55" hidden="1">#REF!</definedName>
    <definedName name="BExQEP38QPDKB85WG2WOL17IMB5S" localSheetId="4" hidden="1">#REF!</definedName>
    <definedName name="BExQEP38QPDKB85WG2WOL17IMB5S" localSheetId="1" hidden="1">#REF!</definedName>
    <definedName name="BExQEP38QPDKB85WG2WOL17IMB5S" localSheetId="9" hidden="1">#REF!</definedName>
    <definedName name="BExQEP38QPDKB85WG2WOL17IMB5S" hidden="1">#REF!</definedName>
    <definedName name="BExQEQ4XZQFIKUXNU9H7WE7AMZ1U" localSheetId="56" hidden="1">#REF!</definedName>
    <definedName name="BExQEQ4XZQFIKUXNU9H7WE7AMZ1U" localSheetId="55" hidden="1">#REF!</definedName>
    <definedName name="BExQEQ4XZQFIKUXNU9H7WE7AMZ1U" localSheetId="4" hidden="1">#REF!</definedName>
    <definedName name="BExQEQ4XZQFIKUXNU9H7WE7AMZ1U" localSheetId="1" hidden="1">#REF!</definedName>
    <definedName name="BExQEQ4XZQFIKUXNU9H7WE7AMZ1U" localSheetId="9" hidden="1">#REF!</definedName>
    <definedName name="BExQEQ4XZQFIKUXNU9H7WE7AMZ1U" hidden="1">#REF!</definedName>
    <definedName name="BExQF1OEB07CRAP6ALNNMJNJ3P2D" localSheetId="56" hidden="1">#REF!</definedName>
    <definedName name="BExQF1OEB07CRAP6ALNNMJNJ3P2D" localSheetId="55" hidden="1">#REF!</definedName>
    <definedName name="BExQF1OEB07CRAP6ALNNMJNJ3P2D" localSheetId="4" hidden="1">#REF!</definedName>
    <definedName name="BExQF1OEB07CRAP6ALNNMJNJ3P2D" localSheetId="1" hidden="1">#REF!</definedName>
    <definedName name="BExQF1OEB07CRAP6ALNNMJNJ3P2D" localSheetId="9" hidden="1">#REF!</definedName>
    <definedName name="BExQF1OEB07CRAP6ALNNMJNJ3P2D" hidden="1">#REF!</definedName>
    <definedName name="BExQF8KKL224NYD20XYLLM2RE7EW" localSheetId="56" hidden="1">#REF!</definedName>
    <definedName name="BExQF8KKL224NYD20XYLLM2RE7EW" localSheetId="55" hidden="1">#REF!</definedName>
    <definedName name="BExQF8KKL224NYD20XYLLM2RE7EW" localSheetId="4" hidden="1">#REF!</definedName>
    <definedName name="BExQF8KKL224NYD20XYLLM2RE7EW" localSheetId="1" hidden="1">#REF!</definedName>
    <definedName name="BExQF8KKL224NYD20XYLLM2RE7EW" localSheetId="9" hidden="1">#REF!</definedName>
    <definedName name="BExQF8KKL224NYD20XYLLM2RE7EW" hidden="1">#REF!</definedName>
    <definedName name="BExQF9X2AQPFJZTCHTU5PTTR0JAH" localSheetId="56" hidden="1">#REF!</definedName>
    <definedName name="BExQF9X2AQPFJZTCHTU5PTTR0JAH" localSheetId="55" hidden="1">#REF!</definedName>
    <definedName name="BExQF9X2AQPFJZTCHTU5PTTR0JAH" localSheetId="4" hidden="1">#REF!</definedName>
    <definedName name="BExQF9X2AQPFJZTCHTU5PTTR0JAH" localSheetId="1" hidden="1">#REF!</definedName>
    <definedName name="BExQF9X2AQPFJZTCHTU5PTTR0JAH" localSheetId="9" hidden="1">#REF!</definedName>
    <definedName name="BExQF9X2AQPFJZTCHTU5PTTR0JAH" hidden="1">#REF!</definedName>
    <definedName name="BExQFAINO9ODQZX6NSM8EBTRD04E" localSheetId="56" hidden="1">#REF!</definedName>
    <definedName name="BExQFAINO9ODQZX6NSM8EBTRD04E" localSheetId="55" hidden="1">#REF!</definedName>
    <definedName name="BExQFAINO9ODQZX6NSM8EBTRD04E" localSheetId="4" hidden="1">#REF!</definedName>
    <definedName name="BExQFAINO9ODQZX6NSM8EBTRD04E" localSheetId="1" hidden="1">#REF!</definedName>
    <definedName name="BExQFAINO9ODQZX6NSM8EBTRD04E" localSheetId="9" hidden="1">#REF!</definedName>
    <definedName name="BExQFAINO9ODQZX6NSM8EBTRD04E" hidden="1">#REF!</definedName>
    <definedName name="BExQFC0M9KKFMQKPLPEO2RQDB7MM" localSheetId="56" hidden="1">#REF!</definedName>
    <definedName name="BExQFC0M9KKFMQKPLPEO2RQDB7MM" localSheetId="55" hidden="1">#REF!</definedName>
    <definedName name="BExQFC0M9KKFMQKPLPEO2RQDB7MM" localSheetId="4" hidden="1">#REF!</definedName>
    <definedName name="BExQFC0M9KKFMQKPLPEO2RQDB7MM" localSheetId="1" hidden="1">#REF!</definedName>
    <definedName name="BExQFC0M9KKFMQKPLPEO2RQDB7MM" localSheetId="9" hidden="1">#REF!</definedName>
    <definedName name="BExQFC0M9KKFMQKPLPEO2RQDB7MM" hidden="1">#REF!</definedName>
    <definedName name="BExQFEEV7627R8TYZCM28C6V6WHE" localSheetId="56" hidden="1">#REF!</definedName>
    <definedName name="BExQFEEV7627R8TYZCM28C6V6WHE" localSheetId="55" hidden="1">#REF!</definedName>
    <definedName name="BExQFEEV7627R8TYZCM28C6V6WHE" localSheetId="4" hidden="1">#REF!</definedName>
    <definedName name="BExQFEEV7627R8TYZCM28C6V6WHE" localSheetId="1" hidden="1">#REF!</definedName>
    <definedName name="BExQFEEV7627R8TYZCM28C6V6WHE" localSheetId="9" hidden="1">#REF!</definedName>
    <definedName name="BExQFEEV7627R8TYZCM28C6V6WHE" hidden="1">#REF!</definedName>
    <definedName name="BExQFEK8NUD04X2OBRA275ADPSDL" localSheetId="56" hidden="1">#REF!</definedName>
    <definedName name="BExQFEK8NUD04X2OBRA275ADPSDL" localSheetId="55" hidden="1">#REF!</definedName>
    <definedName name="BExQFEK8NUD04X2OBRA275ADPSDL" localSheetId="4" hidden="1">#REF!</definedName>
    <definedName name="BExQFEK8NUD04X2OBRA275ADPSDL" localSheetId="1" hidden="1">#REF!</definedName>
    <definedName name="BExQFEK8NUD04X2OBRA275ADPSDL" localSheetId="9" hidden="1">#REF!</definedName>
    <definedName name="BExQFEK8NUD04X2OBRA275ADPSDL" hidden="1">#REF!</definedName>
    <definedName name="BExQFGYIWDR4W0YF7XR6E4EWWJ02" localSheetId="56" hidden="1">#REF!</definedName>
    <definedName name="BExQFGYIWDR4W0YF7XR6E4EWWJ02" localSheetId="55" hidden="1">#REF!</definedName>
    <definedName name="BExQFGYIWDR4W0YF7XR6E4EWWJ02" localSheetId="4" hidden="1">#REF!</definedName>
    <definedName name="BExQFGYIWDR4W0YF7XR6E4EWWJ02" localSheetId="1" hidden="1">#REF!</definedName>
    <definedName name="BExQFGYIWDR4W0YF7XR6E4EWWJ02" localSheetId="9" hidden="1">#REF!</definedName>
    <definedName name="BExQFGYIWDR4W0YF7XR6E4EWWJ02" hidden="1">#REF!</definedName>
    <definedName name="BExQFPNFKA36IAPS22LAUMBDI4KE" localSheetId="56" hidden="1">#REF!</definedName>
    <definedName name="BExQFPNFKA36IAPS22LAUMBDI4KE" localSheetId="55" hidden="1">#REF!</definedName>
    <definedName name="BExQFPNFKA36IAPS22LAUMBDI4KE" localSheetId="4" hidden="1">#REF!</definedName>
    <definedName name="BExQFPNFKA36IAPS22LAUMBDI4KE" localSheetId="1" hidden="1">#REF!</definedName>
    <definedName name="BExQFPNFKA36IAPS22LAUMBDI4KE" localSheetId="9" hidden="1">#REF!</definedName>
    <definedName name="BExQFPNFKA36IAPS22LAUMBDI4KE" hidden="1">#REF!</definedName>
    <definedName name="BExQFPSWEMA8WBUZ4WK20LR13VSU" localSheetId="56" hidden="1">#REF!</definedName>
    <definedName name="BExQFPSWEMA8WBUZ4WK20LR13VSU" localSheetId="55" hidden="1">#REF!</definedName>
    <definedName name="BExQFPSWEMA8WBUZ4WK20LR13VSU" localSheetId="4" hidden="1">#REF!</definedName>
    <definedName name="BExQFPSWEMA8WBUZ4WK20LR13VSU" localSheetId="1" hidden="1">#REF!</definedName>
    <definedName name="BExQFPSWEMA8WBUZ4WK20LR13VSU" localSheetId="9" hidden="1">#REF!</definedName>
    <definedName name="BExQFPSWEMA8WBUZ4WK20LR13VSU" hidden="1">#REF!</definedName>
    <definedName name="BExQFVSPOSCCPF1TLJPIWYWYB8A9" localSheetId="56" hidden="1">#REF!</definedName>
    <definedName name="BExQFVSPOSCCPF1TLJPIWYWYB8A9" localSheetId="55" hidden="1">#REF!</definedName>
    <definedName name="BExQFVSPOSCCPF1TLJPIWYWYB8A9" localSheetId="4" hidden="1">#REF!</definedName>
    <definedName name="BExQFVSPOSCCPF1TLJPIWYWYB8A9" localSheetId="1" hidden="1">#REF!</definedName>
    <definedName name="BExQFVSPOSCCPF1TLJPIWYWYB8A9" localSheetId="9" hidden="1">#REF!</definedName>
    <definedName name="BExQFVSPOSCCPF1TLJPIWYWYB8A9" hidden="1">#REF!</definedName>
    <definedName name="BExQFWJQXNQAW6LUMOEDS6KMJMYL" localSheetId="56" hidden="1">#REF!</definedName>
    <definedName name="BExQFWJQXNQAW6LUMOEDS6KMJMYL" localSheetId="55" hidden="1">#REF!</definedName>
    <definedName name="BExQFWJQXNQAW6LUMOEDS6KMJMYL" localSheetId="4" hidden="1">#REF!</definedName>
    <definedName name="BExQFWJQXNQAW6LUMOEDS6KMJMYL" localSheetId="1" hidden="1">#REF!</definedName>
    <definedName name="BExQFWJQXNQAW6LUMOEDS6KMJMYL" localSheetId="9" hidden="1">#REF!</definedName>
    <definedName name="BExQFWJQXNQAW6LUMOEDS6KMJMYL" hidden="1">#REF!</definedName>
    <definedName name="BExQG8TYRD2G42UA5ZPCRLNKUDMX" localSheetId="56" hidden="1">#REF!</definedName>
    <definedName name="BExQG8TYRD2G42UA5ZPCRLNKUDMX" localSheetId="55" hidden="1">#REF!</definedName>
    <definedName name="BExQG8TYRD2G42UA5ZPCRLNKUDMX" localSheetId="4" hidden="1">#REF!</definedName>
    <definedName name="BExQG8TYRD2G42UA5ZPCRLNKUDMX" localSheetId="1" hidden="1">#REF!</definedName>
    <definedName name="BExQG8TYRD2G42UA5ZPCRLNKUDMX" localSheetId="9" hidden="1">#REF!</definedName>
    <definedName name="BExQG8TYRD2G42UA5ZPCRLNKUDMX" hidden="1">#REF!</definedName>
    <definedName name="BExQGGBQ2CMSPV4NV4RA7NMBQER6" localSheetId="56" hidden="1">#REF!</definedName>
    <definedName name="BExQGGBQ2CMSPV4NV4RA7NMBQER6" localSheetId="55" hidden="1">#REF!</definedName>
    <definedName name="BExQGGBQ2CMSPV4NV4RA7NMBQER6" localSheetId="4" hidden="1">#REF!</definedName>
    <definedName name="BExQGGBQ2CMSPV4NV4RA7NMBQER6" localSheetId="1" hidden="1">#REF!</definedName>
    <definedName name="BExQGGBQ2CMSPV4NV4RA7NMBQER6" localSheetId="9" hidden="1">#REF!</definedName>
    <definedName name="BExQGGBQ2CMSPV4NV4RA7NMBQER6" hidden="1">#REF!</definedName>
    <definedName name="BExQGO48J9MPCDQ96RBB9UN9AIGT" localSheetId="56" hidden="1">#REF!</definedName>
    <definedName name="BExQGO48J9MPCDQ96RBB9UN9AIGT" localSheetId="55" hidden="1">#REF!</definedName>
    <definedName name="BExQGO48J9MPCDQ96RBB9UN9AIGT" localSheetId="4" hidden="1">#REF!</definedName>
    <definedName name="BExQGO48J9MPCDQ96RBB9UN9AIGT" localSheetId="1" hidden="1">#REF!</definedName>
    <definedName name="BExQGO48J9MPCDQ96RBB9UN9AIGT" localSheetId="9" hidden="1">#REF!</definedName>
    <definedName name="BExQGO48J9MPCDQ96RBB9UN9AIGT" hidden="1">#REF!</definedName>
    <definedName name="BExQGSBB6MJWDW7AYWA0MSFTXKRR" localSheetId="56" hidden="1">#REF!</definedName>
    <definedName name="BExQGSBB6MJWDW7AYWA0MSFTXKRR" localSheetId="55" hidden="1">#REF!</definedName>
    <definedName name="BExQGSBB6MJWDW7AYWA0MSFTXKRR" localSheetId="4" hidden="1">#REF!</definedName>
    <definedName name="BExQGSBB6MJWDW7AYWA0MSFTXKRR" localSheetId="1" hidden="1">#REF!</definedName>
    <definedName name="BExQGSBB6MJWDW7AYWA0MSFTXKRR" localSheetId="9" hidden="1">#REF!</definedName>
    <definedName name="BExQGSBB6MJWDW7AYWA0MSFTXKRR" hidden="1">#REF!</definedName>
    <definedName name="BExQH0UURAJ13AVO5UI04HSRGVYW" localSheetId="56" hidden="1">#REF!</definedName>
    <definedName name="BExQH0UURAJ13AVO5UI04HSRGVYW" localSheetId="55" hidden="1">#REF!</definedName>
    <definedName name="BExQH0UURAJ13AVO5UI04HSRGVYW" localSheetId="4" hidden="1">#REF!</definedName>
    <definedName name="BExQH0UURAJ13AVO5UI04HSRGVYW" localSheetId="1" hidden="1">#REF!</definedName>
    <definedName name="BExQH0UURAJ13AVO5UI04HSRGVYW" localSheetId="9" hidden="1">#REF!</definedName>
    <definedName name="BExQH0UURAJ13AVO5UI04HSRGVYW" hidden="1">#REF!</definedName>
    <definedName name="BExQH5I0FUT0822E2ITR6M5724UF" localSheetId="56" hidden="1">#REF!</definedName>
    <definedName name="BExQH5I0FUT0822E2ITR6M5724UF" localSheetId="55" hidden="1">#REF!</definedName>
    <definedName name="BExQH5I0FUT0822E2ITR6M5724UF" localSheetId="4" hidden="1">#REF!</definedName>
    <definedName name="BExQH5I0FUT0822E2ITR6M5724UF" localSheetId="1" hidden="1">#REF!</definedName>
    <definedName name="BExQH5I0FUT0822E2ITR6M5724UF" localSheetId="9" hidden="1">#REF!</definedName>
    <definedName name="BExQH5I0FUT0822E2ITR6M5724UF" hidden="1">#REF!</definedName>
    <definedName name="BExQH6ZZY0NR8SE48PSI9D0CU1TC" localSheetId="56" hidden="1">#REF!</definedName>
    <definedName name="BExQH6ZZY0NR8SE48PSI9D0CU1TC" localSheetId="55" hidden="1">#REF!</definedName>
    <definedName name="BExQH6ZZY0NR8SE48PSI9D0CU1TC" localSheetId="4" hidden="1">#REF!</definedName>
    <definedName name="BExQH6ZZY0NR8SE48PSI9D0CU1TC" localSheetId="1" hidden="1">#REF!</definedName>
    <definedName name="BExQH6ZZY0NR8SE48PSI9D0CU1TC" localSheetId="9" hidden="1">#REF!</definedName>
    <definedName name="BExQH6ZZY0NR8SE48PSI9D0CU1TC" hidden="1">#REF!</definedName>
    <definedName name="BExQH9P2MCXAJOVEO4GFQT6MNW22" localSheetId="56" hidden="1">#REF!</definedName>
    <definedName name="BExQH9P2MCXAJOVEO4GFQT6MNW22" localSheetId="55" hidden="1">#REF!</definedName>
    <definedName name="BExQH9P2MCXAJOVEO4GFQT6MNW22" localSheetId="4" hidden="1">#REF!</definedName>
    <definedName name="BExQH9P2MCXAJOVEO4GFQT6MNW22" localSheetId="1" hidden="1">#REF!</definedName>
    <definedName name="BExQH9P2MCXAJOVEO4GFQT6MNW22" localSheetId="9" hidden="1">#REF!</definedName>
    <definedName name="BExQH9P2MCXAJOVEO4GFQT6MNW22" hidden="1">#REF!</definedName>
    <definedName name="BExQHCZSBYUY8OKKJXFYWKBBM6AH" localSheetId="56" hidden="1">#REF!</definedName>
    <definedName name="BExQHCZSBYUY8OKKJXFYWKBBM6AH" localSheetId="55" hidden="1">#REF!</definedName>
    <definedName name="BExQHCZSBYUY8OKKJXFYWKBBM6AH" localSheetId="4" hidden="1">#REF!</definedName>
    <definedName name="BExQHCZSBYUY8OKKJXFYWKBBM6AH" localSheetId="1" hidden="1">#REF!</definedName>
    <definedName name="BExQHCZSBYUY8OKKJXFYWKBBM6AH" localSheetId="9" hidden="1">#REF!</definedName>
    <definedName name="BExQHCZSBYUY8OKKJXFYWKBBM6AH" hidden="1">#REF!</definedName>
    <definedName name="BExQHML1J3V7M9VZ3S2S198637RP" localSheetId="56" hidden="1">#REF!</definedName>
    <definedName name="BExQHML1J3V7M9VZ3S2S198637RP" localSheetId="55" hidden="1">#REF!</definedName>
    <definedName name="BExQHML1J3V7M9VZ3S2S198637RP" localSheetId="4" hidden="1">#REF!</definedName>
    <definedName name="BExQHML1J3V7M9VZ3S2S198637RP" localSheetId="1" hidden="1">#REF!</definedName>
    <definedName name="BExQHML1J3V7M9VZ3S2S198637RP" localSheetId="9" hidden="1">#REF!</definedName>
    <definedName name="BExQHML1J3V7M9VZ3S2S198637RP" hidden="1">#REF!</definedName>
    <definedName name="BExQHPKXZ1K33V2F90NZIQRZYIAW" localSheetId="56" hidden="1">#REF!</definedName>
    <definedName name="BExQHPKXZ1K33V2F90NZIQRZYIAW" localSheetId="55" hidden="1">#REF!</definedName>
    <definedName name="BExQHPKXZ1K33V2F90NZIQRZYIAW" localSheetId="4" hidden="1">#REF!</definedName>
    <definedName name="BExQHPKXZ1K33V2F90NZIQRZYIAW" localSheetId="1" hidden="1">#REF!</definedName>
    <definedName name="BExQHPKXZ1K33V2F90NZIQRZYIAW" localSheetId="9" hidden="1">#REF!</definedName>
    <definedName name="BExQHPKXZ1K33V2F90NZIQRZYIAW" hidden="1">#REF!</definedName>
    <definedName name="BExQHRDNW8YFGT2B35K9CYSS1VAI" localSheetId="56" hidden="1">#REF!</definedName>
    <definedName name="BExQHRDNW8YFGT2B35K9CYSS1VAI" localSheetId="55" hidden="1">#REF!</definedName>
    <definedName name="BExQHRDNW8YFGT2B35K9CYSS1VAI" localSheetId="4" hidden="1">#REF!</definedName>
    <definedName name="BExQHRDNW8YFGT2B35K9CYSS1VAI" localSheetId="1" hidden="1">#REF!</definedName>
    <definedName name="BExQHRDNW8YFGT2B35K9CYSS1VAI" localSheetId="9" hidden="1">#REF!</definedName>
    <definedName name="BExQHRDNW8YFGT2B35K9CYSS1VAI" hidden="1">#REF!</definedName>
    <definedName name="BExQHRZ9FBLUG6G6CC88UZA6V39L" localSheetId="56" hidden="1">#REF!</definedName>
    <definedName name="BExQHRZ9FBLUG6G6CC88UZA6V39L" localSheetId="55" hidden="1">#REF!</definedName>
    <definedName name="BExQHRZ9FBLUG6G6CC88UZA6V39L" localSheetId="4" hidden="1">#REF!</definedName>
    <definedName name="BExQHRZ9FBLUG6G6CC88UZA6V39L" localSheetId="1" hidden="1">#REF!</definedName>
    <definedName name="BExQHRZ9FBLUG6G6CC88UZA6V39L" localSheetId="9" hidden="1">#REF!</definedName>
    <definedName name="BExQHRZ9FBLUG6G6CC88UZA6V39L" hidden="1">#REF!</definedName>
    <definedName name="BExQHVF9KD06AG2RXUQJ9X4PVGX4" localSheetId="56" hidden="1">#REF!</definedName>
    <definedName name="BExQHVF9KD06AG2RXUQJ9X4PVGX4" localSheetId="55" hidden="1">#REF!</definedName>
    <definedName name="BExQHVF9KD06AG2RXUQJ9X4PVGX4" localSheetId="4" hidden="1">#REF!</definedName>
    <definedName name="BExQHVF9KD06AG2RXUQJ9X4PVGX4" localSheetId="1" hidden="1">#REF!</definedName>
    <definedName name="BExQHVF9KD06AG2RXUQJ9X4PVGX4" localSheetId="9" hidden="1">#REF!</definedName>
    <definedName name="BExQHVF9KD06AG2RXUQJ9X4PVGX4" hidden="1">#REF!</definedName>
    <definedName name="BExQHZBHVN2L4HC7ACTR73T5OCV0" localSheetId="56" hidden="1">#REF!</definedName>
    <definedName name="BExQHZBHVN2L4HC7ACTR73T5OCV0" localSheetId="55" hidden="1">#REF!</definedName>
    <definedName name="BExQHZBHVN2L4HC7ACTR73T5OCV0" localSheetId="4" hidden="1">#REF!</definedName>
    <definedName name="BExQHZBHVN2L4HC7ACTR73T5OCV0" localSheetId="1" hidden="1">#REF!</definedName>
    <definedName name="BExQHZBHVN2L4HC7ACTR73T5OCV0" localSheetId="9" hidden="1">#REF!</definedName>
    <definedName name="BExQHZBHVN2L4HC7ACTR73T5OCV0" hidden="1">#REF!</definedName>
    <definedName name="BExQI3O3BBL6MXZNJD1S3UD8WBUU" localSheetId="56" hidden="1">#REF!</definedName>
    <definedName name="BExQI3O3BBL6MXZNJD1S3UD8WBUU" localSheetId="55" hidden="1">#REF!</definedName>
    <definedName name="BExQI3O3BBL6MXZNJD1S3UD8WBUU" localSheetId="4" hidden="1">#REF!</definedName>
    <definedName name="BExQI3O3BBL6MXZNJD1S3UD8WBUU" localSheetId="1" hidden="1">#REF!</definedName>
    <definedName name="BExQI3O3BBL6MXZNJD1S3UD8WBUU" localSheetId="9" hidden="1">#REF!</definedName>
    <definedName name="BExQI3O3BBL6MXZNJD1S3UD8WBUU" hidden="1">#REF!</definedName>
    <definedName name="BExQI7431UOEBYKYPVVMNXBZ2ZP2" localSheetId="56" hidden="1">#REF!</definedName>
    <definedName name="BExQI7431UOEBYKYPVVMNXBZ2ZP2" localSheetId="55" hidden="1">#REF!</definedName>
    <definedName name="BExQI7431UOEBYKYPVVMNXBZ2ZP2" localSheetId="4" hidden="1">#REF!</definedName>
    <definedName name="BExQI7431UOEBYKYPVVMNXBZ2ZP2" localSheetId="1" hidden="1">#REF!</definedName>
    <definedName name="BExQI7431UOEBYKYPVVMNXBZ2ZP2" localSheetId="9" hidden="1">#REF!</definedName>
    <definedName name="BExQI7431UOEBYKYPVVMNXBZ2ZP2" hidden="1">#REF!</definedName>
    <definedName name="BExQI85V9TNLDJT5LTRZS10Y26SG" localSheetId="56" hidden="1">#REF!</definedName>
    <definedName name="BExQI85V9TNLDJT5LTRZS10Y26SG" localSheetId="55" hidden="1">#REF!</definedName>
    <definedName name="BExQI85V9TNLDJT5LTRZS10Y26SG" localSheetId="4" hidden="1">#REF!</definedName>
    <definedName name="BExQI85V9TNLDJT5LTRZS10Y26SG" localSheetId="1" hidden="1">#REF!</definedName>
    <definedName name="BExQI85V9TNLDJT5LTRZS10Y26SG" localSheetId="9" hidden="1">#REF!</definedName>
    <definedName name="BExQI85V9TNLDJT5LTRZS10Y26SG" hidden="1">#REF!</definedName>
    <definedName name="BExQI9ICYVAAXE7L1BQSE1VWSQA9" localSheetId="56" hidden="1">#REF!</definedName>
    <definedName name="BExQI9ICYVAAXE7L1BQSE1VWSQA9" localSheetId="55" hidden="1">#REF!</definedName>
    <definedName name="BExQI9ICYVAAXE7L1BQSE1VWSQA9" localSheetId="4" hidden="1">#REF!</definedName>
    <definedName name="BExQI9ICYVAAXE7L1BQSE1VWSQA9" localSheetId="1" hidden="1">#REF!</definedName>
    <definedName name="BExQI9ICYVAAXE7L1BQSE1VWSQA9" localSheetId="9" hidden="1">#REF!</definedName>
    <definedName name="BExQI9ICYVAAXE7L1BQSE1VWSQA9" hidden="1">#REF!</definedName>
    <definedName name="BExQIAPKHVEV8CU1L3TTHJW67FJ5" localSheetId="56" hidden="1">#REF!</definedName>
    <definedName name="BExQIAPKHVEV8CU1L3TTHJW67FJ5" localSheetId="55" hidden="1">#REF!</definedName>
    <definedName name="BExQIAPKHVEV8CU1L3TTHJW67FJ5" localSheetId="4" hidden="1">#REF!</definedName>
    <definedName name="BExQIAPKHVEV8CU1L3TTHJW67FJ5" localSheetId="1" hidden="1">#REF!</definedName>
    <definedName name="BExQIAPKHVEV8CU1L3TTHJW67FJ5" localSheetId="9" hidden="1">#REF!</definedName>
    <definedName name="BExQIAPKHVEV8CU1L3TTHJW67FJ5" hidden="1">#REF!</definedName>
    <definedName name="BExQIAV02RGEQG6AF0CWXU3MS9BZ" localSheetId="56" hidden="1">#REF!</definedName>
    <definedName name="BExQIAV02RGEQG6AF0CWXU3MS9BZ" localSheetId="55" hidden="1">#REF!</definedName>
    <definedName name="BExQIAV02RGEQG6AF0CWXU3MS9BZ" localSheetId="4" hidden="1">#REF!</definedName>
    <definedName name="BExQIAV02RGEQG6AF0CWXU3MS9BZ" localSheetId="1" hidden="1">#REF!</definedName>
    <definedName name="BExQIAV02RGEQG6AF0CWXU3MS9BZ" localSheetId="9" hidden="1">#REF!</definedName>
    <definedName name="BExQIAV02RGEQG6AF0CWXU3MS9BZ" hidden="1">#REF!</definedName>
    <definedName name="BExQIBB4I3Z6AUU0HYV1DHRS13M4" localSheetId="56" hidden="1">#REF!</definedName>
    <definedName name="BExQIBB4I3Z6AUU0HYV1DHRS13M4" localSheetId="55" hidden="1">#REF!</definedName>
    <definedName name="BExQIBB4I3Z6AUU0HYV1DHRS13M4" localSheetId="4" hidden="1">#REF!</definedName>
    <definedName name="BExQIBB4I3Z6AUU0HYV1DHRS13M4" localSheetId="1" hidden="1">#REF!</definedName>
    <definedName name="BExQIBB4I3Z6AUU0HYV1DHRS13M4" localSheetId="9" hidden="1">#REF!</definedName>
    <definedName name="BExQIBB4I3Z6AUU0HYV1DHRS13M4" hidden="1">#REF!</definedName>
    <definedName name="BExQIBWPAXU7HJZLKGJZY3EB7MIS" localSheetId="56" hidden="1">#REF!</definedName>
    <definedName name="BExQIBWPAXU7HJZLKGJZY3EB7MIS" localSheetId="55" hidden="1">#REF!</definedName>
    <definedName name="BExQIBWPAXU7HJZLKGJZY3EB7MIS" localSheetId="4" hidden="1">#REF!</definedName>
    <definedName name="BExQIBWPAXU7HJZLKGJZY3EB7MIS" localSheetId="1" hidden="1">#REF!</definedName>
    <definedName name="BExQIBWPAXU7HJZLKGJZY3EB7MIS" localSheetId="9" hidden="1">#REF!</definedName>
    <definedName name="BExQIBWPAXU7HJZLKGJZY3EB7MIS" hidden="1">#REF!</definedName>
    <definedName name="BExQIHLP9AT969BKBF22IGW76GLI" localSheetId="56" hidden="1">#REF!</definedName>
    <definedName name="BExQIHLP9AT969BKBF22IGW76GLI" localSheetId="55" hidden="1">#REF!</definedName>
    <definedName name="BExQIHLP9AT969BKBF22IGW76GLI" localSheetId="4" hidden="1">#REF!</definedName>
    <definedName name="BExQIHLP9AT969BKBF22IGW76GLI" localSheetId="1" hidden="1">#REF!</definedName>
    <definedName name="BExQIHLP9AT969BKBF22IGW76GLI" localSheetId="9" hidden="1">#REF!</definedName>
    <definedName name="BExQIHLP9AT969BKBF22IGW76GLI" hidden="1">#REF!</definedName>
    <definedName name="BExQIS8O6R36CI01XRY9ISM99TW9" localSheetId="56" hidden="1">#REF!</definedName>
    <definedName name="BExQIS8O6R36CI01XRY9ISM99TW9" localSheetId="55" hidden="1">#REF!</definedName>
    <definedName name="BExQIS8O6R36CI01XRY9ISM99TW9" localSheetId="4" hidden="1">#REF!</definedName>
    <definedName name="BExQIS8O6R36CI01XRY9ISM99TW9" localSheetId="1" hidden="1">#REF!</definedName>
    <definedName name="BExQIS8O6R36CI01XRY9ISM99TW9" localSheetId="9" hidden="1">#REF!</definedName>
    <definedName name="BExQIS8O6R36CI01XRY9ISM99TW9" hidden="1">#REF!</definedName>
    <definedName name="BExQIVJB9MJ25NDUHTCVMSODJY2C" localSheetId="56" hidden="1">#REF!</definedName>
    <definedName name="BExQIVJB9MJ25NDUHTCVMSODJY2C" localSheetId="55" hidden="1">#REF!</definedName>
    <definedName name="BExQIVJB9MJ25NDUHTCVMSODJY2C" localSheetId="4" hidden="1">#REF!</definedName>
    <definedName name="BExQIVJB9MJ25NDUHTCVMSODJY2C" localSheetId="1" hidden="1">#REF!</definedName>
    <definedName name="BExQIVJB9MJ25NDUHTCVMSODJY2C" localSheetId="9" hidden="1">#REF!</definedName>
    <definedName name="BExQIVJB9MJ25NDUHTCVMSODJY2C" hidden="1">#REF!</definedName>
    <definedName name="BExQIWAEMVTWAU39DWIXT17K2A9Z" localSheetId="56" hidden="1">#REF!</definedName>
    <definedName name="BExQIWAEMVTWAU39DWIXT17K2A9Z" localSheetId="55" hidden="1">#REF!</definedName>
    <definedName name="BExQIWAEMVTWAU39DWIXT17K2A9Z" localSheetId="4" hidden="1">#REF!</definedName>
    <definedName name="BExQIWAEMVTWAU39DWIXT17K2A9Z" localSheetId="1" hidden="1">#REF!</definedName>
    <definedName name="BExQIWAEMVTWAU39DWIXT17K2A9Z" localSheetId="9" hidden="1">#REF!</definedName>
    <definedName name="BExQIWAEMVTWAU39DWIXT17K2A9Z" hidden="1">#REF!</definedName>
    <definedName name="BExQJ72T8UR0U461ZLEGOOEPCDIG" localSheetId="56" hidden="1">#REF!</definedName>
    <definedName name="BExQJ72T8UR0U461ZLEGOOEPCDIG" localSheetId="55" hidden="1">#REF!</definedName>
    <definedName name="BExQJ72T8UR0U461ZLEGOOEPCDIG" localSheetId="4" hidden="1">#REF!</definedName>
    <definedName name="BExQJ72T8UR0U461ZLEGOOEPCDIG" localSheetId="1" hidden="1">#REF!</definedName>
    <definedName name="BExQJ72T8UR0U461ZLEGOOEPCDIG" localSheetId="9" hidden="1">#REF!</definedName>
    <definedName name="BExQJ72T8UR0U461ZLEGOOEPCDIG" hidden="1">#REF!</definedName>
    <definedName name="BExQJAZ2QDORCR0K8PR9VHQZ4Y3P" localSheetId="56" hidden="1">#REF!</definedName>
    <definedName name="BExQJAZ2QDORCR0K8PR9VHQZ4Y3P" localSheetId="55" hidden="1">#REF!</definedName>
    <definedName name="BExQJAZ2QDORCR0K8PR9VHQZ4Y3P" localSheetId="4" hidden="1">#REF!</definedName>
    <definedName name="BExQJAZ2QDORCR0K8PR9VHQZ4Y3P" localSheetId="1" hidden="1">#REF!</definedName>
    <definedName name="BExQJAZ2QDORCR0K8PR9VHQZ4Y3P" localSheetId="9" hidden="1">#REF!</definedName>
    <definedName name="BExQJAZ2QDORCR0K8PR9VHQZ4Y3P" hidden="1">#REF!</definedName>
    <definedName name="BExQJBF7LAX128WR7VTMJC88ZLPG" localSheetId="56" hidden="1">#REF!</definedName>
    <definedName name="BExQJBF7LAX128WR7VTMJC88ZLPG" localSheetId="55" hidden="1">#REF!</definedName>
    <definedName name="BExQJBF7LAX128WR7VTMJC88ZLPG" localSheetId="4" hidden="1">#REF!</definedName>
    <definedName name="BExQJBF7LAX128WR7VTMJC88ZLPG" localSheetId="1" hidden="1">#REF!</definedName>
    <definedName name="BExQJBF7LAX128WR7VTMJC88ZLPG" localSheetId="9" hidden="1">#REF!</definedName>
    <definedName name="BExQJBF7LAX128WR7VTMJC88ZLPG" hidden="1">#REF!</definedName>
    <definedName name="BExQJEVCKX6KZHNCLYXY7D0MX5KN" localSheetId="56" hidden="1">#REF!</definedName>
    <definedName name="BExQJEVCKX6KZHNCLYXY7D0MX5KN" localSheetId="55" hidden="1">#REF!</definedName>
    <definedName name="BExQJEVCKX6KZHNCLYXY7D0MX5KN" localSheetId="4" hidden="1">#REF!</definedName>
    <definedName name="BExQJEVCKX6KZHNCLYXY7D0MX5KN" localSheetId="1" hidden="1">#REF!</definedName>
    <definedName name="BExQJEVCKX6KZHNCLYXY7D0MX5KN" localSheetId="9" hidden="1">#REF!</definedName>
    <definedName name="BExQJEVCKX6KZHNCLYXY7D0MX5KN" hidden="1">#REF!</definedName>
    <definedName name="BExQJJYSDX8B0J1QGF2HL071KKA3" localSheetId="56" hidden="1">#REF!</definedName>
    <definedName name="BExQJJYSDX8B0J1QGF2HL071KKA3" localSheetId="55" hidden="1">#REF!</definedName>
    <definedName name="BExQJJYSDX8B0J1QGF2HL071KKA3" localSheetId="4" hidden="1">#REF!</definedName>
    <definedName name="BExQJJYSDX8B0J1QGF2HL071KKA3" localSheetId="1" hidden="1">#REF!</definedName>
    <definedName name="BExQJJYSDX8B0J1QGF2HL071KKA3" localSheetId="9" hidden="1">#REF!</definedName>
    <definedName name="BExQJJYSDX8B0J1QGF2HL071KKA3" hidden="1">#REF!</definedName>
    <definedName name="BExQK1HV6SQQ7CP8H8IUKI9TYXTD" localSheetId="56" hidden="1">#REF!</definedName>
    <definedName name="BExQK1HV6SQQ7CP8H8IUKI9TYXTD" localSheetId="55" hidden="1">#REF!</definedName>
    <definedName name="BExQK1HV6SQQ7CP8H8IUKI9TYXTD" localSheetId="4" hidden="1">#REF!</definedName>
    <definedName name="BExQK1HV6SQQ7CP8H8IUKI9TYXTD" localSheetId="1" hidden="1">#REF!</definedName>
    <definedName name="BExQK1HV6SQQ7CP8H8IUKI9TYXTD" localSheetId="9" hidden="1">#REF!</definedName>
    <definedName name="BExQK1HV6SQQ7CP8H8IUKI9TYXTD" hidden="1">#REF!</definedName>
    <definedName name="BExQK3LE5CSBW1E4H4KHW548FL2R" localSheetId="56" hidden="1">#REF!</definedName>
    <definedName name="BExQK3LE5CSBW1E4H4KHW548FL2R" localSheetId="55" hidden="1">#REF!</definedName>
    <definedName name="BExQK3LE5CSBW1E4H4KHW548FL2R" localSheetId="4" hidden="1">#REF!</definedName>
    <definedName name="BExQK3LE5CSBW1E4H4KHW548FL2R" localSheetId="1" hidden="1">#REF!</definedName>
    <definedName name="BExQK3LE5CSBW1E4H4KHW548FL2R" localSheetId="9" hidden="1">#REF!</definedName>
    <definedName name="BExQK3LE5CSBW1E4H4KHW548FL2R" hidden="1">#REF!</definedName>
    <definedName name="BExQKG6LD6PLNDGNGO9DJXY865BR" localSheetId="56" hidden="1">#REF!</definedName>
    <definedName name="BExQKG6LD6PLNDGNGO9DJXY865BR" localSheetId="55" hidden="1">#REF!</definedName>
    <definedName name="BExQKG6LD6PLNDGNGO9DJXY865BR" localSheetId="4" hidden="1">#REF!</definedName>
    <definedName name="BExQKG6LD6PLNDGNGO9DJXY865BR" localSheetId="1" hidden="1">#REF!</definedName>
    <definedName name="BExQKG6LD6PLNDGNGO9DJXY865BR" localSheetId="9" hidden="1">#REF!</definedName>
    <definedName name="BExQKG6LD6PLNDGNGO9DJXY865BR" hidden="1">#REF!</definedName>
    <definedName name="BExQKUKG8I4CGS9QYSD0H7NHP4JN" localSheetId="56" hidden="1">#REF!</definedName>
    <definedName name="BExQKUKG8I4CGS9QYSD0H7NHP4JN" localSheetId="55" hidden="1">#REF!</definedName>
    <definedName name="BExQKUKG8I4CGS9QYSD0H7NHP4JN" localSheetId="4" hidden="1">#REF!</definedName>
    <definedName name="BExQKUKG8I4CGS9QYSD0H7NHP4JN" localSheetId="1" hidden="1">#REF!</definedName>
    <definedName name="BExQKUKG8I4CGS9QYSD0H7NHP4JN" localSheetId="9" hidden="1">#REF!</definedName>
    <definedName name="BExQKUKG8I4CGS9QYSD0H7NHP4JN" hidden="1">#REF!</definedName>
    <definedName name="BExQL2NSE8OYZFXQH8A23RMVMFW7" localSheetId="56" hidden="1">#REF!</definedName>
    <definedName name="BExQL2NSE8OYZFXQH8A23RMVMFW7" localSheetId="55" hidden="1">#REF!</definedName>
    <definedName name="BExQL2NSE8OYZFXQH8A23RMVMFW7" localSheetId="4" hidden="1">#REF!</definedName>
    <definedName name="BExQL2NSE8OYZFXQH8A23RMVMFW7" localSheetId="1" hidden="1">#REF!</definedName>
    <definedName name="BExQL2NSE8OYZFXQH8A23RMVMFW7" localSheetId="9" hidden="1">#REF!</definedName>
    <definedName name="BExQL2NSE8OYZFXQH8A23RMVMFW7" hidden="1">#REF!</definedName>
    <definedName name="BExQLE1TOW3A287TQB0AVWENT8O1" localSheetId="56" hidden="1">#REF!</definedName>
    <definedName name="BExQLE1TOW3A287TQB0AVWENT8O1" localSheetId="55" hidden="1">#REF!</definedName>
    <definedName name="BExQLE1TOW3A287TQB0AVWENT8O1" localSheetId="4" hidden="1">#REF!</definedName>
    <definedName name="BExQLE1TOW3A287TQB0AVWENT8O1" localSheetId="1" hidden="1">#REF!</definedName>
    <definedName name="BExQLE1TOW3A287TQB0AVWENT8O1" localSheetId="9" hidden="1">#REF!</definedName>
    <definedName name="BExQLE1TOW3A287TQB0AVWENT8O1" hidden="1">#REF!</definedName>
    <definedName name="BExRYOYB4A3E5F6MTROY69LR0PMG" localSheetId="56" hidden="1">#REF!</definedName>
    <definedName name="BExRYOYB4A3E5F6MTROY69LR0PMG" localSheetId="55" hidden="1">#REF!</definedName>
    <definedName name="BExRYOYB4A3E5F6MTROY69LR0PMG" localSheetId="4" hidden="1">#REF!</definedName>
    <definedName name="BExRYOYB4A3E5F6MTROY69LR0PMG" localSheetId="1" hidden="1">#REF!</definedName>
    <definedName name="BExRYOYB4A3E5F6MTROY69LR0PMG" localSheetId="9" hidden="1">#REF!</definedName>
    <definedName name="BExRYOYB4A3E5F6MTROY69LR0PMG" hidden="1">#REF!</definedName>
    <definedName name="BExRYZLA9EW71H4SXQR525S72LLP" localSheetId="56" hidden="1">#REF!</definedName>
    <definedName name="BExRYZLA9EW71H4SXQR525S72LLP" localSheetId="55" hidden="1">#REF!</definedName>
    <definedName name="BExRYZLA9EW71H4SXQR525S72LLP" localSheetId="4" hidden="1">#REF!</definedName>
    <definedName name="BExRYZLA9EW71H4SXQR525S72LLP" localSheetId="1" hidden="1">#REF!</definedName>
    <definedName name="BExRYZLA9EW71H4SXQR525S72LLP" localSheetId="9" hidden="1">#REF!</definedName>
    <definedName name="BExRYZLA9EW71H4SXQR525S72LLP" hidden="1">#REF!</definedName>
    <definedName name="BExRZ66M8G9FQ0VFP077QSZBSOA5" localSheetId="56" hidden="1">#REF!</definedName>
    <definedName name="BExRZ66M8G9FQ0VFP077QSZBSOA5" localSheetId="55" hidden="1">#REF!</definedName>
    <definedName name="BExRZ66M8G9FQ0VFP077QSZBSOA5" localSheetId="4" hidden="1">#REF!</definedName>
    <definedName name="BExRZ66M8G9FQ0VFP077QSZBSOA5" localSheetId="1" hidden="1">#REF!</definedName>
    <definedName name="BExRZ66M8G9FQ0VFP077QSZBSOA5" localSheetId="9" hidden="1">#REF!</definedName>
    <definedName name="BExRZ66M8G9FQ0VFP077QSZBSOA5" hidden="1">#REF!</definedName>
    <definedName name="BExRZ8FMQQL46I8AQWU17LRNZD5T" localSheetId="56" hidden="1">#REF!</definedName>
    <definedName name="BExRZ8FMQQL46I8AQWU17LRNZD5T" localSheetId="55" hidden="1">#REF!</definedName>
    <definedName name="BExRZ8FMQQL46I8AQWU17LRNZD5T" localSheetId="4" hidden="1">#REF!</definedName>
    <definedName name="BExRZ8FMQQL46I8AQWU17LRNZD5T" localSheetId="1" hidden="1">#REF!</definedName>
    <definedName name="BExRZ8FMQQL46I8AQWU17LRNZD5T" localSheetId="9" hidden="1">#REF!</definedName>
    <definedName name="BExRZ8FMQQL46I8AQWU17LRNZD5T" hidden="1">#REF!</definedName>
    <definedName name="BExRZIRRIXRUMZ5GOO95S7460BMP" localSheetId="56" hidden="1">#REF!</definedName>
    <definedName name="BExRZIRRIXRUMZ5GOO95S7460BMP" localSheetId="55" hidden="1">#REF!</definedName>
    <definedName name="BExRZIRRIXRUMZ5GOO95S7460BMP" localSheetId="4" hidden="1">#REF!</definedName>
    <definedName name="BExRZIRRIXRUMZ5GOO95S7460BMP" localSheetId="1" hidden="1">#REF!</definedName>
    <definedName name="BExRZIRRIXRUMZ5GOO95S7460BMP" localSheetId="9" hidden="1">#REF!</definedName>
    <definedName name="BExRZIRRIXRUMZ5GOO95S7460BMP" hidden="1">#REF!</definedName>
    <definedName name="BExRZJTNBKKPK7SB4LA31O3OH6PO" localSheetId="56" hidden="1">#REF!</definedName>
    <definedName name="BExRZJTNBKKPK7SB4LA31O3OH6PO" localSheetId="55" hidden="1">#REF!</definedName>
    <definedName name="BExRZJTNBKKPK7SB4LA31O3OH6PO" localSheetId="4" hidden="1">#REF!</definedName>
    <definedName name="BExRZJTNBKKPK7SB4LA31O3OH6PO" localSheetId="1" hidden="1">#REF!</definedName>
    <definedName name="BExRZJTNBKKPK7SB4LA31O3OH6PO" localSheetId="9" hidden="1">#REF!</definedName>
    <definedName name="BExRZJTNBKKPK7SB4LA31O3OH6PO" hidden="1">#REF!</definedName>
    <definedName name="BExRZK9RAHMM0ZLTNSK7A4LDC42D" localSheetId="56" hidden="1">#REF!</definedName>
    <definedName name="BExRZK9RAHMM0ZLTNSK7A4LDC42D" localSheetId="55" hidden="1">#REF!</definedName>
    <definedName name="BExRZK9RAHMM0ZLTNSK7A4LDC42D" localSheetId="4" hidden="1">#REF!</definedName>
    <definedName name="BExRZK9RAHMM0ZLTNSK7A4LDC42D" localSheetId="1" hidden="1">#REF!</definedName>
    <definedName name="BExRZK9RAHMM0ZLTNSK7A4LDC42D" localSheetId="9" hidden="1">#REF!</definedName>
    <definedName name="BExRZK9RAHMM0ZLTNSK7A4LDC42D" hidden="1">#REF!</definedName>
    <definedName name="BExRZNF461H0WDF36L3U0UQSJGZB" localSheetId="56" hidden="1">#REF!</definedName>
    <definedName name="BExRZNF461H0WDF36L3U0UQSJGZB" localSheetId="55" hidden="1">#REF!</definedName>
    <definedName name="BExRZNF461H0WDF36L3U0UQSJGZB" localSheetId="4" hidden="1">#REF!</definedName>
    <definedName name="BExRZNF461H0WDF36L3U0UQSJGZB" localSheetId="1" hidden="1">#REF!</definedName>
    <definedName name="BExRZNF461H0WDF36L3U0UQSJGZB" localSheetId="9" hidden="1">#REF!</definedName>
    <definedName name="BExRZNF461H0WDF36L3U0UQSJGZB" hidden="1">#REF!</definedName>
    <definedName name="BExRZOGSR69INI6GAEPHDWSNK5Q4" localSheetId="56" hidden="1">#REF!</definedName>
    <definedName name="BExRZOGSR69INI6GAEPHDWSNK5Q4" localSheetId="55" hidden="1">#REF!</definedName>
    <definedName name="BExRZOGSR69INI6GAEPHDWSNK5Q4" localSheetId="4" hidden="1">#REF!</definedName>
    <definedName name="BExRZOGSR69INI6GAEPHDWSNK5Q4" localSheetId="1" hidden="1">#REF!</definedName>
    <definedName name="BExRZOGSR69INI6GAEPHDWSNK5Q4" localSheetId="9" hidden="1">#REF!</definedName>
    <definedName name="BExRZOGSR69INI6GAEPHDWSNK5Q4" hidden="1">#REF!</definedName>
    <definedName name="BExS0ASQBKRTPDWFK0KUDFOS9LE5" localSheetId="56" hidden="1">#REF!</definedName>
    <definedName name="BExS0ASQBKRTPDWFK0KUDFOS9LE5" localSheetId="55" hidden="1">#REF!</definedName>
    <definedName name="BExS0ASQBKRTPDWFK0KUDFOS9LE5" localSheetId="4" hidden="1">#REF!</definedName>
    <definedName name="BExS0ASQBKRTPDWFK0KUDFOS9LE5" localSheetId="1" hidden="1">#REF!</definedName>
    <definedName name="BExS0ASQBKRTPDWFK0KUDFOS9LE5" localSheetId="9" hidden="1">#REF!</definedName>
    <definedName name="BExS0ASQBKRTPDWFK0KUDFOS9LE5" hidden="1">#REF!</definedName>
    <definedName name="BExS0GHQUF6YT0RU3TKDEO8CSJYB" localSheetId="56" hidden="1">#REF!</definedName>
    <definedName name="BExS0GHQUF6YT0RU3TKDEO8CSJYB" localSheetId="55" hidden="1">#REF!</definedName>
    <definedName name="BExS0GHQUF6YT0RU3TKDEO8CSJYB" localSheetId="4" hidden="1">#REF!</definedName>
    <definedName name="BExS0GHQUF6YT0RU3TKDEO8CSJYB" localSheetId="1" hidden="1">#REF!</definedName>
    <definedName name="BExS0GHQUF6YT0RU3TKDEO8CSJYB" localSheetId="9" hidden="1">#REF!</definedName>
    <definedName name="BExS0GHQUF6YT0RU3TKDEO8CSJYB" hidden="1">#REF!</definedName>
    <definedName name="BExS0K8IHC45I78DMZBOJ1P13KQA" localSheetId="56" hidden="1">#REF!</definedName>
    <definedName name="BExS0K8IHC45I78DMZBOJ1P13KQA" localSheetId="55" hidden="1">#REF!</definedName>
    <definedName name="BExS0K8IHC45I78DMZBOJ1P13KQA" localSheetId="4" hidden="1">#REF!</definedName>
    <definedName name="BExS0K8IHC45I78DMZBOJ1P13KQA" localSheetId="1" hidden="1">#REF!</definedName>
    <definedName name="BExS0K8IHC45I78DMZBOJ1P13KQA" localSheetId="9" hidden="1">#REF!</definedName>
    <definedName name="BExS0K8IHC45I78DMZBOJ1P13KQA" hidden="1">#REF!</definedName>
    <definedName name="BExS0L4WP69XXUFHED98XIEPB593" localSheetId="56" hidden="1">#REF!</definedName>
    <definedName name="BExS0L4WP69XXUFHED98XIEPB593" localSheetId="55" hidden="1">#REF!</definedName>
    <definedName name="BExS0L4WP69XXUFHED98XIEPB593" localSheetId="4" hidden="1">#REF!</definedName>
    <definedName name="BExS0L4WP69XXUFHED98XIEPB593" localSheetId="1" hidden="1">#REF!</definedName>
    <definedName name="BExS0L4WP69XXUFHED98XIEPB593" localSheetId="9" hidden="1">#REF!</definedName>
    <definedName name="BExS0L4WP69XXUFHED98XIEPB593" hidden="1">#REF!</definedName>
    <definedName name="BExS0Z2O2N4AJXFEPN87NU9ZGAHG" localSheetId="56" hidden="1">#REF!</definedName>
    <definedName name="BExS0Z2O2N4AJXFEPN87NU9ZGAHG" localSheetId="55" hidden="1">#REF!</definedName>
    <definedName name="BExS0Z2O2N4AJXFEPN87NU9ZGAHG" localSheetId="4" hidden="1">#REF!</definedName>
    <definedName name="BExS0Z2O2N4AJXFEPN87NU9ZGAHG" localSheetId="1" hidden="1">#REF!</definedName>
    <definedName name="BExS0Z2O2N4AJXFEPN87NU9ZGAHG" localSheetId="9" hidden="1">#REF!</definedName>
    <definedName name="BExS0Z2O2N4AJXFEPN87NU9ZGAHG" hidden="1">#REF!</definedName>
    <definedName name="BExS15IJV0WW662NXQUVT3FGP4ST" localSheetId="56" hidden="1">#REF!</definedName>
    <definedName name="BExS15IJV0WW662NXQUVT3FGP4ST" localSheetId="55" hidden="1">#REF!</definedName>
    <definedName name="BExS15IJV0WW662NXQUVT3FGP4ST" localSheetId="4" hidden="1">#REF!</definedName>
    <definedName name="BExS15IJV0WW662NXQUVT3FGP4ST" localSheetId="1" hidden="1">#REF!</definedName>
    <definedName name="BExS15IJV0WW662NXQUVT3FGP4ST" localSheetId="9" hidden="1">#REF!</definedName>
    <definedName name="BExS15IJV0WW662NXQUVT3FGP4ST" hidden="1">#REF!</definedName>
    <definedName name="BExS18T8TBNEPF4AU1VJ268XLF3L" localSheetId="56" hidden="1">#REF!</definedName>
    <definedName name="BExS18T8TBNEPF4AU1VJ268XLF3L" localSheetId="55" hidden="1">#REF!</definedName>
    <definedName name="BExS18T8TBNEPF4AU1VJ268XLF3L" localSheetId="4" hidden="1">#REF!</definedName>
    <definedName name="BExS18T8TBNEPF4AU1VJ268XLF3L" localSheetId="1" hidden="1">#REF!</definedName>
    <definedName name="BExS18T8TBNEPF4AU1VJ268XLF3L" localSheetId="9" hidden="1">#REF!</definedName>
    <definedName name="BExS18T8TBNEPF4AU1VJ268XLF3L" hidden="1">#REF!</definedName>
    <definedName name="BExS194110MR25BYJI3CJ2EGZ8XT" localSheetId="56" hidden="1">#REF!</definedName>
    <definedName name="BExS194110MR25BYJI3CJ2EGZ8XT" localSheetId="55" hidden="1">#REF!</definedName>
    <definedName name="BExS194110MR25BYJI3CJ2EGZ8XT" localSheetId="4" hidden="1">#REF!</definedName>
    <definedName name="BExS194110MR25BYJI3CJ2EGZ8XT" localSheetId="1" hidden="1">#REF!</definedName>
    <definedName name="BExS194110MR25BYJI3CJ2EGZ8XT" localSheetId="9" hidden="1">#REF!</definedName>
    <definedName name="BExS194110MR25BYJI3CJ2EGZ8XT" hidden="1">#REF!</definedName>
    <definedName name="BExS1BNVGNSGD4EP90QL8WXYWZ66" localSheetId="56" hidden="1">#REF!</definedName>
    <definedName name="BExS1BNVGNSGD4EP90QL8WXYWZ66" localSheetId="55" hidden="1">#REF!</definedName>
    <definedName name="BExS1BNVGNSGD4EP90QL8WXYWZ66" localSheetId="4" hidden="1">#REF!</definedName>
    <definedName name="BExS1BNVGNSGD4EP90QL8WXYWZ66" localSheetId="1" hidden="1">#REF!</definedName>
    <definedName name="BExS1BNVGNSGD4EP90QL8WXYWZ66" localSheetId="9" hidden="1">#REF!</definedName>
    <definedName name="BExS1BNVGNSGD4EP90QL8WXYWZ66" hidden="1">#REF!</definedName>
    <definedName name="BExS1UE39N6NCND7MAARSBWXS6HU" localSheetId="56" hidden="1">#REF!</definedName>
    <definedName name="BExS1UE39N6NCND7MAARSBWXS6HU" localSheetId="55" hidden="1">#REF!</definedName>
    <definedName name="BExS1UE39N6NCND7MAARSBWXS6HU" localSheetId="4" hidden="1">#REF!</definedName>
    <definedName name="BExS1UE39N6NCND7MAARSBWXS6HU" localSheetId="1" hidden="1">#REF!</definedName>
    <definedName name="BExS1UE39N6NCND7MAARSBWXS6HU" localSheetId="9" hidden="1">#REF!</definedName>
    <definedName name="BExS1UE39N6NCND7MAARSBWXS6HU" hidden="1">#REF!</definedName>
    <definedName name="BExS226HTWL5WVC76MP5A1IBI8WD" localSheetId="56" hidden="1">#REF!</definedName>
    <definedName name="BExS226HTWL5WVC76MP5A1IBI8WD" localSheetId="55" hidden="1">#REF!</definedName>
    <definedName name="BExS226HTWL5WVC76MP5A1IBI8WD" localSheetId="4" hidden="1">#REF!</definedName>
    <definedName name="BExS226HTWL5WVC76MP5A1IBI8WD" localSheetId="1" hidden="1">#REF!</definedName>
    <definedName name="BExS226HTWL5WVC76MP5A1IBI8WD" localSheetId="9" hidden="1">#REF!</definedName>
    <definedName name="BExS226HTWL5WVC76MP5A1IBI8WD" hidden="1">#REF!</definedName>
    <definedName name="BExS26OI2QNNAH2WMDD95Z400048" localSheetId="56" hidden="1">#REF!</definedName>
    <definedName name="BExS26OI2QNNAH2WMDD95Z400048" localSheetId="55" hidden="1">#REF!</definedName>
    <definedName name="BExS26OI2QNNAH2WMDD95Z400048" localSheetId="4" hidden="1">#REF!</definedName>
    <definedName name="BExS26OI2QNNAH2WMDD95Z400048" localSheetId="1" hidden="1">#REF!</definedName>
    <definedName name="BExS26OI2QNNAH2WMDD95Z400048" localSheetId="9" hidden="1">#REF!</definedName>
    <definedName name="BExS26OI2QNNAH2WMDD95Z400048" hidden="1">#REF!</definedName>
    <definedName name="BExS2D4EI622QRKZKVDPRE66M4XA" localSheetId="56" hidden="1">#REF!</definedName>
    <definedName name="BExS2D4EI622QRKZKVDPRE66M4XA" localSheetId="55" hidden="1">#REF!</definedName>
    <definedName name="BExS2D4EI622QRKZKVDPRE66M4XA" localSheetId="4" hidden="1">#REF!</definedName>
    <definedName name="BExS2D4EI622QRKZKVDPRE66M4XA" localSheetId="1" hidden="1">#REF!</definedName>
    <definedName name="BExS2D4EI622QRKZKVDPRE66M4XA" localSheetId="9" hidden="1">#REF!</definedName>
    <definedName name="BExS2D4EI622QRKZKVDPRE66M4XA" hidden="1">#REF!</definedName>
    <definedName name="BExS2DF6B4ZUF3VZLI4G6LJ3BF38" localSheetId="56" hidden="1">#REF!</definedName>
    <definedName name="BExS2DF6B4ZUF3VZLI4G6LJ3BF38" localSheetId="55" hidden="1">#REF!</definedName>
    <definedName name="BExS2DF6B4ZUF3VZLI4G6LJ3BF38" localSheetId="4" hidden="1">#REF!</definedName>
    <definedName name="BExS2DF6B4ZUF3VZLI4G6LJ3BF38" localSheetId="1" hidden="1">#REF!</definedName>
    <definedName name="BExS2DF6B4ZUF3VZLI4G6LJ3BF38" localSheetId="9" hidden="1">#REF!</definedName>
    <definedName name="BExS2DF6B4ZUF3VZLI4G6LJ3BF38" hidden="1">#REF!</definedName>
    <definedName name="BExS2GKEA6VM3PDWKD7XI0KRUHTW" localSheetId="56" hidden="1">#REF!</definedName>
    <definedName name="BExS2GKEA6VM3PDWKD7XI0KRUHTW" localSheetId="55" hidden="1">#REF!</definedName>
    <definedName name="BExS2GKEA6VM3PDWKD7XI0KRUHTW" localSheetId="4" hidden="1">#REF!</definedName>
    <definedName name="BExS2GKEA6VM3PDWKD7XI0KRUHTW" localSheetId="1" hidden="1">#REF!</definedName>
    <definedName name="BExS2GKEA6VM3PDWKD7XI0KRUHTW" localSheetId="9" hidden="1">#REF!</definedName>
    <definedName name="BExS2GKEA6VM3PDWKD7XI0KRUHTW" hidden="1">#REF!</definedName>
    <definedName name="BExS2I2HVU314TXI2DYFRY8XV913" localSheetId="56" hidden="1">#REF!</definedName>
    <definedName name="BExS2I2HVU314TXI2DYFRY8XV913" localSheetId="55" hidden="1">#REF!</definedName>
    <definedName name="BExS2I2HVU314TXI2DYFRY8XV913" localSheetId="4" hidden="1">#REF!</definedName>
    <definedName name="BExS2I2HVU314TXI2DYFRY8XV913" localSheetId="1" hidden="1">#REF!</definedName>
    <definedName name="BExS2I2HVU314TXI2DYFRY8XV913" localSheetId="9" hidden="1">#REF!</definedName>
    <definedName name="BExS2I2HVU314TXI2DYFRY8XV913" hidden="1">#REF!</definedName>
    <definedName name="BExS2QB5FS5LYTFYO4BROTWG3OV5" localSheetId="56" hidden="1">#REF!</definedName>
    <definedName name="BExS2QB5FS5LYTFYO4BROTWG3OV5" localSheetId="55" hidden="1">#REF!</definedName>
    <definedName name="BExS2QB5FS5LYTFYO4BROTWG3OV5" localSheetId="4" hidden="1">#REF!</definedName>
    <definedName name="BExS2QB5FS5LYTFYO4BROTWG3OV5" localSheetId="1" hidden="1">#REF!</definedName>
    <definedName name="BExS2QB5FS5LYTFYO4BROTWG3OV5" localSheetId="9" hidden="1">#REF!</definedName>
    <definedName name="BExS2QB5FS5LYTFYO4BROTWG3OV5" hidden="1">#REF!</definedName>
    <definedName name="BExS2TLU1HONYV6S3ZD9T12D7CIG" localSheetId="56" hidden="1">#REF!</definedName>
    <definedName name="BExS2TLU1HONYV6S3ZD9T12D7CIG" localSheetId="55" hidden="1">#REF!</definedName>
    <definedName name="BExS2TLU1HONYV6S3ZD9T12D7CIG" localSheetId="4" hidden="1">#REF!</definedName>
    <definedName name="BExS2TLU1HONYV6S3ZD9T12D7CIG" localSheetId="1" hidden="1">#REF!</definedName>
    <definedName name="BExS2TLU1HONYV6S3ZD9T12D7CIG" localSheetId="9" hidden="1">#REF!</definedName>
    <definedName name="BExS2TLU1HONYV6S3ZD9T12D7CIG" hidden="1">#REF!</definedName>
    <definedName name="BExS2WLQUVBRZJWQTWUU4CYDY4IN" localSheetId="56" hidden="1">#REF!</definedName>
    <definedName name="BExS2WLQUVBRZJWQTWUU4CYDY4IN" localSheetId="55" hidden="1">#REF!</definedName>
    <definedName name="BExS2WLQUVBRZJWQTWUU4CYDY4IN" localSheetId="4" hidden="1">#REF!</definedName>
    <definedName name="BExS2WLQUVBRZJWQTWUU4CYDY4IN" localSheetId="1" hidden="1">#REF!</definedName>
    <definedName name="BExS2WLQUVBRZJWQTWUU4CYDY4IN" localSheetId="9" hidden="1">#REF!</definedName>
    <definedName name="BExS2WLQUVBRZJWQTWUU4CYDY4IN" hidden="1">#REF!</definedName>
    <definedName name="BExS2YJQV4NUX6135T90Z1Y5R26Q" localSheetId="56" hidden="1">#REF!</definedName>
    <definedName name="BExS2YJQV4NUX6135T90Z1Y5R26Q" localSheetId="55" hidden="1">#REF!</definedName>
    <definedName name="BExS2YJQV4NUX6135T90Z1Y5R26Q" localSheetId="4" hidden="1">#REF!</definedName>
    <definedName name="BExS2YJQV4NUX6135T90Z1Y5R26Q" localSheetId="1" hidden="1">#REF!</definedName>
    <definedName name="BExS2YJQV4NUX6135T90Z1Y5R26Q" localSheetId="9" hidden="1">#REF!</definedName>
    <definedName name="BExS2YJQV4NUX6135T90Z1Y5R26Q" hidden="1">#REF!</definedName>
    <definedName name="BExS318UV9I2FXPQQWUKKX00QLPJ" localSheetId="56" hidden="1">#REF!</definedName>
    <definedName name="BExS318UV9I2FXPQQWUKKX00QLPJ" localSheetId="55" hidden="1">#REF!</definedName>
    <definedName name="BExS318UV9I2FXPQQWUKKX00QLPJ" localSheetId="4" hidden="1">#REF!</definedName>
    <definedName name="BExS318UV9I2FXPQQWUKKX00QLPJ" localSheetId="1" hidden="1">#REF!</definedName>
    <definedName name="BExS318UV9I2FXPQQWUKKX00QLPJ" localSheetId="9" hidden="1">#REF!</definedName>
    <definedName name="BExS318UV9I2FXPQQWUKKX00QLPJ" hidden="1">#REF!</definedName>
    <definedName name="BExS3LBS0SMTHALVM4NRI1BAV1NP" localSheetId="56" hidden="1">#REF!</definedName>
    <definedName name="BExS3LBS0SMTHALVM4NRI1BAV1NP" localSheetId="55" hidden="1">#REF!</definedName>
    <definedName name="BExS3LBS0SMTHALVM4NRI1BAV1NP" localSheetId="4" hidden="1">#REF!</definedName>
    <definedName name="BExS3LBS0SMTHALVM4NRI1BAV1NP" localSheetId="1" hidden="1">#REF!</definedName>
    <definedName name="BExS3LBS0SMTHALVM4NRI1BAV1NP" localSheetId="9" hidden="1">#REF!</definedName>
    <definedName name="BExS3LBS0SMTHALVM4NRI1BAV1NP" hidden="1">#REF!</definedName>
    <definedName name="BExS3MTQ75VBXDGEBURP6YT8RROE" localSheetId="56" hidden="1">#REF!</definedName>
    <definedName name="BExS3MTQ75VBXDGEBURP6YT8RROE" localSheetId="55" hidden="1">#REF!</definedName>
    <definedName name="BExS3MTQ75VBXDGEBURP6YT8RROE" localSheetId="4" hidden="1">#REF!</definedName>
    <definedName name="BExS3MTQ75VBXDGEBURP6YT8RROE" localSheetId="1" hidden="1">#REF!</definedName>
    <definedName name="BExS3MTQ75VBXDGEBURP6YT8RROE" localSheetId="9" hidden="1">#REF!</definedName>
    <definedName name="BExS3MTQ75VBXDGEBURP6YT8RROE" hidden="1">#REF!</definedName>
    <definedName name="BExS3OMGYO0DFN5186UFKEXZ2RX3" localSheetId="56" hidden="1">#REF!</definedName>
    <definedName name="BExS3OMGYO0DFN5186UFKEXZ2RX3" localSheetId="55" hidden="1">#REF!</definedName>
    <definedName name="BExS3OMGYO0DFN5186UFKEXZ2RX3" localSheetId="4" hidden="1">#REF!</definedName>
    <definedName name="BExS3OMGYO0DFN5186UFKEXZ2RX3" localSheetId="1" hidden="1">#REF!</definedName>
    <definedName name="BExS3OMGYO0DFN5186UFKEXZ2RX3" localSheetId="9" hidden="1">#REF!</definedName>
    <definedName name="BExS3OMGYO0DFN5186UFKEXZ2RX3" hidden="1">#REF!</definedName>
    <definedName name="BExS3SDERJ27OER67TIGOVZU13A2" localSheetId="56" hidden="1">#REF!</definedName>
    <definedName name="BExS3SDERJ27OER67TIGOVZU13A2" localSheetId="55" hidden="1">#REF!</definedName>
    <definedName name="BExS3SDERJ27OER67TIGOVZU13A2" localSheetId="4" hidden="1">#REF!</definedName>
    <definedName name="BExS3SDERJ27OER67TIGOVZU13A2" localSheetId="1" hidden="1">#REF!</definedName>
    <definedName name="BExS3SDERJ27OER67TIGOVZU13A2" localSheetId="9" hidden="1">#REF!</definedName>
    <definedName name="BExS3SDERJ27OER67TIGOVZU13A2" hidden="1">#REF!</definedName>
    <definedName name="BExS3STIH9SFG0R6H30P191QZE98" localSheetId="56" hidden="1">#REF!</definedName>
    <definedName name="BExS3STIH9SFG0R6H30P191QZE98" localSheetId="55" hidden="1">#REF!</definedName>
    <definedName name="BExS3STIH9SFG0R6H30P191QZE98" localSheetId="4" hidden="1">#REF!</definedName>
    <definedName name="BExS3STIH9SFG0R6H30P191QZE98" localSheetId="1" hidden="1">#REF!</definedName>
    <definedName name="BExS3STIH9SFG0R6H30P191QZE98" localSheetId="9" hidden="1">#REF!</definedName>
    <definedName name="BExS3STIH9SFG0R6H30P191QZE98" hidden="1">#REF!</definedName>
    <definedName name="BExS46R5WDNU5KL04FKY5LHJUCB8" localSheetId="56" hidden="1">#REF!</definedName>
    <definedName name="BExS46R5WDNU5KL04FKY5LHJUCB8" localSheetId="55" hidden="1">#REF!</definedName>
    <definedName name="BExS46R5WDNU5KL04FKY5LHJUCB8" localSheetId="4" hidden="1">#REF!</definedName>
    <definedName name="BExS46R5WDNU5KL04FKY5LHJUCB8" localSheetId="1" hidden="1">#REF!</definedName>
    <definedName name="BExS46R5WDNU5KL04FKY5LHJUCB8" localSheetId="9" hidden="1">#REF!</definedName>
    <definedName name="BExS46R5WDNU5KL04FKY5LHJUCB8" hidden="1">#REF!</definedName>
    <definedName name="BExS4ASWKM93XA275AXHYP8AG6SU" localSheetId="56" hidden="1">#REF!</definedName>
    <definedName name="BExS4ASWKM93XA275AXHYP8AG6SU" localSheetId="55" hidden="1">#REF!</definedName>
    <definedName name="BExS4ASWKM93XA275AXHYP8AG6SU" localSheetId="4" hidden="1">#REF!</definedName>
    <definedName name="BExS4ASWKM93XA275AXHYP8AG6SU" localSheetId="1" hidden="1">#REF!</definedName>
    <definedName name="BExS4ASWKM93XA275AXHYP8AG6SU" localSheetId="9" hidden="1">#REF!</definedName>
    <definedName name="BExS4ASWKM93XA275AXHYP8AG6SU" hidden="1">#REF!</definedName>
    <definedName name="BExS4IANBC4RO7HIK0MZZ2RPQU78" localSheetId="56" hidden="1">#REF!</definedName>
    <definedName name="BExS4IANBC4RO7HIK0MZZ2RPQU78" localSheetId="55" hidden="1">#REF!</definedName>
    <definedName name="BExS4IANBC4RO7HIK0MZZ2RPQU78" localSheetId="4" hidden="1">#REF!</definedName>
    <definedName name="BExS4IANBC4RO7HIK0MZZ2RPQU78" localSheetId="1" hidden="1">#REF!</definedName>
    <definedName name="BExS4IANBC4RO7HIK0MZZ2RPQU78" localSheetId="9" hidden="1">#REF!</definedName>
    <definedName name="BExS4IANBC4RO7HIK0MZZ2RPQU78" hidden="1">#REF!</definedName>
    <definedName name="BExS4JN3Y6SVBKILQK0R9HS45Y52" localSheetId="56" hidden="1">#REF!</definedName>
    <definedName name="BExS4JN3Y6SVBKILQK0R9HS45Y52" localSheetId="55" hidden="1">#REF!</definedName>
    <definedName name="BExS4JN3Y6SVBKILQK0R9HS45Y52" localSheetId="4" hidden="1">#REF!</definedName>
    <definedName name="BExS4JN3Y6SVBKILQK0R9HS45Y52" localSheetId="1" hidden="1">#REF!</definedName>
    <definedName name="BExS4JN3Y6SVBKILQK0R9HS45Y52" localSheetId="9" hidden="1">#REF!</definedName>
    <definedName name="BExS4JN3Y6SVBKILQK0R9HS45Y52" hidden="1">#REF!</definedName>
    <definedName name="BExS4P6S41O6Z6BED77U3GD9PNH1" localSheetId="56" hidden="1">#REF!</definedName>
    <definedName name="BExS4P6S41O6Z6BED77U3GD9PNH1" localSheetId="55" hidden="1">#REF!</definedName>
    <definedName name="BExS4P6S41O6Z6BED77U3GD9PNH1" localSheetId="4" hidden="1">#REF!</definedName>
    <definedName name="BExS4P6S41O6Z6BED77U3GD9PNH1" localSheetId="1" hidden="1">#REF!</definedName>
    <definedName name="BExS4P6S41O6Z6BED77U3GD9PNH1" localSheetId="9" hidden="1">#REF!</definedName>
    <definedName name="BExS4P6S41O6Z6BED77U3GD9PNH1" hidden="1">#REF!</definedName>
    <definedName name="BExS4PXPURUHFBOKYFJD5J1J2RXC" localSheetId="56" hidden="1">#REF!</definedName>
    <definedName name="BExS4PXPURUHFBOKYFJD5J1J2RXC" localSheetId="55" hidden="1">#REF!</definedName>
    <definedName name="BExS4PXPURUHFBOKYFJD5J1J2RXC" localSheetId="4" hidden="1">#REF!</definedName>
    <definedName name="BExS4PXPURUHFBOKYFJD5J1J2RXC" localSheetId="1" hidden="1">#REF!</definedName>
    <definedName name="BExS4PXPURUHFBOKYFJD5J1J2RXC" localSheetId="9" hidden="1">#REF!</definedName>
    <definedName name="BExS4PXPURUHFBOKYFJD5J1J2RXC" hidden="1">#REF!</definedName>
    <definedName name="BExS4T32HD3YGJ91HTJ2IGVX6V4O" localSheetId="56" hidden="1">#REF!</definedName>
    <definedName name="BExS4T32HD3YGJ91HTJ2IGVX6V4O" localSheetId="55" hidden="1">#REF!</definedName>
    <definedName name="BExS4T32HD3YGJ91HTJ2IGVX6V4O" localSheetId="4" hidden="1">#REF!</definedName>
    <definedName name="BExS4T32HD3YGJ91HTJ2IGVX6V4O" localSheetId="1" hidden="1">#REF!</definedName>
    <definedName name="BExS4T32HD3YGJ91HTJ2IGVX6V4O" localSheetId="9" hidden="1">#REF!</definedName>
    <definedName name="BExS4T32HD3YGJ91HTJ2IGVX6V4O" hidden="1">#REF!</definedName>
    <definedName name="BExS51H0N51UT0FZOPZRCF1GU063" localSheetId="56" hidden="1">#REF!</definedName>
    <definedName name="BExS51H0N51UT0FZOPZRCF1GU063" localSheetId="55" hidden="1">#REF!</definedName>
    <definedName name="BExS51H0N51UT0FZOPZRCF1GU063" localSheetId="4" hidden="1">#REF!</definedName>
    <definedName name="BExS51H0N51UT0FZOPZRCF1GU063" localSheetId="1" hidden="1">#REF!</definedName>
    <definedName name="BExS51H0N51UT0FZOPZRCF1GU063" localSheetId="9" hidden="1">#REF!</definedName>
    <definedName name="BExS51H0N51UT0FZOPZRCF1GU063" hidden="1">#REF!</definedName>
    <definedName name="BExS54X72TJFC41FJK72MLRR2OO7" localSheetId="56" hidden="1">#REF!</definedName>
    <definedName name="BExS54X72TJFC41FJK72MLRR2OO7" localSheetId="55" hidden="1">#REF!</definedName>
    <definedName name="BExS54X72TJFC41FJK72MLRR2OO7" localSheetId="4" hidden="1">#REF!</definedName>
    <definedName name="BExS54X72TJFC41FJK72MLRR2OO7" localSheetId="1" hidden="1">#REF!</definedName>
    <definedName name="BExS54X72TJFC41FJK72MLRR2OO7" localSheetId="9" hidden="1">#REF!</definedName>
    <definedName name="BExS54X72TJFC41FJK72MLRR2OO7" hidden="1">#REF!</definedName>
    <definedName name="BExS59F0PA1V2ZC7S5TN6IT41SXP" localSheetId="56" hidden="1">#REF!</definedName>
    <definedName name="BExS59F0PA1V2ZC7S5TN6IT41SXP" localSheetId="55" hidden="1">#REF!</definedName>
    <definedName name="BExS59F0PA1V2ZC7S5TN6IT41SXP" localSheetId="4" hidden="1">#REF!</definedName>
    <definedName name="BExS59F0PA1V2ZC7S5TN6IT41SXP" localSheetId="1" hidden="1">#REF!</definedName>
    <definedName name="BExS59F0PA1V2ZC7S5TN6IT41SXP" localSheetId="9" hidden="1">#REF!</definedName>
    <definedName name="BExS59F0PA1V2ZC7S5TN6IT41SXP" hidden="1">#REF!</definedName>
    <definedName name="BExS5L3TGB8JVW9ROYWTKYTUPW27" localSheetId="56" hidden="1">#REF!</definedName>
    <definedName name="BExS5L3TGB8JVW9ROYWTKYTUPW27" localSheetId="55" hidden="1">#REF!</definedName>
    <definedName name="BExS5L3TGB8JVW9ROYWTKYTUPW27" localSheetId="4" hidden="1">#REF!</definedName>
    <definedName name="BExS5L3TGB8JVW9ROYWTKYTUPW27" localSheetId="1" hidden="1">#REF!</definedName>
    <definedName name="BExS5L3TGB8JVW9ROYWTKYTUPW27" localSheetId="9" hidden="1">#REF!</definedName>
    <definedName name="BExS5L3TGB8JVW9ROYWTKYTUPW27" hidden="1">#REF!</definedName>
    <definedName name="BExS6GKQ96EHVLYWNJDWXZXUZW90" localSheetId="56" hidden="1">#REF!</definedName>
    <definedName name="BExS6GKQ96EHVLYWNJDWXZXUZW90" localSheetId="55" hidden="1">#REF!</definedName>
    <definedName name="BExS6GKQ96EHVLYWNJDWXZXUZW90" localSheetId="4" hidden="1">#REF!</definedName>
    <definedName name="BExS6GKQ96EHVLYWNJDWXZXUZW90" localSheetId="1" hidden="1">#REF!</definedName>
    <definedName name="BExS6GKQ96EHVLYWNJDWXZXUZW90" localSheetId="9" hidden="1">#REF!</definedName>
    <definedName name="BExS6GKQ96EHVLYWNJDWXZXUZW90" hidden="1">#REF!</definedName>
    <definedName name="BExS6ITKSZFRR01YD5B0F676SYN7" localSheetId="56" hidden="1">#REF!</definedName>
    <definedName name="BExS6ITKSZFRR01YD5B0F676SYN7" localSheetId="55" hidden="1">#REF!</definedName>
    <definedName name="BExS6ITKSZFRR01YD5B0F676SYN7" localSheetId="4" hidden="1">#REF!</definedName>
    <definedName name="BExS6ITKSZFRR01YD5B0F676SYN7" localSheetId="1" hidden="1">#REF!</definedName>
    <definedName name="BExS6ITKSZFRR01YD5B0F676SYN7" localSheetId="9" hidden="1">#REF!</definedName>
    <definedName name="BExS6ITKSZFRR01YD5B0F676SYN7" hidden="1">#REF!</definedName>
    <definedName name="BExS6N0LI574IAC89EFW6CLTCQ33" localSheetId="56" hidden="1">#REF!</definedName>
    <definedName name="BExS6N0LI574IAC89EFW6CLTCQ33" localSheetId="55" hidden="1">#REF!</definedName>
    <definedName name="BExS6N0LI574IAC89EFW6CLTCQ33" localSheetId="4" hidden="1">#REF!</definedName>
    <definedName name="BExS6N0LI574IAC89EFW6CLTCQ33" localSheetId="1" hidden="1">#REF!</definedName>
    <definedName name="BExS6N0LI574IAC89EFW6CLTCQ33" localSheetId="9" hidden="1">#REF!</definedName>
    <definedName name="BExS6N0LI574IAC89EFW6CLTCQ33" hidden="1">#REF!</definedName>
    <definedName name="BExS6N0NEF7XCTT5R600QZ71A44O" localSheetId="56" hidden="1">#REF!</definedName>
    <definedName name="BExS6N0NEF7XCTT5R600QZ71A44O" localSheetId="55" hidden="1">#REF!</definedName>
    <definedName name="BExS6N0NEF7XCTT5R600QZ71A44O" localSheetId="4" hidden="1">#REF!</definedName>
    <definedName name="BExS6N0NEF7XCTT5R600QZ71A44O" localSheetId="1" hidden="1">#REF!</definedName>
    <definedName name="BExS6N0NEF7XCTT5R600QZ71A44O" localSheetId="9" hidden="1">#REF!</definedName>
    <definedName name="BExS6N0NEF7XCTT5R600QZ71A44O" hidden="1">#REF!</definedName>
    <definedName name="BExS6WRDBF3ST86ZOBBUL3GTCR11" localSheetId="56" hidden="1">#REF!</definedName>
    <definedName name="BExS6WRDBF3ST86ZOBBUL3GTCR11" localSheetId="55" hidden="1">#REF!</definedName>
    <definedName name="BExS6WRDBF3ST86ZOBBUL3GTCR11" localSheetId="4" hidden="1">#REF!</definedName>
    <definedName name="BExS6WRDBF3ST86ZOBBUL3GTCR11" localSheetId="1" hidden="1">#REF!</definedName>
    <definedName name="BExS6WRDBF3ST86ZOBBUL3GTCR11" localSheetId="9" hidden="1">#REF!</definedName>
    <definedName name="BExS6WRDBF3ST86ZOBBUL3GTCR11" hidden="1">#REF!</definedName>
    <definedName name="BExS6XNRKR0C3MTA0LV5B60UB908" localSheetId="56" hidden="1">#REF!</definedName>
    <definedName name="BExS6XNRKR0C3MTA0LV5B60UB908" localSheetId="55" hidden="1">#REF!</definedName>
    <definedName name="BExS6XNRKR0C3MTA0LV5B60UB908" localSheetId="4" hidden="1">#REF!</definedName>
    <definedName name="BExS6XNRKR0C3MTA0LV5B60UB908" localSheetId="1" hidden="1">#REF!</definedName>
    <definedName name="BExS6XNRKR0C3MTA0LV5B60UB908" localSheetId="9" hidden="1">#REF!</definedName>
    <definedName name="BExS6XNRKR0C3MTA0LV5B60UB908" hidden="1">#REF!</definedName>
    <definedName name="BExS73NELZEK2MDOLXO2Q7H3EG71" localSheetId="56" hidden="1">#REF!</definedName>
    <definedName name="BExS73NELZEK2MDOLXO2Q7H3EG71" localSheetId="55" hidden="1">#REF!</definedName>
    <definedName name="BExS73NELZEK2MDOLXO2Q7H3EG71" localSheetId="4" hidden="1">#REF!</definedName>
    <definedName name="BExS73NELZEK2MDOLXO2Q7H3EG71" localSheetId="1" hidden="1">#REF!</definedName>
    <definedName name="BExS73NELZEK2MDOLXO2Q7H3EG71" localSheetId="9" hidden="1">#REF!</definedName>
    <definedName name="BExS73NELZEK2MDOLXO2Q7H3EG71" hidden="1">#REF!</definedName>
    <definedName name="BExS7DJF6AXTWAJD7K4ZCD7L6BHV" localSheetId="56" hidden="1">#REF!</definedName>
    <definedName name="BExS7DJF6AXTWAJD7K4ZCD7L6BHV" localSheetId="55" hidden="1">#REF!</definedName>
    <definedName name="BExS7DJF6AXTWAJD7K4ZCD7L6BHV" localSheetId="4" hidden="1">#REF!</definedName>
    <definedName name="BExS7DJF6AXTWAJD7K4ZCD7L6BHV" localSheetId="1" hidden="1">#REF!</definedName>
    <definedName name="BExS7DJF6AXTWAJD7K4ZCD7L6BHV" localSheetId="9" hidden="1">#REF!</definedName>
    <definedName name="BExS7DJF6AXTWAJD7K4ZCD7L6BHV" hidden="1">#REF!</definedName>
    <definedName name="BExS7GOTHHOK287MX2RC853NWQAL" localSheetId="56" hidden="1">#REF!</definedName>
    <definedName name="BExS7GOTHHOK287MX2RC853NWQAL" localSheetId="55" hidden="1">#REF!</definedName>
    <definedName name="BExS7GOTHHOK287MX2RC853NWQAL" localSheetId="4" hidden="1">#REF!</definedName>
    <definedName name="BExS7GOTHHOK287MX2RC853NWQAL" localSheetId="1" hidden="1">#REF!</definedName>
    <definedName name="BExS7GOTHHOK287MX2RC853NWQAL" localSheetId="9" hidden="1">#REF!</definedName>
    <definedName name="BExS7GOTHHOK287MX2RC853NWQAL" hidden="1">#REF!</definedName>
    <definedName name="BExS7TKQYLRZGM93UY3ZJZJBQNFJ" localSheetId="56" hidden="1">#REF!</definedName>
    <definedName name="BExS7TKQYLRZGM93UY3ZJZJBQNFJ" localSheetId="55" hidden="1">#REF!</definedName>
    <definedName name="BExS7TKQYLRZGM93UY3ZJZJBQNFJ" localSheetId="4" hidden="1">#REF!</definedName>
    <definedName name="BExS7TKQYLRZGM93UY3ZJZJBQNFJ" localSheetId="1" hidden="1">#REF!</definedName>
    <definedName name="BExS7TKQYLRZGM93UY3ZJZJBQNFJ" localSheetId="9" hidden="1">#REF!</definedName>
    <definedName name="BExS7TKQYLRZGM93UY3ZJZJBQNFJ" hidden="1">#REF!</definedName>
    <definedName name="BExS7Y2LNGVHSIBKC7C3R6X4LDR6" localSheetId="56" hidden="1">#REF!</definedName>
    <definedName name="BExS7Y2LNGVHSIBKC7C3R6X4LDR6" localSheetId="55" hidden="1">#REF!</definedName>
    <definedName name="BExS7Y2LNGVHSIBKC7C3R6X4LDR6" localSheetId="4" hidden="1">#REF!</definedName>
    <definedName name="BExS7Y2LNGVHSIBKC7C3R6X4LDR6" localSheetId="1" hidden="1">#REF!</definedName>
    <definedName name="BExS7Y2LNGVHSIBKC7C3R6X4LDR6" localSheetId="9" hidden="1">#REF!</definedName>
    <definedName name="BExS7Y2LNGVHSIBKC7C3R6X4LDR6" hidden="1">#REF!</definedName>
    <definedName name="BExS81TE0EY44Y3W2M4Z4MGNP5OM" localSheetId="56" hidden="1">#REF!</definedName>
    <definedName name="BExS81TE0EY44Y3W2M4Z4MGNP5OM" localSheetId="55" hidden="1">#REF!</definedName>
    <definedName name="BExS81TE0EY44Y3W2M4Z4MGNP5OM" localSheetId="4" hidden="1">#REF!</definedName>
    <definedName name="BExS81TE0EY44Y3W2M4Z4MGNP5OM" localSheetId="1" hidden="1">#REF!</definedName>
    <definedName name="BExS81TE0EY44Y3W2M4Z4MGNP5OM" localSheetId="9" hidden="1">#REF!</definedName>
    <definedName name="BExS81TE0EY44Y3W2M4Z4MGNP5OM" hidden="1">#REF!</definedName>
    <definedName name="BExS81YPDZDVJJVS15HV2HDXAC3Y" localSheetId="56" hidden="1">#REF!</definedName>
    <definedName name="BExS81YPDZDVJJVS15HV2HDXAC3Y" localSheetId="55" hidden="1">#REF!</definedName>
    <definedName name="BExS81YPDZDVJJVS15HV2HDXAC3Y" localSheetId="4" hidden="1">#REF!</definedName>
    <definedName name="BExS81YPDZDVJJVS15HV2HDXAC3Y" localSheetId="1" hidden="1">#REF!</definedName>
    <definedName name="BExS81YPDZDVJJVS15HV2HDXAC3Y" localSheetId="9" hidden="1">#REF!</definedName>
    <definedName name="BExS81YPDZDVJJVS15HV2HDXAC3Y" hidden="1">#REF!</definedName>
    <definedName name="BExS82PRVNUTEKQZS56YT2DVF6C2" localSheetId="56" hidden="1">#REF!</definedName>
    <definedName name="BExS82PRVNUTEKQZS56YT2DVF6C2" localSheetId="55" hidden="1">#REF!</definedName>
    <definedName name="BExS82PRVNUTEKQZS56YT2DVF6C2" localSheetId="4" hidden="1">#REF!</definedName>
    <definedName name="BExS82PRVNUTEKQZS56YT2DVF6C2" localSheetId="1" hidden="1">#REF!</definedName>
    <definedName name="BExS82PRVNUTEKQZS56YT2DVF6C2" localSheetId="9" hidden="1">#REF!</definedName>
    <definedName name="BExS82PRVNUTEKQZS56YT2DVF6C2" hidden="1">#REF!</definedName>
    <definedName name="BExS83BCNFAV6DRCB1VTUF96491J" localSheetId="56" hidden="1">#REF!</definedName>
    <definedName name="BExS83BCNFAV6DRCB1VTUF96491J" localSheetId="55" hidden="1">#REF!</definedName>
    <definedName name="BExS83BCNFAV6DRCB1VTUF96491J" localSheetId="4" hidden="1">#REF!</definedName>
    <definedName name="BExS83BCNFAV6DRCB1VTUF96491J" localSheetId="1" hidden="1">#REF!</definedName>
    <definedName name="BExS83BCNFAV6DRCB1VTUF96491J" localSheetId="9" hidden="1">#REF!</definedName>
    <definedName name="BExS83BCNFAV6DRCB1VTUF96491J" hidden="1">#REF!</definedName>
    <definedName name="BExS86GKM9ISCSNZD15BQ5E5L6A5" localSheetId="56" hidden="1">#REF!</definedName>
    <definedName name="BExS86GKM9ISCSNZD15BQ5E5L6A5" localSheetId="55" hidden="1">#REF!</definedName>
    <definedName name="BExS86GKM9ISCSNZD15BQ5E5L6A5" localSheetId="4" hidden="1">#REF!</definedName>
    <definedName name="BExS86GKM9ISCSNZD15BQ5E5L6A5" localSheetId="1" hidden="1">#REF!</definedName>
    <definedName name="BExS86GKM9ISCSNZD15BQ5E5L6A5" localSheetId="9" hidden="1">#REF!</definedName>
    <definedName name="BExS86GKM9ISCSNZD15BQ5E5L6A5" hidden="1">#REF!</definedName>
    <definedName name="BExS89GGRJ55EK546SM31UGE2K8T" localSheetId="56" hidden="1">#REF!</definedName>
    <definedName name="BExS89GGRJ55EK546SM31UGE2K8T" localSheetId="55" hidden="1">#REF!</definedName>
    <definedName name="BExS89GGRJ55EK546SM31UGE2K8T" localSheetId="4" hidden="1">#REF!</definedName>
    <definedName name="BExS89GGRJ55EK546SM31UGE2K8T" localSheetId="1" hidden="1">#REF!</definedName>
    <definedName name="BExS89GGRJ55EK546SM31UGE2K8T" localSheetId="9" hidden="1">#REF!</definedName>
    <definedName name="BExS89GGRJ55EK546SM31UGE2K8T" hidden="1">#REF!</definedName>
    <definedName name="BExS8BPG5A0GR5AO1U951NDGGR0L" localSheetId="56" hidden="1">#REF!</definedName>
    <definedName name="BExS8BPG5A0GR5AO1U951NDGGR0L" localSheetId="55" hidden="1">#REF!</definedName>
    <definedName name="BExS8BPG5A0GR5AO1U951NDGGR0L" localSheetId="4" hidden="1">#REF!</definedName>
    <definedName name="BExS8BPG5A0GR5AO1U951NDGGR0L" localSheetId="1" hidden="1">#REF!</definedName>
    <definedName name="BExS8BPG5A0GR5AO1U951NDGGR0L" localSheetId="9" hidden="1">#REF!</definedName>
    <definedName name="BExS8BPG5A0GR5AO1U951NDGGR0L" hidden="1">#REF!</definedName>
    <definedName name="BExS8CGI0JXFUBD41VFLI0SZSV8F" localSheetId="56" hidden="1">#REF!</definedName>
    <definedName name="BExS8CGI0JXFUBD41VFLI0SZSV8F" localSheetId="55" hidden="1">#REF!</definedName>
    <definedName name="BExS8CGI0JXFUBD41VFLI0SZSV8F" localSheetId="4" hidden="1">#REF!</definedName>
    <definedName name="BExS8CGI0JXFUBD41VFLI0SZSV8F" localSheetId="1" hidden="1">#REF!</definedName>
    <definedName name="BExS8CGI0JXFUBD41VFLI0SZSV8F" localSheetId="9" hidden="1">#REF!</definedName>
    <definedName name="BExS8CGI0JXFUBD41VFLI0SZSV8F" hidden="1">#REF!</definedName>
    <definedName name="BExS8D22FXVQKOEJP01LT0CDI3PS" localSheetId="56" hidden="1">#REF!</definedName>
    <definedName name="BExS8D22FXVQKOEJP01LT0CDI3PS" localSheetId="55" hidden="1">#REF!</definedName>
    <definedName name="BExS8D22FXVQKOEJP01LT0CDI3PS" localSheetId="4" hidden="1">#REF!</definedName>
    <definedName name="BExS8D22FXVQKOEJP01LT0CDI3PS" localSheetId="1" hidden="1">#REF!</definedName>
    <definedName name="BExS8D22FXVQKOEJP01LT0CDI3PS" localSheetId="9" hidden="1">#REF!</definedName>
    <definedName name="BExS8D22FXVQKOEJP01LT0CDI3PS" hidden="1">#REF!</definedName>
    <definedName name="BExS8EEJOZFBUWZDOM3O25AJRUVU" localSheetId="56" hidden="1">#REF!</definedName>
    <definedName name="BExS8EEJOZFBUWZDOM3O25AJRUVU" localSheetId="55" hidden="1">#REF!</definedName>
    <definedName name="BExS8EEJOZFBUWZDOM3O25AJRUVU" localSheetId="4" hidden="1">#REF!</definedName>
    <definedName name="BExS8EEJOZFBUWZDOM3O25AJRUVU" localSheetId="1" hidden="1">#REF!</definedName>
    <definedName name="BExS8EEJOZFBUWZDOM3O25AJRUVU" localSheetId="9" hidden="1">#REF!</definedName>
    <definedName name="BExS8EEJOZFBUWZDOM3O25AJRUVU" hidden="1">#REF!</definedName>
    <definedName name="BExS8GSUS17UY50TEM2AWF36BR9Z" localSheetId="56" hidden="1">#REF!</definedName>
    <definedName name="BExS8GSUS17UY50TEM2AWF36BR9Z" localSheetId="55" hidden="1">#REF!</definedName>
    <definedName name="BExS8GSUS17UY50TEM2AWF36BR9Z" localSheetId="4" hidden="1">#REF!</definedName>
    <definedName name="BExS8GSUS17UY50TEM2AWF36BR9Z" localSheetId="1" hidden="1">#REF!</definedName>
    <definedName name="BExS8GSUS17UY50TEM2AWF36BR9Z" localSheetId="9" hidden="1">#REF!</definedName>
    <definedName name="BExS8GSUS17UY50TEM2AWF36BR9Z" hidden="1">#REF!</definedName>
    <definedName name="BExS8HJRBVG0XI6PWA9KTMJZMQXK" localSheetId="56" hidden="1">#REF!</definedName>
    <definedName name="BExS8HJRBVG0XI6PWA9KTMJZMQXK" localSheetId="55" hidden="1">#REF!</definedName>
    <definedName name="BExS8HJRBVG0XI6PWA9KTMJZMQXK" localSheetId="4" hidden="1">#REF!</definedName>
    <definedName name="BExS8HJRBVG0XI6PWA9KTMJZMQXK" localSheetId="1" hidden="1">#REF!</definedName>
    <definedName name="BExS8HJRBVG0XI6PWA9KTMJZMQXK" localSheetId="9" hidden="1">#REF!</definedName>
    <definedName name="BExS8HJRBVG0XI6PWA9KTMJZMQXK" hidden="1">#REF!</definedName>
    <definedName name="BExS8NE9HUZJH13OXLREOV1BX0OZ" localSheetId="56" hidden="1">#REF!</definedName>
    <definedName name="BExS8NE9HUZJH13OXLREOV1BX0OZ" localSheetId="55" hidden="1">#REF!</definedName>
    <definedName name="BExS8NE9HUZJH13OXLREOV1BX0OZ" localSheetId="4" hidden="1">#REF!</definedName>
    <definedName name="BExS8NE9HUZJH13OXLREOV1BX0OZ" localSheetId="1" hidden="1">#REF!</definedName>
    <definedName name="BExS8NE9HUZJH13OXLREOV1BX0OZ" localSheetId="9" hidden="1">#REF!</definedName>
    <definedName name="BExS8NE9HUZJH13OXLREOV1BX0OZ" hidden="1">#REF!</definedName>
    <definedName name="BExS8R51C8RM2FS6V6IRTYO9GA4A" localSheetId="56" hidden="1">#REF!</definedName>
    <definedName name="BExS8R51C8RM2FS6V6IRTYO9GA4A" localSheetId="55" hidden="1">#REF!</definedName>
    <definedName name="BExS8R51C8RM2FS6V6IRTYO9GA4A" localSheetId="4" hidden="1">#REF!</definedName>
    <definedName name="BExS8R51C8RM2FS6V6IRTYO9GA4A" localSheetId="1" hidden="1">#REF!</definedName>
    <definedName name="BExS8R51C8RM2FS6V6IRTYO9GA4A" localSheetId="9" hidden="1">#REF!</definedName>
    <definedName name="BExS8R51C8RM2FS6V6IRTYO9GA4A" hidden="1">#REF!</definedName>
    <definedName name="BExS8WDX408F60MH1X9B9UZ2H4R7" localSheetId="56" hidden="1">#REF!</definedName>
    <definedName name="BExS8WDX408F60MH1X9B9UZ2H4R7" localSheetId="55" hidden="1">#REF!</definedName>
    <definedName name="BExS8WDX408F60MH1X9B9UZ2H4R7" localSheetId="4" hidden="1">#REF!</definedName>
    <definedName name="BExS8WDX408F60MH1X9B9UZ2H4R7" localSheetId="1" hidden="1">#REF!</definedName>
    <definedName name="BExS8WDX408F60MH1X9B9UZ2H4R7" localSheetId="9" hidden="1">#REF!</definedName>
    <definedName name="BExS8WDX408F60MH1X9B9UZ2H4R7" hidden="1">#REF!</definedName>
    <definedName name="BExS8X4UTVOFE2YEVLO8LTKMSI3A" localSheetId="56" hidden="1">#REF!</definedName>
    <definedName name="BExS8X4UTVOFE2YEVLO8LTKMSI3A" localSheetId="55" hidden="1">#REF!</definedName>
    <definedName name="BExS8X4UTVOFE2YEVLO8LTKMSI3A" localSheetId="4" hidden="1">#REF!</definedName>
    <definedName name="BExS8X4UTVOFE2YEVLO8LTKMSI3A" localSheetId="1" hidden="1">#REF!</definedName>
    <definedName name="BExS8X4UTVOFE2YEVLO8LTKMSI3A" localSheetId="9" hidden="1">#REF!</definedName>
    <definedName name="BExS8X4UTVOFE2YEVLO8LTKMSI3A" hidden="1">#REF!</definedName>
    <definedName name="BExS8Z2W2QEC3MH0BZIYLDFQNUIP" localSheetId="56" hidden="1">#REF!</definedName>
    <definedName name="BExS8Z2W2QEC3MH0BZIYLDFQNUIP" localSheetId="55" hidden="1">#REF!</definedName>
    <definedName name="BExS8Z2W2QEC3MH0BZIYLDFQNUIP" localSheetId="4" hidden="1">#REF!</definedName>
    <definedName name="BExS8Z2W2QEC3MH0BZIYLDFQNUIP" localSheetId="1" hidden="1">#REF!</definedName>
    <definedName name="BExS8Z2W2QEC3MH0BZIYLDFQNUIP" localSheetId="9" hidden="1">#REF!</definedName>
    <definedName name="BExS8Z2W2QEC3MH0BZIYLDFQNUIP" hidden="1">#REF!</definedName>
    <definedName name="BExS92DKGRFFCIA9C0IXDOLO57EP" localSheetId="56" hidden="1">#REF!</definedName>
    <definedName name="BExS92DKGRFFCIA9C0IXDOLO57EP" localSheetId="55" hidden="1">#REF!</definedName>
    <definedName name="BExS92DKGRFFCIA9C0IXDOLO57EP" localSheetId="4" hidden="1">#REF!</definedName>
    <definedName name="BExS92DKGRFFCIA9C0IXDOLO57EP" localSheetId="1" hidden="1">#REF!</definedName>
    <definedName name="BExS92DKGRFFCIA9C0IXDOLO57EP" localSheetId="9" hidden="1">#REF!</definedName>
    <definedName name="BExS92DKGRFFCIA9C0IXDOLO57EP" hidden="1">#REF!</definedName>
    <definedName name="BExS98OB4321YCHLCQ022PXKTT2W" localSheetId="56" hidden="1">#REF!</definedName>
    <definedName name="BExS98OB4321YCHLCQ022PXKTT2W" localSheetId="55" hidden="1">#REF!</definedName>
    <definedName name="BExS98OB4321YCHLCQ022PXKTT2W" localSheetId="4" hidden="1">#REF!</definedName>
    <definedName name="BExS98OB4321YCHLCQ022PXKTT2W" localSheetId="1" hidden="1">#REF!</definedName>
    <definedName name="BExS98OB4321YCHLCQ022PXKTT2W" localSheetId="9" hidden="1">#REF!</definedName>
    <definedName name="BExS98OB4321YCHLCQ022PXKTT2W" hidden="1">#REF!</definedName>
    <definedName name="BExS9C9N8GFISC6HUERJ0EI06GB2" localSheetId="56" hidden="1">#REF!</definedName>
    <definedName name="BExS9C9N8GFISC6HUERJ0EI06GB2" localSheetId="55" hidden="1">#REF!</definedName>
    <definedName name="BExS9C9N8GFISC6HUERJ0EI06GB2" localSheetId="4" hidden="1">#REF!</definedName>
    <definedName name="BExS9C9N8GFISC6HUERJ0EI06GB2" localSheetId="1" hidden="1">#REF!</definedName>
    <definedName name="BExS9C9N8GFISC6HUERJ0EI06GB2" localSheetId="9" hidden="1">#REF!</definedName>
    <definedName name="BExS9C9N8GFISC6HUERJ0EI06GB2" hidden="1">#REF!</definedName>
    <definedName name="BExS9D6619QNINF06KHZHYUAH0S9" localSheetId="56" hidden="1">#REF!</definedName>
    <definedName name="BExS9D6619QNINF06KHZHYUAH0S9" localSheetId="55" hidden="1">#REF!</definedName>
    <definedName name="BExS9D6619QNINF06KHZHYUAH0S9" localSheetId="4" hidden="1">#REF!</definedName>
    <definedName name="BExS9D6619QNINF06KHZHYUAH0S9" localSheetId="1" hidden="1">#REF!</definedName>
    <definedName name="BExS9D6619QNINF06KHZHYUAH0S9" localSheetId="9" hidden="1">#REF!</definedName>
    <definedName name="BExS9D6619QNINF06KHZHYUAH0S9" hidden="1">#REF!</definedName>
    <definedName name="BExS9DX13CACP3J8JDREK30JB1SQ" localSheetId="56" hidden="1">#REF!</definedName>
    <definedName name="BExS9DX13CACP3J8JDREK30JB1SQ" localSheetId="55" hidden="1">#REF!</definedName>
    <definedName name="BExS9DX13CACP3J8JDREK30JB1SQ" localSheetId="4" hidden="1">#REF!</definedName>
    <definedName name="BExS9DX13CACP3J8JDREK30JB1SQ" localSheetId="1" hidden="1">#REF!</definedName>
    <definedName name="BExS9DX13CACP3J8JDREK30JB1SQ" localSheetId="9" hidden="1">#REF!</definedName>
    <definedName name="BExS9DX13CACP3J8JDREK30JB1SQ" hidden="1">#REF!</definedName>
    <definedName name="BExS9FPRS2KRRCS33SE6WFNF5GYL" localSheetId="56" hidden="1">#REF!</definedName>
    <definedName name="BExS9FPRS2KRRCS33SE6WFNF5GYL" localSheetId="55" hidden="1">#REF!</definedName>
    <definedName name="BExS9FPRS2KRRCS33SE6WFNF5GYL" localSheetId="4" hidden="1">#REF!</definedName>
    <definedName name="BExS9FPRS2KRRCS33SE6WFNF5GYL" localSheetId="1" hidden="1">#REF!</definedName>
    <definedName name="BExS9FPRS2KRRCS33SE6WFNF5GYL" localSheetId="9" hidden="1">#REF!</definedName>
    <definedName name="BExS9FPRS2KRRCS33SE6WFNF5GYL" hidden="1">#REF!</definedName>
    <definedName name="BExS9M5VN3VE822UH6TLACVY24CJ" localSheetId="56" hidden="1">#REF!</definedName>
    <definedName name="BExS9M5VN3VE822UH6TLACVY24CJ" localSheetId="55" hidden="1">#REF!</definedName>
    <definedName name="BExS9M5VN3VE822UH6TLACVY24CJ" localSheetId="4" hidden="1">#REF!</definedName>
    <definedName name="BExS9M5VN3VE822UH6TLACVY24CJ" localSheetId="1" hidden="1">#REF!</definedName>
    <definedName name="BExS9M5VN3VE822UH6TLACVY24CJ" localSheetId="9" hidden="1">#REF!</definedName>
    <definedName name="BExS9M5VN3VE822UH6TLACVY24CJ" hidden="1">#REF!</definedName>
    <definedName name="BExS9WI0A6PSEB8N9GPXF2Z7MWHM" localSheetId="56" hidden="1">#REF!</definedName>
    <definedName name="BExS9WI0A6PSEB8N9GPXF2Z7MWHM" localSheetId="55" hidden="1">#REF!</definedName>
    <definedName name="BExS9WI0A6PSEB8N9GPXF2Z7MWHM" localSheetId="4" hidden="1">#REF!</definedName>
    <definedName name="BExS9WI0A6PSEB8N9GPXF2Z7MWHM" localSheetId="1" hidden="1">#REF!</definedName>
    <definedName name="BExS9WI0A6PSEB8N9GPXF2Z7MWHM" localSheetId="9" hidden="1">#REF!</definedName>
    <definedName name="BExS9WI0A6PSEB8N9GPXF2Z7MWHM" hidden="1">#REF!</definedName>
    <definedName name="BExS9XJPZ07ND34OHX60QD382FV6" localSheetId="56" hidden="1">#REF!</definedName>
    <definedName name="BExS9XJPZ07ND34OHX60QD382FV6" localSheetId="55" hidden="1">#REF!</definedName>
    <definedName name="BExS9XJPZ07ND34OHX60QD382FV6" localSheetId="4" hidden="1">#REF!</definedName>
    <definedName name="BExS9XJPZ07ND34OHX60QD382FV6" localSheetId="1" hidden="1">#REF!</definedName>
    <definedName name="BExS9XJPZ07ND34OHX60QD382FV6" localSheetId="9" hidden="1">#REF!</definedName>
    <definedName name="BExS9XJPZ07ND34OHX60QD382FV6" hidden="1">#REF!</definedName>
    <definedName name="BExSA4AJLEEN4R7HU4FRSMYR17TR" localSheetId="56" hidden="1">#REF!</definedName>
    <definedName name="BExSA4AJLEEN4R7HU4FRSMYR17TR" localSheetId="55" hidden="1">#REF!</definedName>
    <definedName name="BExSA4AJLEEN4R7HU4FRSMYR17TR" localSheetId="4" hidden="1">#REF!</definedName>
    <definedName name="BExSA4AJLEEN4R7HU4FRSMYR17TR" localSheetId="1" hidden="1">#REF!</definedName>
    <definedName name="BExSA4AJLEEN4R7HU4FRSMYR17TR" localSheetId="9" hidden="1">#REF!</definedName>
    <definedName name="BExSA4AJLEEN4R7HU4FRSMYR17TR" hidden="1">#REF!</definedName>
    <definedName name="BExSA5HP306TN9XJS0TU619DLRR7" localSheetId="56" hidden="1">#REF!</definedName>
    <definedName name="BExSA5HP306TN9XJS0TU619DLRR7" localSheetId="55" hidden="1">#REF!</definedName>
    <definedName name="BExSA5HP306TN9XJS0TU619DLRR7" localSheetId="4" hidden="1">#REF!</definedName>
    <definedName name="BExSA5HP306TN9XJS0TU619DLRR7" localSheetId="1" hidden="1">#REF!</definedName>
    <definedName name="BExSA5HP306TN9XJS0TU619DLRR7" localSheetId="9" hidden="1">#REF!</definedName>
    <definedName name="BExSA5HP306TN9XJS0TU619DLRR7" hidden="1">#REF!</definedName>
    <definedName name="BExSAAVWQOOIA6B3JHQVGP08HFEM" localSheetId="56" hidden="1">#REF!</definedName>
    <definedName name="BExSAAVWQOOIA6B3JHQVGP08HFEM" localSheetId="55" hidden="1">#REF!</definedName>
    <definedName name="BExSAAVWQOOIA6B3JHQVGP08HFEM" localSheetId="4" hidden="1">#REF!</definedName>
    <definedName name="BExSAAVWQOOIA6B3JHQVGP08HFEM" localSheetId="1" hidden="1">#REF!</definedName>
    <definedName name="BExSAAVWQOOIA6B3JHQVGP08HFEM" localSheetId="9" hidden="1">#REF!</definedName>
    <definedName name="BExSAAVWQOOIA6B3JHQVGP08HFEM" hidden="1">#REF!</definedName>
    <definedName name="BExSAFJ3IICU2M7QPVE4ARYMXZKX" localSheetId="56" hidden="1">#REF!</definedName>
    <definedName name="BExSAFJ3IICU2M7QPVE4ARYMXZKX" localSheetId="55" hidden="1">#REF!</definedName>
    <definedName name="BExSAFJ3IICU2M7QPVE4ARYMXZKX" localSheetId="4" hidden="1">#REF!</definedName>
    <definedName name="BExSAFJ3IICU2M7QPVE4ARYMXZKX" localSheetId="1" hidden="1">#REF!</definedName>
    <definedName name="BExSAFJ3IICU2M7QPVE4ARYMXZKX" localSheetId="9" hidden="1">#REF!</definedName>
    <definedName name="BExSAFJ3IICU2M7QPVE4ARYMXZKX" hidden="1">#REF!</definedName>
    <definedName name="BExSAH6ID8OHX379UXVNGFO8J6KQ" localSheetId="56" hidden="1">#REF!</definedName>
    <definedName name="BExSAH6ID8OHX379UXVNGFO8J6KQ" localSheetId="55" hidden="1">#REF!</definedName>
    <definedName name="BExSAH6ID8OHX379UXVNGFO8J6KQ" localSheetId="4" hidden="1">#REF!</definedName>
    <definedName name="BExSAH6ID8OHX379UXVNGFO8J6KQ" localSheetId="1" hidden="1">#REF!</definedName>
    <definedName name="BExSAH6ID8OHX379UXVNGFO8J6KQ" localSheetId="9" hidden="1">#REF!</definedName>
    <definedName name="BExSAH6ID8OHX379UXVNGFO8J6KQ" hidden="1">#REF!</definedName>
    <definedName name="BExSAQBHIXGQRNIRGCJMBXUPCZQA" localSheetId="56" hidden="1">#REF!</definedName>
    <definedName name="BExSAQBHIXGQRNIRGCJMBXUPCZQA" localSheetId="55" hidden="1">#REF!</definedName>
    <definedName name="BExSAQBHIXGQRNIRGCJMBXUPCZQA" localSheetId="4" hidden="1">#REF!</definedName>
    <definedName name="BExSAQBHIXGQRNIRGCJMBXUPCZQA" localSheetId="1" hidden="1">#REF!</definedName>
    <definedName name="BExSAQBHIXGQRNIRGCJMBXUPCZQA" localSheetId="9" hidden="1">#REF!</definedName>
    <definedName name="BExSAQBHIXGQRNIRGCJMBXUPCZQA" hidden="1">#REF!</definedName>
    <definedName name="BExSAUTCT4P7JP57NOR9MTX33QJZ" localSheetId="56" hidden="1">#REF!</definedName>
    <definedName name="BExSAUTCT4P7JP57NOR9MTX33QJZ" localSheetId="55" hidden="1">#REF!</definedName>
    <definedName name="BExSAUTCT4P7JP57NOR9MTX33QJZ" localSheetId="4" hidden="1">#REF!</definedName>
    <definedName name="BExSAUTCT4P7JP57NOR9MTX33QJZ" localSheetId="1" hidden="1">#REF!</definedName>
    <definedName name="BExSAUTCT4P7JP57NOR9MTX33QJZ" localSheetId="9" hidden="1">#REF!</definedName>
    <definedName name="BExSAUTCT4P7JP57NOR9MTX33QJZ" hidden="1">#REF!</definedName>
    <definedName name="BExSAY9CA9TFXQ9M9FBJRGJO9T9E" localSheetId="56" hidden="1">#REF!</definedName>
    <definedName name="BExSAY9CA9TFXQ9M9FBJRGJO9T9E" localSheetId="55" hidden="1">#REF!</definedName>
    <definedName name="BExSAY9CA9TFXQ9M9FBJRGJO9T9E" localSheetId="4" hidden="1">#REF!</definedName>
    <definedName name="BExSAY9CA9TFXQ9M9FBJRGJO9T9E" localSheetId="1" hidden="1">#REF!</definedName>
    <definedName name="BExSAY9CA9TFXQ9M9FBJRGJO9T9E" localSheetId="9" hidden="1">#REF!</definedName>
    <definedName name="BExSAY9CA9TFXQ9M9FBJRGJO9T9E" hidden="1">#REF!</definedName>
    <definedName name="BExSB4JYKQ3MINI7RAYK5M8BLJDC" localSheetId="56" hidden="1">#REF!</definedName>
    <definedName name="BExSB4JYKQ3MINI7RAYK5M8BLJDC" localSheetId="55" hidden="1">#REF!</definedName>
    <definedName name="BExSB4JYKQ3MINI7RAYK5M8BLJDC" localSheetId="4" hidden="1">#REF!</definedName>
    <definedName name="BExSB4JYKQ3MINI7RAYK5M8BLJDC" localSheetId="1" hidden="1">#REF!</definedName>
    <definedName name="BExSB4JYKQ3MINI7RAYK5M8BLJDC" localSheetId="9" hidden="1">#REF!</definedName>
    <definedName name="BExSB4JYKQ3MINI7RAYK5M8BLJDC" hidden="1">#REF!</definedName>
    <definedName name="BExSBCY73CG3Q15P5BDLDT994XRL" localSheetId="56" hidden="1">#REF!</definedName>
    <definedName name="BExSBCY73CG3Q15P5BDLDT994XRL" localSheetId="55" hidden="1">#REF!</definedName>
    <definedName name="BExSBCY73CG3Q15P5BDLDT994XRL" localSheetId="4" hidden="1">#REF!</definedName>
    <definedName name="BExSBCY73CG3Q15P5BDLDT994XRL" localSheetId="1" hidden="1">#REF!</definedName>
    <definedName name="BExSBCY73CG3Q15P5BDLDT994XRL" localSheetId="9" hidden="1">#REF!</definedName>
    <definedName name="BExSBCY73CG3Q15P5BDLDT994XRL" hidden="1">#REF!</definedName>
    <definedName name="BExSBMOS41ZRLWYLOU29V6Y7YORR" localSheetId="56" hidden="1">#REF!</definedName>
    <definedName name="BExSBMOS41ZRLWYLOU29V6Y7YORR" localSheetId="55" hidden="1">#REF!</definedName>
    <definedName name="BExSBMOS41ZRLWYLOU29V6Y7YORR" localSheetId="4" hidden="1">#REF!</definedName>
    <definedName name="BExSBMOS41ZRLWYLOU29V6Y7YORR" localSheetId="1" hidden="1">#REF!</definedName>
    <definedName name="BExSBMOS41ZRLWYLOU29V6Y7YORR" localSheetId="9" hidden="1">#REF!</definedName>
    <definedName name="BExSBMOS41ZRLWYLOU29V6Y7YORR" hidden="1">#REF!</definedName>
    <definedName name="BExSBPZG22WAMZYIF7CZ686E8X80" localSheetId="56" hidden="1">#REF!</definedName>
    <definedName name="BExSBPZG22WAMZYIF7CZ686E8X80" localSheetId="55" hidden="1">#REF!</definedName>
    <definedName name="BExSBPZG22WAMZYIF7CZ686E8X80" localSheetId="4" hidden="1">#REF!</definedName>
    <definedName name="BExSBPZG22WAMZYIF7CZ686E8X80" localSheetId="1" hidden="1">#REF!</definedName>
    <definedName name="BExSBPZG22WAMZYIF7CZ686E8X80" localSheetId="9" hidden="1">#REF!</definedName>
    <definedName name="BExSBPZG22WAMZYIF7CZ686E8X80" hidden="1">#REF!</definedName>
    <definedName name="BExSBRBXXQMBU1TYDW1BXTEVEPRU" localSheetId="56" hidden="1">#REF!</definedName>
    <definedName name="BExSBRBXXQMBU1TYDW1BXTEVEPRU" localSheetId="55" hidden="1">#REF!</definedName>
    <definedName name="BExSBRBXXQMBU1TYDW1BXTEVEPRU" localSheetId="4" hidden="1">#REF!</definedName>
    <definedName name="BExSBRBXXQMBU1TYDW1BXTEVEPRU" localSheetId="1" hidden="1">#REF!</definedName>
    <definedName name="BExSBRBXXQMBU1TYDW1BXTEVEPRU" localSheetId="9" hidden="1">#REF!</definedName>
    <definedName name="BExSBRBXXQMBU1TYDW1BXTEVEPRU" hidden="1">#REF!</definedName>
    <definedName name="BExSC54998WTZ21DSL0R8UN0Y9JH" localSheetId="56" hidden="1">#REF!</definedName>
    <definedName name="BExSC54998WTZ21DSL0R8UN0Y9JH" localSheetId="55" hidden="1">#REF!</definedName>
    <definedName name="BExSC54998WTZ21DSL0R8UN0Y9JH" localSheetId="4" hidden="1">#REF!</definedName>
    <definedName name="BExSC54998WTZ21DSL0R8UN0Y9JH" localSheetId="1" hidden="1">#REF!</definedName>
    <definedName name="BExSC54998WTZ21DSL0R8UN0Y9JH" localSheetId="9" hidden="1">#REF!</definedName>
    <definedName name="BExSC54998WTZ21DSL0R8UN0Y9JH" hidden="1">#REF!</definedName>
    <definedName name="BExSC60N7WR9PJSNC9B7ORCX9NGY" localSheetId="56" hidden="1">#REF!</definedName>
    <definedName name="BExSC60N7WR9PJSNC9B7ORCX9NGY" localSheetId="55" hidden="1">#REF!</definedName>
    <definedName name="BExSC60N7WR9PJSNC9B7ORCX9NGY" localSheetId="4" hidden="1">#REF!</definedName>
    <definedName name="BExSC60N7WR9PJSNC9B7ORCX9NGY" localSheetId="1" hidden="1">#REF!</definedName>
    <definedName name="BExSC60N7WR9PJSNC9B7ORCX9NGY" localSheetId="9" hidden="1">#REF!</definedName>
    <definedName name="BExSC60N7WR9PJSNC9B7ORCX9NGY" hidden="1">#REF!</definedName>
    <definedName name="BExSCE99EZTILTTCE4NJJF96OYYM" localSheetId="56" hidden="1">#REF!</definedName>
    <definedName name="BExSCE99EZTILTTCE4NJJF96OYYM" localSheetId="55" hidden="1">#REF!</definedName>
    <definedName name="BExSCE99EZTILTTCE4NJJF96OYYM" localSheetId="4" hidden="1">#REF!</definedName>
    <definedName name="BExSCE99EZTILTTCE4NJJF96OYYM" localSheetId="1" hidden="1">#REF!</definedName>
    <definedName name="BExSCE99EZTILTTCE4NJJF96OYYM" localSheetId="9" hidden="1">#REF!</definedName>
    <definedName name="BExSCE99EZTILTTCE4NJJF96OYYM" hidden="1">#REF!</definedName>
    <definedName name="BExSCFWOMYELUEPWVJIRGIQZH5BV" localSheetId="56" hidden="1">#REF!</definedName>
    <definedName name="BExSCFWOMYELUEPWVJIRGIQZH5BV" localSheetId="55" hidden="1">#REF!</definedName>
    <definedName name="BExSCFWOMYELUEPWVJIRGIQZH5BV" localSheetId="4" hidden="1">#REF!</definedName>
    <definedName name="BExSCFWOMYELUEPWVJIRGIQZH5BV" localSheetId="1" hidden="1">#REF!</definedName>
    <definedName name="BExSCFWOMYELUEPWVJIRGIQZH5BV" localSheetId="9" hidden="1">#REF!</definedName>
    <definedName name="BExSCFWOMYELUEPWVJIRGIQZH5BV" hidden="1">#REF!</definedName>
    <definedName name="BExSCHUQZ2HFEWS54X67DIS8OSXZ" localSheetId="56" hidden="1">#REF!</definedName>
    <definedName name="BExSCHUQZ2HFEWS54X67DIS8OSXZ" localSheetId="55" hidden="1">#REF!</definedName>
    <definedName name="BExSCHUQZ2HFEWS54X67DIS8OSXZ" localSheetId="4" hidden="1">#REF!</definedName>
    <definedName name="BExSCHUQZ2HFEWS54X67DIS8OSXZ" localSheetId="1" hidden="1">#REF!</definedName>
    <definedName name="BExSCHUQZ2HFEWS54X67DIS8OSXZ" localSheetId="9" hidden="1">#REF!</definedName>
    <definedName name="BExSCHUQZ2HFEWS54X67DIS8OSXZ" hidden="1">#REF!</definedName>
    <definedName name="BExSCOG41SKKG4GYU76WRWW1CTE6" localSheetId="56" hidden="1">#REF!</definedName>
    <definedName name="BExSCOG41SKKG4GYU76WRWW1CTE6" localSheetId="55" hidden="1">#REF!</definedName>
    <definedName name="BExSCOG41SKKG4GYU76WRWW1CTE6" localSheetId="4" hidden="1">#REF!</definedName>
    <definedName name="BExSCOG41SKKG4GYU76WRWW1CTE6" localSheetId="1" hidden="1">#REF!</definedName>
    <definedName name="BExSCOG41SKKG4GYU76WRWW1CTE6" localSheetId="9" hidden="1">#REF!</definedName>
    <definedName name="BExSCOG41SKKG4GYU76WRWW1CTE6" hidden="1">#REF!</definedName>
    <definedName name="BExSCVC9P86YVFMRKKUVRV29MZXZ" localSheetId="56" hidden="1">#REF!</definedName>
    <definedName name="BExSCVC9P86YVFMRKKUVRV29MZXZ" localSheetId="55" hidden="1">#REF!</definedName>
    <definedName name="BExSCVC9P86YVFMRKKUVRV29MZXZ" localSheetId="4" hidden="1">#REF!</definedName>
    <definedName name="BExSCVC9P86YVFMRKKUVRV29MZXZ" localSheetId="1" hidden="1">#REF!</definedName>
    <definedName name="BExSCVC9P86YVFMRKKUVRV29MZXZ" localSheetId="9" hidden="1">#REF!</definedName>
    <definedName name="BExSCVC9P86YVFMRKKUVRV29MZXZ" hidden="1">#REF!</definedName>
    <definedName name="BExSD233CH4MU9ZMGNRF97ZV7KWU" localSheetId="56" hidden="1">#REF!</definedName>
    <definedName name="BExSD233CH4MU9ZMGNRF97ZV7KWU" localSheetId="55" hidden="1">#REF!</definedName>
    <definedName name="BExSD233CH4MU9ZMGNRF97ZV7KWU" localSheetId="4" hidden="1">#REF!</definedName>
    <definedName name="BExSD233CH4MU9ZMGNRF97ZV7KWU" localSheetId="1" hidden="1">#REF!</definedName>
    <definedName name="BExSD233CH4MU9ZMGNRF97ZV7KWU" localSheetId="9" hidden="1">#REF!</definedName>
    <definedName name="BExSD233CH4MU9ZMGNRF97ZV7KWU" hidden="1">#REF!</definedName>
    <definedName name="BExSD2U0F3BN6IN9N4R2DTTJG15H" localSheetId="56" hidden="1">#REF!</definedName>
    <definedName name="BExSD2U0F3BN6IN9N4R2DTTJG15H" localSheetId="55" hidden="1">#REF!</definedName>
    <definedName name="BExSD2U0F3BN6IN9N4R2DTTJG15H" localSheetId="4" hidden="1">#REF!</definedName>
    <definedName name="BExSD2U0F3BN6IN9N4R2DTTJG15H" localSheetId="1" hidden="1">#REF!</definedName>
    <definedName name="BExSD2U0F3BN6IN9N4R2DTTJG15H" localSheetId="9" hidden="1">#REF!</definedName>
    <definedName name="BExSD2U0F3BN6IN9N4R2DTTJG15H" hidden="1">#REF!</definedName>
    <definedName name="BExSD6A6NY15YSMFH51ST6XJY429" localSheetId="56" hidden="1">#REF!</definedName>
    <definedName name="BExSD6A6NY15YSMFH51ST6XJY429" localSheetId="55" hidden="1">#REF!</definedName>
    <definedName name="BExSD6A6NY15YSMFH51ST6XJY429" localSheetId="4" hidden="1">#REF!</definedName>
    <definedName name="BExSD6A6NY15YSMFH51ST6XJY429" localSheetId="1" hidden="1">#REF!</definedName>
    <definedName name="BExSD6A6NY15YSMFH51ST6XJY429" localSheetId="9" hidden="1">#REF!</definedName>
    <definedName name="BExSD6A6NY15YSMFH51ST6XJY429" hidden="1">#REF!</definedName>
    <definedName name="BExSD9VH6PF6RQ135VOEE08YXPAW" localSheetId="56" hidden="1">#REF!</definedName>
    <definedName name="BExSD9VH6PF6RQ135VOEE08YXPAW" localSheetId="55" hidden="1">#REF!</definedName>
    <definedName name="BExSD9VH6PF6RQ135VOEE08YXPAW" localSheetId="4" hidden="1">#REF!</definedName>
    <definedName name="BExSD9VH6PF6RQ135VOEE08YXPAW" localSheetId="1" hidden="1">#REF!</definedName>
    <definedName name="BExSD9VH6PF6RQ135VOEE08YXPAW" localSheetId="9" hidden="1">#REF!</definedName>
    <definedName name="BExSD9VH6PF6RQ135VOEE08YXPAW" hidden="1">#REF!</definedName>
    <definedName name="BExSDI9QWFD49GEZWZ3KOGM27XRB" localSheetId="56" hidden="1">#REF!</definedName>
    <definedName name="BExSDI9QWFD49GEZWZ3KOGM27XRB" localSheetId="55" hidden="1">#REF!</definedName>
    <definedName name="BExSDI9QWFD49GEZWZ3KOGM27XRB" localSheetId="4" hidden="1">#REF!</definedName>
    <definedName name="BExSDI9QWFD49GEZWZ3KOGM27XRB" localSheetId="1" hidden="1">#REF!</definedName>
    <definedName name="BExSDI9QWFD49GEZWZ3KOGM27XRB" localSheetId="9" hidden="1">#REF!</definedName>
    <definedName name="BExSDI9QWFD49GEZWZ3KOGM27XRB" hidden="1">#REF!</definedName>
    <definedName name="BExSDP5Y04WWMX2WWRITWOX8R5I9" localSheetId="56" hidden="1">#REF!</definedName>
    <definedName name="BExSDP5Y04WWMX2WWRITWOX8R5I9" localSheetId="55" hidden="1">#REF!</definedName>
    <definedName name="BExSDP5Y04WWMX2WWRITWOX8R5I9" localSheetId="4" hidden="1">#REF!</definedName>
    <definedName name="BExSDP5Y04WWMX2WWRITWOX8R5I9" localSheetId="1" hidden="1">#REF!</definedName>
    <definedName name="BExSDP5Y04WWMX2WWRITWOX8R5I9" localSheetId="9" hidden="1">#REF!</definedName>
    <definedName name="BExSDP5Y04WWMX2WWRITWOX8R5I9" hidden="1">#REF!</definedName>
    <definedName name="BExSDSGM203BJTNS9MKCBX453HMD" localSheetId="56" hidden="1">#REF!</definedName>
    <definedName name="BExSDSGM203BJTNS9MKCBX453HMD" localSheetId="55" hidden="1">#REF!</definedName>
    <definedName name="BExSDSGM203BJTNS9MKCBX453HMD" localSheetId="4" hidden="1">#REF!</definedName>
    <definedName name="BExSDSGM203BJTNS9MKCBX453HMD" localSheetId="1" hidden="1">#REF!</definedName>
    <definedName name="BExSDSGM203BJTNS9MKCBX453HMD" localSheetId="9" hidden="1">#REF!</definedName>
    <definedName name="BExSDSGM203BJTNS9MKCBX453HMD" hidden="1">#REF!</definedName>
    <definedName name="BExSDT20XUFXTDM37M148AXAP7HN" localSheetId="56" hidden="1">#REF!</definedName>
    <definedName name="BExSDT20XUFXTDM37M148AXAP7HN" localSheetId="55" hidden="1">#REF!</definedName>
    <definedName name="BExSDT20XUFXTDM37M148AXAP7HN" localSheetId="4" hidden="1">#REF!</definedName>
    <definedName name="BExSDT20XUFXTDM37M148AXAP7HN" localSheetId="1" hidden="1">#REF!</definedName>
    <definedName name="BExSDT20XUFXTDM37M148AXAP7HN" localSheetId="9" hidden="1">#REF!</definedName>
    <definedName name="BExSDT20XUFXTDM37M148AXAP7HN" hidden="1">#REF!</definedName>
    <definedName name="BExSDYLOWNTKCY92LFEDAV8LO7D3" localSheetId="56" hidden="1">#REF!</definedName>
    <definedName name="BExSDYLOWNTKCY92LFEDAV8LO7D3" localSheetId="55" hidden="1">#REF!</definedName>
    <definedName name="BExSDYLOWNTKCY92LFEDAV8LO7D3" localSheetId="4" hidden="1">#REF!</definedName>
    <definedName name="BExSDYLOWNTKCY92LFEDAV8LO7D3" localSheetId="1" hidden="1">#REF!</definedName>
    <definedName name="BExSDYLOWNTKCY92LFEDAV8LO7D3" localSheetId="9" hidden="1">#REF!</definedName>
    <definedName name="BExSDYLOWNTKCY92LFEDAV8LO7D3" hidden="1">#REF!</definedName>
    <definedName name="BExSE277VXZ807WBUB6A1UGQ1SF9" localSheetId="56" hidden="1">#REF!</definedName>
    <definedName name="BExSE277VXZ807WBUB6A1UGQ1SF9" localSheetId="55" hidden="1">#REF!</definedName>
    <definedName name="BExSE277VXZ807WBUB6A1UGQ1SF9" localSheetId="4" hidden="1">#REF!</definedName>
    <definedName name="BExSE277VXZ807WBUB6A1UGQ1SF9" localSheetId="1" hidden="1">#REF!</definedName>
    <definedName name="BExSE277VXZ807WBUB6A1UGQ1SF9" localSheetId="9" hidden="1">#REF!</definedName>
    <definedName name="BExSE277VXZ807WBUB6A1UGQ1SF9" hidden="1">#REF!</definedName>
    <definedName name="BExSE3EDSP4UL6G0I3DZ5SBHMUBU" localSheetId="56" hidden="1">#REF!</definedName>
    <definedName name="BExSE3EDSP4UL6G0I3DZ5SBHMUBU" localSheetId="55" hidden="1">#REF!</definedName>
    <definedName name="BExSE3EDSP4UL6G0I3DZ5SBHMUBU" localSheetId="4" hidden="1">#REF!</definedName>
    <definedName name="BExSE3EDSP4UL6G0I3DZ5SBHMUBU" localSheetId="1" hidden="1">#REF!</definedName>
    <definedName name="BExSE3EDSP4UL6G0I3DZ5SBHMUBU" localSheetId="9" hidden="1">#REF!</definedName>
    <definedName name="BExSE3EDSP4UL6G0I3DZ5SBHMUBU" hidden="1">#REF!</definedName>
    <definedName name="BExSEEHK1VLWD7JBV9SVVVIKQZ3I" localSheetId="56" hidden="1">#REF!</definedName>
    <definedName name="BExSEEHK1VLWD7JBV9SVVVIKQZ3I" localSheetId="55" hidden="1">#REF!</definedName>
    <definedName name="BExSEEHK1VLWD7JBV9SVVVIKQZ3I" localSheetId="4" hidden="1">#REF!</definedName>
    <definedName name="BExSEEHK1VLWD7JBV9SVVVIKQZ3I" localSheetId="1" hidden="1">#REF!</definedName>
    <definedName name="BExSEEHK1VLWD7JBV9SVVVIKQZ3I" localSheetId="9" hidden="1">#REF!</definedName>
    <definedName name="BExSEEHK1VLWD7JBV9SVVVIKQZ3I" hidden="1">#REF!</definedName>
    <definedName name="BExSEITYG8XAMWJ1C8VKU1MB4TEO" localSheetId="56" hidden="1">#REF!</definedName>
    <definedName name="BExSEITYG8XAMWJ1C8VKU1MB4TEO" localSheetId="55" hidden="1">#REF!</definedName>
    <definedName name="BExSEITYG8XAMWJ1C8VKU1MB4TEO" localSheetId="4" hidden="1">#REF!</definedName>
    <definedName name="BExSEITYG8XAMWJ1C8VKU1MB4TEO" localSheetId="1" hidden="1">#REF!</definedName>
    <definedName name="BExSEITYG8XAMWJ1C8VKU1MB4TEO" localSheetId="9" hidden="1">#REF!</definedName>
    <definedName name="BExSEITYG8XAMWJ1C8VKU1MB4TEO" hidden="1">#REF!</definedName>
    <definedName name="BExSEJKZLX37P3V33TRTFJ30BFRK" localSheetId="56" hidden="1">#REF!</definedName>
    <definedName name="BExSEJKZLX37P3V33TRTFJ30BFRK" localSheetId="55" hidden="1">#REF!</definedName>
    <definedName name="BExSEJKZLX37P3V33TRTFJ30BFRK" localSheetId="4" hidden="1">#REF!</definedName>
    <definedName name="BExSEJKZLX37P3V33TRTFJ30BFRK" localSheetId="1" hidden="1">#REF!</definedName>
    <definedName name="BExSEJKZLX37P3V33TRTFJ30BFRK" localSheetId="9" hidden="1">#REF!</definedName>
    <definedName name="BExSEJKZLX37P3V33TRTFJ30BFRK" hidden="1">#REF!</definedName>
    <definedName name="BExSEKXG1AW54E28IG5EODEM0JJV" localSheetId="56" hidden="1">#REF!</definedName>
    <definedName name="BExSEKXG1AW54E28IG5EODEM0JJV" localSheetId="55" hidden="1">#REF!</definedName>
    <definedName name="BExSEKXG1AW54E28IG5EODEM0JJV" localSheetId="4" hidden="1">#REF!</definedName>
    <definedName name="BExSEKXG1AW54E28IG5EODEM0JJV" localSheetId="1" hidden="1">#REF!</definedName>
    <definedName name="BExSEKXG1AW54E28IG5EODEM0JJV" localSheetId="9" hidden="1">#REF!</definedName>
    <definedName name="BExSEKXG1AW54E28IG5EODEM0JJV" hidden="1">#REF!</definedName>
    <definedName name="BExSEO84KVM8R2IV5MFH0XI3IZSN" localSheetId="56" hidden="1">#REF!</definedName>
    <definedName name="BExSEO84KVM8R2IV5MFH0XI3IZSN" localSheetId="55" hidden="1">#REF!</definedName>
    <definedName name="BExSEO84KVM8R2IV5MFH0XI3IZSN" localSheetId="4" hidden="1">#REF!</definedName>
    <definedName name="BExSEO84KVM8R2IV5MFH0XI3IZSN" localSheetId="1" hidden="1">#REF!</definedName>
    <definedName name="BExSEO84KVM8R2IV5MFH0XI3IZSN" localSheetId="9" hidden="1">#REF!</definedName>
    <definedName name="BExSEO84KVM8R2IV5MFH0XI3IZSN" hidden="1">#REF!</definedName>
    <definedName name="BExSEP9UVOAI6TMXKNK587PQ3328" localSheetId="56" hidden="1">#REF!</definedName>
    <definedName name="BExSEP9UVOAI6TMXKNK587PQ3328" localSheetId="55" hidden="1">#REF!</definedName>
    <definedName name="BExSEP9UVOAI6TMXKNK587PQ3328" localSheetId="4" hidden="1">#REF!</definedName>
    <definedName name="BExSEP9UVOAI6TMXKNK587PQ3328" localSheetId="1" hidden="1">#REF!</definedName>
    <definedName name="BExSEP9UVOAI6TMXKNK587PQ3328" localSheetId="9" hidden="1">#REF!</definedName>
    <definedName name="BExSEP9UVOAI6TMXKNK587PQ3328" hidden="1">#REF!</definedName>
    <definedName name="BExSERIU9MUGR4NPZAUJCVXUZ74I" localSheetId="56" hidden="1">#REF!</definedName>
    <definedName name="BExSERIU9MUGR4NPZAUJCVXUZ74I" localSheetId="55" hidden="1">#REF!</definedName>
    <definedName name="BExSERIU9MUGR4NPZAUJCVXUZ74I" localSheetId="4" hidden="1">#REF!</definedName>
    <definedName name="BExSERIU9MUGR4NPZAUJCVXUZ74I" localSheetId="1" hidden="1">#REF!</definedName>
    <definedName name="BExSERIU9MUGR4NPZAUJCVXUZ74I" localSheetId="9" hidden="1">#REF!</definedName>
    <definedName name="BExSERIU9MUGR4NPZAUJCVXUZ74I" hidden="1">#REF!</definedName>
    <definedName name="BExSF07QFLZCO4P6K6QF05XG7PH1" localSheetId="56" hidden="1">#REF!</definedName>
    <definedName name="BExSF07QFLZCO4P6K6QF05XG7PH1" localSheetId="55" hidden="1">#REF!</definedName>
    <definedName name="BExSF07QFLZCO4P6K6QF05XG7PH1" localSheetId="4" hidden="1">#REF!</definedName>
    <definedName name="BExSF07QFLZCO4P6K6QF05XG7PH1" localSheetId="1" hidden="1">#REF!</definedName>
    <definedName name="BExSF07QFLZCO4P6K6QF05XG7PH1" localSheetId="9" hidden="1">#REF!</definedName>
    <definedName name="BExSF07QFLZCO4P6K6QF05XG7PH1" hidden="1">#REF!</definedName>
    <definedName name="BExSFJ8ZAGQ63A4MVMZRQWLVRGQ5" localSheetId="56" hidden="1">#REF!</definedName>
    <definedName name="BExSFJ8ZAGQ63A4MVMZRQWLVRGQ5" localSheetId="55" hidden="1">#REF!</definedName>
    <definedName name="BExSFJ8ZAGQ63A4MVMZRQWLVRGQ5" localSheetId="4" hidden="1">#REF!</definedName>
    <definedName name="BExSFJ8ZAGQ63A4MVMZRQWLVRGQ5" localSheetId="1" hidden="1">#REF!</definedName>
    <definedName name="BExSFJ8ZAGQ63A4MVMZRQWLVRGQ5" localSheetId="9" hidden="1">#REF!</definedName>
    <definedName name="BExSFJ8ZAGQ63A4MVMZRQWLVRGQ5" hidden="1">#REF!</definedName>
    <definedName name="BExSFKQRST2S9KXWWLCXYLKSF4G1" localSheetId="56" hidden="1">#REF!</definedName>
    <definedName name="BExSFKQRST2S9KXWWLCXYLKSF4G1" localSheetId="55" hidden="1">#REF!</definedName>
    <definedName name="BExSFKQRST2S9KXWWLCXYLKSF4G1" localSheetId="4" hidden="1">#REF!</definedName>
    <definedName name="BExSFKQRST2S9KXWWLCXYLKSF4G1" localSheetId="1" hidden="1">#REF!</definedName>
    <definedName name="BExSFKQRST2S9KXWWLCXYLKSF4G1" localSheetId="9" hidden="1">#REF!</definedName>
    <definedName name="BExSFKQRST2S9KXWWLCXYLKSF4G1" hidden="1">#REF!</definedName>
    <definedName name="BExSFOHO6VZ5Y463KL3XYTZBVE3P" localSheetId="56" hidden="1">#REF!</definedName>
    <definedName name="BExSFOHO6VZ5Y463KL3XYTZBVE3P" localSheetId="55" hidden="1">#REF!</definedName>
    <definedName name="BExSFOHO6VZ5Y463KL3XYTZBVE3P" localSheetId="4" hidden="1">#REF!</definedName>
    <definedName name="BExSFOHO6VZ5Y463KL3XYTZBVE3P" localSheetId="1" hidden="1">#REF!</definedName>
    <definedName name="BExSFOHO6VZ5Y463KL3XYTZBVE3P" localSheetId="9" hidden="1">#REF!</definedName>
    <definedName name="BExSFOHO6VZ5Y463KL3XYTZBVE3P" hidden="1">#REF!</definedName>
    <definedName name="BExSFY2ZJOYUEYBX21QZ7AMN2WK1" localSheetId="56" hidden="1">#REF!</definedName>
    <definedName name="BExSFY2ZJOYUEYBX21QZ7AMN2WK1" localSheetId="55" hidden="1">#REF!</definedName>
    <definedName name="BExSFY2ZJOYUEYBX21QZ7AMN2WK1" localSheetId="4" hidden="1">#REF!</definedName>
    <definedName name="BExSFY2ZJOYUEYBX21QZ7AMN2WK1" localSheetId="1" hidden="1">#REF!</definedName>
    <definedName name="BExSFY2ZJOYUEYBX21QZ7AMN2WK1" localSheetId="9" hidden="1">#REF!</definedName>
    <definedName name="BExSFY2ZJOYUEYBX21QZ7AMN2WK1" hidden="1">#REF!</definedName>
    <definedName name="BExSFYDRRTAZVPXRWUF5PDQ97WFF" localSheetId="56" hidden="1">#REF!</definedName>
    <definedName name="BExSFYDRRTAZVPXRWUF5PDQ97WFF" localSheetId="55" hidden="1">#REF!</definedName>
    <definedName name="BExSFYDRRTAZVPXRWUF5PDQ97WFF" localSheetId="4" hidden="1">#REF!</definedName>
    <definedName name="BExSFYDRRTAZVPXRWUF5PDQ97WFF" localSheetId="1" hidden="1">#REF!</definedName>
    <definedName name="BExSFYDRRTAZVPXRWUF5PDQ97WFF" localSheetId="9" hidden="1">#REF!</definedName>
    <definedName name="BExSFYDRRTAZVPXRWUF5PDQ97WFF" hidden="1">#REF!</definedName>
    <definedName name="BExSFZVPFTXA3F0IJ2NGH1GXX9R7" localSheetId="56" hidden="1">#REF!</definedName>
    <definedName name="BExSFZVPFTXA3F0IJ2NGH1GXX9R7" localSheetId="55" hidden="1">#REF!</definedName>
    <definedName name="BExSFZVPFTXA3F0IJ2NGH1GXX9R7" localSheetId="4" hidden="1">#REF!</definedName>
    <definedName name="BExSFZVPFTXA3F0IJ2NGH1GXX9R7" localSheetId="1" hidden="1">#REF!</definedName>
    <definedName name="BExSFZVPFTXA3F0IJ2NGH1GXX9R7" localSheetId="9" hidden="1">#REF!</definedName>
    <definedName name="BExSFZVPFTXA3F0IJ2NGH1GXX9R7" hidden="1">#REF!</definedName>
    <definedName name="BExSG2Q34XRC1K28H4XG6PQM3FTW" localSheetId="56" hidden="1">#REF!</definedName>
    <definedName name="BExSG2Q34XRC1K28H4XG6PQM3FTW" localSheetId="55" hidden="1">#REF!</definedName>
    <definedName name="BExSG2Q34XRC1K28H4XG6PQM3FTW" localSheetId="4" hidden="1">#REF!</definedName>
    <definedName name="BExSG2Q34XRC1K28H4XG6PQM3FTW" localSheetId="1" hidden="1">#REF!</definedName>
    <definedName name="BExSG2Q34XRC1K28H4XG6PQM3FTW" localSheetId="9" hidden="1">#REF!</definedName>
    <definedName name="BExSG2Q34XRC1K28H4XG6PQM3FTW" hidden="1">#REF!</definedName>
    <definedName name="BExSG90Q4ZUU2IPGDYOM169NJV9S" localSheetId="56" hidden="1">#REF!</definedName>
    <definedName name="BExSG90Q4ZUU2IPGDYOM169NJV9S" localSheetId="55" hidden="1">#REF!</definedName>
    <definedName name="BExSG90Q4ZUU2IPGDYOM169NJV9S" localSheetId="4" hidden="1">#REF!</definedName>
    <definedName name="BExSG90Q4ZUU2IPGDYOM169NJV9S" localSheetId="1" hidden="1">#REF!</definedName>
    <definedName name="BExSG90Q4ZUU2IPGDYOM169NJV9S" localSheetId="9" hidden="1">#REF!</definedName>
    <definedName name="BExSG90Q4ZUU2IPGDYOM169NJV9S" hidden="1">#REF!</definedName>
    <definedName name="BExSG9X3DU845PNXYJGGLBQY2UHG" localSheetId="56" hidden="1">#REF!</definedName>
    <definedName name="BExSG9X3DU845PNXYJGGLBQY2UHG" localSheetId="55" hidden="1">#REF!</definedName>
    <definedName name="BExSG9X3DU845PNXYJGGLBQY2UHG" localSheetId="4" hidden="1">#REF!</definedName>
    <definedName name="BExSG9X3DU845PNXYJGGLBQY2UHG" localSheetId="1" hidden="1">#REF!</definedName>
    <definedName name="BExSG9X3DU845PNXYJGGLBQY2UHG" localSheetId="9" hidden="1">#REF!</definedName>
    <definedName name="BExSG9X3DU845PNXYJGGLBQY2UHG" hidden="1">#REF!</definedName>
    <definedName name="BExSGE45J27MDUUNXW7Z8Q33UAON" localSheetId="56" hidden="1">#REF!</definedName>
    <definedName name="BExSGE45J27MDUUNXW7Z8Q33UAON" localSheetId="55" hidden="1">#REF!</definedName>
    <definedName name="BExSGE45J27MDUUNXW7Z8Q33UAON" localSheetId="4" hidden="1">#REF!</definedName>
    <definedName name="BExSGE45J27MDUUNXW7Z8Q33UAON" localSheetId="1" hidden="1">#REF!</definedName>
    <definedName name="BExSGE45J27MDUUNXW7Z8Q33UAON" localSheetId="9" hidden="1">#REF!</definedName>
    <definedName name="BExSGE45J27MDUUNXW7Z8Q33UAON" hidden="1">#REF!</definedName>
    <definedName name="BExSGE9LY91Q0URHB4YAMX0UAMYI" localSheetId="56" hidden="1">#REF!</definedName>
    <definedName name="BExSGE9LY91Q0URHB4YAMX0UAMYI" localSheetId="55" hidden="1">#REF!</definedName>
    <definedName name="BExSGE9LY91Q0URHB4YAMX0UAMYI" localSheetId="4" hidden="1">#REF!</definedName>
    <definedName name="BExSGE9LY91Q0URHB4YAMX0UAMYI" localSheetId="1" hidden="1">#REF!</definedName>
    <definedName name="BExSGE9LY91Q0URHB4YAMX0UAMYI" localSheetId="9" hidden="1">#REF!</definedName>
    <definedName name="BExSGE9LY91Q0URHB4YAMX0UAMYI" hidden="1">#REF!</definedName>
    <definedName name="BExSGLB2URTLBCKBB4Y885W925F2" localSheetId="56" hidden="1">#REF!</definedName>
    <definedName name="BExSGLB2URTLBCKBB4Y885W925F2" localSheetId="55" hidden="1">#REF!</definedName>
    <definedName name="BExSGLB2URTLBCKBB4Y885W925F2" localSheetId="4" hidden="1">#REF!</definedName>
    <definedName name="BExSGLB2URTLBCKBB4Y885W925F2" localSheetId="1" hidden="1">#REF!</definedName>
    <definedName name="BExSGLB2URTLBCKBB4Y885W925F2" localSheetId="9" hidden="1">#REF!</definedName>
    <definedName name="BExSGLB2URTLBCKBB4Y885W925F2" hidden="1">#REF!</definedName>
    <definedName name="BExSGNEL2G0PC04ATVS20W5179EK" localSheetId="56" hidden="1">#REF!</definedName>
    <definedName name="BExSGNEL2G0PC04ATVS20W5179EK" localSheetId="55" hidden="1">#REF!</definedName>
    <definedName name="BExSGNEL2G0PC04ATVS20W5179EK" localSheetId="4" hidden="1">#REF!</definedName>
    <definedName name="BExSGNEL2G0PC04ATVS20W5179EK" localSheetId="1" hidden="1">#REF!</definedName>
    <definedName name="BExSGNEL2G0PC04ATVS20W5179EK" localSheetId="9" hidden="1">#REF!</definedName>
    <definedName name="BExSGNEL2G0PC04ATVS20W5179EK" hidden="1">#REF!</definedName>
    <definedName name="BExSGOAYG73SFWOPAQV80P710GID" localSheetId="56" hidden="1">#REF!</definedName>
    <definedName name="BExSGOAYG73SFWOPAQV80P710GID" localSheetId="55" hidden="1">#REF!</definedName>
    <definedName name="BExSGOAYG73SFWOPAQV80P710GID" localSheetId="4" hidden="1">#REF!</definedName>
    <definedName name="BExSGOAYG73SFWOPAQV80P710GID" localSheetId="1" hidden="1">#REF!</definedName>
    <definedName name="BExSGOAYG73SFWOPAQV80P710GID" localSheetId="9" hidden="1">#REF!</definedName>
    <definedName name="BExSGOAYG73SFWOPAQV80P710GID" hidden="1">#REF!</definedName>
    <definedName name="BExSGOWJHRW7FWKLO2EHUOOGHNAF" localSheetId="56" hidden="1">#REF!</definedName>
    <definedName name="BExSGOWJHRW7FWKLO2EHUOOGHNAF" localSheetId="55" hidden="1">#REF!</definedName>
    <definedName name="BExSGOWJHRW7FWKLO2EHUOOGHNAF" localSheetId="4" hidden="1">#REF!</definedName>
    <definedName name="BExSGOWJHRW7FWKLO2EHUOOGHNAF" localSheetId="1" hidden="1">#REF!</definedName>
    <definedName name="BExSGOWJHRW7FWKLO2EHUOOGHNAF" localSheetId="9" hidden="1">#REF!</definedName>
    <definedName name="BExSGOWJHRW7FWKLO2EHUOOGHNAF" hidden="1">#REF!</definedName>
    <definedName name="BExSGOWJTAP41ZV5Q23H7MI9C76W" localSheetId="56" hidden="1">#REF!</definedName>
    <definedName name="BExSGOWJTAP41ZV5Q23H7MI9C76W" localSheetId="55" hidden="1">#REF!</definedName>
    <definedName name="BExSGOWJTAP41ZV5Q23H7MI9C76W" localSheetId="4" hidden="1">#REF!</definedName>
    <definedName name="BExSGOWJTAP41ZV5Q23H7MI9C76W" localSheetId="1" hidden="1">#REF!</definedName>
    <definedName name="BExSGOWJTAP41ZV5Q23H7MI9C76W" localSheetId="9" hidden="1">#REF!</definedName>
    <definedName name="BExSGOWJTAP41ZV5Q23H7MI9C76W" hidden="1">#REF!</definedName>
    <definedName name="BExSGR5JQVX2HQ0PKCGZNSSUM1RV" localSheetId="56" hidden="1">#REF!</definedName>
    <definedName name="BExSGR5JQVX2HQ0PKCGZNSSUM1RV" localSheetId="55" hidden="1">#REF!</definedName>
    <definedName name="BExSGR5JQVX2HQ0PKCGZNSSUM1RV" localSheetId="4" hidden="1">#REF!</definedName>
    <definedName name="BExSGR5JQVX2HQ0PKCGZNSSUM1RV" localSheetId="1" hidden="1">#REF!</definedName>
    <definedName name="BExSGR5JQVX2HQ0PKCGZNSSUM1RV" localSheetId="9" hidden="1">#REF!</definedName>
    <definedName name="BExSGR5JQVX2HQ0PKCGZNSSUM1RV" hidden="1">#REF!</definedName>
    <definedName name="BExSGT3MKX7YVLVP6YLL6KVO8UGV" localSheetId="56" hidden="1">#REF!</definedName>
    <definedName name="BExSGT3MKX7YVLVP6YLL6KVO8UGV" localSheetId="55" hidden="1">#REF!</definedName>
    <definedName name="BExSGT3MKX7YVLVP6YLL6KVO8UGV" localSheetId="4" hidden="1">#REF!</definedName>
    <definedName name="BExSGT3MKX7YVLVP6YLL6KVO8UGV" localSheetId="1" hidden="1">#REF!</definedName>
    <definedName name="BExSGT3MKX7YVLVP6YLL6KVO8UGV" localSheetId="9" hidden="1">#REF!</definedName>
    <definedName name="BExSGT3MKX7YVLVP6YLL6KVO8UGV" hidden="1">#REF!</definedName>
    <definedName name="BExSGVHX69GJZHD99DKE4RZ042B1" localSheetId="56" hidden="1">#REF!</definedName>
    <definedName name="BExSGVHX69GJZHD99DKE4RZ042B1" localSheetId="55" hidden="1">#REF!</definedName>
    <definedName name="BExSGVHX69GJZHD99DKE4RZ042B1" localSheetId="4" hidden="1">#REF!</definedName>
    <definedName name="BExSGVHX69GJZHD99DKE4RZ042B1" localSheetId="1" hidden="1">#REF!</definedName>
    <definedName name="BExSGVHX69GJZHD99DKE4RZ042B1" localSheetId="9" hidden="1">#REF!</definedName>
    <definedName name="BExSGVHX69GJZHD99DKE4RZ042B1" hidden="1">#REF!</definedName>
    <definedName name="BExSGZJO4J4ZO04E2N2ECVYS9DEZ" localSheetId="56" hidden="1">#REF!</definedName>
    <definedName name="BExSGZJO4J4ZO04E2N2ECVYS9DEZ" localSheetId="55" hidden="1">#REF!</definedName>
    <definedName name="BExSGZJO4J4ZO04E2N2ECVYS9DEZ" localSheetId="4" hidden="1">#REF!</definedName>
    <definedName name="BExSGZJO4J4ZO04E2N2ECVYS9DEZ" localSheetId="1" hidden="1">#REF!</definedName>
    <definedName name="BExSGZJO4J4ZO04E2N2ECVYS9DEZ" localSheetId="9" hidden="1">#REF!</definedName>
    <definedName name="BExSGZJO4J4ZO04E2N2ECVYS9DEZ" hidden="1">#REF!</definedName>
    <definedName name="BExSHAHFHS7MMNJR8JPVABRGBVIT" localSheetId="56" hidden="1">#REF!</definedName>
    <definedName name="BExSHAHFHS7MMNJR8JPVABRGBVIT" localSheetId="55" hidden="1">#REF!</definedName>
    <definedName name="BExSHAHFHS7MMNJR8JPVABRGBVIT" localSheetId="4" hidden="1">#REF!</definedName>
    <definedName name="BExSHAHFHS7MMNJR8JPVABRGBVIT" localSheetId="1" hidden="1">#REF!</definedName>
    <definedName name="BExSHAHFHS7MMNJR8JPVABRGBVIT" localSheetId="9" hidden="1">#REF!</definedName>
    <definedName name="BExSHAHFHS7MMNJR8JPVABRGBVIT" hidden="1">#REF!</definedName>
    <definedName name="BExSHGH88QZWW4RNAX4YKAZ5JEBL" localSheetId="56" hidden="1">#REF!</definedName>
    <definedName name="BExSHGH88QZWW4RNAX4YKAZ5JEBL" localSheetId="55" hidden="1">#REF!</definedName>
    <definedName name="BExSHGH88QZWW4RNAX4YKAZ5JEBL" localSheetId="4" hidden="1">#REF!</definedName>
    <definedName name="BExSHGH88QZWW4RNAX4YKAZ5JEBL" localSheetId="1" hidden="1">#REF!</definedName>
    <definedName name="BExSHGH88QZWW4RNAX4YKAZ5JEBL" localSheetId="9" hidden="1">#REF!</definedName>
    <definedName name="BExSHGH88QZWW4RNAX4YKAZ5JEBL" hidden="1">#REF!</definedName>
    <definedName name="BExSHOKK1OO3CX9Z28C58E5J1D9W" localSheetId="56" hidden="1">#REF!</definedName>
    <definedName name="BExSHOKK1OO3CX9Z28C58E5J1D9W" localSheetId="55" hidden="1">#REF!</definedName>
    <definedName name="BExSHOKK1OO3CX9Z28C58E5J1D9W" localSheetId="4" hidden="1">#REF!</definedName>
    <definedName name="BExSHOKK1OO3CX9Z28C58E5J1D9W" localSheetId="1" hidden="1">#REF!</definedName>
    <definedName name="BExSHOKK1OO3CX9Z28C58E5J1D9W" localSheetId="9" hidden="1">#REF!</definedName>
    <definedName name="BExSHOKK1OO3CX9Z28C58E5J1D9W" hidden="1">#REF!</definedName>
    <definedName name="BExSHQD8KYLTQGDXIRKCHQQ7MKIH" localSheetId="56" hidden="1">#REF!</definedName>
    <definedName name="BExSHQD8KYLTQGDXIRKCHQQ7MKIH" localSheetId="55" hidden="1">#REF!</definedName>
    <definedName name="BExSHQD8KYLTQGDXIRKCHQQ7MKIH" localSheetId="4" hidden="1">#REF!</definedName>
    <definedName name="BExSHQD8KYLTQGDXIRKCHQQ7MKIH" localSheetId="1" hidden="1">#REF!</definedName>
    <definedName name="BExSHQD8KYLTQGDXIRKCHQQ7MKIH" localSheetId="9" hidden="1">#REF!</definedName>
    <definedName name="BExSHQD8KYLTQGDXIRKCHQQ7MKIH" hidden="1">#REF!</definedName>
    <definedName name="BExSHVGPIAHXI97UBLI9G4I4M29F" localSheetId="56" hidden="1">#REF!</definedName>
    <definedName name="BExSHVGPIAHXI97UBLI9G4I4M29F" localSheetId="55" hidden="1">#REF!</definedName>
    <definedName name="BExSHVGPIAHXI97UBLI9G4I4M29F" localSheetId="4" hidden="1">#REF!</definedName>
    <definedName name="BExSHVGPIAHXI97UBLI9G4I4M29F" localSheetId="1" hidden="1">#REF!</definedName>
    <definedName name="BExSHVGPIAHXI97UBLI9G4I4M29F" localSheetId="9" hidden="1">#REF!</definedName>
    <definedName name="BExSHVGPIAHXI97UBLI9G4I4M29F" hidden="1">#REF!</definedName>
    <definedName name="BExSI0K2YL3HTCQAD8A7TR4QCUR6" localSheetId="56" hidden="1">#REF!</definedName>
    <definedName name="BExSI0K2YL3HTCQAD8A7TR4QCUR6" localSheetId="55" hidden="1">#REF!</definedName>
    <definedName name="BExSI0K2YL3HTCQAD8A7TR4QCUR6" localSheetId="4" hidden="1">#REF!</definedName>
    <definedName name="BExSI0K2YL3HTCQAD8A7TR4QCUR6" localSheetId="1" hidden="1">#REF!</definedName>
    <definedName name="BExSI0K2YL3HTCQAD8A7TR4QCUR6" localSheetId="9" hidden="1">#REF!</definedName>
    <definedName name="BExSI0K2YL3HTCQAD8A7TR4QCUR6" hidden="1">#REF!</definedName>
    <definedName name="BExSIFUDNRWXWIWNGCCFOOD8WIAZ" localSheetId="56" hidden="1">#REF!</definedName>
    <definedName name="BExSIFUDNRWXWIWNGCCFOOD8WIAZ" localSheetId="55" hidden="1">#REF!</definedName>
    <definedName name="BExSIFUDNRWXWIWNGCCFOOD8WIAZ" localSheetId="4" hidden="1">#REF!</definedName>
    <definedName name="BExSIFUDNRWXWIWNGCCFOOD8WIAZ" localSheetId="1" hidden="1">#REF!</definedName>
    <definedName name="BExSIFUDNRWXWIWNGCCFOOD8WIAZ" localSheetId="9" hidden="1">#REF!</definedName>
    <definedName name="BExSIFUDNRWXWIWNGCCFOOD8WIAZ" hidden="1">#REF!</definedName>
    <definedName name="BExTTZNS2PBCR93C9IUW49UZ4I6T" localSheetId="56" hidden="1">#REF!</definedName>
    <definedName name="BExTTZNS2PBCR93C9IUW49UZ4I6T" localSheetId="55" hidden="1">#REF!</definedName>
    <definedName name="BExTTZNS2PBCR93C9IUW49UZ4I6T" localSheetId="4" hidden="1">#REF!</definedName>
    <definedName name="BExTTZNS2PBCR93C9IUW49UZ4I6T" localSheetId="1" hidden="1">#REF!</definedName>
    <definedName name="BExTTZNS2PBCR93C9IUW49UZ4I6T" localSheetId="9" hidden="1">#REF!</definedName>
    <definedName name="BExTTZNS2PBCR93C9IUW49UZ4I6T" hidden="1">#REF!</definedName>
    <definedName name="BExTU2YFQ25JQ6MEMRHHN66VLTPJ" localSheetId="56" hidden="1">#REF!</definedName>
    <definedName name="BExTU2YFQ25JQ6MEMRHHN66VLTPJ" localSheetId="55" hidden="1">#REF!</definedName>
    <definedName name="BExTU2YFQ25JQ6MEMRHHN66VLTPJ" localSheetId="4" hidden="1">#REF!</definedName>
    <definedName name="BExTU2YFQ25JQ6MEMRHHN66VLTPJ" localSheetId="1" hidden="1">#REF!</definedName>
    <definedName name="BExTU2YFQ25JQ6MEMRHHN66VLTPJ" localSheetId="9" hidden="1">#REF!</definedName>
    <definedName name="BExTU2YFQ25JQ6MEMRHHN66VLTPJ" hidden="1">#REF!</definedName>
    <definedName name="BExTU75IOII1V5O0C9X2VAYYVJUG" localSheetId="56" hidden="1">#REF!</definedName>
    <definedName name="BExTU75IOII1V5O0C9X2VAYYVJUG" localSheetId="55" hidden="1">#REF!</definedName>
    <definedName name="BExTU75IOII1V5O0C9X2VAYYVJUG" localSheetId="4" hidden="1">#REF!</definedName>
    <definedName name="BExTU75IOII1V5O0C9X2VAYYVJUG" localSheetId="1" hidden="1">#REF!</definedName>
    <definedName name="BExTU75IOII1V5O0C9X2VAYYVJUG" localSheetId="9" hidden="1">#REF!</definedName>
    <definedName name="BExTU75IOII1V5O0C9X2VAYYVJUG" hidden="1">#REF!</definedName>
    <definedName name="BExTUA5F7V4LUIIAM17J3A8XF3JE" localSheetId="56" hidden="1">#REF!</definedName>
    <definedName name="BExTUA5F7V4LUIIAM17J3A8XF3JE" localSheetId="55" hidden="1">#REF!</definedName>
    <definedName name="BExTUA5F7V4LUIIAM17J3A8XF3JE" localSheetId="4" hidden="1">#REF!</definedName>
    <definedName name="BExTUA5F7V4LUIIAM17J3A8XF3JE" localSheetId="1" hidden="1">#REF!</definedName>
    <definedName name="BExTUA5F7V4LUIIAM17J3A8XF3JE" localSheetId="9" hidden="1">#REF!</definedName>
    <definedName name="BExTUA5F7V4LUIIAM17J3A8XF3JE" hidden="1">#REF!</definedName>
    <definedName name="BExTUBY3AA9B91YRRWFOT21LUL8Q" localSheetId="56" hidden="1">#REF!</definedName>
    <definedName name="BExTUBY3AA9B91YRRWFOT21LUL8Q" localSheetId="55" hidden="1">#REF!</definedName>
    <definedName name="BExTUBY3AA9B91YRRWFOT21LUL8Q" localSheetId="4" hidden="1">#REF!</definedName>
    <definedName name="BExTUBY3AA9B91YRRWFOT21LUL8Q" localSheetId="1" hidden="1">#REF!</definedName>
    <definedName name="BExTUBY3AA9B91YRRWFOT21LUL8Q" localSheetId="9" hidden="1">#REF!</definedName>
    <definedName name="BExTUBY3AA9B91YRRWFOT21LUL8Q" hidden="1">#REF!</definedName>
    <definedName name="BExTUJ53ANGZ3H1KDK4CR4Q0OD6P" localSheetId="56" hidden="1">#REF!</definedName>
    <definedName name="BExTUJ53ANGZ3H1KDK4CR4Q0OD6P" localSheetId="55" hidden="1">#REF!</definedName>
    <definedName name="BExTUJ53ANGZ3H1KDK4CR4Q0OD6P" localSheetId="4" hidden="1">#REF!</definedName>
    <definedName name="BExTUJ53ANGZ3H1KDK4CR4Q0OD6P" localSheetId="1" hidden="1">#REF!</definedName>
    <definedName name="BExTUJ53ANGZ3H1KDK4CR4Q0OD6P" localSheetId="9" hidden="1">#REF!</definedName>
    <definedName name="BExTUJ53ANGZ3H1KDK4CR4Q0OD6P" hidden="1">#REF!</definedName>
    <definedName name="BExTUKXSZBM7C57G6NGLWGU4WOHY" localSheetId="56" hidden="1">#REF!</definedName>
    <definedName name="BExTUKXSZBM7C57G6NGLWGU4WOHY" localSheetId="55" hidden="1">#REF!</definedName>
    <definedName name="BExTUKXSZBM7C57G6NGLWGU4WOHY" localSheetId="4" hidden="1">#REF!</definedName>
    <definedName name="BExTUKXSZBM7C57G6NGLWGU4WOHY" localSheetId="1" hidden="1">#REF!</definedName>
    <definedName name="BExTUKXSZBM7C57G6NGLWGU4WOHY" localSheetId="9" hidden="1">#REF!</definedName>
    <definedName name="BExTUKXSZBM7C57G6NGLWGU4WOHY" hidden="1">#REF!</definedName>
    <definedName name="BExTUNC5INBE8Y5OA5GQUTXX6QJW" localSheetId="56" hidden="1">#REF!</definedName>
    <definedName name="BExTUNC5INBE8Y5OA5GQUTXX6QJW" localSheetId="55" hidden="1">#REF!</definedName>
    <definedName name="BExTUNC5INBE8Y5OA5GQUTXX6QJW" localSheetId="4" hidden="1">#REF!</definedName>
    <definedName name="BExTUNC5INBE8Y5OA5GQUTXX6QJW" localSheetId="1" hidden="1">#REF!</definedName>
    <definedName name="BExTUNC5INBE8Y5OA5GQUTXX6QJW" localSheetId="9" hidden="1">#REF!</definedName>
    <definedName name="BExTUNC5INBE8Y5OA5GQUTXX6QJW" hidden="1">#REF!</definedName>
    <definedName name="BExTUSQCFFYZCDNHWHADBC2E1ZP1" localSheetId="56" hidden="1">#REF!</definedName>
    <definedName name="BExTUSQCFFYZCDNHWHADBC2E1ZP1" localSheetId="55" hidden="1">#REF!</definedName>
    <definedName name="BExTUSQCFFYZCDNHWHADBC2E1ZP1" localSheetId="4" hidden="1">#REF!</definedName>
    <definedName name="BExTUSQCFFYZCDNHWHADBC2E1ZP1" localSheetId="1" hidden="1">#REF!</definedName>
    <definedName name="BExTUSQCFFYZCDNHWHADBC2E1ZP1" localSheetId="9" hidden="1">#REF!</definedName>
    <definedName name="BExTUSQCFFYZCDNHWHADBC2E1ZP1" hidden="1">#REF!</definedName>
    <definedName name="BExTUV4NQDZVAENZPSZGF7A3DDFN" localSheetId="56" hidden="1">#REF!</definedName>
    <definedName name="BExTUV4NQDZVAENZPSZGF7A3DDFN" localSheetId="55" hidden="1">#REF!</definedName>
    <definedName name="BExTUV4NQDZVAENZPSZGF7A3DDFN" localSheetId="4" hidden="1">#REF!</definedName>
    <definedName name="BExTUV4NQDZVAENZPSZGF7A3DDFN" localSheetId="1" hidden="1">#REF!</definedName>
    <definedName name="BExTUV4NQDZVAENZPSZGF7A3DDFN" localSheetId="9" hidden="1">#REF!</definedName>
    <definedName name="BExTUV4NQDZVAENZPSZGF7A3DDFN" hidden="1">#REF!</definedName>
    <definedName name="BExTUVFGOJEYS28JURA5KHQFDU5J" localSheetId="56" hidden="1">#REF!</definedName>
    <definedName name="BExTUVFGOJEYS28JURA5KHQFDU5J" localSheetId="55" hidden="1">#REF!</definedName>
    <definedName name="BExTUVFGOJEYS28JURA5KHQFDU5J" localSheetId="4" hidden="1">#REF!</definedName>
    <definedName name="BExTUVFGOJEYS28JURA5KHQFDU5J" localSheetId="1" hidden="1">#REF!</definedName>
    <definedName name="BExTUVFGOJEYS28JURA5KHQFDU5J" localSheetId="9" hidden="1">#REF!</definedName>
    <definedName name="BExTUVFGOJEYS28JURA5KHQFDU5J" hidden="1">#REF!</definedName>
    <definedName name="BExTUW10U40QCYGHM5NJ3YR1O5SP" localSheetId="56" hidden="1">#REF!</definedName>
    <definedName name="BExTUW10U40QCYGHM5NJ3YR1O5SP" localSheetId="55" hidden="1">#REF!</definedName>
    <definedName name="BExTUW10U40QCYGHM5NJ3YR1O5SP" localSheetId="4" hidden="1">#REF!</definedName>
    <definedName name="BExTUW10U40QCYGHM5NJ3YR1O5SP" localSheetId="1" hidden="1">#REF!</definedName>
    <definedName name="BExTUW10U40QCYGHM5NJ3YR1O5SP" localSheetId="9" hidden="1">#REF!</definedName>
    <definedName name="BExTUW10U40QCYGHM5NJ3YR1O5SP" hidden="1">#REF!</definedName>
    <definedName name="BExTUWXFQHINU66YG82BI20ATMB5" localSheetId="56" hidden="1">#REF!</definedName>
    <definedName name="BExTUWXFQHINU66YG82BI20ATMB5" localSheetId="55" hidden="1">#REF!</definedName>
    <definedName name="BExTUWXFQHINU66YG82BI20ATMB5" localSheetId="4" hidden="1">#REF!</definedName>
    <definedName name="BExTUWXFQHINU66YG82BI20ATMB5" localSheetId="1" hidden="1">#REF!</definedName>
    <definedName name="BExTUWXFQHINU66YG82BI20ATMB5" localSheetId="9" hidden="1">#REF!</definedName>
    <definedName name="BExTUWXFQHINU66YG82BI20ATMB5" hidden="1">#REF!</definedName>
    <definedName name="BExTUY9WNSJ91GV8CP0SKJTEIV82" localSheetId="45" hidden="1">#REF!</definedName>
    <definedName name="BExTUY9WNSJ91GV8CP0SKJTEIV82" localSheetId="51" hidden="1">#REF!</definedName>
    <definedName name="BExTUY9WNSJ91GV8CP0SKJTEIV82" localSheetId="52" hidden="1">#REF!</definedName>
    <definedName name="BExTUY9WNSJ91GV8CP0SKJTEIV82" localSheetId="56" hidden="1">#REF!</definedName>
    <definedName name="BExTUY9WNSJ91GV8CP0SKJTEIV82" localSheetId="55" hidden="1">#REF!</definedName>
    <definedName name="BExTUY9WNSJ91GV8CP0SKJTEIV82" localSheetId="53" hidden="1">#REF!</definedName>
    <definedName name="BExTUY9WNSJ91GV8CP0SKJTEIV82" localSheetId="54" hidden="1">#REF!</definedName>
    <definedName name="BExTUY9WNSJ91GV8CP0SKJTEIV82" localSheetId="4" hidden="1">#REF!</definedName>
    <definedName name="BExTUY9WNSJ91GV8CP0SKJTEIV82" localSheetId="1" hidden="1">#REF!</definedName>
    <definedName name="BExTUY9WNSJ91GV8CP0SKJTEIV82" localSheetId="9" hidden="1">#REF!</definedName>
    <definedName name="BExTUY9WNSJ91GV8CP0SKJTEIV82" hidden="1">#REF!</definedName>
    <definedName name="BExTV67VIM8PV6KO253M4DUBJQLC" localSheetId="56" hidden="1">#REF!</definedName>
    <definedName name="BExTV67VIM8PV6KO253M4DUBJQLC" localSheetId="55" hidden="1">#REF!</definedName>
    <definedName name="BExTV67VIM8PV6KO253M4DUBJQLC" localSheetId="4" hidden="1">#REF!</definedName>
    <definedName name="BExTV67VIM8PV6KO253M4DUBJQLC" localSheetId="1" hidden="1">#REF!</definedName>
    <definedName name="BExTV67VIM8PV6KO253M4DUBJQLC" localSheetId="9" hidden="1">#REF!</definedName>
    <definedName name="BExTV67VIM8PV6KO253M4DUBJQLC" hidden="1">#REF!</definedName>
    <definedName name="BExTVELZCF2YA5L6F23BYZZR6WHF" localSheetId="56" hidden="1">#REF!</definedName>
    <definedName name="BExTVELZCF2YA5L6F23BYZZR6WHF" localSheetId="55" hidden="1">#REF!</definedName>
    <definedName name="BExTVELZCF2YA5L6F23BYZZR6WHF" localSheetId="4" hidden="1">#REF!</definedName>
    <definedName name="BExTVELZCF2YA5L6F23BYZZR6WHF" localSheetId="1" hidden="1">#REF!</definedName>
    <definedName name="BExTVELZCF2YA5L6F23BYZZR6WHF" localSheetId="9" hidden="1">#REF!</definedName>
    <definedName name="BExTVELZCF2YA5L6F23BYZZR6WHF" hidden="1">#REF!</definedName>
    <definedName name="BExTVGPIQZ99YFXUC8OONUX5BD42" localSheetId="56" hidden="1">#REF!</definedName>
    <definedName name="BExTVGPIQZ99YFXUC8OONUX5BD42" localSheetId="55" hidden="1">#REF!</definedName>
    <definedName name="BExTVGPIQZ99YFXUC8OONUX5BD42" localSheetId="4" hidden="1">#REF!</definedName>
    <definedName name="BExTVGPIQZ99YFXUC8OONUX5BD42" localSheetId="1" hidden="1">#REF!</definedName>
    <definedName name="BExTVGPIQZ99YFXUC8OONUX5BD42" localSheetId="9" hidden="1">#REF!</definedName>
    <definedName name="BExTVGPIQZ99YFXUC8OONUX5BD42" hidden="1">#REF!</definedName>
    <definedName name="BExTVQG4F5RF0LZXG06AZ6EU1GQ3" localSheetId="56" hidden="1">#REF!</definedName>
    <definedName name="BExTVQG4F5RF0LZXG06AZ6EU1GQ3" localSheetId="55" hidden="1">#REF!</definedName>
    <definedName name="BExTVQG4F5RF0LZXG06AZ6EU1GQ3" localSheetId="4" hidden="1">#REF!</definedName>
    <definedName name="BExTVQG4F5RF0LZXG06AZ6EU1GQ3" localSheetId="1" hidden="1">#REF!</definedName>
    <definedName name="BExTVQG4F5RF0LZXG06AZ6EU1GQ3" localSheetId="9" hidden="1">#REF!</definedName>
    <definedName name="BExTVQG4F5RF0LZXG06AZ6EU1GQ3" hidden="1">#REF!</definedName>
    <definedName name="BExTVZQLP9VFLEYQ9280W13X7E8K" localSheetId="56" hidden="1">#REF!</definedName>
    <definedName name="BExTVZQLP9VFLEYQ9280W13X7E8K" localSheetId="55" hidden="1">#REF!</definedName>
    <definedName name="BExTVZQLP9VFLEYQ9280W13X7E8K" localSheetId="4" hidden="1">#REF!</definedName>
    <definedName name="BExTVZQLP9VFLEYQ9280W13X7E8K" localSheetId="1" hidden="1">#REF!</definedName>
    <definedName name="BExTVZQLP9VFLEYQ9280W13X7E8K" localSheetId="9" hidden="1">#REF!</definedName>
    <definedName name="BExTVZQLP9VFLEYQ9280W13X7E8K" hidden="1">#REF!</definedName>
    <definedName name="BExTWB4LA1PODQOH4LDTHQKBN16K" localSheetId="56" hidden="1">#REF!</definedName>
    <definedName name="BExTWB4LA1PODQOH4LDTHQKBN16K" localSheetId="55" hidden="1">#REF!</definedName>
    <definedName name="BExTWB4LA1PODQOH4LDTHQKBN16K" localSheetId="4" hidden="1">#REF!</definedName>
    <definedName name="BExTWB4LA1PODQOH4LDTHQKBN16K" localSheetId="1" hidden="1">#REF!</definedName>
    <definedName name="BExTWB4LA1PODQOH4LDTHQKBN16K" localSheetId="9" hidden="1">#REF!</definedName>
    <definedName name="BExTWB4LA1PODQOH4LDTHQKBN16K" hidden="1">#REF!</definedName>
    <definedName name="BExTWI0Q8AWXUA3ZN7I5V3QK2KM1" localSheetId="56" hidden="1">#REF!</definedName>
    <definedName name="BExTWI0Q8AWXUA3ZN7I5V3QK2KM1" localSheetId="55" hidden="1">#REF!</definedName>
    <definedName name="BExTWI0Q8AWXUA3ZN7I5V3QK2KM1" localSheetId="4" hidden="1">#REF!</definedName>
    <definedName name="BExTWI0Q8AWXUA3ZN7I5V3QK2KM1" localSheetId="1" hidden="1">#REF!</definedName>
    <definedName name="BExTWI0Q8AWXUA3ZN7I5V3QK2KM1" localSheetId="9" hidden="1">#REF!</definedName>
    <definedName name="BExTWI0Q8AWXUA3ZN7I5V3QK2KM1" hidden="1">#REF!</definedName>
    <definedName name="BExTWJTIA3WUW1PUWXAOP9O8NKLZ" localSheetId="56" hidden="1">#REF!</definedName>
    <definedName name="BExTWJTIA3WUW1PUWXAOP9O8NKLZ" localSheetId="55" hidden="1">#REF!</definedName>
    <definedName name="BExTWJTIA3WUW1PUWXAOP9O8NKLZ" localSheetId="4" hidden="1">#REF!</definedName>
    <definedName name="BExTWJTIA3WUW1PUWXAOP9O8NKLZ" localSheetId="1" hidden="1">#REF!</definedName>
    <definedName name="BExTWJTIA3WUW1PUWXAOP9O8NKLZ" localSheetId="9" hidden="1">#REF!</definedName>
    <definedName name="BExTWJTIA3WUW1PUWXAOP9O8NKLZ" hidden="1">#REF!</definedName>
    <definedName name="BExTWW95OX07FNA01WF5MSSSFQLX" localSheetId="56" hidden="1">#REF!</definedName>
    <definedName name="BExTWW95OX07FNA01WF5MSSSFQLX" localSheetId="55" hidden="1">#REF!</definedName>
    <definedName name="BExTWW95OX07FNA01WF5MSSSFQLX" localSheetId="4" hidden="1">#REF!</definedName>
    <definedName name="BExTWW95OX07FNA01WF5MSSSFQLX" localSheetId="1" hidden="1">#REF!</definedName>
    <definedName name="BExTWW95OX07FNA01WF5MSSSFQLX" localSheetId="9" hidden="1">#REF!</definedName>
    <definedName name="BExTWW95OX07FNA01WF5MSSSFQLX" hidden="1">#REF!</definedName>
    <definedName name="BExTX005F4GLW03J0PLPRPMI1SEG" localSheetId="56" hidden="1">#REF!</definedName>
    <definedName name="BExTX005F4GLW03J0PLPRPMI1SEG" localSheetId="55" hidden="1">#REF!</definedName>
    <definedName name="BExTX005F4GLW03J0PLPRPMI1SEG" localSheetId="4" hidden="1">#REF!</definedName>
    <definedName name="BExTX005F4GLW03J0PLPRPMI1SEG" localSheetId="1" hidden="1">#REF!</definedName>
    <definedName name="BExTX005F4GLW03J0PLPRPMI1SEG" localSheetId="9" hidden="1">#REF!</definedName>
    <definedName name="BExTX005F4GLW03J0PLPRPMI1SEG" hidden="1">#REF!</definedName>
    <definedName name="BExTX476KI0RNB71XI5TYMANSGBG" localSheetId="56" hidden="1">#REF!</definedName>
    <definedName name="BExTX476KI0RNB71XI5TYMANSGBG" localSheetId="55" hidden="1">#REF!</definedName>
    <definedName name="BExTX476KI0RNB71XI5TYMANSGBG" localSheetId="4" hidden="1">#REF!</definedName>
    <definedName name="BExTX476KI0RNB71XI5TYMANSGBG" localSheetId="1" hidden="1">#REF!</definedName>
    <definedName name="BExTX476KI0RNB71XI5TYMANSGBG" localSheetId="9" hidden="1">#REF!</definedName>
    <definedName name="BExTX476KI0RNB71XI5TYMANSGBG" hidden="1">#REF!</definedName>
    <definedName name="BExTXBJFKNSCUO7IOL6CSKERP06D" localSheetId="56" hidden="1">#REF!</definedName>
    <definedName name="BExTXBJFKNSCUO7IOL6CSKERP06D" localSheetId="55" hidden="1">#REF!</definedName>
    <definedName name="BExTXBJFKNSCUO7IOL6CSKERP06D" localSheetId="4" hidden="1">#REF!</definedName>
    <definedName name="BExTXBJFKNSCUO7IOL6CSKERP06D" localSheetId="1" hidden="1">#REF!</definedName>
    <definedName name="BExTXBJFKNSCUO7IOL6CSKERP06D" localSheetId="9" hidden="1">#REF!</definedName>
    <definedName name="BExTXBJFKNSCUO7IOL6CSKERP06D" hidden="1">#REF!</definedName>
    <definedName name="BExTXDMZDQ9U1FD9T7F79J29SYYN" localSheetId="56" hidden="1">#REF!</definedName>
    <definedName name="BExTXDMZDQ9U1FD9T7F79J29SYYN" localSheetId="55" hidden="1">#REF!</definedName>
    <definedName name="BExTXDMZDQ9U1FD9T7F79J29SYYN" localSheetId="4" hidden="1">#REF!</definedName>
    <definedName name="BExTXDMZDQ9U1FD9T7F79J29SYYN" localSheetId="1" hidden="1">#REF!</definedName>
    <definedName name="BExTXDMZDQ9U1FD9T7F79J29SYYN" localSheetId="9" hidden="1">#REF!</definedName>
    <definedName name="BExTXDMZDQ9U1FD9T7F79J29SYYN" hidden="1">#REF!</definedName>
    <definedName name="BExTXJ6HBAIXMMWKZTJNFDYVZCAY" localSheetId="56" hidden="1">#REF!</definedName>
    <definedName name="BExTXJ6HBAIXMMWKZTJNFDYVZCAY" localSheetId="55" hidden="1">#REF!</definedName>
    <definedName name="BExTXJ6HBAIXMMWKZTJNFDYVZCAY" localSheetId="4" hidden="1">#REF!</definedName>
    <definedName name="BExTXJ6HBAIXMMWKZTJNFDYVZCAY" localSheetId="1" hidden="1">#REF!</definedName>
    <definedName name="BExTXJ6HBAIXMMWKZTJNFDYVZCAY" localSheetId="9" hidden="1">#REF!</definedName>
    <definedName name="BExTXJ6HBAIXMMWKZTJNFDYVZCAY" hidden="1">#REF!</definedName>
    <definedName name="BExTXT812NQT8GAEGH738U29BI0D" localSheetId="56" hidden="1">#REF!</definedName>
    <definedName name="BExTXT812NQT8GAEGH738U29BI0D" localSheetId="55" hidden="1">#REF!</definedName>
    <definedName name="BExTXT812NQT8GAEGH738U29BI0D" localSheetId="4" hidden="1">#REF!</definedName>
    <definedName name="BExTXT812NQT8GAEGH738U29BI0D" localSheetId="1" hidden="1">#REF!</definedName>
    <definedName name="BExTXT812NQT8GAEGH738U29BI0D" localSheetId="9" hidden="1">#REF!</definedName>
    <definedName name="BExTXT812NQT8GAEGH738U29BI0D" hidden="1">#REF!</definedName>
    <definedName name="BExTXWIP2TFPTQ76NHFOB72NICRZ" localSheetId="56" hidden="1">#REF!</definedName>
    <definedName name="BExTXWIP2TFPTQ76NHFOB72NICRZ" localSheetId="55" hidden="1">#REF!</definedName>
    <definedName name="BExTXWIP2TFPTQ76NHFOB72NICRZ" localSheetId="4" hidden="1">#REF!</definedName>
    <definedName name="BExTXWIP2TFPTQ76NHFOB72NICRZ" localSheetId="1" hidden="1">#REF!</definedName>
    <definedName name="BExTXWIP2TFPTQ76NHFOB72NICRZ" localSheetId="9" hidden="1">#REF!</definedName>
    <definedName name="BExTXWIP2TFPTQ76NHFOB72NICRZ" hidden="1">#REF!</definedName>
    <definedName name="BExTY5T62H651VC86QM4X7E28JVA" localSheetId="56" hidden="1">#REF!</definedName>
    <definedName name="BExTY5T62H651VC86QM4X7E28JVA" localSheetId="55" hidden="1">#REF!</definedName>
    <definedName name="BExTY5T62H651VC86QM4X7E28JVA" localSheetId="4" hidden="1">#REF!</definedName>
    <definedName name="BExTY5T62H651VC86QM4X7E28JVA" localSheetId="1" hidden="1">#REF!</definedName>
    <definedName name="BExTY5T62H651VC86QM4X7E28JVA" localSheetId="9" hidden="1">#REF!</definedName>
    <definedName name="BExTY5T62H651VC86QM4X7E28JVA" hidden="1">#REF!</definedName>
    <definedName name="BExTYB7EHGVTJ4RSYOXWSG87U5WI" localSheetId="56" hidden="1">#REF!</definedName>
    <definedName name="BExTYB7EHGVTJ4RSYOXWSG87U5WI" localSheetId="55" hidden="1">#REF!</definedName>
    <definedName name="BExTYB7EHGVTJ4RSYOXWSG87U5WI" localSheetId="4" hidden="1">#REF!</definedName>
    <definedName name="BExTYB7EHGVTJ4RSYOXWSG87U5WI" localSheetId="1" hidden="1">#REF!</definedName>
    <definedName name="BExTYB7EHGVTJ4RSYOXWSG87U5WI" localSheetId="9" hidden="1">#REF!</definedName>
    <definedName name="BExTYB7EHGVTJ4RSYOXWSG87U5WI" hidden="1">#REF!</definedName>
    <definedName name="BExTYC93RS0KNKFOD35WG37LS9LY" localSheetId="56" hidden="1">#REF!</definedName>
    <definedName name="BExTYC93RS0KNKFOD35WG37LS9LY" localSheetId="55" hidden="1">#REF!</definedName>
    <definedName name="BExTYC93RS0KNKFOD35WG37LS9LY" localSheetId="4" hidden="1">#REF!</definedName>
    <definedName name="BExTYC93RS0KNKFOD35WG37LS9LY" localSheetId="1" hidden="1">#REF!</definedName>
    <definedName name="BExTYC93RS0KNKFOD35WG37LS9LY" localSheetId="9" hidden="1">#REF!</definedName>
    <definedName name="BExTYC93RS0KNKFOD35WG37LS9LY" hidden="1">#REF!</definedName>
    <definedName name="BExTYKCEFJ83LZM95M1V7CSFQVEA" localSheetId="56" hidden="1">#REF!</definedName>
    <definedName name="BExTYKCEFJ83LZM95M1V7CSFQVEA" localSheetId="55" hidden="1">#REF!</definedName>
    <definedName name="BExTYKCEFJ83LZM95M1V7CSFQVEA" localSheetId="4" hidden="1">#REF!</definedName>
    <definedName name="BExTYKCEFJ83LZM95M1V7CSFQVEA" localSheetId="1" hidden="1">#REF!</definedName>
    <definedName name="BExTYKCEFJ83LZM95M1V7CSFQVEA" localSheetId="9" hidden="1">#REF!</definedName>
    <definedName name="BExTYKCEFJ83LZM95M1V7CSFQVEA" hidden="1">#REF!</definedName>
    <definedName name="BExTYPLA9N640MFRJJQPKXT7P88M" localSheetId="56" hidden="1">#REF!</definedName>
    <definedName name="BExTYPLA9N640MFRJJQPKXT7P88M" localSheetId="55" hidden="1">#REF!</definedName>
    <definedName name="BExTYPLA9N640MFRJJQPKXT7P88M" localSheetId="4" hidden="1">#REF!</definedName>
    <definedName name="BExTYPLA9N640MFRJJQPKXT7P88M" localSheetId="1" hidden="1">#REF!</definedName>
    <definedName name="BExTYPLA9N640MFRJJQPKXT7P88M" localSheetId="9" hidden="1">#REF!</definedName>
    <definedName name="BExTYPLA9N640MFRJJQPKXT7P88M" hidden="1">#REF!</definedName>
    <definedName name="BExTYW1794M1TLJ2QQQCEEUZN18F" localSheetId="56" hidden="1">#REF!</definedName>
    <definedName name="BExTYW1794M1TLJ2QQQCEEUZN18F" localSheetId="55" hidden="1">#REF!</definedName>
    <definedName name="BExTYW1794M1TLJ2QQQCEEUZN18F" localSheetId="4" hidden="1">#REF!</definedName>
    <definedName name="BExTYW1794M1TLJ2QQQCEEUZN18F" localSheetId="1" hidden="1">#REF!</definedName>
    <definedName name="BExTYW1794M1TLJ2QQQCEEUZN18F" localSheetId="9" hidden="1">#REF!</definedName>
    <definedName name="BExTYW1794M1TLJ2QQQCEEUZN18F" hidden="1">#REF!</definedName>
    <definedName name="BExTZ7F71SNTOX4LLZCK5R9VUMIJ" localSheetId="56" hidden="1">#REF!</definedName>
    <definedName name="BExTZ7F71SNTOX4LLZCK5R9VUMIJ" localSheetId="55" hidden="1">#REF!</definedName>
    <definedName name="BExTZ7F71SNTOX4LLZCK5R9VUMIJ" localSheetId="4" hidden="1">#REF!</definedName>
    <definedName name="BExTZ7F71SNTOX4LLZCK5R9VUMIJ" localSheetId="1" hidden="1">#REF!</definedName>
    <definedName name="BExTZ7F71SNTOX4LLZCK5R9VUMIJ" localSheetId="9" hidden="1">#REF!</definedName>
    <definedName name="BExTZ7F71SNTOX4LLZCK5R9VUMIJ" hidden="1">#REF!</definedName>
    <definedName name="BExTZ80SWE36T1QSIIPJU7NJ65JL" localSheetId="56" hidden="1">#REF!</definedName>
    <definedName name="BExTZ80SWE36T1QSIIPJU7NJ65JL" localSheetId="55" hidden="1">#REF!</definedName>
    <definedName name="BExTZ80SWE36T1QSIIPJU7NJ65JL" localSheetId="4" hidden="1">#REF!</definedName>
    <definedName name="BExTZ80SWE36T1QSIIPJU7NJ65JL" localSheetId="1" hidden="1">#REF!</definedName>
    <definedName name="BExTZ80SWE36T1QSIIPJU7NJ65JL" localSheetId="9" hidden="1">#REF!</definedName>
    <definedName name="BExTZ80SWE36T1QSIIPJU7NJ65JL" hidden="1">#REF!</definedName>
    <definedName name="BExTZ869RSO739T4Q78JLOVO7G0C" localSheetId="56" hidden="1">#REF!</definedName>
    <definedName name="BExTZ869RSO739T4Q78JLOVO7G0C" localSheetId="55" hidden="1">#REF!</definedName>
    <definedName name="BExTZ869RSO739T4Q78JLOVO7G0C" localSheetId="4" hidden="1">#REF!</definedName>
    <definedName name="BExTZ869RSO739T4Q78JLOVO7G0C" localSheetId="1" hidden="1">#REF!</definedName>
    <definedName name="BExTZ869RSO739T4Q78JLOVO7G0C" localSheetId="9" hidden="1">#REF!</definedName>
    <definedName name="BExTZ869RSO739T4Q78JLOVO7G0C" hidden="1">#REF!</definedName>
    <definedName name="BExTZ8X5G9S3PA4FPSNK7T69W7QT" localSheetId="56" hidden="1">#REF!</definedName>
    <definedName name="BExTZ8X5G9S3PA4FPSNK7T69W7QT" localSheetId="55" hidden="1">#REF!</definedName>
    <definedName name="BExTZ8X5G9S3PA4FPSNK7T69W7QT" localSheetId="4" hidden="1">#REF!</definedName>
    <definedName name="BExTZ8X5G9S3PA4FPSNK7T69W7QT" localSheetId="1" hidden="1">#REF!</definedName>
    <definedName name="BExTZ8X5G9S3PA4FPSNK7T69W7QT" localSheetId="9" hidden="1">#REF!</definedName>
    <definedName name="BExTZ8X5G9S3PA4FPSNK7T69W7QT" hidden="1">#REF!</definedName>
    <definedName name="BExTZ97Y0RMR8V5BI9F2H4MFB77O" localSheetId="56" hidden="1">#REF!</definedName>
    <definedName name="BExTZ97Y0RMR8V5BI9F2H4MFB77O" localSheetId="55" hidden="1">#REF!</definedName>
    <definedName name="BExTZ97Y0RMR8V5BI9F2H4MFB77O" localSheetId="4" hidden="1">#REF!</definedName>
    <definedName name="BExTZ97Y0RMR8V5BI9F2H4MFB77O" localSheetId="1" hidden="1">#REF!</definedName>
    <definedName name="BExTZ97Y0RMR8V5BI9F2H4MFB77O" localSheetId="9" hidden="1">#REF!</definedName>
    <definedName name="BExTZ97Y0RMR8V5BI9F2H4MFB77O" hidden="1">#REF!</definedName>
    <definedName name="BExTZK5PMCAXJL4DUIGL6H9Y8U4C" localSheetId="56" hidden="1">#REF!</definedName>
    <definedName name="BExTZK5PMCAXJL4DUIGL6H9Y8U4C" localSheetId="55" hidden="1">#REF!</definedName>
    <definedName name="BExTZK5PMCAXJL4DUIGL6H9Y8U4C" localSheetId="4" hidden="1">#REF!</definedName>
    <definedName name="BExTZK5PMCAXJL4DUIGL6H9Y8U4C" localSheetId="1" hidden="1">#REF!</definedName>
    <definedName name="BExTZK5PMCAXJL4DUIGL6H9Y8U4C" localSheetId="9" hidden="1">#REF!</definedName>
    <definedName name="BExTZK5PMCAXJL4DUIGL6H9Y8U4C" hidden="1">#REF!</definedName>
    <definedName name="BExTZKB6L5SXV5UN71YVTCBEIGWY" localSheetId="56" hidden="1">#REF!</definedName>
    <definedName name="BExTZKB6L5SXV5UN71YVTCBEIGWY" localSheetId="55" hidden="1">#REF!</definedName>
    <definedName name="BExTZKB6L5SXV5UN71YVTCBEIGWY" localSheetId="4" hidden="1">#REF!</definedName>
    <definedName name="BExTZKB6L5SXV5UN71YVTCBEIGWY" localSheetId="1" hidden="1">#REF!</definedName>
    <definedName name="BExTZKB6L5SXV5UN71YVTCBEIGWY" localSheetId="9" hidden="1">#REF!</definedName>
    <definedName name="BExTZKB6L5SXV5UN71YVTCBEIGWY" hidden="1">#REF!</definedName>
    <definedName name="BExTZLICVKK4NBJFEGL270GJ2VQO" localSheetId="56" hidden="1">#REF!</definedName>
    <definedName name="BExTZLICVKK4NBJFEGL270GJ2VQO" localSheetId="55" hidden="1">#REF!</definedName>
    <definedName name="BExTZLICVKK4NBJFEGL270GJ2VQO" localSheetId="4" hidden="1">#REF!</definedName>
    <definedName name="BExTZLICVKK4NBJFEGL270GJ2VQO" localSheetId="1" hidden="1">#REF!</definedName>
    <definedName name="BExTZLICVKK4NBJFEGL270GJ2VQO" localSheetId="9" hidden="1">#REF!</definedName>
    <definedName name="BExTZLICVKK4NBJFEGL270GJ2VQO" hidden="1">#REF!</definedName>
    <definedName name="BExTZO2596CBZKPI7YNA1QQNPAIJ" localSheetId="56" hidden="1">#REF!</definedName>
    <definedName name="BExTZO2596CBZKPI7YNA1QQNPAIJ" localSheetId="55" hidden="1">#REF!</definedName>
    <definedName name="BExTZO2596CBZKPI7YNA1QQNPAIJ" localSheetId="4" hidden="1">#REF!</definedName>
    <definedName name="BExTZO2596CBZKPI7YNA1QQNPAIJ" localSheetId="1" hidden="1">#REF!</definedName>
    <definedName name="BExTZO2596CBZKPI7YNA1QQNPAIJ" localSheetId="9" hidden="1">#REF!</definedName>
    <definedName name="BExTZO2596CBZKPI7YNA1QQNPAIJ" hidden="1">#REF!</definedName>
    <definedName name="BExTZY8TDV4U7FQL7O10G6VKWKPJ" localSheetId="56" hidden="1">#REF!</definedName>
    <definedName name="BExTZY8TDV4U7FQL7O10G6VKWKPJ" localSheetId="55" hidden="1">#REF!</definedName>
    <definedName name="BExTZY8TDV4U7FQL7O10G6VKWKPJ" localSheetId="4" hidden="1">#REF!</definedName>
    <definedName name="BExTZY8TDV4U7FQL7O10G6VKWKPJ" localSheetId="1" hidden="1">#REF!</definedName>
    <definedName name="BExTZY8TDV4U7FQL7O10G6VKWKPJ" localSheetId="9" hidden="1">#REF!</definedName>
    <definedName name="BExTZY8TDV4U7FQL7O10G6VKWKPJ" hidden="1">#REF!</definedName>
    <definedName name="BExU02QNT4LT7H9JPUC4FXTLVGZT" localSheetId="56" hidden="1">#REF!</definedName>
    <definedName name="BExU02QNT4LT7H9JPUC4FXTLVGZT" localSheetId="55" hidden="1">#REF!</definedName>
    <definedName name="BExU02QNT4LT7H9JPUC4FXTLVGZT" localSheetId="4" hidden="1">#REF!</definedName>
    <definedName name="BExU02QNT4LT7H9JPUC4FXTLVGZT" localSheetId="1" hidden="1">#REF!</definedName>
    <definedName name="BExU02QNT4LT7H9JPUC4FXTLVGZT" localSheetId="9" hidden="1">#REF!</definedName>
    <definedName name="BExU02QNT4LT7H9JPUC4FXTLVGZT" hidden="1">#REF!</definedName>
    <definedName name="BExU0BFJJQO1HJZKI14QGOQ6JROO" localSheetId="56" hidden="1">#REF!</definedName>
    <definedName name="BExU0BFJJQO1HJZKI14QGOQ6JROO" localSheetId="55" hidden="1">#REF!</definedName>
    <definedName name="BExU0BFJJQO1HJZKI14QGOQ6JROO" localSheetId="4" hidden="1">#REF!</definedName>
    <definedName name="BExU0BFJJQO1HJZKI14QGOQ6JROO" localSheetId="1" hidden="1">#REF!</definedName>
    <definedName name="BExU0BFJJQO1HJZKI14QGOQ6JROO" localSheetId="9" hidden="1">#REF!</definedName>
    <definedName name="BExU0BFJJQO1HJZKI14QGOQ6JROO" hidden="1">#REF!</definedName>
    <definedName name="BExU0FH5WTGW8MRFUFMDDSMJ6YQ5" localSheetId="56" hidden="1">#REF!</definedName>
    <definedName name="BExU0FH5WTGW8MRFUFMDDSMJ6YQ5" localSheetId="55" hidden="1">#REF!</definedName>
    <definedName name="BExU0FH5WTGW8MRFUFMDDSMJ6YQ5" localSheetId="4" hidden="1">#REF!</definedName>
    <definedName name="BExU0FH5WTGW8MRFUFMDDSMJ6YQ5" localSheetId="1" hidden="1">#REF!</definedName>
    <definedName name="BExU0FH5WTGW8MRFUFMDDSMJ6YQ5" localSheetId="9" hidden="1">#REF!</definedName>
    <definedName name="BExU0FH5WTGW8MRFUFMDDSMJ6YQ5" hidden="1">#REF!</definedName>
    <definedName name="BExU0GDOIL9U33QGU9ZU3YX3V1I4" localSheetId="56" hidden="1">#REF!</definedName>
    <definedName name="BExU0GDOIL9U33QGU9ZU3YX3V1I4" localSheetId="55" hidden="1">#REF!</definedName>
    <definedName name="BExU0GDOIL9U33QGU9ZU3YX3V1I4" localSheetId="4" hidden="1">#REF!</definedName>
    <definedName name="BExU0GDOIL9U33QGU9ZU3YX3V1I4" localSheetId="1" hidden="1">#REF!</definedName>
    <definedName name="BExU0GDOIL9U33QGU9ZU3YX3V1I4" localSheetId="9" hidden="1">#REF!</definedName>
    <definedName name="BExU0GDOIL9U33QGU9ZU3YX3V1I4" hidden="1">#REF!</definedName>
    <definedName name="BExU0HKTO8WJDQDWRTUK5TETM3HS" localSheetId="56" hidden="1">#REF!</definedName>
    <definedName name="BExU0HKTO8WJDQDWRTUK5TETM3HS" localSheetId="55" hidden="1">#REF!</definedName>
    <definedName name="BExU0HKTO8WJDQDWRTUK5TETM3HS" localSheetId="4" hidden="1">#REF!</definedName>
    <definedName name="BExU0HKTO8WJDQDWRTUK5TETM3HS" localSheetId="1" hidden="1">#REF!</definedName>
    <definedName name="BExU0HKTO8WJDQDWRTUK5TETM3HS" localSheetId="9" hidden="1">#REF!</definedName>
    <definedName name="BExU0HKTO8WJDQDWRTUK5TETM3HS" hidden="1">#REF!</definedName>
    <definedName name="BExU0MTJQPE041ZN7H8UKGV6MZT7" localSheetId="56" hidden="1">#REF!</definedName>
    <definedName name="BExU0MTJQPE041ZN7H8UKGV6MZT7" localSheetId="55" hidden="1">#REF!</definedName>
    <definedName name="BExU0MTJQPE041ZN7H8UKGV6MZT7" localSheetId="4" hidden="1">#REF!</definedName>
    <definedName name="BExU0MTJQPE041ZN7H8UKGV6MZT7" localSheetId="1" hidden="1">#REF!</definedName>
    <definedName name="BExU0MTJQPE041ZN7H8UKGV6MZT7" localSheetId="9" hidden="1">#REF!</definedName>
    <definedName name="BExU0MTJQPE041ZN7H8UKGV6MZT7" hidden="1">#REF!</definedName>
    <definedName name="BExU0ZUUFYHLUK4M4E8GLGIBBNT0" localSheetId="56" hidden="1">#REF!</definedName>
    <definedName name="BExU0ZUUFYHLUK4M4E8GLGIBBNT0" localSheetId="55" hidden="1">#REF!</definedName>
    <definedName name="BExU0ZUUFYHLUK4M4E8GLGIBBNT0" localSheetId="4" hidden="1">#REF!</definedName>
    <definedName name="BExU0ZUUFYHLUK4M4E8GLGIBBNT0" localSheetId="1" hidden="1">#REF!</definedName>
    <definedName name="BExU0ZUUFYHLUK4M4E8GLGIBBNT0" localSheetId="9" hidden="1">#REF!</definedName>
    <definedName name="BExU0ZUUFYHLUK4M4E8GLGIBBNT0" hidden="1">#REF!</definedName>
    <definedName name="BExU147D6RPG6ZVTSXRKFSVRHSBG" localSheetId="56" hidden="1">#REF!</definedName>
    <definedName name="BExU147D6RPG6ZVTSXRKFSVRHSBG" localSheetId="55" hidden="1">#REF!</definedName>
    <definedName name="BExU147D6RPG6ZVTSXRKFSVRHSBG" localSheetId="4" hidden="1">#REF!</definedName>
    <definedName name="BExU147D6RPG6ZVTSXRKFSVRHSBG" localSheetId="1" hidden="1">#REF!</definedName>
    <definedName name="BExU147D6RPG6ZVTSXRKFSVRHSBG" localSheetId="9" hidden="1">#REF!</definedName>
    <definedName name="BExU147D6RPG6ZVTSXRKFSVRHSBG" hidden="1">#REF!</definedName>
    <definedName name="BExU16R10W1SOAPNG4CDJ01T7JRE" localSheetId="56" hidden="1">#REF!</definedName>
    <definedName name="BExU16R10W1SOAPNG4CDJ01T7JRE" localSheetId="55" hidden="1">#REF!</definedName>
    <definedName name="BExU16R10W1SOAPNG4CDJ01T7JRE" localSheetId="4" hidden="1">#REF!</definedName>
    <definedName name="BExU16R10W1SOAPNG4CDJ01T7JRE" localSheetId="1" hidden="1">#REF!</definedName>
    <definedName name="BExU16R10W1SOAPNG4CDJ01T7JRE" localSheetId="9" hidden="1">#REF!</definedName>
    <definedName name="BExU16R10W1SOAPNG4CDJ01T7JRE" hidden="1">#REF!</definedName>
    <definedName name="BExU17CKOR3GNIHDNVLH9L1IOJS9" localSheetId="56" hidden="1">#REF!</definedName>
    <definedName name="BExU17CKOR3GNIHDNVLH9L1IOJS9" localSheetId="55" hidden="1">#REF!</definedName>
    <definedName name="BExU17CKOR3GNIHDNVLH9L1IOJS9" localSheetId="4" hidden="1">#REF!</definedName>
    <definedName name="BExU17CKOR3GNIHDNVLH9L1IOJS9" localSheetId="1" hidden="1">#REF!</definedName>
    <definedName name="BExU17CKOR3GNIHDNVLH9L1IOJS9" localSheetId="9" hidden="1">#REF!</definedName>
    <definedName name="BExU17CKOR3GNIHDNVLH9L1IOJS9" hidden="1">#REF!</definedName>
    <definedName name="BExU1DXYI5DAD9DSFIEAUOB5XFZ9" localSheetId="56" hidden="1">#REF!</definedName>
    <definedName name="BExU1DXYI5DAD9DSFIEAUOB5XFZ9" localSheetId="55" hidden="1">#REF!</definedName>
    <definedName name="BExU1DXYI5DAD9DSFIEAUOB5XFZ9" localSheetId="4" hidden="1">#REF!</definedName>
    <definedName name="BExU1DXYI5DAD9DSFIEAUOB5XFZ9" localSheetId="1" hidden="1">#REF!</definedName>
    <definedName name="BExU1DXYI5DAD9DSFIEAUOB5XFZ9" localSheetId="9" hidden="1">#REF!</definedName>
    <definedName name="BExU1DXYI5DAD9DSFIEAUOB5XFZ9" hidden="1">#REF!</definedName>
    <definedName name="BExU1GXUTLRPJN4MRINLAPHSZQFG" localSheetId="56" hidden="1">#REF!</definedName>
    <definedName name="BExU1GXUTLRPJN4MRINLAPHSZQFG" localSheetId="55" hidden="1">#REF!</definedName>
    <definedName name="BExU1GXUTLRPJN4MRINLAPHSZQFG" localSheetId="4" hidden="1">#REF!</definedName>
    <definedName name="BExU1GXUTLRPJN4MRINLAPHSZQFG" localSheetId="1" hidden="1">#REF!</definedName>
    <definedName name="BExU1GXUTLRPJN4MRINLAPHSZQFG" localSheetId="9" hidden="1">#REF!</definedName>
    <definedName name="BExU1GXUTLRPJN4MRINLAPHSZQFG" hidden="1">#REF!</definedName>
    <definedName name="BExU1IL9AOHFO85BZB6S60DK3N8H" localSheetId="56" hidden="1">#REF!</definedName>
    <definedName name="BExU1IL9AOHFO85BZB6S60DK3N8H" localSheetId="55" hidden="1">#REF!</definedName>
    <definedName name="BExU1IL9AOHFO85BZB6S60DK3N8H" localSheetId="4" hidden="1">#REF!</definedName>
    <definedName name="BExU1IL9AOHFO85BZB6S60DK3N8H" localSheetId="1" hidden="1">#REF!</definedName>
    <definedName name="BExU1IL9AOHFO85BZB6S60DK3N8H" localSheetId="9" hidden="1">#REF!</definedName>
    <definedName name="BExU1IL9AOHFO85BZB6S60DK3N8H" hidden="1">#REF!</definedName>
    <definedName name="BExU1LAEKWJ0U6NP9G2AC9CTBYH6" localSheetId="56" hidden="1">#REF!</definedName>
    <definedName name="BExU1LAEKWJ0U6NP9G2AC9CTBYH6" localSheetId="55" hidden="1">#REF!</definedName>
    <definedName name="BExU1LAEKWJ0U6NP9G2AC9CTBYH6" localSheetId="4" hidden="1">#REF!</definedName>
    <definedName name="BExU1LAEKWJ0U6NP9G2AC9CTBYH6" localSheetId="1" hidden="1">#REF!</definedName>
    <definedName name="BExU1LAEKWJ0U6NP9G2AC9CTBYH6" localSheetId="9" hidden="1">#REF!</definedName>
    <definedName name="BExU1LAEKWJ0U6NP9G2AC9CTBYH6" hidden="1">#REF!</definedName>
    <definedName name="BExU1NOPS09CLFZL1O31RAF9BQNQ" localSheetId="56" hidden="1">#REF!</definedName>
    <definedName name="BExU1NOPS09CLFZL1O31RAF9BQNQ" localSheetId="55" hidden="1">#REF!</definedName>
    <definedName name="BExU1NOPS09CLFZL1O31RAF9BQNQ" localSheetId="4" hidden="1">#REF!</definedName>
    <definedName name="BExU1NOPS09CLFZL1O31RAF9BQNQ" localSheetId="1" hidden="1">#REF!</definedName>
    <definedName name="BExU1NOPS09CLFZL1O31RAF9BQNQ" localSheetId="9" hidden="1">#REF!</definedName>
    <definedName name="BExU1NOPS09CLFZL1O31RAF9BQNQ" hidden="1">#REF!</definedName>
    <definedName name="BExU1PH9MOEX1JZVZ3D5M9DXB191" localSheetId="56" hidden="1">#REF!</definedName>
    <definedName name="BExU1PH9MOEX1JZVZ3D5M9DXB191" localSheetId="55" hidden="1">#REF!</definedName>
    <definedName name="BExU1PH9MOEX1JZVZ3D5M9DXB191" localSheetId="4" hidden="1">#REF!</definedName>
    <definedName name="BExU1PH9MOEX1JZVZ3D5M9DXB191" localSheetId="1" hidden="1">#REF!</definedName>
    <definedName name="BExU1PH9MOEX1JZVZ3D5M9DXB191" localSheetId="9" hidden="1">#REF!</definedName>
    <definedName name="BExU1PH9MOEX1JZVZ3D5M9DXB191" hidden="1">#REF!</definedName>
    <definedName name="BExU1QZEEKJA35IMEOLOJ3ODX0ZA" localSheetId="56" hidden="1">#REF!</definedName>
    <definedName name="BExU1QZEEKJA35IMEOLOJ3ODX0ZA" localSheetId="55" hidden="1">#REF!</definedName>
    <definedName name="BExU1QZEEKJA35IMEOLOJ3ODX0ZA" localSheetId="4" hidden="1">#REF!</definedName>
    <definedName name="BExU1QZEEKJA35IMEOLOJ3ODX0ZA" localSheetId="1" hidden="1">#REF!</definedName>
    <definedName name="BExU1QZEEKJA35IMEOLOJ3ODX0ZA" localSheetId="9" hidden="1">#REF!</definedName>
    <definedName name="BExU1QZEEKJA35IMEOLOJ3ODX0ZA" hidden="1">#REF!</definedName>
    <definedName name="BExU1VRURIWWVJ95O40WA23LMTJD" localSheetId="56" hidden="1">#REF!</definedName>
    <definedName name="BExU1VRURIWWVJ95O40WA23LMTJD" localSheetId="55" hidden="1">#REF!</definedName>
    <definedName name="BExU1VRURIWWVJ95O40WA23LMTJD" localSheetId="4" hidden="1">#REF!</definedName>
    <definedName name="BExU1VRURIWWVJ95O40WA23LMTJD" localSheetId="1" hidden="1">#REF!</definedName>
    <definedName name="BExU1VRURIWWVJ95O40WA23LMTJD" localSheetId="9" hidden="1">#REF!</definedName>
    <definedName name="BExU1VRURIWWVJ95O40WA23LMTJD" hidden="1">#REF!</definedName>
    <definedName name="BExU2A0FXVBDX9LO3VWEXB4TLFT0" localSheetId="56" hidden="1">#REF!</definedName>
    <definedName name="BExU2A0FXVBDX9LO3VWEXB4TLFT0" localSheetId="55" hidden="1">#REF!</definedName>
    <definedName name="BExU2A0FXVBDX9LO3VWEXB4TLFT0" localSheetId="4" hidden="1">#REF!</definedName>
    <definedName name="BExU2A0FXVBDX9LO3VWEXB4TLFT0" localSheetId="1" hidden="1">#REF!</definedName>
    <definedName name="BExU2A0FXVBDX9LO3VWEXB4TLFT0" localSheetId="9" hidden="1">#REF!</definedName>
    <definedName name="BExU2A0FXVBDX9LO3VWEXB4TLFT0" hidden="1">#REF!</definedName>
    <definedName name="BExU2LEH667H33V81XVEZUP2O0UQ" localSheetId="56" hidden="1">#REF!</definedName>
    <definedName name="BExU2LEH667H33V81XVEZUP2O0UQ" localSheetId="55" hidden="1">#REF!</definedName>
    <definedName name="BExU2LEH667H33V81XVEZUP2O0UQ" localSheetId="4" hidden="1">#REF!</definedName>
    <definedName name="BExU2LEH667H33V81XVEZUP2O0UQ" localSheetId="1" hidden="1">#REF!</definedName>
    <definedName name="BExU2LEH667H33V81XVEZUP2O0UQ" localSheetId="9" hidden="1">#REF!</definedName>
    <definedName name="BExU2LEH667H33V81XVEZUP2O0UQ" hidden="1">#REF!</definedName>
    <definedName name="BExU2M5CK6XK55UIHDVYRXJJJRI4" localSheetId="56" hidden="1">#REF!</definedName>
    <definedName name="BExU2M5CK6XK55UIHDVYRXJJJRI4" localSheetId="55" hidden="1">#REF!</definedName>
    <definedName name="BExU2M5CK6XK55UIHDVYRXJJJRI4" localSheetId="4" hidden="1">#REF!</definedName>
    <definedName name="BExU2M5CK6XK55UIHDVYRXJJJRI4" localSheetId="1" hidden="1">#REF!</definedName>
    <definedName name="BExU2M5CK6XK55UIHDVYRXJJJRI4" localSheetId="9" hidden="1">#REF!</definedName>
    <definedName name="BExU2M5CK6XK55UIHDVYRXJJJRI4" hidden="1">#REF!</definedName>
    <definedName name="BExU2TXVT25ZTOFQAF6CM53Z1RLF" localSheetId="56" hidden="1">#REF!</definedName>
    <definedName name="BExU2TXVT25ZTOFQAF6CM53Z1RLF" localSheetId="55" hidden="1">#REF!</definedName>
    <definedName name="BExU2TXVT25ZTOFQAF6CM53Z1RLF" localSheetId="4" hidden="1">#REF!</definedName>
    <definedName name="BExU2TXVT25ZTOFQAF6CM53Z1RLF" localSheetId="1" hidden="1">#REF!</definedName>
    <definedName name="BExU2TXVT25ZTOFQAF6CM53Z1RLF" localSheetId="9" hidden="1">#REF!</definedName>
    <definedName name="BExU2TXVT25ZTOFQAF6CM53Z1RLF" hidden="1">#REF!</definedName>
    <definedName name="BExU2XZLYIU19G7358W5T9E87AFR" localSheetId="56" hidden="1">#REF!</definedName>
    <definedName name="BExU2XZLYIU19G7358W5T9E87AFR" localSheetId="55" hidden="1">#REF!</definedName>
    <definedName name="BExU2XZLYIU19G7358W5T9E87AFR" localSheetId="4" hidden="1">#REF!</definedName>
    <definedName name="BExU2XZLYIU19G7358W5T9E87AFR" localSheetId="1" hidden="1">#REF!</definedName>
    <definedName name="BExU2XZLYIU19G7358W5T9E87AFR" localSheetId="9" hidden="1">#REF!</definedName>
    <definedName name="BExU2XZLYIU19G7358W5T9E87AFR" hidden="1">#REF!</definedName>
    <definedName name="BExU2ZXMKRBQEX0CT3ZPZ3UFZP1G" localSheetId="56" hidden="1">#REF!</definedName>
    <definedName name="BExU2ZXMKRBQEX0CT3ZPZ3UFZP1G" localSheetId="55" hidden="1">#REF!</definedName>
    <definedName name="BExU2ZXMKRBQEX0CT3ZPZ3UFZP1G" localSheetId="4" hidden="1">#REF!</definedName>
    <definedName name="BExU2ZXMKRBQEX0CT3ZPZ3UFZP1G" localSheetId="1" hidden="1">#REF!</definedName>
    <definedName name="BExU2ZXMKRBQEX0CT3ZPZ3UFZP1G" localSheetId="9" hidden="1">#REF!</definedName>
    <definedName name="BExU2ZXMKRBQEX0CT3ZPZ3UFZP1G" hidden="1">#REF!</definedName>
    <definedName name="BExU35XHF1K1XEQUSZ292S5T61YA" localSheetId="56" hidden="1">#REF!</definedName>
    <definedName name="BExU35XHF1K1XEQUSZ292S5T61YA" localSheetId="55" hidden="1">#REF!</definedName>
    <definedName name="BExU35XHF1K1XEQUSZ292S5T61YA" localSheetId="4" hidden="1">#REF!</definedName>
    <definedName name="BExU35XHF1K1XEQUSZ292S5T61YA" localSheetId="1" hidden="1">#REF!</definedName>
    <definedName name="BExU35XHF1K1XEQUSZ292S5T61YA" localSheetId="9" hidden="1">#REF!</definedName>
    <definedName name="BExU35XHF1K1XEQUSZ292S5T61YA" hidden="1">#REF!</definedName>
    <definedName name="BExU38S1U5IC1T5A3P2TZU5OV0LN" localSheetId="56" hidden="1">#REF!</definedName>
    <definedName name="BExU38S1U5IC1T5A3P2TZU5OV0LN" localSheetId="55" hidden="1">#REF!</definedName>
    <definedName name="BExU38S1U5IC1T5A3P2TZU5OV0LN" localSheetId="4" hidden="1">#REF!</definedName>
    <definedName name="BExU38S1U5IC1T5A3P2TZU5OV0LN" localSheetId="1" hidden="1">#REF!</definedName>
    <definedName name="BExU38S1U5IC1T5A3P2TZU5OV0LN" localSheetId="9" hidden="1">#REF!</definedName>
    <definedName name="BExU38S1U5IC1T5A3P2TZU5OV0LN" hidden="1">#REF!</definedName>
    <definedName name="BExU3B66MCKJFSKT3HL8B5EJGVX0" localSheetId="56" hidden="1">#REF!</definedName>
    <definedName name="BExU3B66MCKJFSKT3HL8B5EJGVX0" localSheetId="55" hidden="1">#REF!</definedName>
    <definedName name="BExU3B66MCKJFSKT3HL8B5EJGVX0" localSheetId="4" hidden="1">#REF!</definedName>
    <definedName name="BExU3B66MCKJFSKT3HL8B5EJGVX0" localSheetId="1" hidden="1">#REF!</definedName>
    <definedName name="BExU3B66MCKJFSKT3HL8B5EJGVX0" localSheetId="9" hidden="1">#REF!</definedName>
    <definedName name="BExU3B66MCKJFSKT3HL8B5EJGVX0" hidden="1">#REF!</definedName>
    <definedName name="BExU3FDFDB2NVPYUR5V7OA3HF474" localSheetId="56" hidden="1">#REF!</definedName>
    <definedName name="BExU3FDFDB2NVPYUR5V7OA3HF474" localSheetId="55" hidden="1">#REF!</definedName>
    <definedName name="BExU3FDFDB2NVPYUR5V7OA3HF474" localSheetId="4" hidden="1">#REF!</definedName>
    <definedName name="BExU3FDFDB2NVPYUR5V7OA3HF474" localSheetId="1" hidden="1">#REF!</definedName>
    <definedName name="BExU3FDFDB2NVPYUR5V7OA3HF474" localSheetId="9" hidden="1">#REF!</definedName>
    <definedName name="BExU3FDFDB2NVPYUR5V7OA3HF474" hidden="1">#REF!</definedName>
    <definedName name="BExU3R7J076KUCCEUGKAYMANTUT5" localSheetId="56" hidden="1">#REF!</definedName>
    <definedName name="BExU3R7J076KUCCEUGKAYMANTUT5" localSheetId="55" hidden="1">#REF!</definedName>
    <definedName name="BExU3R7J076KUCCEUGKAYMANTUT5" localSheetId="4" hidden="1">#REF!</definedName>
    <definedName name="BExU3R7J076KUCCEUGKAYMANTUT5" localSheetId="1" hidden="1">#REF!</definedName>
    <definedName name="BExU3R7J076KUCCEUGKAYMANTUT5" localSheetId="9" hidden="1">#REF!</definedName>
    <definedName name="BExU3R7J076KUCCEUGKAYMANTUT5" hidden="1">#REF!</definedName>
    <definedName name="BExU3UNI9NR1RNZR07NSLSZMDOQQ" localSheetId="56" hidden="1">#REF!</definedName>
    <definedName name="BExU3UNI9NR1RNZR07NSLSZMDOQQ" localSheetId="55" hidden="1">#REF!</definedName>
    <definedName name="BExU3UNI9NR1RNZR07NSLSZMDOQQ" localSheetId="4" hidden="1">#REF!</definedName>
    <definedName name="BExU3UNI9NR1RNZR07NSLSZMDOQQ" localSheetId="1" hidden="1">#REF!</definedName>
    <definedName name="BExU3UNI9NR1RNZR07NSLSZMDOQQ" localSheetId="9" hidden="1">#REF!</definedName>
    <definedName name="BExU3UNI9NR1RNZR07NSLSZMDOQQ" hidden="1">#REF!</definedName>
    <definedName name="BExU401R18N6XKZKL7CNFOZQCM14" localSheetId="56" hidden="1">#REF!</definedName>
    <definedName name="BExU401R18N6XKZKL7CNFOZQCM14" localSheetId="55" hidden="1">#REF!</definedName>
    <definedName name="BExU401R18N6XKZKL7CNFOZQCM14" localSheetId="4" hidden="1">#REF!</definedName>
    <definedName name="BExU401R18N6XKZKL7CNFOZQCM14" localSheetId="1" hidden="1">#REF!</definedName>
    <definedName name="BExU401R18N6XKZKL7CNFOZQCM14" localSheetId="9" hidden="1">#REF!</definedName>
    <definedName name="BExU401R18N6XKZKL7CNFOZQCM14" hidden="1">#REF!</definedName>
    <definedName name="BExU42QVGY7TK39W1BIN6CDRG2OE" localSheetId="56" hidden="1">#REF!</definedName>
    <definedName name="BExU42QVGY7TK39W1BIN6CDRG2OE" localSheetId="55" hidden="1">#REF!</definedName>
    <definedName name="BExU42QVGY7TK39W1BIN6CDRG2OE" localSheetId="4" hidden="1">#REF!</definedName>
    <definedName name="BExU42QVGY7TK39W1BIN6CDRG2OE" localSheetId="1" hidden="1">#REF!</definedName>
    <definedName name="BExU42QVGY7TK39W1BIN6CDRG2OE" localSheetId="9" hidden="1">#REF!</definedName>
    <definedName name="BExU42QVGY7TK39W1BIN6CDRG2OE" hidden="1">#REF!</definedName>
    <definedName name="BExU431LXP7LIUNGJB9OSXEANFGX" localSheetId="56" hidden="1">#REF!</definedName>
    <definedName name="BExU431LXP7LIUNGJB9OSXEANFGX" localSheetId="55" hidden="1">#REF!</definedName>
    <definedName name="BExU431LXP7LIUNGJB9OSXEANFGX" localSheetId="4" hidden="1">#REF!</definedName>
    <definedName name="BExU431LXP7LIUNGJB9OSXEANFGX" localSheetId="1" hidden="1">#REF!</definedName>
    <definedName name="BExU431LXP7LIUNGJB9OSXEANFGX" localSheetId="9" hidden="1">#REF!</definedName>
    <definedName name="BExU431LXP7LIUNGJB9OSXEANFGX" hidden="1">#REF!</definedName>
    <definedName name="BExU47OZMS6TCWMEHHF0UCSFLLPI" localSheetId="56" hidden="1">#REF!</definedName>
    <definedName name="BExU47OZMS6TCWMEHHF0UCSFLLPI" localSheetId="55" hidden="1">#REF!</definedName>
    <definedName name="BExU47OZMS6TCWMEHHF0UCSFLLPI" localSheetId="4" hidden="1">#REF!</definedName>
    <definedName name="BExU47OZMS6TCWMEHHF0UCSFLLPI" localSheetId="1" hidden="1">#REF!</definedName>
    <definedName name="BExU47OZMS6TCWMEHHF0UCSFLLPI" localSheetId="9" hidden="1">#REF!</definedName>
    <definedName name="BExU47OZMS6TCWMEHHF0UCSFLLPI" hidden="1">#REF!</definedName>
    <definedName name="BExU4D36E8TXN0M8KSNGEAFYP4DQ" localSheetId="56" hidden="1">#REF!</definedName>
    <definedName name="BExU4D36E8TXN0M8KSNGEAFYP4DQ" localSheetId="55" hidden="1">#REF!</definedName>
    <definedName name="BExU4D36E8TXN0M8KSNGEAFYP4DQ" localSheetId="4" hidden="1">#REF!</definedName>
    <definedName name="BExU4D36E8TXN0M8KSNGEAFYP4DQ" localSheetId="1" hidden="1">#REF!</definedName>
    <definedName name="BExU4D36E8TXN0M8KSNGEAFYP4DQ" localSheetId="9" hidden="1">#REF!</definedName>
    <definedName name="BExU4D36E8TXN0M8KSNGEAFYP4DQ" hidden="1">#REF!</definedName>
    <definedName name="BExU4G31RRVLJ3AC6E1FNEFMXM3O" localSheetId="56" hidden="1">#REF!</definedName>
    <definedName name="BExU4G31RRVLJ3AC6E1FNEFMXM3O" localSheetId="55" hidden="1">#REF!</definedName>
    <definedName name="BExU4G31RRVLJ3AC6E1FNEFMXM3O" localSheetId="4" hidden="1">#REF!</definedName>
    <definedName name="BExU4G31RRVLJ3AC6E1FNEFMXM3O" localSheetId="1" hidden="1">#REF!</definedName>
    <definedName name="BExU4G31RRVLJ3AC6E1FNEFMXM3O" localSheetId="9" hidden="1">#REF!</definedName>
    <definedName name="BExU4G31RRVLJ3AC6E1FNEFMXM3O" hidden="1">#REF!</definedName>
    <definedName name="BExU4GDVLPUEWBA4MRYRTQAUNO7B" localSheetId="56" hidden="1">#REF!</definedName>
    <definedName name="BExU4GDVLPUEWBA4MRYRTQAUNO7B" localSheetId="55" hidden="1">#REF!</definedName>
    <definedName name="BExU4GDVLPUEWBA4MRYRTQAUNO7B" localSheetId="4" hidden="1">#REF!</definedName>
    <definedName name="BExU4GDVLPUEWBA4MRYRTQAUNO7B" localSheetId="1" hidden="1">#REF!</definedName>
    <definedName name="BExU4GDVLPUEWBA4MRYRTQAUNO7B" localSheetId="9" hidden="1">#REF!</definedName>
    <definedName name="BExU4GDVLPUEWBA4MRYRTQAUNO7B" hidden="1">#REF!</definedName>
    <definedName name="BExU4H4RAMAX0XVAWT5WFYQNPAL3" localSheetId="56" hidden="1">#REF!</definedName>
    <definedName name="BExU4H4RAMAX0XVAWT5WFYQNPAL3" localSheetId="55" hidden="1">#REF!</definedName>
    <definedName name="BExU4H4RAMAX0XVAWT5WFYQNPAL3" localSheetId="4" hidden="1">#REF!</definedName>
    <definedName name="BExU4H4RAMAX0XVAWT5WFYQNPAL3" localSheetId="1" hidden="1">#REF!</definedName>
    <definedName name="BExU4H4RAMAX0XVAWT5WFYQNPAL3" localSheetId="9" hidden="1">#REF!</definedName>
    <definedName name="BExU4H4RAMAX0XVAWT5WFYQNPAL3" hidden="1">#REF!</definedName>
    <definedName name="BExU4I148DA7PRCCISLWQ6ABXFK6" localSheetId="56" hidden="1">#REF!</definedName>
    <definedName name="BExU4I148DA7PRCCISLWQ6ABXFK6" localSheetId="55" hidden="1">#REF!</definedName>
    <definedName name="BExU4I148DA7PRCCISLWQ6ABXFK6" localSheetId="4" hidden="1">#REF!</definedName>
    <definedName name="BExU4I148DA7PRCCISLWQ6ABXFK6" localSheetId="1" hidden="1">#REF!</definedName>
    <definedName name="BExU4I148DA7PRCCISLWQ6ABXFK6" localSheetId="9" hidden="1">#REF!</definedName>
    <definedName name="BExU4I148DA7PRCCISLWQ6ABXFK6" hidden="1">#REF!</definedName>
    <definedName name="BExU4L101H2KQHVKCKQ4PBAWZV6K" localSheetId="56" hidden="1">#REF!</definedName>
    <definedName name="BExU4L101H2KQHVKCKQ4PBAWZV6K" localSheetId="55" hidden="1">#REF!</definedName>
    <definedName name="BExU4L101H2KQHVKCKQ4PBAWZV6K" localSheetId="4" hidden="1">#REF!</definedName>
    <definedName name="BExU4L101H2KQHVKCKQ4PBAWZV6K" localSheetId="1" hidden="1">#REF!</definedName>
    <definedName name="BExU4L101H2KQHVKCKQ4PBAWZV6K" localSheetId="9" hidden="1">#REF!</definedName>
    <definedName name="BExU4L101H2KQHVKCKQ4PBAWZV6K" hidden="1">#REF!</definedName>
    <definedName name="BExU4LML14Q7KDTYIKJWXF68W7X1" localSheetId="56" hidden="1">#REF!</definedName>
    <definedName name="BExU4LML14Q7KDTYIKJWXF68W7X1" localSheetId="55" hidden="1">#REF!</definedName>
    <definedName name="BExU4LML14Q7KDTYIKJWXF68W7X1" localSheetId="4" hidden="1">#REF!</definedName>
    <definedName name="BExU4LML14Q7KDTYIKJWXF68W7X1" localSheetId="1" hidden="1">#REF!</definedName>
    <definedName name="BExU4LML14Q7KDTYIKJWXF68W7X1" localSheetId="9" hidden="1">#REF!</definedName>
    <definedName name="BExU4LML14Q7KDTYIKJWXF68W7X1" hidden="1">#REF!</definedName>
    <definedName name="BExU4NA00RRRBGRT6TOB0MXZRCRZ" localSheetId="56" hidden="1">#REF!</definedName>
    <definedName name="BExU4NA00RRRBGRT6TOB0MXZRCRZ" localSheetId="55" hidden="1">#REF!</definedName>
    <definedName name="BExU4NA00RRRBGRT6TOB0MXZRCRZ" localSheetId="4" hidden="1">#REF!</definedName>
    <definedName name="BExU4NA00RRRBGRT6TOB0MXZRCRZ" localSheetId="1" hidden="1">#REF!</definedName>
    <definedName name="BExU4NA00RRRBGRT6TOB0MXZRCRZ" localSheetId="9" hidden="1">#REF!</definedName>
    <definedName name="BExU4NA00RRRBGRT6TOB0MXZRCRZ" hidden="1">#REF!</definedName>
    <definedName name="BExU529I6YHVOG83TJHWSILIQU1S" localSheetId="56" hidden="1">#REF!</definedName>
    <definedName name="BExU529I6YHVOG83TJHWSILIQU1S" localSheetId="55" hidden="1">#REF!</definedName>
    <definedName name="BExU529I6YHVOG83TJHWSILIQU1S" localSheetId="4" hidden="1">#REF!</definedName>
    <definedName name="BExU529I6YHVOG83TJHWSILIQU1S" localSheetId="1" hidden="1">#REF!</definedName>
    <definedName name="BExU529I6YHVOG83TJHWSILIQU1S" localSheetId="9" hidden="1">#REF!</definedName>
    <definedName name="BExU529I6YHVOG83TJHWSILIQU1S" hidden="1">#REF!</definedName>
    <definedName name="BExU57YCIKPRD8QWL6EU0YR3NG3J" localSheetId="56" hidden="1">#REF!</definedName>
    <definedName name="BExU57YCIKPRD8QWL6EU0YR3NG3J" localSheetId="55" hidden="1">#REF!</definedName>
    <definedName name="BExU57YCIKPRD8QWL6EU0YR3NG3J" localSheetId="4" hidden="1">#REF!</definedName>
    <definedName name="BExU57YCIKPRD8QWL6EU0YR3NG3J" localSheetId="1" hidden="1">#REF!</definedName>
    <definedName name="BExU57YCIKPRD8QWL6EU0YR3NG3J" localSheetId="9" hidden="1">#REF!</definedName>
    <definedName name="BExU57YCIKPRD8QWL6EU0YR3NG3J" hidden="1">#REF!</definedName>
    <definedName name="BExU5DSTBWXLN6E59B757KRWRI6E" localSheetId="56" hidden="1">#REF!</definedName>
    <definedName name="BExU5DSTBWXLN6E59B757KRWRI6E" localSheetId="55" hidden="1">#REF!</definedName>
    <definedName name="BExU5DSTBWXLN6E59B757KRWRI6E" localSheetId="4" hidden="1">#REF!</definedName>
    <definedName name="BExU5DSTBWXLN6E59B757KRWRI6E" localSheetId="1" hidden="1">#REF!</definedName>
    <definedName name="BExU5DSTBWXLN6E59B757KRWRI6E" localSheetId="9" hidden="1">#REF!</definedName>
    <definedName name="BExU5DSTBWXLN6E59B757KRWRI6E" hidden="1">#REF!</definedName>
    <definedName name="BExU5JSMO03X9M4WIRPP8JPSMQKJ" localSheetId="56" hidden="1">#REF!</definedName>
    <definedName name="BExU5JSMO03X9M4WIRPP8JPSMQKJ" localSheetId="55" hidden="1">#REF!</definedName>
    <definedName name="BExU5JSMO03X9M4WIRPP8JPSMQKJ" localSheetId="4" hidden="1">#REF!</definedName>
    <definedName name="BExU5JSMO03X9M4WIRPP8JPSMQKJ" localSheetId="1" hidden="1">#REF!</definedName>
    <definedName name="BExU5JSMO03X9M4WIRPP8JPSMQKJ" localSheetId="9" hidden="1">#REF!</definedName>
    <definedName name="BExU5JSMO03X9M4WIRPP8JPSMQKJ" hidden="1">#REF!</definedName>
    <definedName name="BExU5TDWM8NNDHYPQ7OQODTQ368A" localSheetId="56" hidden="1">#REF!</definedName>
    <definedName name="BExU5TDWM8NNDHYPQ7OQODTQ368A" localSheetId="55" hidden="1">#REF!</definedName>
    <definedName name="BExU5TDWM8NNDHYPQ7OQODTQ368A" localSheetId="4" hidden="1">#REF!</definedName>
    <definedName name="BExU5TDWM8NNDHYPQ7OQODTQ368A" localSheetId="1" hidden="1">#REF!</definedName>
    <definedName name="BExU5TDWM8NNDHYPQ7OQODTQ368A" localSheetId="9" hidden="1">#REF!</definedName>
    <definedName name="BExU5TDWM8NNDHYPQ7OQODTQ368A" hidden="1">#REF!</definedName>
    <definedName name="BExU5X4OX1V1XHS6WSSORVQPP6Z3" localSheetId="56" hidden="1">#REF!</definedName>
    <definedName name="BExU5X4OX1V1XHS6WSSORVQPP6Z3" localSheetId="55" hidden="1">#REF!</definedName>
    <definedName name="BExU5X4OX1V1XHS6WSSORVQPP6Z3" localSheetId="4" hidden="1">#REF!</definedName>
    <definedName name="BExU5X4OX1V1XHS6WSSORVQPP6Z3" localSheetId="1" hidden="1">#REF!</definedName>
    <definedName name="BExU5X4OX1V1XHS6WSSORVQPP6Z3" localSheetId="9" hidden="1">#REF!</definedName>
    <definedName name="BExU5X4OX1V1XHS6WSSORVQPP6Z3" hidden="1">#REF!</definedName>
    <definedName name="BExU5XVPARTFMRYHNUTBKDIL4UJN" localSheetId="56" hidden="1">#REF!</definedName>
    <definedName name="BExU5XVPARTFMRYHNUTBKDIL4UJN" localSheetId="55" hidden="1">#REF!</definedName>
    <definedName name="BExU5XVPARTFMRYHNUTBKDIL4UJN" localSheetId="4" hidden="1">#REF!</definedName>
    <definedName name="BExU5XVPARTFMRYHNUTBKDIL4UJN" localSheetId="1" hidden="1">#REF!</definedName>
    <definedName name="BExU5XVPARTFMRYHNUTBKDIL4UJN" localSheetId="9" hidden="1">#REF!</definedName>
    <definedName name="BExU5XVPARTFMRYHNUTBKDIL4UJN" hidden="1">#REF!</definedName>
    <definedName name="BExU66KMFBAP8JCVG9VM1RD1TNFF" localSheetId="56" hidden="1">#REF!</definedName>
    <definedName name="BExU66KMFBAP8JCVG9VM1RD1TNFF" localSheetId="55" hidden="1">#REF!</definedName>
    <definedName name="BExU66KMFBAP8JCVG9VM1RD1TNFF" localSheetId="4" hidden="1">#REF!</definedName>
    <definedName name="BExU66KMFBAP8JCVG9VM1RD1TNFF" localSheetId="1" hidden="1">#REF!</definedName>
    <definedName name="BExU66KMFBAP8JCVG9VM1RD1TNFF" localSheetId="9" hidden="1">#REF!</definedName>
    <definedName name="BExU66KMFBAP8JCVG9VM1RD1TNFF" hidden="1">#REF!</definedName>
    <definedName name="BExU68IOM3CB3TACNAE9565TW7SH" localSheetId="56" hidden="1">#REF!</definedName>
    <definedName name="BExU68IOM3CB3TACNAE9565TW7SH" localSheetId="55" hidden="1">#REF!</definedName>
    <definedName name="BExU68IOM3CB3TACNAE9565TW7SH" localSheetId="4" hidden="1">#REF!</definedName>
    <definedName name="BExU68IOM3CB3TACNAE9565TW7SH" localSheetId="1" hidden="1">#REF!</definedName>
    <definedName name="BExU68IOM3CB3TACNAE9565TW7SH" localSheetId="9" hidden="1">#REF!</definedName>
    <definedName name="BExU68IOM3CB3TACNAE9565TW7SH" hidden="1">#REF!</definedName>
    <definedName name="BExU6AM82KN21E82HMWVP3LWP9IL" localSheetId="56" hidden="1">#REF!</definedName>
    <definedName name="BExU6AM82KN21E82HMWVP3LWP9IL" localSheetId="55" hidden="1">#REF!</definedName>
    <definedName name="BExU6AM82KN21E82HMWVP3LWP9IL" localSheetId="4" hidden="1">#REF!</definedName>
    <definedName name="BExU6AM82KN21E82HMWVP3LWP9IL" localSheetId="1" hidden="1">#REF!</definedName>
    <definedName name="BExU6AM82KN21E82HMWVP3LWP9IL" localSheetId="9" hidden="1">#REF!</definedName>
    <definedName name="BExU6AM82KN21E82HMWVP3LWP9IL" hidden="1">#REF!</definedName>
    <definedName name="BExU6FEU1MRHU98R9YOJC5OKUJ6L" localSheetId="56" hidden="1">#REF!</definedName>
    <definedName name="BExU6FEU1MRHU98R9YOJC5OKUJ6L" localSheetId="55" hidden="1">#REF!</definedName>
    <definedName name="BExU6FEU1MRHU98R9YOJC5OKUJ6L" localSheetId="4" hidden="1">#REF!</definedName>
    <definedName name="BExU6FEU1MRHU98R9YOJC5OKUJ6L" localSheetId="1" hidden="1">#REF!</definedName>
    <definedName name="BExU6FEU1MRHU98R9YOJC5OKUJ6L" localSheetId="9" hidden="1">#REF!</definedName>
    <definedName name="BExU6FEU1MRHU98R9YOJC5OKUJ6L" hidden="1">#REF!</definedName>
    <definedName name="BExU6KIAJ663Y8W8QMU4HCF183DF" localSheetId="56" hidden="1">#REF!</definedName>
    <definedName name="BExU6KIAJ663Y8W8QMU4HCF183DF" localSheetId="55" hidden="1">#REF!</definedName>
    <definedName name="BExU6KIAJ663Y8W8QMU4HCF183DF" localSheetId="4" hidden="1">#REF!</definedName>
    <definedName name="BExU6KIAJ663Y8W8QMU4HCF183DF" localSheetId="1" hidden="1">#REF!</definedName>
    <definedName name="BExU6KIAJ663Y8W8QMU4HCF183DF" localSheetId="9" hidden="1">#REF!</definedName>
    <definedName name="BExU6KIAJ663Y8W8QMU4HCF183DF" hidden="1">#REF!</definedName>
    <definedName name="BExU6KT19B4PG6SHXFBGBPLM66KT" localSheetId="56" hidden="1">#REF!</definedName>
    <definedName name="BExU6KT19B4PG6SHXFBGBPLM66KT" localSheetId="55" hidden="1">#REF!</definedName>
    <definedName name="BExU6KT19B4PG6SHXFBGBPLM66KT" localSheetId="4" hidden="1">#REF!</definedName>
    <definedName name="BExU6KT19B4PG6SHXFBGBPLM66KT" localSheetId="1" hidden="1">#REF!</definedName>
    <definedName name="BExU6KT19B4PG6SHXFBGBPLM66KT" localSheetId="9" hidden="1">#REF!</definedName>
    <definedName name="BExU6KT19B4PG6SHXFBGBPLM66KT" hidden="1">#REF!</definedName>
    <definedName name="BExU6PAVKIOAIMQ9XQIHHF1SUAGO" localSheetId="56" hidden="1">#REF!</definedName>
    <definedName name="BExU6PAVKIOAIMQ9XQIHHF1SUAGO" localSheetId="55" hidden="1">#REF!</definedName>
    <definedName name="BExU6PAVKIOAIMQ9XQIHHF1SUAGO" localSheetId="4" hidden="1">#REF!</definedName>
    <definedName name="BExU6PAVKIOAIMQ9XQIHHF1SUAGO" localSheetId="1" hidden="1">#REF!</definedName>
    <definedName name="BExU6PAVKIOAIMQ9XQIHHF1SUAGO" localSheetId="9" hidden="1">#REF!</definedName>
    <definedName name="BExU6PAVKIOAIMQ9XQIHHF1SUAGO" hidden="1">#REF!</definedName>
    <definedName name="BExU6SLKTWV0YINVLTI6BCG9ANZM" localSheetId="56" hidden="1">#REF!</definedName>
    <definedName name="BExU6SLKTWV0YINVLTI6BCG9ANZM" localSheetId="55" hidden="1">#REF!</definedName>
    <definedName name="BExU6SLKTWV0YINVLTI6BCG9ANZM" localSheetId="4" hidden="1">#REF!</definedName>
    <definedName name="BExU6SLKTWV0YINVLTI6BCG9ANZM" localSheetId="1" hidden="1">#REF!</definedName>
    <definedName name="BExU6SLKTWV0YINVLTI6BCG9ANZM" localSheetId="9" hidden="1">#REF!</definedName>
    <definedName name="BExU6SLKTWV0YINVLTI6BCG9ANZM" hidden="1">#REF!</definedName>
    <definedName name="BExU6WXXC7SSQDMHSLUN5C2V4IYX" localSheetId="56" hidden="1">#REF!</definedName>
    <definedName name="BExU6WXXC7SSQDMHSLUN5C2V4IYX" localSheetId="55" hidden="1">#REF!</definedName>
    <definedName name="BExU6WXXC7SSQDMHSLUN5C2V4IYX" localSheetId="4" hidden="1">#REF!</definedName>
    <definedName name="BExU6WXXC7SSQDMHSLUN5C2V4IYX" localSheetId="1" hidden="1">#REF!</definedName>
    <definedName name="BExU6WXXC7SSQDMHSLUN5C2V4IYX" localSheetId="9" hidden="1">#REF!</definedName>
    <definedName name="BExU6WXXC7SSQDMHSLUN5C2V4IYX" hidden="1">#REF!</definedName>
    <definedName name="BExU73387E74XE8A9UKZLZNJYY65" localSheetId="56" hidden="1">#REF!</definedName>
    <definedName name="BExU73387E74XE8A9UKZLZNJYY65" localSheetId="55" hidden="1">#REF!</definedName>
    <definedName name="BExU73387E74XE8A9UKZLZNJYY65" localSheetId="4" hidden="1">#REF!</definedName>
    <definedName name="BExU73387E74XE8A9UKZLZNJYY65" localSheetId="1" hidden="1">#REF!</definedName>
    <definedName name="BExU73387E74XE8A9UKZLZNJYY65" localSheetId="9" hidden="1">#REF!</definedName>
    <definedName name="BExU73387E74XE8A9UKZLZNJYY65" hidden="1">#REF!</definedName>
    <definedName name="BExU76ZHCJM8I7VSICCMSTC33O6U" localSheetId="56" hidden="1">#REF!</definedName>
    <definedName name="BExU76ZHCJM8I7VSICCMSTC33O6U" localSheetId="55" hidden="1">#REF!</definedName>
    <definedName name="BExU76ZHCJM8I7VSICCMSTC33O6U" localSheetId="4" hidden="1">#REF!</definedName>
    <definedName name="BExU76ZHCJM8I7VSICCMSTC33O6U" localSheetId="1" hidden="1">#REF!</definedName>
    <definedName name="BExU76ZHCJM8I7VSICCMSTC33O6U" localSheetId="9" hidden="1">#REF!</definedName>
    <definedName name="BExU76ZHCJM8I7VSICCMSTC33O6U" hidden="1">#REF!</definedName>
    <definedName name="BExU7BBTUF8BQ42DSGM94X5TG5GF" localSheetId="56" hidden="1">#REF!</definedName>
    <definedName name="BExU7BBTUF8BQ42DSGM94X5TG5GF" localSheetId="55" hidden="1">#REF!</definedName>
    <definedName name="BExU7BBTUF8BQ42DSGM94X5TG5GF" localSheetId="4" hidden="1">#REF!</definedName>
    <definedName name="BExU7BBTUF8BQ42DSGM94X5TG5GF" localSheetId="1" hidden="1">#REF!</definedName>
    <definedName name="BExU7BBTUF8BQ42DSGM94X5TG5GF" localSheetId="9" hidden="1">#REF!</definedName>
    <definedName name="BExU7BBTUF8BQ42DSGM94X5TG5GF" hidden="1">#REF!</definedName>
    <definedName name="BExU7HH4EAHFQHT4AXKGWAWZP3I0" localSheetId="56" hidden="1">#REF!</definedName>
    <definedName name="BExU7HH4EAHFQHT4AXKGWAWZP3I0" localSheetId="55" hidden="1">#REF!</definedName>
    <definedName name="BExU7HH4EAHFQHT4AXKGWAWZP3I0" localSheetId="4" hidden="1">#REF!</definedName>
    <definedName name="BExU7HH4EAHFQHT4AXKGWAWZP3I0" localSheetId="1" hidden="1">#REF!</definedName>
    <definedName name="BExU7HH4EAHFQHT4AXKGWAWZP3I0" localSheetId="9" hidden="1">#REF!</definedName>
    <definedName name="BExU7HH4EAHFQHT4AXKGWAWZP3I0" hidden="1">#REF!</definedName>
    <definedName name="BExU7L7WPQSA0ELXZ0I86V33QCCJ" localSheetId="56" hidden="1">#REF!</definedName>
    <definedName name="BExU7L7WPQSA0ELXZ0I86V33QCCJ" localSheetId="55" hidden="1">#REF!</definedName>
    <definedName name="BExU7L7WPQSA0ELXZ0I86V33QCCJ" localSheetId="4" hidden="1">#REF!</definedName>
    <definedName name="BExU7L7WPQSA0ELXZ0I86V33QCCJ" localSheetId="1" hidden="1">#REF!</definedName>
    <definedName name="BExU7L7WPQSA0ELXZ0I86V33QCCJ" localSheetId="9" hidden="1">#REF!</definedName>
    <definedName name="BExU7L7WPQSA0ELXZ0I86V33QCCJ" hidden="1">#REF!</definedName>
    <definedName name="BExU7MF1ZVPDHOSMCAXOSYICHZ4I" localSheetId="56" hidden="1">#REF!</definedName>
    <definedName name="BExU7MF1ZVPDHOSMCAXOSYICHZ4I" localSheetId="55" hidden="1">#REF!</definedName>
    <definedName name="BExU7MF1ZVPDHOSMCAXOSYICHZ4I" localSheetId="4" hidden="1">#REF!</definedName>
    <definedName name="BExU7MF1ZVPDHOSMCAXOSYICHZ4I" localSheetId="1" hidden="1">#REF!</definedName>
    <definedName name="BExU7MF1ZVPDHOSMCAXOSYICHZ4I" localSheetId="9" hidden="1">#REF!</definedName>
    <definedName name="BExU7MF1ZVPDHOSMCAXOSYICHZ4I" hidden="1">#REF!</definedName>
    <definedName name="BExU7O2BJ6D5YCKEL6FD2EFCWYRX" localSheetId="56" hidden="1">#REF!</definedName>
    <definedName name="BExU7O2BJ6D5YCKEL6FD2EFCWYRX" localSheetId="55" hidden="1">#REF!</definedName>
    <definedName name="BExU7O2BJ6D5YCKEL6FD2EFCWYRX" localSheetId="4" hidden="1">#REF!</definedName>
    <definedName name="BExU7O2BJ6D5YCKEL6FD2EFCWYRX" localSheetId="1" hidden="1">#REF!</definedName>
    <definedName name="BExU7O2BJ6D5YCKEL6FD2EFCWYRX" localSheetId="9" hidden="1">#REF!</definedName>
    <definedName name="BExU7O2BJ6D5YCKEL6FD2EFCWYRX" hidden="1">#REF!</definedName>
    <definedName name="BExU7Q0JS9YIUKUPNSSAIDK2KJAV" localSheetId="56" hidden="1">#REF!</definedName>
    <definedName name="BExU7Q0JS9YIUKUPNSSAIDK2KJAV" localSheetId="55" hidden="1">#REF!</definedName>
    <definedName name="BExU7Q0JS9YIUKUPNSSAIDK2KJAV" localSheetId="4" hidden="1">#REF!</definedName>
    <definedName name="BExU7Q0JS9YIUKUPNSSAIDK2KJAV" localSheetId="1" hidden="1">#REF!</definedName>
    <definedName name="BExU7Q0JS9YIUKUPNSSAIDK2KJAV" localSheetId="9" hidden="1">#REF!</definedName>
    <definedName name="BExU7Q0JS9YIUKUPNSSAIDK2KJAV" hidden="1">#REF!</definedName>
    <definedName name="BExU80I6AE5OU7P7F5V7HWIZBJ4P" localSheetId="56" hidden="1">#REF!</definedName>
    <definedName name="BExU80I6AE5OU7P7F5V7HWIZBJ4P" localSheetId="55" hidden="1">#REF!</definedName>
    <definedName name="BExU80I6AE5OU7P7F5V7HWIZBJ4P" localSheetId="4" hidden="1">#REF!</definedName>
    <definedName name="BExU80I6AE5OU7P7F5V7HWIZBJ4P" localSheetId="1" hidden="1">#REF!</definedName>
    <definedName name="BExU80I6AE5OU7P7F5V7HWIZBJ4P" localSheetId="9" hidden="1">#REF!</definedName>
    <definedName name="BExU80I6AE5OU7P7F5V7HWIZBJ4P" hidden="1">#REF!</definedName>
    <definedName name="BExU86NB26MCPYIISZ36HADONGT2" localSheetId="56" hidden="1">#REF!</definedName>
    <definedName name="BExU86NB26MCPYIISZ36HADONGT2" localSheetId="55" hidden="1">#REF!</definedName>
    <definedName name="BExU86NB26MCPYIISZ36HADONGT2" localSheetId="4" hidden="1">#REF!</definedName>
    <definedName name="BExU86NB26MCPYIISZ36HADONGT2" localSheetId="1" hidden="1">#REF!</definedName>
    <definedName name="BExU86NB26MCPYIISZ36HADONGT2" localSheetId="9" hidden="1">#REF!</definedName>
    <definedName name="BExU86NB26MCPYIISZ36HADONGT2" hidden="1">#REF!</definedName>
    <definedName name="BExU885EZZNSZV3GP298UJ8LB7OL" localSheetId="56" hidden="1">#REF!</definedName>
    <definedName name="BExU885EZZNSZV3GP298UJ8LB7OL" localSheetId="55" hidden="1">#REF!</definedName>
    <definedName name="BExU885EZZNSZV3GP298UJ8LB7OL" localSheetId="4" hidden="1">#REF!</definedName>
    <definedName name="BExU885EZZNSZV3GP298UJ8LB7OL" localSheetId="1" hidden="1">#REF!</definedName>
    <definedName name="BExU885EZZNSZV3GP298UJ8LB7OL" localSheetId="9" hidden="1">#REF!</definedName>
    <definedName name="BExU885EZZNSZV3GP298UJ8LB7OL" hidden="1">#REF!</definedName>
    <definedName name="BExU8FSAUP9TUZ1NO9WXK80QPHWV" localSheetId="56" hidden="1">#REF!</definedName>
    <definedName name="BExU8FSAUP9TUZ1NO9WXK80QPHWV" localSheetId="55" hidden="1">#REF!</definedName>
    <definedName name="BExU8FSAUP9TUZ1NO9WXK80QPHWV" localSheetId="4" hidden="1">#REF!</definedName>
    <definedName name="BExU8FSAUP9TUZ1NO9WXK80QPHWV" localSheetId="1" hidden="1">#REF!</definedName>
    <definedName name="BExU8FSAUP9TUZ1NO9WXK80QPHWV" localSheetId="9" hidden="1">#REF!</definedName>
    <definedName name="BExU8FSAUP9TUZ1NO9WXK80QPHWV" hidden="1">#REF!</definedName>
    <definedName name="BExU8KFLAN778MBN93NYZB0FV30G" localSheetId="56" hidden="1">#REF!</definedName>
    <definedName name="BExU8KFLAN778MBN93NYZB0FV30G" localSheetId="55" hidden="1">#REF!</definedName>
    <definedName name="BExU8KFLAN778MBN93NYZB0FV30G" localSheetId="4" hidden="1">#REF!</definedName>
    <definedName name="BExU8KFLAN778MBN93NYZB0FV30G" localSheetId="1" hidden="1">#REF!</definedName>
    <definedName name="BExU8KFLAN778MBN93NYZB0FV30G" localSheetId="9" hidden="1">#REF!</definedName>
    <definedName name="BExU8KFLAN778MBN93NYZB0FV30G" hidden="1">#REF!</definedName>
    <definedName name="BExU8PZC6845UUDFG9M8FTC3P3DK" localSheetId="56" hidden="1">#REF!</definedName>
    <definedName name="BExU8PZC6845UUDFG9M8FTC3P3DK" localSheetId="55" hidden="1">#REF!</definedName>
    <definedName name="BExU8PZC6845UUDFG9M8FTC3P3DK" localSheetId="4" hidden="1">#REF!</definedName>
    <definedName name="BExU8PZC6845UUDFG9M8FTC3P3DK" localSheetId="1" hidden="1">#REF!</definedName>
    <definedName name="BExU8PZC6845UUDFG9M8FTC3P3DK" localSheetId="9" hidden="1">#REF!</definedName>
    <definedName name="BExU8PZC6845UUDFG9M8FTC3P3DK" hidden="1">#REF!</definedName>
    <definedName name="BExU8UX9JX3XLB47YZ8GFXE0V7R2" localSheetId="56" hidden="1">#REF!</definedName>
    <definedName name="BExU8UX9JX3XLB47YZ8GFXE0V7R2" localSheetId="55" hidden="1">#REF!</definedName>
    <definedName name="BExU8UX9JX3XLB47YZ8GFXE0V7R2" localSheetId="4" hidden="1">#REF!</definedName>
    <definedName name="BExU8UX9JX3XLB47YZ8GFXE0V7R2" localSheetId="1" hidden="1">#REF!</definedName>
    <definedName name="BExU8UX9JX3XLB47YZ8GFXE0V7R2" localSheetId="9" hidden="1">#REF!</definedName>
    <definedName name="BExU8UX9JX3XLB47YZ8GFXE0V7R2" hidden="1">#REF!</definedName>
    <definedName name="BExU8WVGMRSFNWCNHODQ9JQCMZB0" localSheetId="56" hidden="1">#REF!</definedName>
    <definedName name="BExU8WVGMRSFNWCNHODQ9JQCMZB0" localSheetId="55" hidden="1">#REF!</definedName>
    <definedName name="BExU8WVGMRSFNWCNHODQ9JQCMZB0" localSheetId="4" hidden="1">#REF!</definedName>
    <definedName name="BExU8WVGMRSFNWCNHODQ9JQCMZB0" localSheetId="1" hidden="1">#REF!</definedName>
    <definedName name="BExU8WVGMRSFNWCNHODQ9JQCMZB0" localSheetId="9" hidden="1">#REF!</definedName>
    <definedName name="BExU8WVGMRSFNWCNHODQ9JQCMZB0" hidden="1">#REF!</definedName>
    <definedName name="BExU96M1J7P9DZQ3S9H0C12KGYTW" localSheetId="56" hidden="1">#REF!</definedName>
    <definedName name="BExU96M1J7P9DZQ3S9H0C12KGYTW" localSheetId="55" hidden="1">#REF!</definedName>
    <definedName name="BExU96M1J7P9DZQ3S9H0C12KGYTW" localSheetId="4" hidden="1">#REF!</definedName>
    <definedName name="BExU96M1J7P9DZQ3S9H0C12KGYTW" localSheetId="1" hidden="1">#REF!</definedName>
    <definedName name="BExU96M1J7P9DZQ3S9H0C12KGYTW" localSheetId="9" hidden="1">#REF!</definedName>
    <definedName name="BExU96M1J7P9DZQ3S9H0C12KGYTW" hidden="1">#REF!</definedName>
    <definedName name="BExU9F05OR1GZ3057R6UL3WPEIYI" localSheetId="56" hidden="1">#REF!</definedName>
    <definedName name="BExU9F05OR1GZ3057R6UL3WPEIYI" localSheetId="55" hidden="1">#REF!</definedName>
    <definedName name="BExU9F05OR1GZ3057R6UL3WPEIYI" localSheetId="4" hidden="1">#REF!</definedName>
    <definedName name="BExU9F05OR1GZ3057R6UL3WPEIYI" localSheetId="1" hidden="1">#REF!</definedName>
    <definedName name="BExU9F05OR1GZ3057R6UL3WPEIYI" localSheetId="9" hidden="1">#REF!</definedName>
    <definedName name="BExU9F05OR1GZ3057R6UL3WPEIYI" hidden="1">#REF!</definedName>
    <definedName name="BExU9GCSO5YILIKG6VAHN13DL75K" localSheetId="56" hidden="1">#REF!</definedName>
    <definedName name="BExU9GCSO5YILIKG6VAHN13DL75K" localSheetId="55" hidden="1">#REF!</definedName>
    <definedName name="BExU9GCSO5YILIKG6VAHN13DL75K" localSheetId="4" hidden="1">#REF!</definedName>
    <definedName name="BExU9GCSO5YILIKG6VAHN13DL75K" localSheetId="1" hidden="1">#REF!</definedName>
    <definedName name="BExU9GCSO5YILIKG6VAHN13DL75K" localSheetId="9" hidden="1">#REF!</definedName>
    <definedName name="BExU9GCSO5YILIKG6VAHN13DL75K" hidden="1">#REF!</definedName>
    <definedName name="BExU9KJOZLO15N11MJVN782NFGJ0" localSheetId="56" hidden="1">#REF!</definedName>
    <definedName name="BExU9KJOZLO15N11MJVN782NFGJ0" localSheetId="55" hidden="1">#REF!</definedName>
    <definedName name="BExU9KJOZLO15N11MJVN782NFGJ0" localSheetId="4" hidden="1">#REF!</definedName>
    <definedName name="BExU9KJOZLO15N11MJVN782NFGJ0" localSheetId="1" hidden="1">#REF!</definedName>
    <definedName name="BExU9KJOZLO15N11MJVN782NFGJ0" localSheetId="9" hidden="1">#REF!</definedName>
    <definedName name="BExU9KJOZLO15N11MJVN782NFGJ0" hidden="1">#REF!</definedName>
    <definedName name="BExU9LG29XU2K1GNKRO4438JYQZE" localSheetId="56" hidden="1">#REF!</definedName>
    <definedName name="BExU9LG29XU2K1GNKRO4438JYQZE" localSheetId="55" hidden="1">#REF!</definedName>
    <definedName name="BExU9LG29XU2K1GNKRO4438JYQZE" localSheetId="4" hidden="1">#REF!</definedName>
    <definedName name="BExU9LG29XU2K1GNKRO4438JYQZE" localSheetId="1" hidden="1">#REF!</definedName>
    <definedName name="BExU9LG29XU2K1GNKRO4438JYQZE" localSheetId="9" hidden="1">#REF!</definedName>
    <definedName name="BExU9LG29XU2K1GNKRO4438JYQZE" hidden="1">#REF!</definedName>
    <definedName name="BExU9RW36I5Z6JIXUIUB3PJH86LT" localSheetId="56" hidden="1">#REF!</definedName>
    <definedName name="BExU9RW36I5Z6JIXUIUB3PJH86LT" localSheetId="55" hidden="1">#REF!</definedName>
    <definedName name="BExU9RW36I5Z6JIXUIUB3PJH86LT" localSheetId="4" hidden="1">#REF!</definedName>
    <definedName name="BExU9RW36I5Z6JIXUIUB3PJH86LT" localSheetId="1" hidden="1">#REF!</definedName>
    <definedName name="BExU9RW36I5Z6JIXUIUB3PJH86LT" localSheetId="9" hidden="1">#REF!</definedName>
    <definedName name="BExU9RW36I5Z6JIXUIUB3PJH86LT" hidden="1">#REF!</definedName>
    <definedName name="BExU9WU19DJ2VAGISPFEGDWWOO4V" localSheetId="56" hidden="1">#REF!</definedName>
    <definedName name="BExU9WU19DJ2VAGISPFEGDWWOO4V" localSheetId="55" hidden="1">#REF!</definedName>
    <definedName name="BExU9WU19DJ2VAGISPFEGDWWOO4V" localSheetId="4" hidden="1">#REF!</definedName>
    <definedName name="BExU9WU19DJ2VAGISPFEGDWWOO4V" localSheetId="1" hidden="1">#REF!</definedName>
    <definedName name="BExU9WU19DJ2VAGISPFEGDWWOO4V" localSheetId="9" hidden="1">#REF!</definedName>
    <definedName name="BExU9WU19DJ2VAGISPFEGDWWOO4V" hidden="1">#REF!</definedName>
    <definedName name="BExUA28AO7OWDG3H23Q0CL4B7BHW" localSheetId="56" hidden="1">#REF!</definedName>
    <definedName name="BExUA28AO7OWDG3H23Q0CL4B7BHW" localSheetId="55" hidden="1">#REF!</definedName>
    <definedName name="BExUA28AO7OWDG3H23Q0CL4B7BHW" localSheetId="4" hidden="1">#REF!</definedName>
    <definedName name="BExUA28AO7OWDG3H23Q0CL4B7BHW" localSheetId="1" hidden="1">#REF!</definedName>
    <definedName name="BExUA28AO7OWDG3H23Q0CL4B7BHW" localSheetId="9" hidden="1">#REF!</definedName>
    <definedName name="BExUA28AO7OWDG3H23Q0CL4B7BHW" hidden="1">#REF!</definedName>
    <definedName name="BExUA34N2C083NSTAHQGZZ3BCYGK" localSheetId="56" hidden="1">#REF!</definedName>
    <definedName name="BExUA34N2C083NSTAHQGZZ3BCYGK" localSheetId="55" hidden="1">#REF!</definedName>
    <definedName name="BExUA34N2C083NSTAHQGZZ3BCYGK" localSheetId="4" hidden="1">#REF!</definedName>
    <definedName name="BExUA34N2C083NSTAHQGZZ3BCYGK" localSheetId="1" hidden="1">#REF!</definedName>
    <definedName name="BExUA34N2C083NSTAHQGZZ3BCYGK" localSheetId="9" hidden="1">#REF!</definedName>
    <definedName name="BExUA34N2C083NSTAHQGZZ3BCYGK" hidden="1">#REF!</definedName>
    <definedName name="BExUA5O923FFNEBY8BPO1TU3QGBM" localSheetId="56" hidden="1">#REF!</definedName>
    <definedName name="BExUA5O923FFNEBY8BPO1TU3QGBM" localSheetId="55" hidden="1">#REF!</definedName>
    <definedName name="BExUA5O923FFNEBY8BPO1TU3QGBM" localSheetId="4" hidden="1">#REF!</definedName>
    <definedName name="BExUA5O923FFNEBY8BPO1TU3QGBM" localSheetId="1" hidden="1">#REF!</definedName>
    <definedName name="BExUA5O923FFNEBY8BPO1TU3QGBM" localSheetId="9" hidden="1">#REF!</definedName>
    <definedName name="BExUA5O923FFNEBY8BPO1TU3QGBM" hidden="1">#REF!</definedName>
    <definedName name="BExUA6Q4K25VH452AQ3ZIRBCMS61" localSheetId="56" hidden="1">#REF!</definedName>
    <definedName name="BExUA6Q4K25VH452AQ3ZIRBCMS61" localSheetId="55" hidden="1">#REF!</definedName>
    <definedName name="BExUA6Q4K25VH452AQ3ZIRBCMS61" localSheetId="4" hidden="1">#REF!</definedName>
    <definedName name="BExUA6Q4K25VH452AQ3ZIRBCMS61" localSheetId="1" hidden="1">#REF!</definedName>
    <definedName name="BExUA6Q4K25VH452AQ3ZIRBCMS61" localSheetId="9" hidden="1">#REF!</definedName>
    <definedName name="BExUA6Q4K25VH452AQ3ZIRBCMS61" hidden="1">#REF!</definedName>
    <definedName name="BExUAFV4JMBSM2SKBQL9NHL0NIBS" localSheetId="56" hidden="1">#REF!</definedName>
    <definedName name="BExUAFV4JMBSM2SKBQL9NHL0NIBS" localSheetId="55" hidden="1">#REF!</definedName>
    <definedName name="BExUAFV4JMBSM2SKBQL9NHL0NIBS" localSheetId="4" hidden="1">#REF!</definedName>
    <definedName name="BExUAFV4JMBSM2SKBQL9NHL0NIBS" localSheetId="1" hidden="1">#REF!</definedName>
    <definedName name="BExUAFV4JMBSM2SKBQL9NHL0NIBS" localSheetId="9" hidden="1">#REF!</definedName>
    <definedName name="BExUAFV4JMBSM2SKBQL9NHL0NIBS" hidden="1">#REF!</definedName>
    <definedName name="BExUAMWQODKBXMRH1QCMJLJBF8M7" localSheetId="56" hidden="1">#REF!</definedName>
    <definedName name="BExUAMWQODKBXMRH1QCMJLJBF8M7" localSheetId="55" hidden="1">#REF!</definedName>
    <definedName name="BExUAMWQODKBXMRH1QCMJLJBF8M7" localSheetId="4" hidden="1">#REF!</definedName>
    <definedName name="BExUAMWQODKBXMRH1QCMJLJBF8M7" localSheetId="1" hidden="1">#REF!</definedName>
    <definedName name="BExUAMWQODKBXMRH1QCMJLJBF8M7" localSheetId="9" hidden="1">#REF!</definedName>
    <definedName name="BExUAMWQODKBXMRH1QCMJLJBF8M7" hidden="1">#REF!</definedName>
    <definedName name="BExUARUP0MX710TNZSAA01HUEAVC" localSheetId="56" hidden="1">#REF!</definedName>
    <definedName name="BExUARUP0MX710TNZSAA01HUEAVC" localSheetId="55" hidden="1">#REF!</definedName>
    <definedName name="BExUARUP0MX710TNZSAA01HUEAVC" localSheetId="4" hidden="1">#REF!</definedName>
    <definedName name="BExUARUP0MX710TNZSAA01HUEAVC" localSheetId="1" hidden="1">#REF!</definedName>
    <definedName name="BExUARUP0MX710TNZSAA01HUEAVC" localSheetId="9" hidden="1">#REF!</definedName>
    <definedName name="BExUARUP0MX710TNZSAA01HUEAVC" hidden="1">#REF!</definedName>
    <definedName name="BExUAX8WS5OPVLCDXRGKTU2QMTFO" localSheetId="56" hidden="1">#REF!</definedName>
    <definedName name="BExUAX8WS5OPVLCDXRGKTU2QMTFO" localSheetId="55" hidden="1">#REF!</definedName>
    <definedName name="BExUAX8WS5OPVLCDXRGKTU2QMTFO" localSheetId="4" hidden="1">#REF!</definedName>
    <definedName name="BExUAX8WS5OPVLCDXRGKTU2QMTFO" localSheetId="1" hidden="1">#REF!</definedName>
    <definedName name="BExUAX8WS5OPVLCDXRGKTU2QMTFO" localSheetId="9" hidden="1">#REF!</definedName>
    <definedName name="BExUAX8WS5OPVLCDXRGKTU2QMTFO" hidden="1">#REF!</definedName>
    <definedName name="BExUB1FYAZ433NX9GD7WGACX5IZD" localSheetId="56" hidden="1">#REF!</definedName>
    <definedName name="BExUB1FYAZ433NX9GD7WGACX5IZD" localSheetId="55" hidden="1">#REF!</definedName>
    <definedName name="BExUB1FYAZ433NX9GD7WGACX5IZD" localSheetId="4" hidden="1">#REF!</definedName>
    <definedName name="BExUB1FYAZ433NX9GD7WGACX5IZD" localSheetId="1" hidden="1">#REF!</definedName>
    <definedName name="BExUB1FYAZ433NX9GD7WGACX5IZD" localSheetId="9" hidden="1">#REF!</definedName>
    <definedName name="BExUB1FYAZ433NX9GD7WGACX5IZD" hidden="1">#REF!</definedName>
    <definedName name="BExUB8HLEXSBVPZ5AXNQEK96F1N4" localSheetId="56" hidden="1">#REF!</definedName>
    <definedName name="BExUB8HLEXSBVPZ5AXNQEK96F1N4" localSheetId="55" hidden="1">#REF!</definedName>
    <definedName name="BExUB8HLEXSBVPZ5AXNQEK96F1N4" localSheetId="4" hidden="1">#REF!</definedName>
    <definedName name="BExUB8HLEXSBVPZ5AXNQEK96F1N4" localSheetId="1" hidden="1">#REF!</definedName>
    <definedName name="BExUB8HLEXSBVPZ5AXNQEK96F1N4" localSheetId="9" hidden="1">#REF!</definedName>
    <definedName name="BExUB8HLEXSBVPZ5AXNQEK96F1N4" hidden="1">#REF!</definedName>
    <definedName name="BExUBCDVZIEA7YT0LPSMHL5ZSERQ" localSheetId="56" hidden="1">#REF!</definedName>
    <definedName name="BExUBCDVZIEA7YT0LPSMHL5ZSERQ" localSheetId="55" hidden="1">#REF!</definedName>
    <definedName name="BExUBCDVZIEA7YT0LPSMHL5ZSERQ" localSheetId="4" hidden="1">#REF!</definedName>
    <definedName name="BExUBCDVZIEA7YT0LPSMHL5ZSERQ" localSheetId="1" hidden="1">#REF!</definedName>
    <definedName name="BExUBCDVZIEA7YT0LPSMHL5ZSERQ" localSheetId="9" hidden="1">#REF!</definedName>
    <definedName name="BExUBCDVZIEA7YT0LPSMHL5ZSERQ" hidden="1">#REF!</definedName>
    <definedName name="BExUBDA8WU087BUIMXC1U1CKA2RA" localSheetId="56" hidden="1">#REF!</definedName>
    <definedName name="BExUBDA8WU087BUIMXC1U1CKA2RA" localSheetId="55" hidden="1">#REF!</definedName>
    <definedName name="BExUBDA8WU087BUIMXC1U1CKA2RA" localSheetId="4" hidden="1">#REF!</definedName>
    <definedName name="BExUBDA8WU087BUIMXC1U1CKA2RA" localSheetId="1" hidden="1">#REF!</definedName>
    <definedName name="BExUBDA8WU087BUIMXC1U1CKA2RA" localSheetId="9" hidden="1">#REF!</definedName>
    <definedName name="BExUBDA8WU087BUIMXC1U1CKA2RA" hidden="1">#REF!</definedName>
    <definedName name="BExUBKXBUCN760QYU7Q8GESBWOQH" localSheetId="56" hidden="1">#REF!</definedName>
    <definedName name="BExUBKXBUCN760QYU7Q8GESBWOQH" localSheetId="55" hidden="1">#REF!</definedName>
    <definedName name="BExUBKXBUCN760QYU7Q8GESBWOQH" localSheetId="4" hidden="1">#REF!</definedName>
    <definedName name="BExUBKXBUCN760QYU7Q8GESBWOQH" localSheetId="1" hidden="1">#REF!</definedName>
    <definedName name="BExUBKXBUCN760QYU7Q8GESBWOQH" localSheetId="9" hidden="1">#REF!</definedName>
    <definedName name="BExUBKXBUCN760QYU7Q8GESBWOQH" hidden="1">#REF!</definedName>
    <definedName name="BExUBL83ED0P076RN9RJ8P1MZ299" localSheetId="56" hidden="1">#REF!</definedName>
    <definedName name="BExUBL83ED0P076RN9RJ8P1MZ299" localSheetId="55" hidden="1">#REF!</definedName>
    <definedName name="BExUBL83ED0P076RN9RJ8P1MZ299" localSheetId="4" hidden="1">#REF!</definedName>
    <definedName name="BExUBL83ED0P076RN9RJ8P1MZ299" localSheetId="1" hidden="1">#REF!</definedName>
    <definedName name="BExUBL83ED0P076RN9RJ8P1MZ299" localSheetId="9" hidden="1">#REF!</definedName>
    <definedName name="BExUBL83ED0P076RN9RJ8P1MZ299" hidden="1">#REF!</definedName>
    <definedName name="BExUC1EPS2CZ5CKFA0AQRIVRSHS8" localSheetId="56" hidden="1">#REF!</definedName>
    <definedName name="BExUC1EPS2CZ5CKFA0AQRIVRSHS8" localSheetId="55" hidden="1">#REF!</definedName>
    <definedName name="BExUC1EPS2CZ5CKFA0AQRIVRSHS8" localSheetId="4" hidden="1">#REF!</definedName>
    <definedName name="BExUC1EPS2CZ5CKFA0AQRIVRSHS8" localSheetId="1" hidden="1">#REF!</definedName>
    <definedName name="BExUC1EPS2CZ5CKFA0AQRIVRSHS8" localSheetId="9" hidden="1">#REF!</definedName>
    <definedName name="BExUC1EPS2CZ5CKFA0AQRIVRSHS8" hidden="1">#REF!</definedName>
    <definedName name="BExUC623BDYEODBN0N4DO6PJQ7NU" localSheetId="56" hidden="1">#REF!</definedName>
    <definedName name="BExUC623BDYEODBN0N4DO6PJQ7NU" localSheetId="55" hidden="1">#REF!</definedName>
    <definedName name="BExUC623BDYEODBN0N4DO6PJQ7NU" localSheetId="4" hidden="1">#REF!</definedName>
    <definedName name="BExUC623BDYEODBN0N4DO6PJQ7NU" localSheetId="1" hidden="1">#REF!</definedName>
    <definedName name="BExUC623BDYEODBN0N4DO6PJQ7NU" localSheetId="9" hidden="1">#REF!</definedName>
    <definedName name="BExUC623BDYEODBN0N4DO6PJQ7NU" hidden="1">#REF!</definedName>
    <definedName name="BExUC8WH8TCKBB5313JGYYQ1WFLT" localSheetId="56" hidden="1">#REF!</definedName>
    <definedName name="BExUC8WH8TCKBB5313JGYYQ1WFLT" localSheetId="55" hidden="1">#REF!</definedName>
    <definedName name="BExUC8WH8TCKBB5313JGYYQ1WFLT" localSheetId="4" hidden="1">#REF!</definedName>
    <definedName name="BExUC8WH8TCKBB5313JGYYQ1WFLT" localSheetId="1" hidden="1">#REF!</definedName>
    <definedName name="BExUC8WH8TCKBB5313JGYYQ1WFLT" localSheetId="9" hidden="1">#REF!</definedName>
    <definedName name="BExUC8WH8TCKBB5313JGYYQ1WFLT" hidden="1">#REF!</definedName>
    <definedName name="BExUCAP7GOSYPHMQKK6719YLSDIQ" localSheetId="56" hidden="1">#REF!</definedName>
    <definedName name="BExUCAP7GOSYPHMQKK6719YLSDIQ" localSheetId="55" hidden="1">#REF!</definedName>
    <definedName name="BExUCAP7GOSYPHMQKK6719YLSDIQ" localSheetId="4" hidden="1">#REF!</definedName>
    <definedName name="BExUCAP7GOSYPHMQKK6719YLSDIQ" localSheetId="1" hidden="1">#REF!</definedName>
    <definedName name="BExUCAP7GOSYPHMQKK6719YLSDIQ" localSheetId="9" hidden="1">#REF!</definedName>
    <definedName name="BExUCAP7GOSYPHMQKK6719YLSDIQ" hidden="1">#REF!</definedName>
    <definedName name="BExUCFCDK6SPH86I6STXX8X3WMC4" localSheetId="56" hidden="1">#REF!</definedName>
    <definedName name="BExUCFCDK6SPH86I6STXX8X3WMC4" localSheetId="55" hidden="1">#REF!</definedName>
    <definedName name="BExUCFCDK6SPH86I6STXX8X3WMC4" localSheetId="4" hidden="1">#REF!</definedName>
    <definedName name="BExUCFCDK6SPH86I6STXX8X3WMC4" localSheetId="1" hidden="1">#REF!</definedName>
    <definedName name="BExUCFCDK6SPH86I6STXX8X3WMC4" localSheetId="9" hidden="1">#REF!</definedName>
    <definedName name="BExUCFCDK6SPH86I6STXX8X3WMC4" hidden="1">#REF!</definedName>
    <definedName name="BExUCKL98JB87L3I6T6IFSWJNYAB" localSheetId="56" hidden="1">#REF!</definedName>
    <definedName name="BExUCKL98JB87L3I6T6IFSWJNYAB" localSheetId="55" hidden="1">#REF!</definedName>
    <definedName name="BExUCKL98JB87L3I6T6IFSWJNYAB" localSheetId="4" hidden="1">#REF!</definedName>
    <definedName name="BExUCKL98JB87L3I6T6IFSWJNYAB" localSheetId="1" hidden="1">#REF!</definedName>
    <definedName name="BExUCKL98JB87L3I6T6IFSWJNYAB" localSheetId="9" hidden="1">#REF!</definedName>
    <definedName name="BExUCKL98JB87L3I6T6IFSWJNYAB" hidden="1">#REF!</definedName>
    <definedName name="BExUCLC6AQ5KR6LXSAXV4QQ8ASVG" localSheetId="56" hidden="1">#REF!</definedName>
    <definedName name="BExUCLC6AQ5KR6LXSAXV4QQ8ASVG" localSheetId="55" hidden="1">#REF!</definedName>
    <definedName name="BExUCLC6AQ5KR6LXSAXV4QQ8ASVG" localSheetId="4" hidden="1">#REF!</definedName>
    <definedName name="BExUCLC6AQ5KR6LXSAXV4QQ8ASVG" localSheetId="1" hidden="1">#REF!</definedName>
    <definedName name="BExUCLC6AQ5KR6LXSAXV4QQ8ASVG" localSheetId="9" hidden="1">#REF!</definedName>
    <definedName name="BExUCLC6AQ5KR6LXSAXV4QQ8ASVG" hidden="1">#REF!</definedName>
    <definedName name="BExUD4IOJ12X3PJG5WXNNGDRCKAP" localSheetId="56" hidden="1">#REF!</definedName>
    <definedName name="BExUD4IOJ12X3PJG5WXNNGDRCKAP" localSheetId="55" hidden="1">#REF!</definedName>
    <definedName name="BExUD4IOJ12X3PJG5WXNNGDRCKAP" localSheetId="4" hidden="1">#REF!</definedName>
    <definedName name="BExUD4IOJ12X3PJG5WXNNGDRCKAP" localSheetId="1" hidden="1">#REF!</definedName>
    <definedName name="BExUD4IOJ12X3PJG5WXNNGDRCKAP" localSheetId="9" hidden="1">#REF!</definedName>
    <definedName name="BExUD4IOJ12X3PJG5WXNNGDRCKAP" hidden="1">#REF!</definedName>
    <definedName name="BExUD9WX9BWK72UWVSLYZJLAY5VY" localSheetId="56" hidden="1">#REF!</definedName>
    <definedName name="BExUD9WX9BWK72UWVSLYZJLAY5VY" localSheetId="55" hidden="1">#REF!</definedName>
    <definedName name="BExUD9WX9BWK72UWVSLYZJLAY5VY" localSheetId="4" hidden="1">#REF!</definedName>
    <definedName name="BExUD9WX9BWK72UWVSLYZJLAY5VY" localSheetId="1" hidden="1">#REF!</definedName>
    <definedName name="BExUD9WX9BWK72UWVSLYZJLAY5VY" localSheetId="9" hidden="1">#REF!</definedName>
    <definedName name="BExUD9WX9BWK72UWVSLYZJLAY5VY" hidden="1">#REF!</definedName>
    <definedName name="BExUDEV0CYVO7Y5IQQBEJ6FUY9S6" localSheetId="56" hidden="1">#REF!</definedName>
    <definedName name="BExUDEV0CYVO7Y5IQQBEJ6FUY9S6" localSheetId="55" hidden="1">#REF!</definedName>
    <definedName name="BExUDEV0CYVO7Y5IQQBEJ6FUY9S6" localSheetId="4" hidden="1">#REF!</definedName>
    <definedName name="BExUDEV0CYVO7Y5IQQBEJ6FUY9S6" localSheetId="1" hidden="1">#REF!</definedName>
    <definedName name="BExUDEV0CYVO7Y5IQQBEJ6FUY9S6" localSheetId="9" hidden="1">#REF!</definedName>
    <definedName name="BExUDEV0CYVO7Y5IQQBEJ6FUY9S6" hidden="1">#REF!</definedName>
    <definedName name="BExUDWOXQGIZW0EAIIYLQUPXF8YV" localSheetId="56" hidden="1">#REF!</definedName>
    <definedName name="BExUDWOXQGIZW0EAIIYLQUPXF8YV" localSheetId="55" hidden="1">#REF!</definedName>
    <definedName name="BExUDWOXQGIZW0EAIIYLQUPXF8YV" localSheetId="4" hidden="1">#REF!</definedName>
    <definedName name="BExUDWOXQGIZW0EAIIYLQUPXF8YV" localSheetId="1" hidden="1">#REF!</definedName>
    <definedName name="BExUDWOXQGIZW0EAIIYLQUPXF8YV" localSheetId="9" hidden="1">#REF!</definedName>
    <definedName name="BExUDWOXQGIZW0EAIIYLQUPXF8YV" hidden="1">#REF!</definedName>
    <definedName name="BExUDXAIC17W1FUU8Z10XUAVB7CS" localSheetId="56" hidden="1">#REF!</definedName>
    <definedName name="BExUDXAIC17W1FUU8Z10XUAVB7CS" localSheetId="55" hidden="1">#REF!</definedName>
    <definedName name="BExUDXAIC17W1FUU8Z10XUAVB7CS" localSheetId="4" hidden="1">#REF!</definedName>
    <definedName name="BExUDXAIC17W1FUU8Z10XUAVB7CS" localSheetId="1" hidden="1">#REF!</definedName>
    <definedName name="BExUDXAIC17W1FUU8Z10XUAVB7CS" localSheetId="9" hidden="1">#REF!</definedName>
    <definedName name="BExUDXAIC17W1FUU8Z10XUAVB7CS" hidden="1">#REF!</definedName>
    <definedName name="BExUE5OMY7OAJQ9WR8C8HG311ORP" localSheetId="56" hidden="1">#REF!</definedName>
    <definedName name="BExUE5OMY7OAJQ9WR8C8HG311ORP" localSheetId="55" hidden="1">#REF!</definedName>
    <definedName name="BExUE5OMY7OAJQ9WR8C8HG311ORP" localSheetId="4" hidden="1">#REF!</definedName>
    <definedName name="BExUE5OMY7OAJQ9WR8C8HG311ORP" localSheetId="1" hidden="1">#REF!</definedName>
    <definedName name="BExUE5OMY7OAJQ9WR8C8HG311ORP" localSheetId="9" hidden="1">#REF!</definedName>
    <definedName name="BExUE5OMY7OAJQ9WR8C8HG311ORP" hidden="1">#REF!</definedName>
    <definedName name="BExUEFKOQWXXGRNLAOJV2BJ66UB8" localSheetId="56" hidden="1">#REF!</definedName>
    <definedName name="BExUEFKOQWXXGRNLAOJV2BJ66UB8" localSheetId="55" hidden="1">#REF!</definedName>
    <definedName name="BExUEFKOQWXXGRNLAOJV2BJ66UB8" localSheetId="4" hidden="1">#REF!</definedName>
    <definedName name="BExUEFKOQWXXGRNLAOJV2BJ66UB8" localSheetId="1" hidden="1">#REF!</definedName>
    <definedName name="BExUEFKOQWXXGRNLAOJV2BJ66UB8" localSheetId="9" hidden="1">#REF!</definedName>
    <definedName name="BExUEFKOQWXXGRNLAOJV2BJ66UB8" hidden="1">#REF!</definedName>
    <definedName name="BExUEJGX3OQQP5KFRJSRCZ70EI9V" localSheetId="56" hidden="1">#REF!</definedName>
    <definedName name="BExUEJGX3OQQP5KFRJSRCZ70EI9V" localSheetId="55" hidden="1">#REF!</definedName>
    <definedName name="BExUEJGX3OQQP5KFRJSRCZ70EI9V" localSheetId="4" hidden="1">#REF!</definedName>
    <definedName name="BExUEJGX3OQQP5KFRJSRCZ70EI9V" localSheetId="1" hidden="1">#REF!</definedName>
    <definedName name="BExUEJGX3OQQP5KFRJSRCZ70EI9V" localSheetId="9" hidden="1">#REF!</definedName>
    <definedName name="BExUEJGX3OQQP5KFRJSRCZ70EI9V" hidden="1">#REF!</definedName>
    <definedName name="BExUEKDB2RWXF3WMTZ6JSBCHNSDT" localSheetId="56" hidden="1">#REF!</definedName>
    <definedName name="BExUEKDB2RWXF3WMTZ6JSBCHNSDT" localSheetId="55" hidden="1">#REF!</definedName>
    <definedName name="BExUEKDB2RWXF3WMTZ6JSBCHNSDT" localSheetId="4" hidden="1">#REF!</definedName>
    <definedName name="BExUEKDB2RWXF3WMTZ6JSBCHNSDT" localSheetId="1" hidden="1">#REF!</definedName>
    <definedName name="BExUEKDB2RWXF3WMTZ6JSBCHNSDT" localSheetId="9" hidden="1">#REF!</definedName>
    <definedName name="BExUEKDB2RWXF3WMTZ6JSBCHNSDT" hidden="1">#REF!</definedName>
    <definedName name="BExUEYR71COFS2X8PDNU21IPMQEU" localSheetId="56" hidden="1">#REF!</definedName>
    <definedName name="BExUEYR71COFS2X8PDNU21IPMQEU" localSheetId="55" hidden="1">#REF!</definedName>
    <definedName name="BExUEYR71COFS2X8PDNU21IPMQEU" localSheetId="4" hidden="1">#REF!</definedName>
    <definedName name="BExUEYR71COFS2X8PDNU21IPMQEU" localSheetId="1" hidden="1">#REF!</definedName>
    <definedName name="BExUEYR71COFS2X8PDNU21IPMQEU" localSheetId="9" hidden="1">#REF!</definedName>
    <definedName name="BExUEYR71COFS2X8PDNU21IPMQEU" hidden="1">#REF!</definedName>
    <definedName name="BExVPRLJ9I6RX45EDVFSQGCPJSOK" localSheetId="56" hidden="1">#REF!</definedName>
    <definedName name="BExVPRLJ9I6RX45EDVFSQGCPJSOK" localSheetId="55" hidden="1">#REF!</definedName>
    <definedName name="BExVPRLJ9I6RX45EDVFSQGCPJSOK" localSheetId="4" hidden="1">#REF!</definedName>
    <definedName name="BExVPRLJ9I6RX45EDVFSQGCPJSOK" localSheetId="1" hidden="1">#REF!</definedName>
    <definedName name="BExVPRLJ9I6RX45EDVFSQGCPJSOK" localSheetId="9" hidden="1">#REF!</definedName>
    <definedName name="BExVPRLJ9I6RX45EDVFSQGCPJSOK" hidden="1">#REF!</definedName>
    <definedName name="BExVRFU8RWFT8A80ZVAW185SG2G6" localSheetId="56" hidden="1">#REF!</definedName>
    <definedName name="BExVRFU8RWFT8A80ZVAW185SG2G6" localSheetId="55" hidden="1">#REF!</definedName>
    <definedName name="BExVRFU8RWFT8A80ZVAW185SG2G6" localSheetId="4" hidden="1">#REF!</definedName>
    <definedName name="BExVRFU8RWFT8A80ZVAW185SG2G6" localSheetId="1" hidden="1">#REF!</definedName>
    <definedName name="BExVRFU8RWFT8A80ZVAW185SG2G6" localSheetId="9" hidden="1">#REF!</definedName>
    <definedName name="BExVRFU8RWFT8A80ZVAW185SG2G6" hidden="1">#REF!</definedName>
    <definedName name="BExVSJ3NHETBAIZTZQSM8LAVT76V" localSheetId="56" hidden="1">#REF!</definedName>
    <definedName name="BExVSJ3NHETBAIZTZQSM8LAVT76V" localSheetId="55" hidden="1">#REF!</definedName>
    <definedName name="BExVSJ3NHETBAIZTZQSM8LAVT76V" localSheetId="4" hidden="1">#REF!</definedName>
    <definedName name="BExVSJ3NHETBAIZTZQSM8LAVT76V" localSheetId="1" hidden="1">#REF!</definedName>
    <definedName name="BExVSJ3NHETBAIZTZQSM8LAVT76V" localSheetId="9" hidden="1">#REF!</definedName>
    <definedName name="BExVSJ3NHETBAIZTZQSM8LAVT76V" hidden="1">#REF!</definedName>
    <definedName name="BExVSL787C8E4HFQZ2NVLT35I2XV" localSheetId="56" hidden="1">#REF!</definedName>
    <definedName name="BExVSL787C8E4HFQZ2NVLT35I2XV" localSheetId="55" hidden="1">#REF!</definedName>
    <definedName name="BExVSL787C8E4HFQZ2NVLT35I2XV" localSheetId="4" hidden="1">#REF!</definedName>
    <definedName name="BExVSL787C8E4HFQZ2NVLT35I2XV" localSheetId="1" hidden="1">#REF!</definedName>
    <definedName name="BExVSL787C8E4HFQZ2NVLT35I2XV" localSheetId="9" hidden="1">#REF!</definedName>
    <definedName name="BExVSL787C8E4HFQZ2NVLT35I2XV" hidden="1">#REF!</definedName>
    <definedName name="BExVSTFTVV14SFGHQUOJL5SQ5TX9" localSheetId="56" hidden="1">#REF!</definedName>
    <definedName name="BExVSTFTVV14SFGHQUOJL5SQ5TX9" localSheetId="55" hidden="1">#REF!</definedName>
    <definedName name="BExVSTFTVV14SFGHQUOJL5SQ5TX9" localSheetId="4" hidden="1">#REF!</definedName>
    <definedName name="BExVSTFTVV14SFGHQUOJL5SQ5TX9" localSheetId="1" hidden="1">#REF!</definedName>
    <definedName name="BExVSTFTVV14SFGHQUOJL5SQ5TX9" localSheetId="9" hidden="1">#REF!</definedName>
    <definedName name="BExVSTFTVV14SFGHQUOJL5SQ5TX9" hidden="1">#REF!</definedName>
    <definedName name="BExVT017S14M5X928ARKQ2GNUFE0" localSheetId="56" hidden="1">#REF!</definedName>
    <definedName name="BExVT017S14M5X928ARKQ2GNUFE0" localSheetId="55" hidden="1">#REF!</definedName>
    <definedName name="BExVT017S14M5X928ARKQ2GNUFE0" localSheetId="4" hidden="1">#REF!</definedName>
    <definedName name="BExVT017S14M5X928ARKQ2GNUFE0" localSheetId="1" hidden="1">#REF!</definedName>
    <definedName name="BExVT017S14M5X928ARKQ2GNUFE0" localSheetId="9" hidden="1">#REF!</definedName>
    <definedName name="BExVT017S14M5X928ARKQ2GNUFE0" hidden="1">#REF!</definedName>
    <definedName name="BExVT3MPE8LQ5JFN3HQIFKSQ80U4" localSheetId="56" hidden="1">#REF!</definedName>
    <definedName name="BExVT3MPE8LQ5JFN3HQIFKSQ80U4" localSheetId="55" hidden="1">#REF!</definedName>
    <definedName name="BExVT3MPE8LQ5JFN3HQIFKSQ80U4" localSheetId="4" hidden="1">#REF!</definedName>
    <definedName name="BExVT3MPE8LQ5JFN3HQIFKSQ80U4" localSheetId="1" hidden="1">#REF!</definedName>
    <definedName name="BExVT3MPE8LQ5JFN3HQIFKSQ80U4" localSheetId="9" hidden="1">#REF!</definedName>
    <definedName name="BExVT3MPE8LQ5JFN3HQIFKSQ80U4" hidden="1">#REF!</definedName>
    <definedName name="BExVT7TRK3NZHPME2TFBXOF1WBR9" localSheetId="56" hidden="1">#REF!</definedName>
    <definedName name="BExVT7TRK3NZHPME2TFBXOF1WBR9" localSheetId="55" hidden="1">#REF!</definedName>
    <definedName name="BExVT7TRK3NZHPME2TFBXOF1WBR9" localSheetId="4" hidden="1">#REF!</definedName>
    <definedName name="BExVT7TRK3NZHPME2TFBXOF1WBR9" localSheetId="1" hidden="1">#REF!</definedName>
    <definedName name="BExVT7TRK3NZHPME2TFBXOF1WBR9" localSheetId="9" hidden="1">#REF!</definedName>
    <definedName name="BExVT7TRK3NZHPME2TFBXOF1WBR9" hidden="1">#REF!</definedName>
    <definedName name="BExVT9H0R0T7WGQAAC0HABMG54YM" localSheetId="56" hidden="1">#REF!</definedName>
    <definedName name="BExVT9H0R0T7WGQAAC0HABMG54YM" localSheetId="55" hidden="1">#REF!</definedName>
    <definedName name="BExVT9H0R0T7WGQAAC0HABMG54YM" localSheetId="4" hidden="1">#REF!</definedName>
    <definedName name="BExVT9H0R0T7WGQAAC0HABMG54YM" localSheetId="1" hidden="1">#REF!</definedName>
    <definedName name="BExVT9H0R0T7WGQAAC0HABMG54YM" localSheetId="9" hidden="1">#REF!</definedName>
    <definedName name="BExVT9H0R0T7WGQAAC0HABMG54YM" hidden="1">#REF!</definedName>
    <definedName name="BExVTAO57POUXSZQJQ6MABMZQA13" localSheetId="56" hidden="1">#REF!</definedName>
    <definedName name="BExVTAO57POUXSZQJQ6MABMZQA13" localSheetId="55" hidden="1">#REF!</definedName>
    <definedName name="BExVTAO57POUXSZQJQ6MABMZQA13" localSheetId="4" hidden="1">#REF!</definedName>
    <definedName name="BExVTAO57POUXSZQJQ6MABMZQA13" localSheetId="1" hidden="1">#REF!</definedName>
    <definedName name="BExVTAO57POUXSZQJQ6MABMZQA13" localSheetId="9" hidden="1">#REF!</definedName>
    <definedName name="BExVTAO57POUXSZQJQ6MABMZQA13" hidden="1">#REF!</definedName>
    <definedName name="BExVTCMDDEDGLUIMUU6BSFHEWTOP" localSheetId="56" hidden="1">#REF!</definedName>
    <definedName name="BExVTCMDDEDGLUIMUU6BSFHEWTOP" localSheetId="55" hidden="1">#REF!</definedName>
    <definedName name="BExVTCMDDEDGLUIMUU6BSFHEWTOP" localSheetId="4" hidden="1">#REF!</definedName>
    <definedName name="BExVTCMDDEDGLUIMUU6BSFHEWTOP" localSheetId="1" hidden="1">#REF!</definedName>
    <definedName name="BExVTCMDDEDGLUIMUU6BSFHEWTOP" localSheetId="9" hidden="1">#REF!</definedName>
    <definedName name="BExVTCMDDEDGLUIMUU6BSFHEWTOP" hidden="1">#REF!</definedName>
    <definedName name="BExVTCMDQMLKRA2NQR72XU6Y54IK" localSheetId="56" hidden="1">#REF!</definedName>
    <definedName name="BExVTCMDQMLKRA2NQR72XU6Y54IK" localSheetId="55" hidden="1">#REF!</definedName>
    <definedName name="BExVTCMDQMLKRA2NQR72XU6Y54IK" localSheetId="4" hidden="1">#REF!</definedName>
    <definedName name="BExVTCMDQMLKRA2NQR72XU6Y54IK" localSheetId="1" hidden="1">#REF!</definedName>
    <definedName name="BExVTCMDQMLKRA2NQR72XU6Y54IK" localSheetId="9" hidden="1">#REF!</definedName>
    <definedName name="BExVTCMDQMLKRA2NQR72XU6Y54IK" hidden="1">#REF!</definedName>
    <definedName name="BExVTCRV8FQ5U9OYWWL44N6KFNHU" localSheetId="56" hidden="1">#REF!</definedName>
    <definedName name="BExVTCRV8FQ5U9OYWWL44N6KFNHU" localSheetId="55" hidden="1">#REF!</definedName>
    <definedName name="BExVTCRV8FQ5U9OYWWL44N6KFNHU" localSheetId="4" hidden="1">#REF!</definedName>
    <definedName name="BExVTCRV8FQ5U9OYWWL44N6KFNHU" localSheetId="1" hidden="1">#REF!</definedName>
    <definedName name="BExVTCRV8FQ5U9OYWWL44N6KFNHU" localSheetId="9" hidden="1">#REF!</definedName>
    <definedName name="BExVTCRV8FQ5U9OYWWL44N6KFNHU" hidden="1">#REF!</definedName>
    <definedName name="BExVTNESHPVG0A0KZ7BRX26MS0PF" localSheetId="56" hidden="1">#REF!</definedName>
    <definedName name="BExVTNESHPVG0A0KZ7BRX26MS0PF" localSheetId="55" hidden="1">#REF!</definedName>
    <definedName name="BExVTNESHPVG0A0KZ7BRX26MS0PF" localSheetId="4" hidden="1">#REF!</definedName>
    <definedName name="BExVTNESHPVG0A0KZ7BRX26MS0PF" localSheetId="1" hidden="1">#REF!</definedName>
    <definedName name="BExVTNESHPVG0A0KZ7BRX26MS0PF" localSheetId="9" hidden="1">#REF!</definedName>
    <definedName name="BExVTNESHPVG0A0KZ7BRX26MS0PF" hidden="1">#REF!</definedName>
    <definedName name="BExVTTJVTNRSBHBTUZ78WG2JM5MK" localSheetId="56" hidden="1">#REF!</definedName>
    <definedName name="BExVTTJVTNRSBHBTUZ78WG2JM5MK" localSheetId="55" hidden="1">#REF!</definedName>
    <definedName name="BExVTTJVTNRSBHBTUZ78WG2JM5MK" localSheetId="4" hidden="1">#REF!</definedName>
    <definedName name="BExVTTJVTNRSBHBTUZ78WG2JM5MK" localSheetId="1" hidden="1">#REF!</definedName>
    <definedName name="BExVTTJVTNRSBHBTUZ78WG2JM5MK" localSheetId="9" hidden="1">#REF!</definedName>
    <definedName name="BExVTTJVTNRSBHBTUZ78WG2JM5MK" hidden="1">#REF!</definedName>
    <definedName name="BExVTXLMYR87BC04D1ERALPUFVPG" localSheetId="56" hidden="1">#REF!</definedName>
    <definedName name="BExVTXLMYR87BC04D1ERALPUFVPG" localSheetId="55" hidden="1">#REF!</definedName>
    <definedName name="BExVTXLMYR87BC04D1ERALPUFVPG" localSheetId="4" hidden="1">#REF!</definedName>
    <definedName name="BExVTXLMYR87BC04D1ERALPUFVPG" localSheetId="1" hidden="1">#REF!</definedName>
    <definedName name="BExVTXLMYR87BC04D1ERALPUFVPG" localSheetId="9" hidden="1">#REF!</definedName>
    <definedName name="BExVTXLMYR87BC04D1ERALPUFVPG" hidden="1">#REF!</definedName>
    <definedName name="BExVUL9V3H8ZF6Y72LQBBN639YAA" localSheetId="56" hidden="1">#REF!</definedName>
    <definedName name="BExVUL9V3H8ZF6Y72LQBBN639YAA" localSheetId="55" hidden="1">#REF!</definedName>
    <definedName name="BExVUL9V3H8ZF6Y72LQBBN639YAA" localSheetId="4" hidden="1">#REF!</definedName>
    <definedName name="BExVUL9V3H8ZF6Y72LQBBN639YAA" localSheetId="1" hidden="1">#REF!</definedName>
    <definedName name="BExVUL9V3H8ZF6Y72LQBBN639YAA" localSheetId="9" hidden="1">#REF!</definedName>
    <definedName name="BExVUL9V3H8ZF6Y72LQBBN639YAA" hidden="1">#REF!</definedName>
    <definedName name="BExVUZT95UAU8XG5X9XSE25CHQGA" localSheetId="56" hidden="1">#REF!</definedName>
    <definedName name="BExVUZT95UAU8XG5X9XSE25CHQGA" localSheetId="55" hidden="1">#REF!</definedName>
    <definedName name="BExVUZT95UAU8XG5X9XSE25CHQGA" localSheetId="4" hidden="1">#REF!</definedName>
    <definedName name="BExVUZT95UAU8XG5X9XSE25CHQGA" localSheetId="1" hidden="1">#REF!</definedName>
    <definedName name="BExVUZT95UAU8XG5X9XSE25CHQGA" localSheetId="9" hidden="1">#REF!</definedName>
    <definedName name="BExVUZT95UAU8XG5X9XSE25CHQGA" hidden="1">#REF!</definedName>
    <definedName name="BExVV5T14N2HZIK7HQ4P2KG09U0J" localSheetId="56" hidden="1">#REF!</definedName>
    <definedName name="BExVV5T14N2HZIK7HQ4P2KG09U0J" localSheetId="55" hidden="1">#REF!</definedName>
    <definedName name="BExVV5T14N2HZIK7HQ4P2KG09U0J" localSheetId="4" hidden="1">#REF!</definedName>
    <definedName name="BExVV5T14N2HZIK7HQ4P2KG09U0J" localSheetId="1" hidden="1">#REF!</definedName>
    <definedName name="BExVV5T14N2HZIK7HQ4P2KG09U0J" localSheetId="9" hidden="1">#REF!</definedName>
    <definedName name="BExVV5T14N2HZIK7HQ4P2KG09U0J" hidden="1">#REF!</definedName>
    <definedName name="BExVV7R410VYLADLX9LNG63ID6H1" localSheetId="56" hidden="1">#REF!</definedName>
    <definedName name="BExVV7R410VYLADLX9LNG63ID6H1" localSheetId="55" hidden="1">#REF!</definedName>
    <definedName name="BExVV7R410VYLADLX9LNG63ID6H1" localSheetId="4" hidden="1">#REF!</definedName>
    <definedName name="BExVV7R410VYLADLX9LNG63ID6H1" localSheetId="1" hidden="1">#REF!</definedName>
    <definedName name="BExVV7R410VYLADLX9LNG63ID6H1" localSheetId="9" hidden="1">#REF!</definedName>
    <definedName name="BExVV7R410VYLADLX9LNG63ID6H1" hidden="1">#REF!</definedName>
    <definedName name="BExVVAAVDXGWAVI6J2W0BCU58MBM" localSheetId="56" hidden="1">#REF!</definedName>
    <definedName name="BExVVAAVDXGWAVI6J2W0BCU58MBM" localSheetId="55" hidden="1">#REF!</definedName>
    <definedName name="BExVVAAVDXGWAVI6J2W0BCU58MBM" localSheetId="4" hidden="1">#REF!</definedName>
    <definedName name="BExVVAAVDXGWAVI6J2W0BCU58MBM" localSheetId="1" hidden="1">#REF!</definedName>
    <definedName name="BExVVAAVDXGWAVI6J2W0BCU58MBM" localSheetId="9" hidden="1">#REF!</definedName>
    <definedName name="BExVVAAVDXGWAVI6J2W0BCU58MBM" hidden="1">#REF!</definedName>
    <definedName name="BExVVCEED4JEKF59OV0G3T4XFMFO" localSheetId="56" hidden="1">#REF!</definedName>
    <definedName name="BExVVCEED4JEKF59OV0G3T4XFMFO" localSheetId="55" hidden="1">#REF!</definedName>
    <definedName name="BExVVCEED4JEKF59OV0G3T4XFMFO" localSheetId="4" hidden="1">#REF!</definedName>
    <definedName name="BExVVCEED4JEKF59OV0G3T4XFMFO" localSheetId="1" hidden="1">#REF!</definedName>
    <definedName name="BExVVCEED4JEKF59OV0G3T4XFMFO" localSheetId="9" hidden="1">#REF!</definedName>
    <definedName name="BExVVCEED4JEKF59OV0G3T4XFMFO" hidden="1">#REF!</definedName>
    <definedName name="BExVVPFO2J7FMSRPD36909HN4BZJ" localSheetId="56" hidden="1">#REF!</definedName>
    <definedName name="BExVVPFO2J7FMSRPD36909HN4BZJ" localSheetId="55" hidden="1">#REF!</definedName>
    <definedName name="BExVVPFO2J7FMSRPD36909HN4BZJ" localSheetId="4" hidden="1">#REF!</definedName>
    <definedName name="BExVVPFO2J7FMSRPD36909HN4BZJ" localSheetId="1" hidden="1">#REF!</definedName>
    <definedName name="BExVVPFO2J7FMSRPD36909HN4BZJ" localSheetId="9" hidden="1">#REF!</definedName>
    <definedName name="BExVVPFO2J7FMSRPD36909HN4BZJ" hidden="1">#REF!</definedName>
    <definedName name="BExVVQ19AQ3VCARJOC38SF7OYE9Y" localSheetId="56" hidden="1">#REF!</definedName>
    <definedName name="BExVVQ19AQ3VCARJOC38SF7OYE9Y" localSheetId="55" hidden="1">#REF!</definedName>
    <definedName name="BExVVQ19AQ3VCARJOC38SF7OYE9Y" localSheetId="4" hidden="1">#REF!</definedName>
    <definedName name="BExVVQ19AQ3VCARJOC38SF7OYE9Y" localSheetId="1" hidden="1">#REF!</definedName>
    <definedName name="BExVVQ19AQ3VCARJOC38SF7OYE9Y" localSheetId="9" hidden="1">#REF!</definedName>
    <definedName name="BExVVQ19AQ3VCARJOC38SF7OYE9Y" hidden="1">#REF!</definedName>
    <definedName name="BExVVQ19TAECID45CS4HXT1RD3AQ" localSheetId="56" hidden="1">#REF!</definedName>
    <definedName name="BExVVQ19TAECID45CS4HXT1RD3AQ" localSheetId="55" hidden="1">#REF!</definedName>
    <definedName name="BExVVQ19TAECID45CS4HXT1RD3AQ" localSheetId="4" hidden="1">#REF!</definedName>
    <definedName name="BExVVQ19TAECID45CS4HXT1RD3AQ" localSheetId="1" hidden="1">#REF!</definedName>
    <definedName name="BExVVQ19TAECID45CS4HXT1RD3AQ" localSheetId="9" hidden="1">#REF!</definedName>
    <definedName name="BExVVQ19TAECID45CS4HXT1RD3AQ" hidden="1">#REF!</definedName>
    <definedName name="BExVVYKOYB7OX8Y0B4UIUF79PVDO" localSheetId="56" hidden="1">#REF!</definedName>
    <definedName name="BExVVYKOYB7OX8Y0B4UIUF79PVDO" localSheetId="55" hidden="1">#REF!</definedName>
    <definedName name="BExVVYKOYB7OX8Y0B4UIUF79PVDO" localSheetId="4" hidden="1">#REF!</definedName>
    <definedName name="BExVVYKOYB7OX8Y0B4UIUF79PVDO" localSheetId="1" hidden="1">#REF!</definedName>
    <definedName name="BExVVYKOYB7OX8Y0B4UIUF79PVDO" localSheetId="9" hidden="1">#REF!</definedName>
    <definedName name="BExVVYKOYB7OX8Y0B4UIUF79PVDO" hidden="1">#REF!</definedName>
    <definedName name="BExVW3YV5XGIVJ97UUPDJGJ2P15B" localSheetId="56" hidden="1">#REF!</definedName>
    <definedName name="BExVW3YV5XGIVJ97UUPDJGJ2P15B" localSheetId="55" hidden="1">#REF!</definedName>
    <definedName name="BExVW3YV5XGIVJ97UUPDJGJ2P15B" localSheetId="4" hidden="1">#REF!</definedName>
    <definedName name="BExVW3YV5XGIVJ97UUPDJGJ2P15B" localSheetId="1" hidden="1">#REF!</definedName>
    <definedName name="BExVW3YV5XGIVJ97UUPDJGJ2P15B" localSheetId="9" hidden="1">#REF!</definedName>
    <definedName name="BExVW3YV5XGIVJ97UUPDJGJ2P15B" hidden="1">#REF!</definedName>
    <definedName name="BExVW5X571GEYR5SCU1Z2DHKWM79" localSheetId="56" hidden="1">#REF!</definedName>
    <definedName name="BExVW5X571GEYR5SCU1Z2DHKWM79" localSheetId="55" hidden="1">#REF!</definedName>
    <definedName name="BExVW5X571GEYR5SCU1Z2DHKWM79" localSheetId="4" hidden="1">#REF!</definedName>
    <definedName name="BExVW5X571GEYR5SCU1Z2DHKWM79" localSheetId="1" hidden="1">#REF!</definedName>
    <definedName name="BExVW5X571GEYR5SCU1Z2DHKWM79" localSheetId="9" hidden="1">#REF!</definedName>
    <definedName name="BExVW5X571GEYR5SCU1Z2DHKWM79" hidden="1">#REF!</definedName>
    <definedName name="BExVW6YTKA098AF57M4PHNQ54XMH" localSheetId="56" hidden="1">#REF!</definedName>
    <definedName name="BExVW6YTKA098AF57M4PHNQ54XMH" localSheetId="55" hidden="1">#REF!</definedName>
    <definedName name="BExVW6YTKA098AF57M4PHNQ54XMH" localSheetId="4" hidden="1">#REF!</definedName>
    <definedName name="BExVW6YTKA098AF57M4PHNQ54XMH" localSheetId="1" hidden="1">#REF!</definedName>
    <definedName name="BExVW6YTKA098AF57M4PHNQ54XMH" localSheetId="9" hidden="1">#REF!</definedName>
    <definedName name="BExVW6YTKA098AF57M4PHNQ54XMH" hidden="1">#REF!</definedName>
    <definedName name="BExVWHRDIJBRFANMKJFY05BHP7RS" localSheetId="56" hidden="1">#REF!</definedName>
    <definedName name="BExVWHRDIJBRFANMKJFY05BHP7RS" localSheetId="55" hidden="1">#REF!</definedName>
    <definedName name="BExVWHRDIJBRFANMKJFY05BHP7RS" localSheetId="4" hidden="1">#REF!</definedName>
    <definedName name="BExVWHRDIJBRFANMKJFY05BHP7RS" localSheetId="1" hidden="1">#REF!</definedName>
    <definedName name="BExVWHRDIJBRFANMKJFY05BHP7RS" localSheetId="9" hidden="1">#REF!</definedName>
    <definedName name="BExVWHRDIJBRFANMKJFY05BHP7RS" hidden="1">#REF!</definedName>
    <definedName name="BExVWINKCH0V0NUWH363SMXAZE62" localSheetId="56" hidden="1">#REF!</definedName>
    <definedName name="BExVWINKCH0V0NUWH363SMXAZE62" localSheetId="55" hidden="1">#REF!</definedName>
    <definedName name="BExVWINKCH0V0NUWH363SMXAZE62" localSheetId="4" hidden="1">#REF!</definedName>
    <definedName name="BExVWINKCH0V0NUWH363SMXAZE62" localSheetId="1" hidden="1">#REF!</definedName>
    <definedName name="BExVWINKCH0V0NUWH363SMXAZE62" localSheetId="9" hidden="1">#REF!</definedName>
    <definedName name="BExVWINKCH0V0NUWH363SMXAZE62" hidden="1">#REF!</definedName>
    <definedName name="BExVWYU8EK669NP172GEIGCTVPPA" localSheetId="56" hidden="1">#REF!</definedName>
    <definedName name="BExVWYU8EK669NP172GEIGCTVPPA" localSheetId="55" hidden="1">#REF!</definedName>
    <definedName name="BExVWYU8EK669NP172GEIGCTVPPA" localSheetId="4" hidden="1">#REF!</definedName>
    <definedName name="BExVWYU8EK669NP172GEIGCTVPPA" localSheetId="1" hidden="1">#REF!</definedName>
    <definedName name="BExVWYU8EK669NP172GEIGCTVPPA" localSheetId="9" hidden="1">#REF!</definedName>
    <definedName name="BExVWYU8EK669NP172GEIGCTVPPA" hidden="1">#REF!</definedName>
    <definedName name="BExVX3XN2DRJKL8EDBIG58RYQ36R" localSheetId="56" hidden="1">#REF!</definedName>
    <definedName name="BExVX3XN2DRJKL8EDBIG58RYQ36R" localSheetId="55" hidden="1">#REF!</definedName>
    <definedName name="BExVX3XN2DRJKL8EDBIG58RYQ36R" localSheetId="4" hidden="1">#REF!</definedName>
    <definedName name="BExVX3XN2DRJKL8EDBIG58RYQ36R" localSheetId="1" hidden="1">#REF!</definedName>
    <definedName name="BExVX3XN2DRJKL8EDBIG58RYQ36R" localSheetId="9" hidden="1">#REF!</definedName>
    <definedName name="BExVX3XN2DRJKL8EDBIG58RYQ36R" hidden="1">#REF!</definedName>
    <definedName name="BExVXBA38Z5WNQUH39HHZ2SAMC1T" localSheetId="56" hidden="1">#REF!</definedName>
    <definedName name="BExVXBA38Z5WNQUH39HHZ2SAMC1T" localSheetId="55" hidden="1">#REF!</definedName>
    <definedName name="BExVXBA38Z5WNQUH39HHZ2SAMC1T" localSheetId="4" hidden="1">#REF!</definedName>
    <definedName name="BExVXBA38Z5WNQUH39HHZ2SAMC1T" localSheetId="1" hidden="1">#REF!</definedName>
    <definedName name="BExVXBA38Z5WNQUH39HHZ2SAMC1T" localSheetId="9" hidden="1">#REF!</definedName>
    <definedName name="BExVXBA38Z5WNQUH39HHZ2SAMC1T" hidden="1">#REF!</definedName>
    <definedName name="BExVXDZ63PUART77BBR5SI63TPC6" localSheetId="56" hidden="1">#REF!</definedName>
    <definedName name="BExVXDZ63PUART77BBR5SI63TPC6" localSheetId="55" hidden="1">#REF!</definedName>
    <definedName name="BExVXDZ63PUART77BBR5SI63TPC6" localSheetId="4" hidden="1">#REF!</definedName>
    <definedName name="BExVXDZ63PUART77BBR5SI63TPC6" localSheetId="1" hidden="1">#REF!</definedName>
    <definedName name="BExVXDZ63PUART77BBR5SI63TPC6" localSheetId="9" hidden="1">#REF!</definedName>
    <definedName name="BExVXDZ63PUART77BBR5SI63TPC6" hidden="1">#REF!</definedName>
    <definedName name="BExVXHKI6LFYMGWISMPACMO247HL" localSheetId="56" hidden="1">#REF!</definedName>
    <definedName name="BExVXHKI6LFYMGWISMPACMO247HL" localSheetId="55" hidden="1">#REF!</definedName>
    <definedName name="BExVXHKI6LFYMGWISMPACMO247HL" localSheetId="4" hidden="1">#REF!</definedName>
    <definedName name="BExVXHKI6LFYMGWISMPACMO247HL" localSheetId="1" hidden="1">#REF!</definedName>
    <definedName name="BExVXHKI6LFYMGWISMPACMO247HL" localSheetId="9" hidden="1">#REF!</definedName>
    <definedName name="BExVXHKI6LFYMGWISMPACMO247HL" hidden="1">#REF!</definedName>
    <definedName name="BExVXK9SK580O7MYHVNJ3V911ALP" localSheetId="56" hidden="1">#REF!</definedName>
    <definedName name="BExVXK9SK580O7MYHVNJ3V911ALP" localSheetId="55" hidden="1">#REF!</definedName>
    <definedName name="BExVXK9SK580O7MYHVNJ3V911ALP" localSheetId="4" hidden="1">#REF!</definedName>
    <definedName name="BExVXK9SK580O7MYHVNJ3V911ALP" localSheetId="1" hidden="1">#REF!</definedName>
    <definedName name="BExVXK9SK580O7MYHVNJ3V911ALP" localSheetId="9" hidden="1">#REF!</definedName>
    <definedName name="BExVXK9SK580O7MYHVNJ3V911ALP" hidden="1">#REF!</definedName>
    <definedName name="BExVXLX2BZ5EF2X6R41BTKRJR1NM" localSheetId="56" hidden="1">#REF!</definedName>
    <definedName name="BExVXLX2BZ5EF2X6R41BTKRJR1NM" localSheetId="55" hidden="1">#REF!</definedName>
    <definedName name="BExVXLX2BZ5EF2X6R41BTKRJR1NM" localSheetId="4" hidden="1">#REF!</definedName>
    <definedName name="BExVXLX2BZ5EF2X6R41BTKRJR1NM" localSheetId="1" hidden="1">#REF!</definedName>
    <definedName name="BExVXLX2BZ5EF2X6R41BTKRJR1NM" localSheetId="9" hidden="1">#REF!</definedName>
    <definedName name="BExVXLX2BZ5EF2X6R41BTKRJR1NM" hidden="1">#REF!</definedName>
    <definedName name="BExVXYT01U5IPYA7E44FWS6KCEFC" localSheetId="56" hidden="1">#REF!</definedName>
    <definedName name="BExVXYT01U5IPYA7E44FWS6KCEFC" localSheetId="55" hidden="1">#REF!</definedName>
    <definedName name="BExVXYT01U5IPYA7E44FWS6KCEFC" localSheetId="4" hidden="1">#REF!</definedName>
    <definedName name="BExVXYT01U5IPYA7E44FWS6KCEFC" localSheetId="1" hidden="1">#REF!</definedName>
    <definedName name="BExVXYT01U5IPYA7E44FWS6KCEFC" localSheetId="9" hidden="1">#REF!</definedName>
    <definedName name="BExVXYT01U5IPYA7E44FWS6KCEFC" hidden="1">#REF!</definedName>
    <definedName name="BExVY11V7U1SAY4QKYE0PBSPD7LW" localSheetId="56" hidden="1">#REF!</definedName>
    <definedName name="BExVY11V7U1SAY4QKYE0PBSPD7LW" localSheetId="55" hidden="1">#REF!</definedName>
    <definedName name="BExVY11V7U1SAY4QKYE0PBSPD7LW" localSheetId="4" hidden="1">#REF!</definedName>
    <definedName name="BExVY11V7U1SAY4QKYE0PBSPD7LW" localSheetId="1" hidden="1">#REF!</definedName>
    <definedName name="BExVY11V7U1SAY4QKYE0PBSPD7LW" localSheetId="9" hidden="1">#REF!</definedName>
    <definedName name="BExVY11V7U1SAY4QKYE0PBSPD7LW" hidden="1">#REF!</definedName>
    <definedName name="BExVY1SV37DL5YU59HS4IG3VBCP4" localSheetId="56" hidden="1">#REF!</definedName>
    <definedName name="BExVY1SV37DL5YU59HS4IG3VBCP4" localSheetId="55" hidden="1">#REF!</definedName>
    <definedName name="BExVY1SV37DL5YU59HS4IG3VBCP4" localSheetId="4" hidden="1">#REF!</definedName>
    <definedName name="BExVY1SV37DL5YU59HS4IG3VBCP4" localSheetId="1" hidden="1">#REF!</definedName>
    <definedName name="BExVY1SV37DL5YU59HS4IG3VBCP4" localSheetId="9" hidden="1">#REF!</definedName>
    <definedName name="BExVY1SV37DL5YU59HS4IG3VBCP4" hidden="1">#REF!</definedName>
    <definedName name="BExVY3WFGJKSQA08UF9NCMST928Y" localSheetId="56" hidden="1">#REF!</definedName>
    <definedName name="BExVY3WFGJKSQA08UF9NCMST928Y" localSheetId="55" hidden="1">#REF!</definedName>
    <definedName name="BExVY3WFGJKSQA08UF9NCMST928Y" localSheetId="4" hidden="1">#REF!</definedName>
    <definedName name="BExVY3WFGJKSQA08UF9NCMST928Y" localSheetId="1" hidden="1">#REF!</definedName>
    <definedName name="BExVY3WFGJKSQA08UF9NCMST928Y" localSheetId="9" hidden="1">#REF!</definedName>
    <definedName name="BExVY3WFGJKSQA08UF9NCMST928Y" hidden="1">#REF!</definedName>
    <definedName name="BExVY954UOEVQEIC5OFO4NEWVKAQ" localSheetId="56" hidden="1">#REF!</definedName>
    <definedName name="BExVY954UOEVQEIC5OFO4NEWVKAQ" localSheetId="55" hidden="1">#REF!</definedName>
    <definedName name="BExVY954UOEVQEIC5OFO4NEWVKAQ" localSheetId="4" hidden="1">#REF!</definedName>
    <definedName name="BExVY954UOEVQEIC5OFO4NEWVKAQ" localSheetId="1" hidden="1">#REF!</definedName>
    <definedName name="BExVY954UOEVQEIC5OFO4NEWVKAQ" localSheetId="9" hidden="1">#REF!</definedName>
    <definedName name="BExVY954UOEVQEIC5OFO4NEWVKAQ" hidden="1">#REF!</definedName>
    <definedName name="BExVYHDYIV5397LC02V4FEP8VD6W" localSheetId="56" hidden="1">#REF!</definedName>
    <definedName name="BExVYHDYIV5397LC02V4FEP8VD6W" localSheetId="55" hidden="1">#REF!</definedName>
    <definedName name="BExVYHDYIV5397LC02V4FEP8VD6W" localSheetId="4" hidden="1">#REF!</definedName>
    <definedName name="BExVYHDYIV5397LC02V4FEP8VD6W" localSheetId="1" hidden="1">#REF!</definedName>
    <definedName name="BExVYHDYIV5397LC02V4FEP8VD6W" localSheetId="9" hidden="1">#REF!</definedName>
    <definedName name="BExVYHDYIV5397LC02V4FEP8VD6W" hidden="1">#REF!</definedName>
    <definedName name="BExVYO4NFDGC4ZOGHANQWX5CH4BT" localSheetId="56" hidden="1">#REF!</definedName>
    <definedName name="BExVYO4NFDGC4ZOGHANQWX5CH4BT" localSheetId="55" hidden="1">#REF!</definedName>
    <definedName name="BExVYO4NFDGC4ZOGHANQWX5CH4BT" localSheetId="4" hidden="1">#REF!</definedName>
    <definedName name="BExVYO4NFDGC4ZOGHANQWX5CH4BT" localSheetId="1" hidden="1">#REF!</definedName>
    <definedName name="BExVYO4NFDGC4ZOGHANQWX5CH4BT" localSheetId="9" hidden="1">#REF!</definedName>
    <definedName name="BExVYO4NFDGC4ZOGHANQWX5CH4BT" hidden="1">#REF!</definedName>
    <definedName name="BExVYOVIZDA18YIQ0A30Q052PCAK" localSheetId="56" hidden="1">#REF!</definedName>
    <definedName name="BExVYOVIZDA18YIQ0A30Q052PCAK" localSheetId="55" hidden="1">#REF!</definedName>
    <definedName name="BExVYOVIZDA18YIQ0A30Q052PCAK" localSheetId="4" hidden="1">#REF!</definedName>
    <definedName name="BExVYOVIZDA18YIQ0A30Q052PCAK" localSheetId="1" hidden="1">#REF!</definedName>
    <definedName name="BExVYOVIZDA18YIQ0A30Q052PCAK" localSheetId="9" hidden="1">#REF!</definedName>
    <definedName name="BExVYOVIZDA18YIQ0A30Q052PCAK" hidden="1">#REF!</definedName>
    <definedName name="BExVYPS2R6B75R1EFIUJ6G5TE4Q4" localSheetId="56" hidden="1">#REF!</definedName>
    <definedName name="BExVYPS2R6B75R1EFIUJ6G5TE4Q4" localSheetId="55" hidden="1">#REF!</definedName>
    <definedName name="BExVYPS2R6B75R1EFIUJ6G5TE4Q4" localSheetId="4" hidden="1">#REF!</definedName>
    <definedName name="BExVYPS2R6B75R1EFIUJ6G5TE4Q4" localSheetId="1" hidden="1">#REF!</definedName>
    <definedName name="BExVYPS2R6B75R1EFIUJ6G5TE4Q4" localSheetId="9" hidden="1">#REF!</definedName>
    <definedName name="BExVYPS2R6B75R1EFIUJ6G5TE4Q4" hidden="1">#REF!</definedName>
    <definedName name="BExVYQIXPEM6J4JVP78BRHIC05PV" localSheetId="56" hidden="1">#REF!</definedName>
    <definedName name="BExVYQIXPEM6J4JVP78BRHIC05PV" localSheetId="55" hidden="1">#REF!</definedName>
    <definedName name="BExVYQIXPEM6J4JVP78BRHIC05PV" localSheetId="4" hidden="1">#REF!</definedName>
    <definedName name="BExVYQIXPEM6J4JVP78BRHIC05PV" localSheetId="1" hidden="1">#REF!</definedName>
    <definedName name="BExVYQIXPEM6J4JVP78BRHIC05PV" localSheetId="9" hidden="1">#REF!</definedName>
    <definedName name="BExVYQIXPEM6J4JVP78BRHIC05PV" hidden="1">#REF!</definedName>
    <definedName name="BExVYVGWN7SONLVDH9WJ2F1JS264" localSheetId="56" hidden="1">#REF!</definedName>
    <definedName name="BExVYVGWN7SONLVDH9WJ2F1JS264" localSheetId="55" hidden="1">#REF!</definedName>
    <definedName name="BExVYVGWN7SONLVDH9WJ2F1JS264" localSheetId="4" hidden="1">#REF!</definedName>
    <definedName name="BExVYVGWN7SONLVDH9WJ2F1JS264" localSheetId="1" hidden="1">#REF!</definedName>
    <definedName name="BExVYVGWN7SONLVDH9WJ2F1JS264" localSheetId="9" hidden="1">#REF!</definedName>
    <definedName name="BExVYVGWN7SONLVDH9WJ2F1JS264" hidden="1">#REF!</definedName>
    <definedName name="BExVZ40HNAZRM8JHYYNQ7F6A4GU0" localSheetId="56" hidden="1">#REF!</definedName>
    <definedName name="BExVZ40HNAZRM8JHYYNQ7F6A4GU0" localSheetId="55" hidden="1">#REF!</definedName>
    <definedName name="BExVZ40HNAZRM8JHYYNQ7F6A4GU0" localSheetId="4" hidden="1">#REF!</definedName>
    <definedName name="BExVZ40HNAZRM8JHYYNQ7F6A4GU0" localSheetId="1" hidden="1">#REF!</definedName>
    <definedName name="BExVZ40HNAZRM8JHYYNQ7F6A4GU0" localSheetId="9" hidden="1">#REF!</definedName>
    <definedName name="BExVZ40HNAZRM8JHYYNQ7F6A4GU0" hidden="1">#REF!</definedName>
    <definedName name="BExVZ7WRO17PYILJEJGPQCO5IL66" localSheetId="56" hidden="1">#REF!</definedName>
    <definedName name="BExVZ7WRO17PYILJEJGPQCO5IL66" localSheetId="55" hidden="1">#REF!</definedName>
    <definedName name="BExVZ7WRO17PYILJEJGPQCO5IL66" localSheetId="4" hidden="1">#REF!</definedName>
    <definedName name="BExVZ7WRO17PYILJEJGPQCO5IL66" localSheetId="1" hidden="1">#REF!</definedName>
    <definedName name="BExVZ7WRO17PYILJEJGPQCO5IL66" localSheetId="9" hidden="1">#REF!</definedName>
    <definedName name="BExVZ7WRO17PYILJEJGPQCO5IL66" hidden="1">#REF!</definedName>
    <definedName name="BExVZ9EO732IK6MNMG17Y1EFTJQC" localSheetId="56" hidden="1">#REF!</definedName>
    <definedName name="BExVZ9EO732IK6MNMG17Y1EFTJQC" localSheetId="55" hidden="1">#REF!</definedName>
    <definedName name="BExVZ9EO732IK6MNMG17Y1EFTJQC" localSheetId="4" hidden="1">#REF!</definedName>
    <definedName name="BExVZ9EO732IK6MNMG17Y1EFTJQC" localSheetId="1" hidden="1">#REF!</definedName>
    <definedName name="BExVZ9EO732IK6MNMG17Y1EFTJQC" localSheetId="9" hidden="1">#REF!</definedName>
    <definedName name="BExVZ9EO732IK6MNMG17Y1EFTJQC" hidden="1">#REF!</definedName>
    <definedName name="BExVZB1Y5J4UL2LKK0363EU7GIJ1" localSheetId="56" hidden="1">#REF!</definedName>
    <definedName name="BExVZB1Y5J4UL2LKK0363EU7GIJ1" localSheetId="55" hidden="1">#REF!</definedName>
    <definedName name="BExVZB1Y5J4UL2LKK0363EU7GIJ1" localSheetId="4" hidden="1">#REF!</definedName>
    <definedName name="BExVZB1Y5J4UL2LKK0363EU7GIJ1" localSheetId="1" hidden="1">#REF!</definedName>
    <definedName name="BExVZB1Y5J4UL2LKK0363EU7GIJ1" localSheetId="9" hidden="1">#REF!</definedName>
    <definedName name="BExVZB1Y5J4UL2LKK0363EU7GIJ1" hidden="1">#REF!</definedName>
    <definedName name="BExVZGQXYK2ICC9JSNFPRHBD5KNU" localSheetId="56" hidden="1">#REF!</definedName>
    <definedName name="BExVZGQXYK2ICC9JSNFPRHBD5KNU" localSheetId="55" hidden="1">#REF!</definedName>
    <definedName name="BExVZGQXYK2ICC9JSNFPRHBD5KNU" localSheetId="4" hidden="1">#REF!</definedName>
    <definedName name="BExVZGQXYK2ICC9JSNFPRHBD5KNU" localSheetId="1" hidden="1">#REF!</definedName>
    <definedName name="BExVZGQXYK2ICC9JSNFPRHBD5KNU" localSheetId="9" hidden="1">#REF!</definedName>
    <definedName name="BExVZGQXYK2ICC9JSNFPRHBD5KNU" hidden="1">#REF!</definedName>
    <definedName name="BExVZJQVO5LQ0BJH5JEN5NOBIAF6" localSheetId="56" hidden="1">#REF!</definedName>
    <definedName name="BExVZJQVO5LQ0BJH5JEN5NOBIAF6" localSheetId="55" hidden="1">#REF!</definedName>
    <definedName name="BExVZJQVO5LQ0BJH5JEN5NOBIAF6" localSheetId="4" hidden="1">#REF!</definedName>
    <definedName name="BExVZJQVO5LQ0BJH5JEN5NOBIAF6" localSheetId="1" hidden="1">#REF!</definedName>
    <definedName name="BExVZJQVO5LQ0BJH5JEN5NOBIAF6" localSheetId="9" hidden="1">#REF!</definedName>
    <definedName name="BExVZJQVO5LQ0BJH5JEN5NOBIAF6" hidden="1">#REF!</definedName>
    <definedName name="BExVZNXWS91RD7NXV5NE2R3C8WW7" localSheetId="56" hidden="1">#REF!</definedName>
    <definedName name="BExVZNXWS91RD7NXV5NE2R3C8WW7" localSheetId="55" hidden="1">#REF!</definedName>
    <definedName name="BExVZNXWS91RD7NXV5NE2R3C8WW7" localSheetId="4" hidden="1">#REF!</definedName>
    <definedName name="BExVZNXWS91RD7NXV5NE2R3C8WW7" localSheetId="1" hidden="1">#REF!</definedName>
    <definedName name="BExVZNXWS91RD7NXV5NE2R3C8WW7" localSheetId="9" hidden="1">#REF!</definedName>
    <definedName name="BExVZNXWS91RD7NXV5NE2R3C8WW7" hidden="1">#REF!</definedName>
    <definedName name="BExW008AGT1ZRN5DFG4YOH5F7G47" localSheetId="56" hidden="1">#REF!</definedName>
    <definedName name="BExW008AGT1ZRN5DFG4YOH5F7G47" localSheetId="55" hidden="1">#REF!</definedName>
    <definedName name="BExW008AGT1ZRN5DFG4YOH5F7G47" localSheetId="4" hidden="1">#REF!</definedName>
    <definedName name="BExW008AGT1ZRN5DFG4YOH5F7G47" localSheetId="1" hidden="1">#REF!</definedName>
    <definedName name="BExW008AGT1ZRN5DFG4YOH5F7G47" localSheetId="9" hidden="1">#REF!</definedName>
    <definedName name="BExW008AGT1ZRN5DFG4YOH5F7G47" hidden="1">#REF!</definedName>
    <definedName name="BExW0386REQRCQCVT9BCX80UPTRY" localSheetId="56" hidden="1">#REF!</definedName>
    <definedName name="BExW0386REQRCQCVT9BCX80UPTRY" localSheetId="55" hidden="1">#REF!</definedName>
    <definedName name="BExW0386REQRCQCVT9BCX80UPTRY" localSheetId="4" hidden="1">#REF!</definedName>
    <definedName name="BExW0386REQRCQCVT9BCX80UPTRY" localSheetId="1" hidden="1">#REF!</definedName>
    <definedName name="BExW0386REQRCQCVT9BCX80UPTRY" localSheetId="9" hidden="1">#REF!</definedName>
    <definedName name="BExW0386REQRCQCVT9BCX80UPTRY" hidden="1">#REF!</definedName>
    <definedName name="BExW0FYP4WXY71CYUG40SUBG9UWU" localSheetId="56" hidden="1">#REF!</definedName>
    <definedName name="BExW0FYP4WXY71CYUG40SUBG9UWU" localSheetId="55" hidden="1">#REF!</definedName>
    <definedName name="BExW0FYP4WXY71CYUG40SUBG9UWU" localSheetId="4" hidden="1">#REF!</definedName>
    <definedName name="BExW0FYP4WXY71CYUG40SUBG9UWU" localSheetId="1" hidden="1">#REF!</definedName>
    <definedName name="BExW0FYP4WXY71CYUG40SUBG9UWU" localSheetId="9" hidden="1">#REF!</definedName>
    <definedName name="BExW0FYP4WXY71CYUG40SUBG9UWU" hidden="1">#REF!</definedName>
    <definedName name="BExW0MPJNQOJ7D6U780WU5XBL97X" localSheetId="56" hidden="1">#REF!</definedName>
    <definedName name="BExW0MPJNQOJ7D6U780WU5XBL97X" localSheetId="55" hidden="1">#REF!</definedName>
    <definedName name="BExW0MPJNQOJ7D6U780WU5XBL97X" localSheetId="4" hidden="1">#REF!</definedName>
    <definedName name="BExW0MPJNQOJ7D6U780WU5XBL97X" localSheetId="1" hidden="1">#REF!</definedName>
    <definedName name="BExW0MPJNQOJ7D6U780WU5XBL97X" localSheetId="9" hidden="1">#REF!</definedName>
    <definedName name="BExW0MPJNQOJ7D6U780WU5XBL97X" hidden="1">#REF!</definedName>
    <definedName name="BExW0RI61B4VV0ARXTFVBAWRA1C5" localSheetId="56" hidden="1">#REF!</definedName>
    <definedName name="BExW0RI61B4VV0ARXTFVBAWRA1C5" localSheetId="55" hidden="1">#REF!</definedName>
    <definedName name="BExW0RI61B4VV0ARXTFVBAWRA1C5" localSheetId="4" hidden="1">#REF!</definedName>
    <definedName name="BExW0RI61B4VV0ARXTFVBAWRA1C5" localSheetId="1" hidden="1">#REF!</definedName>
    <definedName name="BExW0RI61B4VV0ARXTFVBAWRA1C5" localSheetId="9" hidden="1">#REF!</definedName>
    <definedName name="BExW0RI61B4VV0ARXTFVBAWRA1C5" hidden="1">#REF!</definedName>
    <definedName name="BExW0Y8T85LBE0WS6FPX6ILTX9ON" localSheetId="56" hidden="1">#REF!</definedName>
    <definedName name="BExW0Y8T85LBE0WS6FPX6ILTX9ON" localSheetId="55" hidden="1">#REF!</definedName>
    <definedName name="BExW0Y8T85LBE0WS6FPX6ILTX9ON" localSheetId="4" hidden="1">#REF!</definedName>
    <definedName name="BExW0Y8T85LBE0WS6FPX6ILTX9ON" localSheetId="1" hidden="1">#REF!</definedName>
    <definedName name="BExW0Y8T85LBE0WS6FPX6ILTX9ON" localSheetId="9" hidden="1">#REF!</definedName>
    <definedName name="BExW0Y8T85LBE0WS6FPX6ILTX9ON" hidden="1">#REF!</definedName>
    <definedName name="BExW1BVUYQTKMOR56MW7RVRX4L1L" localSheetId="56" hidden="1">#REF!</definedName>
    <definedName name="BExW1BVUYQTKMOR56MW7RVRX4L1L" localSheetId="55" hidden="1">#REF!</definedName>
    <definedName name="BExW1BVUYQTKMOR56MW7RVRX4L1L" localSheetId="4" hidden="1">#REF!</definedName>
    <definedName name="BExW1BVUYQTKMOR56MW7RVRX4L1L" localSheetId="1" hidden="1">#REF!</definedName>
    <definedName name="BExW1BVUYQTKMOR56MW7RVRX4L1L" localSheetId="9" hidden="1">#REF!</definedName>
    <definedName name="BExW1BVUYQTKMOR56MW7RVRX4L1L" hidden="1">#REF!</definedName>
    <definedName name="BExW1F1220628FOMTW5UAATHRJHK" localSheetId="56" hidden="1">#REF!</definedName>
    <definedName name="BExW1F1220628FOMTW5UAATHRJHK" localSheetId="55" hidden="1">#REF!</definedName>
    <definedName name="BExW1F1220628FOMTW5UAATHRJHK" localSheetId="4" hidden="1">#REF!</definedName>
    <definedName name="BExW1F1220628FOMTW5UAATHRJHK" localSheetId="1" hidden="1">#REF!</definedName>
    <definedName name="BExW1F1220628FOMTW5UAATHRJHK" localSheetId="9" hidden="1">#REF!</definedName>
    <definedName name="BExW1F1220628FOMTW5UAATHRJHK" hidden="1">#REF!</definedName>
    <definedName name="BExW1PTHB0NZUF0GTD2J1UUL693E" localSheetId="56" hidden="1">#REF!</definedName>
    <definedName name="BExW1PTHB0NZUF0GTD2J1UUL693E" localSheetId="55" hidden="1">#REF!</definedName>
    <definedName name="BExW1PTHB0NZUF0GTD2J1UUL693E" localSheetId="4" hidden="1">#REF!</definedName>
    <definedName name="BExW1PTHB0NZUF0GTD2J1UUL693E" localSheetId="1" hidden="1">#REF!</definedName>
    <definedName name="BExW1PTHB0NZUF0GTD2J1UUL693E" localSheetId="9" hidden="1">#REF!</definedName>
    <definedName name="BExW1PTHB0NZUF0GTD2J1UUL693E" hidden="1">#REF!</definedName>
    <definedName name="BExW1TKA0Z9OP2DTG50GZR5EG8C7" localSheetId="56" hidden="1">#REF!</definedName>
    <definedName name="BExW1TKA0Z9OP2DTG50GZR5EG8C7" localSheetId="55" hidden="1">#REF!</definedName>
    <definedName name="BExW1TKA0Z9OP2DTG50GZR5EG8C7" localSheetId="4" hidden="1">#REF!</definedName>
    <definedName name="BExW1TKA0Z9OP2DTG50GZR5EG8C7" localSheetId="1" hidden="1">#REF!</definedName>
    <definedName name="BExW1TKA0Z9OP2DTG50GZR5EG8C7" localSheetId="9" hidden="1">#REF!</definedName>
    <definedName name="BExW1TKA0Z9OP2DTG50GZR5EG8C7" hidden="1">#REF!</definedName>
    <definedName name="BExW1U0JLKQ094DW5MMOI8UHO09V" localSheetId="56" hidden="1">#REF!</definedName>
    <definedName name="BExW1U0JLKQ094DW5MMOI8UHO09V" localSheetId="55" hidden="1">#REF!</definedName>
    <definedName name="BExW1U0JLKQ094DW5MMOI8UHO09V" localSheetId="4" hidden="1">#REF!</definedName>
    <definedName name="BExW1U0JLKQ094DW5MMOI8UHO09V" localSheetId="1" hidden="1">#REF!</definedName>
    <definedName name="BExW1U0JLKQ094DW5MMOI8UHO09V" localSheetId="9" hidden="1">#REF!</definedName>
    <definedName name="BExW1U0JLKQ094DW5MMOI8UHO09V" hidden="1">#REF!</definedName>
    <definedName name="BExW1WK6J1TDP29S3QDPTYZJBLIW" localSheetId="56" hidden="1">#REF!</definedName>
    <definedName name="BExW1WK6J1TDP29S3QDPTYZJBLIW" localSheetId="55" hidden="1">#REF!</definedName>
    <definedName name="BExW1WK6J1TDP29S3QDPTYZJBLIW" localSheetId="4" hidden="1">#REF!</definedName>
    <definedName name="BExW1WK6J1TDP29S3QDPTYZJBLIW" localSheetId="1" hidden="1">#REF!</definedName>
    <definedName name="BExW1WK6J1TDP29S3QDPTYZJBLIW" localSheetId="9" hidden="1">#REF!</definedName>
    <definedName name="BExW1WK6J1TDP29S3QDPTYZJBLIW" hidden="1">#REF!</definedName>
    <definedName name="BExW283NP9D366XFPXLGSCI5UB0L" localSheetId="56" hidden="1">#REF!</definedName>
    <definedName name="BExW283NP9D366XFPXLGSCI5UB0L" localSheetId="55" hidden="1">#REF!</definedName>
    <definedName name="BExW283NP9D366XFPXLGSCI5UB0L" localSheetId="4" hidden="1">#REF!</definedName>
    <definedName name="BExW283NP9D366XFPXLGSCI5UB0L" localSheetId="1" hidden="1">#REF!</definedName>
    <definedName name="BExW283NP9D366XFPXLGSCI5UB0L" localSheetId="9" hidden="1">#REF!</definedName>
    <definedName name="BExW283NP9D366XFPXLGSCI5UB0L" hidden="1">#REF!</definedName>
    <definedName name="BExW2H3C8WJSBW5FGTFKVDVJC4CL" localSheetId="56" hidden="1">#REF!</definedName>
    <definedName name="BExW2H3C8WJSBW5FGTFKVDVJC4CL" localSheetId="55" hidden="1">#REF!</definedName>
    <definedName name="BExW2H3C8WJSBW5FGTFKVDVJC4CL" localSheetId="4" hidden="1">#REF!</definedName>
    <definedName name="BExW2H3C8WJSBW5FGTFKVDVJC4CL" localSheetId="1" hidden="1">#REF!</definedName>
    <definedName name="BExW2H3C8WJSBW5FGTFKVDVJC4CL" localSheetId="9" hidden="1">#REF!</definedName>
    <definedName name="BExW2H3C8WJSBW5FGTFKVDVJC4CL" hidden="1">#REF!</definedName>
    <definedName name="BExW2MSCKPGF5K3I7TL4KF5ISUOL" localSheetId="56" hidden="1">#REF!</definedName>
    <definedName name="BExW2MSCKPGF5K3I7TL4KF5ISUOL" localSheetId="55" hidden="1">#REF!</definedName>
    <definedName name="BExW2MSCKPGF5K3I7TL4KF5ISUOL" localSheetId="4" hidden="1">#REF!</definedName>
    <definedName name="BExW2MSCKPGF5K3I7TL4KF5ISUOL" localSheetId="1" hidden="1">#REF!</definedName>
    <definedName name="BExW2MSCKPGF5K3I7TL4KF5ISUOL" localSheetId="9" hidden="1">#REF!</definedName>
    <definedName name="BExW2MSCKPGF5K3I7TL4KF5ISUOL" hidden="1">#REF!</definedName>
    <definedName name="BExW2SMO90FU9W8DVVES6Q4E6BZR" localSheetId="56" hidden="1">#REF!</definedName>
    <definedName name="BExW2SMO90FU9W8DVVES6Q4E6BZR" localSheetId="55" hidden="1">#REF!</definedName>
    <definedName name="BExW2SMO90FU9W8DVVES6Q4E6BZR" localSheetId="4" hidden="1">#REF!</definedName>
    <definedName name="BExW2SMO90FU9W8DVVES6Q4E6BZR" localSheetId="1" hidden="1">#REF!</definedName>
    <definedName name="BExW2SMO90FU9W8DVVES6Q4E6BZR" localSheetId="9" hidden="1">#REF!</definedName>
    <definedName name="BExW2SMO90FU9W8DVVES6Q4E6BZR" hidden="1">#REF!</definedName>
    <definedName name="BExW36V9N91OHCUMGWJQL3I5P4JK" localSheetId="56" hidden="1">#REF!</definedName>
    <definedName name="BExW36V9N91OHCUMGWJQL3I5P4JK" localSheetId="55" hidden="1">#REF!</definedName>
    <definedName name="BExW36V9N91OHCUMGWJQL3I5P4JK" localSheetId="4" hidden="1">#REF!</definedName>
    <definedName name="BExW36V9N91OHCUMGWJQL3I5P4JK" localSheetId="1" hidden="1">#REF!</definedName>
    <definedName name="BExW36V9N91OHCUMGWJQL3I5P4JK" localSheetId="9" hidden="1">#REF!</definedName>
    <definedName name="BExW36V9N91OHCUMGWJQL3I5P4JK" hidden="1">#REF!</definedName>
    <definedName name="BExW39V04HTFFQE7DAW9MAJT0NNF" localSheetId="56" hidden="1">#REF!</definedName>
    <definedName name="BExW39V04HTFFQE7DAW9MAJT0NNF" localSheetId="55" hidden="1">#REF!</definedName>
    <definedName name="BExW39V04HTFFQE7DAW9MAJT0NNF" localSheetId="4" hidden="1">#REF!</definedName>
    <definedName name="BExW39V04HTFFQE7DAW9MAJT0NNF" localSheetId="1" hidden="1">#REF!</definedName>
    <definedName name="BExW39V04HTFFQE7DAW9MAJT0NNF" localSheetId="9" hidden="1">#REF!</definedName>
    <definedName name="BExW39V04HTFFQE7DAW9MAJT0NNF" hidden="1">#REF!</definedName>
    <definedName name="BExW3ECU6QPMV99AITCPHAG0CGYK" localSheetId="56" hidden="1">#REF!</definedName>
    <definedName name="BExW3ECU6QPMV99AITCPHAG0CGYK" localSheetId="55" hidden="1">#REF!</definedName>
    <definedName name="BExW3ECU6QPMV99AITCPHAG0CGYK" localSheetId="4" hidden="1">#REF!</definedName>
    <definedName name="BExW3ECU6QPMV99AITCPHAG0CGYK" localSheetId="1" hidden="1">#REF!</definedName>
    <definedName name="BExW3ECU6QPMV99AITCPHAG0CGYK" localSheetId="9" hidden="1">#REF!</definedName>
    <definedName name="BExW3ECU6QPMV99AITCPHAG0CGYK" hidden="1">#REF!</definedName>
    <definedName name="BExW3EIBA1J9Q9NA9VCGZGRS8WV7" localSheetId="56" hidden="1">#REF!</definedName>
    <definedName name="BExW3EIBA1J9Q9NA9VCGZGRS8WV7" localSheetId="55" hidden="1">#REF!</definedName>
    <definedName name="BExW3EIBA1J9Q9NA9VCGZGRS8WV7" localSheetId="4" hidden="1">#REF!</definedName>
    <definedName name="BExW3EIBA1J9Q9NA9VCGZGRS8WV7" localSheetId="1" hidden="1">#REF!</definedName>
    <definedName name="BExW3EIBA1J9Q9NA9VCGZGRS8WV7" localSheetId="9" hidden="1">#REF!</definedName>
    <definedName name="BExW3EIBA1J9Q9NA9VCGZGRS8WV7" hidden="1">#REF!</definedName>
    <definedName name="BExW3FEO8FI8N6AGQKYEG4SQVJWB" localSheetId="56" hidden="1">#REF!</definedName>
    <definedName name="BExW3FEO8FI8N6AGQKYEG4SQVJWB" localSheetId="55" hidden="1">#REF!</definedName>
    <definedName name="BExW3FEO8FI8N6AGQKYEG4SQVJWB" localSheetId="4" hidden="1">#REF!</definedName>
    <definedName name="BExW3FEO8FI8N6AGQKYEG4SQVJWB" localSheetId="1" hidden="1">#REF!</definedName>
    <definedName name="BExW3FEO8FI8N6AGQKYEG4SQVJWB" localSheetId="9" hidden="1">#REF!</definedName>
    <definedName name="BExW3FEO8FI8N6AGQKYEG4SQVJWB" hidden="1">#REF!</definedName>
    <definedName name="BExW3GB28STOMJUSZEIA7YKYNS4Y" localSheetId="56" hidden="1">#REF!</definedName>
    <definedName name="BExW3GB28STOMJUSZEIA7YKYNS4Y" localSheetId="55" hidden="1">#REF!</definedName>
    <definedName name="BExW3GB28STOMJUSZEIA7YKYNS4Y" localSheetId="4" hidden="1">#REF!</definedName>
    <definedName name="BExW3GB28STOMJUSZEIA7YKYNS4Y" localSheetId="1" hidden="1">#REF!</definedName>
    <definedName name="BExW3GB28STOMJUSZEIA7YKYNS4Y" localSheetId="9" hidden="1">#REF!</definedName>
    <definedName name="BExW3GB28STOMJUSZEIA7YKYNS4Y" hidden="1">#REF!</definedName>
    <definedName name="BExW3T1K638HT5E0Y8MMK108P5JT" localSheetId="56" hidden="1">#REF!</definedName>
    <definedName name="BExW3T1K638HT5E0Y8MMK108P5JT" localSheetId="55" hidden="1">#REF!</definedName>
    <definedName name="BExW3T1K638HT5E0Y8MMK108P5JT" localSheetId="4" hidden="1">#REF!</definedName>
    <definedName name="BExW3T1K638HT5E0Y8MMK108P5JT" localSheetId="1" hidden="1">#REF!</definedName>
    <definedName name="BExW3T1K638HT5E0Y8MMK108P5JT" localSheetId="9" hidden="1">#REF!</definedName>
    <definedName name="BExW3T1K638HT5E0Y8MMK108P5JT" hidden="1">#REF!</definedName>
    <definedName name="BExW3U3D6FTAFTK3Q7DSA9FY454Q" localSheetId="56" hidden="1">#REF!</definedName>
    <definedName name="BExW3U3D6FTAFTK3Q7DSA9FY454Q" localSheetId="55" hidden="1">#REF!</definedName>
    <definedName name="BExW3U3D6FTAFTK3Q7DSA9FY454Q" localSheetId="4" hidden="1">#REF!</definedName>
    <definedName name="BExW3U3D6FTAFTK3Q7DSA9FY454Q" localSheetId="1" hidden="1">#REF!</definedName>
    <definedName name="BExW3U3D6FTAFTK3Q7DSA9FY454Q" localSheetId="9" hidden="1">#REF!</definedName>
    <definedName name="BExW3U3D6FTAFTK3Q7DSA9FY454Q" hidden="1">#REF!</definedName>
    <definedName name="BExW4217ZHL9VO39POSTJOD090WU" localSheetId="56" hidden="1">#REF!</definedName>
    <definedName name="BExW4217ZHL9VO39POSTJOD090WU" localSheetId="55" hidden="1">#REF!</definedName>
    <definedName name="BExW4217ZHL9VO39POSTJOD090WU" localSheetId="4" hidden="1">#REF!</definedName>
    <definedName name="BExW4217ZHL9VO39POSTJOD090WU" localSheetId="1" hidden="1">#REF!</definedName>
    <definedName name="BExW4217ZHL9VO39POSTJOD090WU" localSheetId="9" hidden="1">#REF!</definedName>
    <definedName name="BExW4217ZHL9VO39POSTJOD090WU" hidden="1">#REF!</definedName>
    <definedName name="BExW4GPW71EBF8XPS2QGVQHBCDX3" localSheetId="56" hidden="1">#REF!</definedName>
    <definedName name="BExW4GPW71EBF8XPS2QGVQHBCDX3" localSheetId="55" hidden="1">#REF!</definedName>
    <definedName name="BExW4GPW71EBF8XPS2QGVQHBCDX3" localSheetId="4" hidden="1">#REF!</definedName>
    <definedName name="BExW4GPW71EBF8XPS2QGVQHBCDX3" localSheetId="1" hidden="1">#REF!</definedName>
    <definedName name="BExW4GPW71EBF8XPS2QGVQHBCDX3" localSheetId="9" hidden="1">#REF!</definedName>
    <definedName name="BExW4GPW71EBF8XPS2QGVQHBCDX3" hidden="1">#REF!</definedName>
    <definedName name="BExW4JKC5837JBPCOJV337ZVYYY3" localSheetId="56" hidden="1">#REF!</definedName>
    <definedName name="BExW4JKC5837JBPCOJV337ZVYYY3" localSheetId="55" hidden="1">#REF!</definedName>
    <definedName name="BExW4JKC5837JBPCOJV337ZVYYY3" localSheetId="4" hidden="1">#REF!</definedName>
    <definedName name="BExW4JKC5837JBPCOJV337ZVYYY3" localSheetId="1" hidden="1">#REF!</definedName>
    <definedName name="BExW4JKC5837JBPCOJV337ZVYYY3" localSheetId="9" hidden="1">#REF!</definedName>
    <definedName name="BExW4JKC5837JBPCOJV337ZVYYY3" hidden="1">#REF!</definedName>
    <definedName name="BExW4O2DBZGV8KGBO9EB4BAXIH4Y" localSheetId="56" hidden="1">#REF!</definedName>
    <definedName name="BExW4O2DBZGV8KGBO9EB4BAXIH4Y" localSheetId="55" hidden="1">#REF!</definedName>
    <definedName name="BExW4O2DBZGV8KGBO9EB4BAXIH4Y" localSheetId="4" hidden="1">#REF!</definedName>
    <definedName name="BExW4O2DBZGV8KGBO9EB4BAXIH4Y" localSheetId="1" hidden="1">#REF!</definedName>
    <definedName name="BExW4O2DBZGV8KGBO9EB4BAXIH4Y" localSheetId="9" hidden="1">#REF!</definedName>
    <definedName name="BExW4O2DBZGV8KGBO9EB4BAXIH4Y" hidden="1">#REF!</definedName>
    <definedName name="BExW4QR9FV9MP5K610THBSM51RYO" localSheetId="56" hidden="1">#REF!</definedName>
    <definedName name="BExW4QR9FV9MP5K610THBSM51RYO" localSheetId="55" hidden="1">#REF!</definedName>
    <definedName name="BExW4QR9FV9MP5K610THBSM51RYO" localSheetId="4" hidden="1">#REF!</definedName>
    <definedName name="BExW4QR9FV9MP5K610THBSM51RYO" localSheetId="1" hidden="1">#REF!</definedName>
    <definedName name="BExW4QR9FV9MP5K610THBSM51RYO" localSheetId="9" hidden="1">#REF!</definedName>
    <definedName name="BExW4QR9FV9MP5K610THBSM51RYO" hidden="1">#REF!</definedName>
    <definedName name="BExW4Z029R9E19ZENN3WEA3VDAD1" localSheetId="56" hidden="1">#REF!</definedName>
    <definedName name="BExW4Z029R9E19ZENN3WEA3VDAD1" localSheetId="55" hidden="1">#REF!</definedName>
    <definedName name="BExW4Z029R9E19ZENN3WEA3VDAD1" localSheetId="4" hidden="1">#REF!</definedName>
    <definedName name="BExW4Z029R9E19ZENN3WEA3VDAD1" localSheetId="1" hidden="1">#REF!</definedName>
    <definedName name="BExW4Z029R9E19ZENN3WEA3VDAD1" localSheetId="9" hidden="1">#REF!</definedName>
    <definedName name="BExW4Z029R9E19ZENN3WEA3VDAD1" hidden="1">#REF!</definedName>
    <definedName name="BExW53SPLW3K0Y0ZVTM4NYF1B2YH" localSheetId="56" hidden="1">#REF!</definedName>
    <definedName name="BExW53SPLW3K0Y0ZVTM4NYF1B2YH" localSheetId="55" hidden="1">#REF!</definedName>
    <definedName name="BExW53SPLW3K0Y0ZVTM4NYF1B2YH" localSheetId="4" hidden="1">#REF!</definedName>
    <definedName name="BExW53SPLW3K0Y0ZVTM4NYF1B2YH" localSheetId="1" hidden="1">#REF!</definedName>
    <definedName name="BExW53SPLW3K0Y0ZVTM4NYF1B2YH" localSheetId="9" hidden="1">#REF!</definedName>
    <definedName name="BExW53SPLW3K0Y0ZVTM4NYF1B2YH" hidden="1">#REF!</definedName>
    <definedName name="BExW591F7X34FVKJ2OUT09PFUW1B" localSheetId="56" hidden="1">#REF!</definedName>
    <definedName name="BExW591F7X34FVKJ2OUT09PFUW1B" localSheetId="55" hidden="1">#REF!</definedName>
    <definedName name="BExW591F7X34FVKJ2OUT09PFUW1B" localSheetId="4" hidden="1">#REF!</definedName>
    <definedName name="BExW591F7X34FVKJ2OUT09PFUW1B" localSheetId="1" hidden="1">#REF!</definedName>
    <definedName name="BExW591F7X34FVKJ2OUT09PFUW1B" localSheetId="9" hidden="1">#REF!</definedName>
    <definedName name="BExW591F7X34FVKJ2OUT09PFUW1B" hidden="1">#REF!</definedName>
    <definedName name="BExW5AZNT6IAZGNF2C879ODHY1B8" localSheetId="56" hidden="1">#REF!</definedName>
    <definedName name="BExW5AZNT6IAZGNF2C879ODHY1B8" localSheetId="55" hidden="1">#REF!</definedName>
    <definedName name="BExW5AZNT6IAZGNF2C879ODHY1B8" localSheetId="4" hidden="1">#REF!</definedName>
    <definedName name="BExW5AZNT6IAZGNF2C879ODHY1B8" localSheetId="1" hidden="1">#REF!</definedName>
    <definedName name="BExW5AZNT6IAZGNF2C879ODHY1B8" localSheetId="9" hidden="1">#REF!</definedName>
    <definedName name="BExW5AZNT6IAZGNF2C879ODHY1B8" hidden="1">#REF!</definedName>
    <definedName name="BExW5F6OUXHEWQU5VYE7W7P8DD78" localSheetId="56" hidden="1">#REF!</definedName>
    <definedName name="BExW5F6OUXHEWQU5VYE7W7P8DD78" localSheetId="55" hidden="1">#REF!</definedName>
    <definedName name="BExW5F6OUXHEWQU5VYE7W7P8DD78" localSheetId="4" hidden="1">#REF!</definedName>
    <definedName name="BExW5F6OUXHEWQU5VYE7W7P8DD78" localSheetId="1" hidden="1">#REF!</definedName>
    <definedName name="BExW5F6OUXHEWQU5VYE7W7P8DD78" localSheetId="9" hidden="1">#REF!</definedName>
    <definedName name="BExW5F6OUXHEWQU5VYE7W7P8DD78" hidden="1">#REF!</definedName>
    <definedName name="BExW5WPU27WD4NWZOT0ZEJIDLX5J" localSheetId="56" hidden="1">#REF!</definedName>
    <definedName name="BExW5WPU27WD4NWZOT0ZEJIDLX5J" localSheetId="55" hidden="1">#REF!</definedName>
    <definedName name="BExW5WPU27WD4NWZOT0ZEJIDLX5J" localSheetId="4" hidden="1">#REF!</definedName>
    <definedName name="BExW5WPU27WD4NWZOT0ZEJIDLX5J" localSheetId="1" hidden="1">#REF!</definedName>
    <definedName name="BExW5WPU27WD4NWZOT0ZEJIDLX5J" localSheetId="9" hidden="1">#REF!</definedName>
    <definedName name="BExW5WPU27WD4NWZOT0ZEJIDLX5J" hidden="1">#REF!</definedName>
    <definedName name="BExW5YD97EMSUYC4KDEFH1FB4FY3" localSheetId="56" hidden="1">#REF!</definedName>
    <definedName name="BExW5YD97EMSUYC4KDEFH1FB4FY3" localSheetId="55" hidden="1">#REF!</definedName>
    <definedName name="BExW5YD97EMSUYC4KDEFH1FB4FY3" localSheetId="4" hidden="1">#REF!</definedName>
    <definedName name="BExW5YD97EMSUYC4KDEFH1FB4FY3" localSheetId="1" hidden="1">#REF!</definedName>
    <definedName name="BExW5YD97EMSUYC4KDEFH1FB4FY3" localSheetId="9" hidden="1">#REF!</definedName>
    <definedName name="BExW5YD97EMSUYC4KDEFH1FB4FY3" hidden="1">#REF!</definedName>
    <definedName name="BExW5Z469DSRWTA6T0KVLA7SMIPL" localSheetId="56" hidden="1">#REF!</definedName>
    <definedName name="BExW5Z469DSRWTA6T0KVLA7SMIPL" localSheetId="55" hidden="1">#REF!</definedName>
    <definedName name="BExW5Z469DSRWTA6T0KVLA7SMIPL" localSheetId="4" hidden="1">#REF!</definedName>
    <definedName name="BExW5Z469DSRWTA6T0KVLA7SMIPL" localSheetId="1" hidden="1">#REF!</definedName>
    <definedName name="BExW5Z469DSRWTA6T0KVLA7SMIPL" localSheetId="9" hidden="1">#REF!</definedName>
    <definedName name="BExW5Z469DSRWTA6T0KVLA7SMIPL" hidden="1">#REF!</definedName>
    <definedName name="BExW62ETJAPBX5X53FTGUCHZXI2K" localSheetId="56" hidden="1">#REF!</definedName>
    <definedName name="BExW62ETJAPBX5X53FTGUCHZXI2K" localSheetId="55" hidden="1">#REF!</definedName>
    <definedName name="BExW62ETJAPBX5X53FTGUCHZXI2K" localSheetId="4" hidden="1">#REF!</definedName>
    <definedName name="BExW62ETJAPBX5X53FTGUCHZXI2K" localSheetId="1" hidden="1">#REF!</definedName>
    <definedName name="BExW62ETJAPBX5X53FTGUCHZXI2K" localSheetId="9" hidden="1">#REF!</definedName>
    <definedName name="BExW62ETJAPBX5X53FTGUCHZXI2K" hidden="1">#REF!</definedName>
    <definedName name="BExW660AV1TUV2XNUPD65RZR3QOO" localSheetId="56" hidden="1">#REF!</definedName>
    <definedName name="BExW660AV1TUV2XNUPD65RZR3QOO" localSheetId="55" hidden="1">#REF!</definedName>
    <definedName name="BExW660AV1TUV2XNUPD65RZR3QOO" localSheetId="4" hidden="1">#REF!</definedName>
    <definedName name="BExW660AV1TUV2XNUPD65RZR3QOO" localSheetId="1" hidden="1">#REF!</definedName>
    <definedName name="BExW660AV1TUV2XNUPD65RZR3QOO" localSheetId="9" hidden="1">#REF!</definedName>
    <definedName name="BExW660AV1TUV2XNUPD65RZR3QOO" hidden="1">#REF!</definedName>
    <definedName name="BExW66LVVZK656PQY1257QMHP2AY" localSheetId="56" hidden="1">#REF!</definedName>
    <definedName name="BExW66LVVZK656PQY1257QMHP2AY" localSheetId="55" hidden="1">#REF!</definedName>
    <definedName name="BExW66LVVZK656PQY1257QMHP2AY" localSheetId="4" hidden="1">#REF!</definedName>
    <definedName name="BExW66LVVZK656PQY1257QMHP2AY" localSheetId="1" hidden="1">#REF!</definedName>
    <definedName name="BExW66LVVZK656PQY1257QMHP2AY" localSheetId="9" hidden="1">#REF!</definedName>
    <definedName name="BExW66LVVZK656PQY1257QMHP2AY" hidden="1">#REF!</definedName>
    <definedName name="BExW6EJPHAP1TWT380AZLXNHR22P" localSheetId="56" hidden="1">#REF!</definedName>
    <definedName name="BExW6EJPHAP1TWT380AZLXNHR22P" localSheetId="55" hidden="1">#REF!</definedName>
    <definedName name="BExW6EJPHAP1TWT380AZLXNHR22P" localSheetId="4" hidden="1">#REF!</definedName>
    <definedName name="BExW6EJPHAP1TWT380AZLXNHR22P" localSheetId="1" hidden="1">#REF!</definedName>
    <definedName name="BExW6EJPHAP1TWT380AZLXNHR22P" localSheetId="9" hidden="1">#REF!</definedName>
    <definedName name="BExW6EJPHAP1TWT380AZLXNHR22P" hidden="1">#REF!</definedName>
    <definedName name="BExW6G1PJ38H10DVLL8WPQ736OEB" localSheetId="56" hidden="1">#REF!</definedName>
    <definedName name="BExW6G1PJ38H10DVLL8WPQ736OEB" localSheetId="55" hidden="1">#REF!</definedName>
    <definedName name="BExW6G1PJ38H10DVLL8WPQ736OEB" localSheetId="4" hidden="1">#REF!</definedName>
    <definedName name="BExW6G1PJ38H10DVLL8WPQ736OEB" localSheetId="1" hidden="1">#REF!</definedName>
    <definedName name="BExW6G1PJ38H10DVLL8WPQ736OEB" localSheetId="9" hidden="1">#REF!</definedName>
    <definedName name="BExW6G1PJ38H10DVLL8WPQ736OEB" hidden="1">#REF!</definedName>
    <definedName name="BExW794A74Z5F2K8LVQLD6VSKXUE" localSheetId="56" hidden="1">#REF!</definedName>
    <definedName name="BExW794A74Z5F2K8LVQLD6VSKXUE" localSheetId="55" hidden="1">#REF!</definedName>
    <definedName name="BExW794A74Z5F2K8LVQLD6VSKXUE" localSheetId="4" hidden="1">#REF!</definedName>
    <definedName name="BExW794A74Z5F2K8LVQLD6VSKXUE" localSheetId="1" hidden="1">#REF!</definedName>
    <definedName name="BExW794A74Z5F2K8LVQLD6VSKXUE" localSheetId="9" hidden="1">#REF!</definedName>
    <definedName name="BExW794A74Z5F2K8LVQLD6VSKXUE" hidden="1">#REF!</definedName>
    <definedName name="BExW7Q1TQ8E6G4WYYNSOMV43S95R" localSheetId="56" hidden="1">#REF!</definedName>
    <definedName name="BExW7Q1TQ8E6G4WYYNSOMV43S95R" localSheetId="55" hidden="1">#REF!</definedName>
    <definedName name="BExW7Q1TQ8E6G4WYYNSOMV43S95R" localSheetId="4" hidden="1">#REF!</definedName>
    <definedName name="BExW7Q1TQ8E6G4WYYNSOMV43S95R" localSheetId="1" hidden="1">#REF!</definedName>
    <definedName name="BExW7Q1TQ8E6G4WYYNSOMV43S95R" localSheetId="9" hidden="1">#REF!</definedName>
    <definedName name="BExW7Q1TQ8E6G4WYYNSOMV43S95R" hidden="1">#REF!</definedName>
    <definedName name="BExW7XZTFZV0N9YM9S4PM74A5X2O" localSheetId="56" hidden="1">#REF!</definedName>
    <definedName name="BExW7XZTFZV0N9YM9S4PM74A5X2O" localSheetId="55" hidden="1">#REF!</definedName>
    <definedName name="BExW7XZTFZV0N9YM9S4PM74A5X2O" localSheetId="4" hidden="1">#REF!</definedName>
    <definedName name="BExW7XZTFZV0N9YM9S4PM74A5X2O" localSheetId="1" hidden="1">#REF!</definedName>
    <definedName name="BExW7XZTFZV0N9YM9S4PM74A5X2O" localSheetId="9" hidden="1">#REF!</definedName>
    <definedName name="BExW7XZTFZV0N9YM9S4PM74A5X2O" hidden="1">#REF!</definedName>
    <definedName name="BExW8K0SSIPSKBVP06IJ71600HJZ" localSheetId="56" hidden="1">#REF!</definedName>
    <definedName name="BExW8K0SSIPSKBVP06IJ71600HJZ" localSheetId="55" hidden="1">#REF!</definedName>
    <definedName name="BExW8K0SSIPSKBVP06IJ71600HJZ" localSheetId="4" hidden="1">#REF!</definedName>
    <definedName name="BExW8K0SSIPSKBVP06IJ71600HJZ" localSheetId="1" hidden="1">#REF!</definedName>
    <definedName name="BExW8K0SSIPSKBVP06IJ71600HJZ" localSheetId="9" hidden="1">#REF!</definedName>
    <definedName name="BExW8K0SSIPSKBVP06IJ71600HJZ" hidden="1">#REF!</definedName>
    <definedName name="BExW8T0GVY3ZYO4ACSBLHS8SH895" localSheetId="56" hidden="1">#REF!</definedName>
    <definedName name="BExW8T0GVY3ZYO4ACSBLHS8SH895" localSheetId="55" hidden="1">#REF!</definedName>
    <definedName name="BExW8T0GVY3ZYO4ACSBLHS8SH895" localSheetId="4" hidden="1">#REF!</definedName>
    <definedName name="BExW8T0GVY3ZYO4ACSBLHS8SH895" localSheetId="1" hidden="1">#REF!</definedName>
    <definedName name="BExW8T0GVY3ZYO4ACSBLHS8SH895" localSheetId="9" hidden="1">#REF!</definedName>
    <definedName name="BExW8T0GVY3ZYO4ACSBLHS8SH895" hidden="1">#REF!</definedName>
    <definedName name="BExW8YEP73JMMU9HZ08PM4WHJQZ4" localSheetId="56" hidden="1">#REF!</definedName>
    <definedName name="BExW8YEP73JMMU9HZ08PM4WHJQZ4" localSheetId="55" hidden="1">#REF!</definedName>
    <definedName name="BExW8YEP73JMMU9HZ08PM4WHJQZ4" localSheetId="4" hidden="1">#REF!</definedName>
    <definedName name="BExW8YEP73JMMU9HZ08PM4WHJQZ4" localSheetId="1" hidden="1">#REF!</definedName>
    <definedName name="BExW8YEP73JMMU9HZ08PM4WHJQZ4" localSheetId="9" hidden="1">#REF!</definedName>
    <definedName name="BExW8YEP73JMMU9HZ08PM4WHJQZ4" hidden="1">#REF!</definedName>
    <definedName name="BExW937AT53OZQRHNWQZ5BVH24IE" localSheetId="56" hidden="1">#REF!</definedName>
    <definedName name="BExW937AT53OZQRHNWQZ5BVH24IE" localSheetId="55" hidden="1">#REF!</definedName>
    <definedName name="BExW937AT53OZQRHNWQZ5BVH24IE" localSheetId="4" hidden="1">#REF!</definedName>
    <definedName name="BExW937AT53OZQRHNWQZ5BVH24IE" localSheetId="1" hidden="1">#REF!</definedName>
    <definedName name="BExW937AT53OZQRHNWQZ5BVH24IE" localSheetId="9" hidden="1">#REF!</definedName>
    <definedName name="BExW937AT53OZQRHNWQZ5BVH24IE" hidden="1">#REF!</definedName>
    <definedName name="BExW95LN5N0LYFFVP7GJEGDVDLF0" localSheetId="56" hidden="1">#REF!</definedName>
    <definedName name="BExW95LN5N0LYFFVP7GJEGDVDLF0" localSheetId="55" hidden="1">#REF!</definedName>
    <definedName name="BExW95LN5N0LYFFVP7GJEGDVDLF0" localSheetId="4" hidden="1">#REF!</definedName>
    <definedName name="BExW95LN5N0LYFFVP7GJEGDVDLF0" localSheetId="1" hidden="1">#REF!</definedName>
    <definedName name="BExW95LN5N0LYFFVP7GJEGDVDLF0" localSheetId="9" hidden="1">#REF!</definedName>
    <definedName name="BExW95LN5N0LYFFVP7GJEGDVDLF0" hidden="1">#REF!</definedName>
    <definedName name="BExW967733Q8RAJOHR2GJ3HO8JIW" localSheetId="56" hidden="1">#REF!</definedName>
    <definedName name="BExW967733Q8RAJOHR2GJ3HO8JIW" localSheetId="55" hidden="1">#REF!</definedName>
    <definedName name="BExW967733Q8RAJOHR2GJ3HO8JIW" localSheetId="4" hidden="1">#REF!</definedName>
    <definedName name="BExW967733Q8RAJOHR2GJ3HO8JIW" localSheetId="1" hidden="1">#REF!</definedName>
    <definedName name="BExW967733Q8RAJOHR2GJ3HO8JIW" localSheetId="9" hidden="1">#REF!</definedName>
    <definedName name="BExW967733Q8RAJOHR2GJ3HO8JIW" hidden="1">#REF!</definedName>
    <definedName name="BExW9POK1KIOI0ALS5MZIKTDIYMA" localSheetId="56" hidden="1">#REF!</definedName>
    <definedName name="BExW9POK1KIOI0ALS5MZIKTDIYMA" localSheetId="55" hidden="1">#REF!</definedName>
    <definedName name="BExW9POK1KIOI0ALS5MZIKTDIYMA" localSheetId="4" hidden="1">#REF!</definedName>
    <definedName name="BExW9POK1KIOI0ALS5MZIKTDIYMA" localSheetId="1" hidden="1">#REF!</definedName>
    <definedName name="BExW9POK1KIOI0ALS5MZIKTDIYMA" localSheetId="9" hidden="1">#REF!</definedName>
    <definedName name="BExW9POK1KIOI0ALS5MZIKTDIYMA" hidden="1">#REF!</definedName>
    <definedName name="BExXLDE6PN4ESWT3LXJNQCY94NE4" localSheetId="56" hidden="1">#REF!</definedName>
    <definedName name="BExXLDE6PN4ESWT3LXJNQCY94NE4" localSheetId="55" hidden="1">#REF!</definedName>
    <definedName name="BExXLDE6PN4ESWT3LXJNQCY94NE4" localSheetId="4" hidden="1">#REF!</definedName>
    <definedName name="BExXLDE6PN4ESWT3LXJNQCY94NE4" localSheetId="1" hidden="1">#REF!</definedName>
    <definedName name="BExXLDE6PN4ESWT3LXJNQCY94NE4" localSheetId="9" hidden="1">#REF!</definedName>
    <definedName name="BExXLDE6PN4ESWT3LXJNQCY94NE4" hidden="1">#REF!</definedName>
    <definedName name="BExXLQVPK2H3IF0NDDA5CT612EUK" localSheetId="56" hidden="1">#REF!</definedName>
    <definedName name="BExXLQVPK2H3IF0NDDA5CT612EUK" localSheetId="55" hidden="1">#REF!</definedName>
    <definedName name="BExXLQVPK2H3IF0NDDA5CT612EUK" localSheetId="4" hidden="1">#REF!</definedName>
    <definedName name="BExXLQVPK2H3IF0NDDA5CT612EUK" localSheetId="1" hidden="1">#REF!</definedName>
    <definedName name="BExXLQVPK2H3IF0NDDA5CT612EUK" localSheetId="9" hidden="1">#REF!</definedName>
    <definedName name="BExXLQVPK2H3IF0NDDA5CT612EUK" hidden="1">#REF!</definedName>
    <definedName name="BExXLR6IO70TYTACKQH9M5PGV24J" localSheetId="56" hidden="1">#REF!</definedName>
    <definedName name="BExXLR6IO70TYTACKQH9M5PGV24J" localSheetId="55" hidden="1">#REF!</definedName>
    <definedName name="BExXLR6IO70TYTACKQH9M5PGV24J" localSheetId="4" hidden="1">#REF!</definedName>
    <definedName name="BExXLR6IO70TYTACKQH9M5PGV24J" localSheetId="1" hidden="1">#REF!</definedName>
    <definedName name="BExXLR6IO70TYTACKQH9M5PGV24J" localSheetId="9" hidden="1">#REF!</definedName>
    <definedName name="BExXLR6IO70TYTACKQH9M5PGV24J" hidden="1">#REF!</definedName>
    <definedName name="BExXM065WOLYRYHGHOJE0OOFXA4M" localSheetId="56" hidden="1">#REF!</definedName>
    <definedName name="BExXM065WOLYRYHGHOJE0OOFXA4M" localSheetId="55" hidden="1">#REF!</definedName>
    <definedName name="BExXM065WOLYRYHGHOJE0OOFXA4M" localSheetId="4" hidden="1">#REF!</definedName>
    <definedName name="BExXM065WOLYRYHGHOJE0OOFXA4M" localSheetId="1" hidden="1">#REF!</definedName>
    <definedName name="BExXM065WOLYRYHGHOJE0OOFXA4M" localSheetId="9" hidden="1">#REF!</definedName>
    <definedName name="BExXM065WOLYRYHGHOJE0OOFXA4M" hidden="1">#REF!</definedName>
    <definedName name="BExXM3GUNXVDM82KUR17NNUMQCNI" localSheetId="56" hidden="1">#REF!</definedName>
    <definedName name="BExXM3GUNXVDM82KUR17NNUMQCNI" localSheetId="55" hidden="1">#REF!</definedName>
    <definedName name="BExXM3GUNXVDM82KUR17NNUMQCNI" localSheetId="4" hidden="1">#REF!</definedName>
    <definedName name="BExXM3GUNXVDM82KUR17NNUMQCNI" localSheetId="1" hidden="1">#REF!</definedName>
    <definedName name="BExXM3GUNXVDM82KUR17NNUMQCNI" localSheetId="9" hidden="1">#REF!</definedName>
    <definedName name="BExXM3GUNXVDM82KUR17NNUMQCNI" hidden="1">#REF!</definedName>
    <definedName name="BExXMA28M8SH7MKIGETSDA72WUIZ" localSheetId="56" hidden="1">#REF!</definedName>
    <definedName name="BExXMA28M8SH7MKIGETSDA72WUIZ" localSheetId="55" hidden="1">#REF!</definedName>
    <definedName name="BExXMA28M8SH7MKIGETSDA72WUIZ" localSheetId="4" hidden="1">#REF!</definedName>
    <definedName name="BExXMA28M8SH7MKIGETSDA72WUIZ" localSheetId="1" hidden="1">#REF!</definedName>
    <definedName name="BExXMA28M8SH7MKIGETSDA72WUIZ" localSheetId="9" hidden="1">#REF!</definedName>
    <definedName name="BExXMA28M8SH7MKIGETSDA72WUIZ" hidden="1">#REF!</definedName>
    <definedName name="BExXMOLHIAHDLFSA31PUB36SC3I9" localSheetId="56" hidden="1">#REF!</definedName>
    <definedName name="BExXMOLHIAHDLFSA31PUB36SC3I9" localSheetId="55" hidden="1">#REF!</definedName>
    <definedName name="BExXMOLHIAHDLFSA31PUB36SC3I9" localSheetId="4" hidden="1">#REF!</definedName>
    <definedName name="BExXMOLHIAHDLFSA31PUB36SC3I9" localSheetId="1" hidden="1">#REF!</definedName>
    <definedName name="BExXMOLHIAHDLFSA31PUB36SC3I9" localSheetId="9" hidden="1">#REF!</definedName>
    <definedName name="BExXMOLHIAHDLFSA31PUB36SC3I9" hidden="1">#REF!</definedName>
    <definedName name="BExXMT8T5Z3M2JBQN65X2LKH0YQI" localSheetId="56" hidden="1">#REF!</definedName>
    <definedName name="BExXMT8T5Z3M2JBQN65X2LKH0YQI" localSheetId="55" hidden="1">#REF!</definedName>
    <definedName name="BExXMT8T5Z3M2JBQN65X2LKH0YQI" localSheetId="4" hidden="1">#REF!</definedName>
    <definedName name="BExXMT8T5Z3M2JBQN65X2LKH0YQI" localSheetId="1" hidden="1">#REF!</definedName>
    <definedName name="BExXMT8T5Z3M2JBQN65X2LKH0YQI" localSheetId="9" hidden="1">#REF!</definedName>
    <definedName name="BExXMT8T5Z3M2JBQN65X2LKH0YQI" hidden="1">#REF!</definedName>
    <definedName name="BExXN1XNO7H60M9X1E7EVWFJDM5N" localSheetId="56" hidden="1">#REF!</definedName>
    <definedName name="BExXN1XNO7H60M9X1E7EVWFJDM5N" localSheetId="55" hidden="1">#REF!</definedName>
    <definedName name="BExXN1XNO7H60M9X1E7EVWFJDM5N" localSheetId="4" hidden="1">#REF!</definedName>
    <definedName name="BExXN1XNO7H60M9X1E7EVWFJDM5N" localSheetId="1" hidden="1">#REF!</definedName>
    <definedName name="BExXN1XNO7H60M9X1E7EVWFJDM5N" localSheetId="9" hidden="1">#REF!</definedName>
    <definedName name="BExXN1XNO7H60M9X1E7EVWFJDM5N" hidden="1">#REF!</definedName>
    <definedName name="BExXN1XOOOY51EZQ6II0LWEU2OYT" localSheetId="56" hidden="1">#REF!</definedName>
    <definedName name="BExXN1XOOOY51EZQ6II0LWEU2OYT" localSheetId="55" hidden="1">#REF!</definedName>
    <definedName name="BExXN1XOOOY51EZQ6II0LWEU2OYT" localSheetId="4" hidden="1">#REF!</definedName>
    <definedName name="BExXN1XOOOY51EZQ6II0LWEU2OYT" localSheetId="1" hidden="1">#REF!</definedName>
    <definedName name="BExXN1XOOOY51EZQ6II0LWEU2OYT" localSheetId="9" hidden="1">#REF!</definedName>
    <definedName name="BExXN1XOOOY51EZQ6II0LWEU2OYT" hidden="1">#REF!</definedName>
    <definedName name="BExXN22ZOTIW49GPLWFYKVM90FNZ" localSheetId="56" hidden="1">#REF!</definedName>
    <definedName name="BExXN22ZOTIW49GPLWFYKVM90FNZ" localSheetId="55" hidden="1">#REF!</definedName>
    <definedName name="BExXN22ZOTIW49GPLWFYKVM90FNZ" localSheetId="4" hidden="1">#REF!</definedName>
    <definedName name="BExXN22ZOTIW49GPLWFYKVM90FNZ" localSheetId="1" hidden="1">#REF!</definedName>
    <definedName name="BExXN22ZOTIW49GPLWFYKVM90FNZ" localSheetId="9" hidden="1">#REF!</definedName>
    <definedName name="BExXN22ZOTIW49GPLWFYKVM90FNZ" hidden="1">#REF!</definedName>
    <definedName name="BExXN6QAP8UJQVN4R4BQKPP4QK35" localSheetId="56" hidden="1">#REF!</definedName>
    <definedName name="BExXN6QAP8UJQVN4R4BQKPP4QK35" localSheetId="55" hidden="1">#REF!</definedName>
    <definedName name="BExXN6QAP8UJQVN4R4BQKPP4QK35" localSheetId="4" hidden="1">#REF!</definedName>
    <definedName name="BExXN6QAP8UJQVN4R4BQKPP4QK35" localSheetId="1" hidden="1">#REF!</definedName>
    <definedName name="BExXN6QAP8UJQVN4R4BQKPP4QK35" localSheetId="9" hidden="1">#REF!</definedName>
    <definedName name="BExXN6QAP8UJQVN4R4BQKPP4QK35" hidden="1">#REF!</definedName>
    <definedName name="BExXNBOA39T2X6Y5Y5GZ5DDNA1AX" localSheetId="56" hidden="1">#REF!</definedName>
    <definedName name="BExXNBOA39T2X6Y5Y5GZ5DDNA1AX" localSheetId="55" hidden="1">#REF!</definedName>
    <definedName name="BExXNBOA39T2X6Y5Y5GZ5DDNA1AX" localSheetId="4" hidden="1">#REF!</definedName>
    <definedName name="BExXNBOA39T2X6Y5Y5GZ5DDNA1AX" localSheetId="1" hidden="1">#REF!</definedName>
    <definedName name="BExXNBOA39T2X6Y5Y5GZ5DDNA1AX" localSheetId="9" hidden="1">#REF!</definedName>
    <definedName name="BExXNBOA39T2X6Y5Y5GZ5DDNA1AX" hidden="1">#REF!</definedName>
    <definedName name="BExXNBZ1BRDK73S9XPRR1645KLVB" localSheetId="56" hidden="1">#REF!</definedName>
    <definedName name="BExXNBZ1BRDK73S9XPRR1645KLVB" localSheetId="55" hidden="1">#REF!</definedName>
    <definedName name="BExXNBZ1BRDK73S9XPRR1645KLVB" localSheetId="4" hidden="1">#REF!</definedName>
    <definedName name="BExXNBZ1BRDK73S9XPRR1645KLVB" localSheetId="1" hidden="1">#REF!</definedName>
    <definedName name="BExXNBZ1BRDK73S9XPRR1645KLVB" localSheetId="9" hidden="1">#REF!</definedName>
    <definedName name="BExXNBZ1BRDK73S9XPRR1645KLVB" hidden="1">#REF!</definedName>
    <definedName name="BExXND6872VJ3M2PGT056WQMWBHD" localSheetId="56" hidden="1">#REF!</definedName>
    <definedName name="BExXND6872VJ3M2PGT056WQMWBHD" localSheetId="55" hidden="1">#REF!</definedName>
    <definedName name="BExXND6872VJ3M2PGT056WQMWBHD" localSheetId="4" hidden="1">#REF!</definedName>
    <definedName name="BExXND6872VJ3M2PGT056WQMWBHD" localSheetId="1" hidden="1">#REF!</definedName>
    <definedName name="BExXND6872VJ3M2PGT056WQMWBHD" localSheetId="9" hidden="1">#REF!</definedName>
    <definedName name="BExXND6872VJ3M2PGT056WQMWBHD" hidden="1">#REF!</definedName>
    <definedName name="BExXNPM24UN2PGVL9D1TUBFRIKR4" localSheetId="56" hidden="1">#REF!</definedName>
    <definedName name="BExXNPM24UN2PGVL9D1TUBFRIKR4" localSheetId="55" hidden="1">#REF!</definedName>
    <definedName name="BExXNPM24UN2PGVL9D1TUBFRIKR4" localSheetId="4" hidden="1">#REF!</definedName>
    <definedName name="BExXNPM24UN2PGVL9D1TUBFRIKR4" localSheetId="1" hidden="1">#REF!</definedName>
    <definedName name="BExXNPM24UN2PGVL9D1TUBFRIKR4" localSheetId="9" hidden="1">#REF!</definedName>
    <definedName name="BExXNPM24UN2PGVL9D1TUBFRIKR4" hidden="1">#REF!</definedName>
    <definedName name="BExXNWCR6WOY5G3VTC96QCIFQE0E" localSheetId="56" hidden="1">#REF!</definedName>
    <definedName name="BExXNWCR6WOY5G3VTC96QCIFQE0E" localSheetId="55" hidden="1">#REF!</definedName>
    <definedName name="BExXNWCR6WOY5G3VTC96QCIFQE0E" localSheetId="4" hidden="1">#REF!</definedName>
    <definedName name="BExXNWCR6WOY5G3VTC96QCIFQE0E" localSheetId="1" hidden="1">#REF!</definedName>
    <definedName name="BExXNWCR6WOY5G3VTC96QCIFQE0E" localSheetId="9" hidden="1">#REF!</definedName>
    <definedName name="BExXNWCR6WOY5G3VTC96QCIFQE0E" hidden="1">#REF!</definedName>
    <definedName name="BExXNWYB165VO9MHARCL5WLCHWS0" localSheetId="56" hidden="1">#REF!</definedName>
    <definedName name="BExXNWYB165VO9MHARCL5WLCHWS0" localSheetId="55" hidden="1">#REF!</definedName>
    <definedName name="BExXNWYB165VO9MHARCL5WLCHWS0" localSheetId="4" hidden="1">#REF!</definedName>
    <definedName name="BExXNWYB165VO9MHARCL5WLCHWS0" localSheetId="1" hidden="1">#REF!</definedName>
    <definedName name="BExXNWYB165VO9MHARCL5WLCHWS0" localSheetId="9" hidden="1">#REF!</definedName>
    <definedName name="BExXNWYB165VO9MHARCL5WLCHWS0" hidden="1">#REF!</definedName>
    <definedName name="BExXO278QHQN8JDK5425EJ615ECC" localSheetId="56" hidden="1">#REF!</definedName>
    <definedName name="BExXO278QHQN8JDK5425EJ615ECC" localSheetId="55" hidden="1">#REF!</definedName>
    <definedName name="BExXO278QHQN8JDK5425EJ615ECC" localSheetId="4" hidden="1">#REF!</definedName>
    <definedName name="BExXO278QHQN8JDK5425EJ615ECC" localSheetId="1" hidden="1">#REF!</definedName>
    <definedName name="BExXO278QHQN8JDK5425EJ615ECC" localSheetId="9" hidden="1">#REF!</definedName>
    <definedName name="BExXO278QHQN8JDK5425EJ615ECC" hidden="1">#REF!</definedName>
    <definedName name="BExXOBHOP0WGFHI2Y9AO4L440UVQ" localSheetId="56" hidden="1">#REF!</definedName>
    <definedName name="BExXOBHOP0WGFHI2Y9AO4L440UVQ" localSheetId="55" hidden="1">#REF!</definedName>
    <definedName name="BExXOBHOP0WGFHI2Y9AO4L440UVQ" localSheetId="4" hidden="1">#REF!</definedName>
    <definedName name="BExXOBHOP0WGFHI2Y9AO4L440UVQ" localSheetId="1" hidden="1">#REF!</definedName>
    <definedName name="BExXOBHOP0WGFHI2Y9AO4L440UVQ" localSheetId="9" hidden="1">#REF!</definedName>
    <definedName name="BExXOBHOP0WGFHI2Y9AO4L440UVQ" hidden="1">#REF!</definedName>
    <definedName name="BExXOHHHX25B8F97636QMXFUDZQK" localSheetId="56" hidden="1">#REF!</definedName>
    <definedName name="BExXOHHHX25B8F97636QMXFUDZQK" localSheetId="55" hidden="1">#REF!</definedName>
    <definedName name="BExXOHHHX25B8F97636QMXFUDZQK" localSheetId="4" hidden="1">#REF!</definedName>
    <definedName name="BExXOHHHX25B8F97636QMXFUDZQK" localSheetId="1" hidden="1">#REF!</definedName>
    <definedName name="BExXOHHHX25B8F97636QMXFUDZQK" localSheetId="9" hidden="1">#REF!</definedName>
    <definedName name="BExXOHHHX25B8F97636QMXFUDZQK" hidden="1">#REF!</definedName>
    <definedName name="BExXOHSAD2NSHOLLMZ2JWA4I3I1R" localSheetId="56" hidden="1">#REF!</definedName>
    <definedName name="BExXOHSAD2NSHOLLMZ2JWA4I3I1R" localSheetId="55" hidden="1">#REF!</definedName>
    <definedName name="BExXOHSAD2NSHOLLMZ2JWA4I3I1R" localSheetId="4" hidden="1">#REF!</definedName>
    <definedName name="BExXOHSAD2NSHOLLMZ2JWA4I3I1R" localSheetId="1" hidden="1">#REF!</definedName>
    <definedName name="BExXOHSAD2NSHOLLMZ2JWA4I3I1R" localSheetId="9" hidden="1">#REF!</definedName>
    <definedName name="BExXOHSAD2NSHOLLMZ2JWA4I3I1R" hidden="1">#REF!</definedName>
    <definedName name="BExXOJKWIJ6IFTV1RHIWHR91EZMW" localSheetId="56" hidden="1">#REF!</definedName>
    <definedName name="BExXOJKWIJ6IFTV1RHIWHR91EZMW" localSheetId="55" hidden="1">#REF!</definedName>
    <definedName name="BExXOJKWIJ6IFTV1RHIWHR91EZMW" localSheetId="4" hidden="1">#REF!</definedName>
    <definedName name="BExXOJKWIJ6IFTV1RHIWHR91EZMW" localSheetId="1" hidden="1">#REF!</definedName>
    <definedName name="BExXOJKWIJ6IFTV1RHIWHR91EZMW" localSheetId="9" hidden="1">#REF!</definedName>
    <definedName name="BExXOJKWIJ6IFTV1RHIWHR91EZMW" hidden="1">#REF!</definedName>
    <definedName name="BExXP80B5FGA00JCM7UXKPI3PB7Y" localSheetId="56" hidden="1">#REF!</definedName>
    <definedName name="BExXP80B5FGA00JCM7UXKPI3PB7Y" localSheetId="55" hidden="1">#REF!</definedName>
    <definedName name="BExXP80B5FGA00JCM7UXKPI3PB7Y" localSheetId="4" hidden="1">#REF!</definedName>
    <definedName name="BExXP80B5FGA00JCM7UXKPI3PB7Y" localSheetId="1" hidden="1">#REF!</definedName>
    <definedName name="BExXP80B5FGA00JCM7UXKPI3PB7Y" localSheetId="9" hidden="1">#REF!</definedName>
    <definedName name="BExXP80B5FGA00JCM7UXKPI3PB7Y" hidden="1">#REF!</definedName>
    <definedName name="BExXP85M4WXYVN1UVHUTOEKEG5XS" localSheetId="56" hidden="1">#REF!</definedName>
    <definedName name="BExXP85M4WXYVN1UVHUTOEKEG5XS" localSheetId="55" hidden="1">#REF!</definedName>
    <definedName name="BExXP85M4WXYVN1UVHUTOEKEG5XS" localSheetId="4" hidden="1">#REF!</definedName>
    <definedName name="BExXP85M4WXYVN1UVHUTOEKEG5XS" localSheetId="1" hidden="1">#REF!</definedName>
    <definedName name="BExXP85M4WXYVN1UVHUTOEKEG5XS" localSheetId="9" hidden="1">#REF!</definedName>
    <definedName name="BExXP85M4WXYVN1UVHUTOEKEG5XS" hidden="1">#REF!</definedName>
    <definedName name="BExXPELOTHOAG0OWILLAH94OZV5J" localSheetId="56" hidden="1">#REF!</definedName>
    <definedName name="BExXPELOTHOAG0OWILLAH94OZV5J" localSheetId="55" hidden="1">#REF!</definedName>
    <definedName name="BExXPELOTHOAG0OWILLAH94OZV5J" localSheetId="4" hidden="1">#REF!</definedName>
    <definedName name="BExXPELOTHOAG0OWILLAH94OZV5J" localSheetId="1" hidden="1">#REF!</definedName>
    <definedName name="BExXPELOTHOAG0OWILLAH94OZV5J" localSheetId="9" hidden="1">#REF!</definedName>
    <definedName name="BExXPELOTHOAG0OWILLAH94OZV5J" hidden="1">#REF!</definedName>
    <definedName name="BExXPOSJRLJNYPU01QNNQ5URXP2U" localSheetId="56" hidden="1">#REF!</definedName>
    <definedName name="BExXPOSJRLJNYPU01QNNQ5URXP2U" localSheetId="55" hidden="1">#REF!</definedName>
    <definedName name="BExXPOSJRLJNYPU01QNNQ5URXP2U" localSheetId="4" hidden="1">#REF!</definedName>
    <definedName name="BExXPOSJRLJNYPU01QNNQ5URXP2U" localSheetId="1" hidden="1">#REF!</definedName>
    <definedName name="BExXPOSJRLJNYPU01QNNQ5URXP2U" localSheetId="9" hidden="1">#REF!</definedName>
    <definedName name="BExXPOSJRLJNYPU01QNNQ5URXP2U" hidden="1">#REF!</definedName>
    <definedName name="BExXPS31W1VD2NMIE4E37LHVDF0L" localSheetId="56" hidden="1">#REF!</definedName>
    <definedName name="BExXPS31W1VD2NMIE4E37LHVDF0L" localSheetId="55" hidden="1">#REF!</definedName>
    <definedName name="BExXPS31W1VD2NMIE4E37LHVDF0L" localSheetId="4" hidden="1">#REF!</definedName>
    <definedName name="BExXPS31W1VD2NMIE4E37LHVDF0L" localSheetId="1" hidden="1">#REF!</definedName>
    <definedName name="BExXPS31W1VD2NMIE4E37LHVDF0L" localSheetId="9" hidden="1">#REF!</definedName>
    <definedName name="BExXPS31W1VD2NMIE4E37LHVDF0L" hidden="1">#REF!</definedName>
    <definedName name="BExXPZKYEMVF5JOC14HYOOYQK6JK" localSheetId="56" hidden="1">#REF!</definedName>
    <definedName name="BExXPZKYEMVF5JOC14HYOOYQK6JK" localSheetId="55" hidden="1">#REF!</definedName>
    <definedName name="BExXPZKYEMVF5JOC14HYOOYQK6JK" localSheetId="4" hidden="1">#REF!</definedName>
    <definedName name="BExXPZKYEMVF5JOC14HYOOYQK6JK" localSheetId="1" hidden="1">#REF!</definedName>
    <definedName name="BExXPZKYEMVF5JOC14HYOOYQK6JK" localSheetId="9" hidden="1">#REF!</definedName>
    <definedName name="BExXPZKYEMVF5JOC14HYOOYQK6JK" hidden="1">#REF!</definedName>
    <definedName name="BExXQ89PA10X79WBWOEP1AJX1OQM" localSheetId="56" hidden="1">#REF!</definedName>
    <definedName name="BExXQ89PA10X79WBWOEP1AJX1OQM" localSheetId="55" hidden="1">#REF!</definedName>
    <definedName name="BExXQ89PA10X79WBWOEP1AJX1OQM" localSheetId="4" hidden="1">#REF!</definedName>
    <definedName name="BExXQ89PA10X79WBWOEP1AJX1OQM" localSheetId="1" hidden="1">#REF!</definedName>
    <definedName name="BExXQ89PA10X79WBWOEP1AJX1OQM" localSheetId="9" hidden="1">#REF!</definedName>
    <definedName name="BExXQ89PA10X79WBWOEP1AJX1OQM" hidden="1">#REF!</definedName>
    <definedName name="BExXQCGQGGYSI0LTRVR73MUO50AW" localSheetId="56" hidden="1">#REF!</definedName>
    <definedName name="BExXQCGQGGYSI0LTRVR73MUO50AW" localSheetId="55" hidden="1">#REF!</definedName>
    <definedName name="BExXQCGQGGYSI0LTRVR73MUO50AW" localSheetId="4" hidden="1">#REF!</definedName>
    <definedName name="BExXQCGQGGYSI0LTRVR73MUO50AW" localSheetId="1" hidden="1">#REF!</definedName>
    <definedName name="BExXQCGQGGYSI0LTRVR73MUO50AW" localSheetId="9" hidden="1">#REF!</definedName>
    <definedName name="BExXQCGQGGYSI0LTRVR73MUO50AW" hidden="1">#REF!</definedName>
    <definedName name="BExXQEEXFHDQ8DSRAJSB5ET6J004" localSheetId="56" hidden="1">#REF!</definedName>
    <definedName name="BExXQEEXFHDQ8DSRAJSB5ET6J004" localSheetId="55" hidden="1">#REF!</definedName>
    <definedName name="BExXQEEXFHDQ8DSRAJSB5ET6J004" localSheetId="4" hidden="1">#REF!</definedName>
    <definedName name="BExXQEEXFHDQ8DSRAJSB5ET6J004" localSheetId="1" hidden="1">#REF!</definedName>
    <definedName name="BExXQEEXFHDQ8DSRAJSB5ET6J004" localSheetId="9" hidden="1">#REF!</definedName>
    <definedName name="BExXQEEXFHDQ8DSRAJSB5ET6J004" hidden="1">#REF!</definedName>
    <definedName name="BExXQH41O5HZAH8BO6HCFY8YC3TU" localSheetId="56" hidden="1">#REF!</definedName>
    <definedName name="BExXQH41O5HZAH8BO6HCFY8YC3TU" localSheetId="55" hidden="1">#REF!</definedName>
    <definedName name="BExXQH41O5HZAH8BO6HCFY8YC3TU" localSheetId="4" hidden="1">#REF!</definedName>
    <definedName name="BExXQH41O5HZAH8BO6HCFY8YC3TU" localSheetId="1" hidden="1">#REF!</definedName>
    <definedName name="BExXQH41O5HZAH8BO6HCFY8YC3TU" localSheetId="9" hidden="1">#REF!</definedName>
    <definedName name="BExXQH41O5HZAH8BO6HCFY8YC3TU" hidden="1">#REF!</definedName>
    <definedName name="BExXQJIEF5R3QQ6D8HO3NGPU0IQC" localSheetId="56" hidden="1">#REF!</definedName>
    <definedName name="BExXQJIEF5R3QQ6D8HO3NGPU0IQC" localSheetId="55" hidden="1">#REF!</definedName>
    <definedName name="BExXQJIEF5R3QQ6D8HO3NGPU0IQC" localSheetId="4" hidden="1">#REF!</definedName>
    <definedName name="BExXQJIEF5R3QQ6D8HO3NGPU0IQC" localSheetId="1" hidden="1">#REF!</definedName>
    <definedName name="BExXQJIEF5R3QQ6D8HO3NGPU0IQC" localSheetId="9" hidden="1">#REF!</definedName>
    <definedName name="BExXQJIEF5R3QQ6D8HO3NGPU0IQC" hidden="1">#REF!</definedName>
    <definedName name="BExXQRAVW0KPQXIJ59NG6UGTZB59" localSheetId="56" hidden="1">#REF!</definedName>
    <definedName name="BExXQRAVW0KPQXIJ59NG6UGTZB59" localSheetId="55" hidden="1">#REF!</definedName>
    <definedName name="BExXQRAVW0KPQXIJ59NG6UGTZB59" localSheetId="4" hidden="1">#REF!</definedName>
    <definedName name="BExXQRAVW0KPQXIJ59NG6UGTZB59" localSheetId="1" hidden="1">#REF!</definedName>
    <definedName name="BExXQRAVW0KPQXIJ59NG6UGTZB59" localSheetId="9" hidden="1">#REF!</definedName>
    <definedName name="BExXQRAVW0KPQXIJ59NG6UGTZB59" hidden="1">#REF!</definedName>
    <definedName name="BExXQU00K9ER4I1WM7T9J0W1E7ZC" localSheetId="56" hidden="1">#REF!</definedName>
    <definedName name="BExXQU00K9ER4I1WM7T9J0W1E7ZC" localSheetId="55" hidden="1">#REF!</definedName>
    <definedName name="BExXQU00K9ER4I1WM7T9J0W1E7ZC" localSheetId="4" hidden="1">#REF!</definedName>
    <definedName name="BExXQU00K9ER4I1WM7T9J0W1E7ZC" localSheetId="1" hidden="1">#REF!</definedName>
    <definedName name="BExXQU00K9ER4I1WM7T9J0W1E7ZC" localSheetId="9" hidden="1">#REF!</definedName>
    <definedName name="BExXQU00K9ER4I1WM7T9J0W1E7ZC" hidden="1">#REF!</definedName>
    <definedName name="BExXQU00KOR7XLM8B13DGJ1MIQDY" localSheetId="56" hidden="1">#REF!</definedName>
    <definedName name="BExXQU00KOR7XLM8B13DGJ1MIQDY" localSheetId="55" hidden="1">#REF!</definedName>
    <definedName name="BExXQU00KOR7XLM8B13DGJ1MIQDY" localSheetId="4" hidden="1">#REF!</definedName>
    <definedName name="BExXQU00KOR7XLM8B13DGJ1MIQDY" localSheetId="1" hidden="1">#REF!</definedName>
    <definedName name="BExXQU00KOR7XLM8B13DGJ1MIQDY" localSheetId="9" hidden="1">#REF!</definedName>
    <definedName name="BExXQU00KOR7XLM8B13DGJ1MIQDY" hidden="1">#REF!</definedName>
    <definedName name="BExXQUG48Q1ISN53FE4MRROM0HSJ" localSheetId="56" hidden="1">#REF!</definedName>
    <definedName name="BExXQUG48Q1ISN53FE4MRROM0HSJ" localSheetId="55" hidden="1">#REF!</definedName>
    <definedName name="BExXQUG48Q1ISN53FE4MRROM0HSJ" localSheetId="4" hidden="1">#REF!</definedName>
    <definedName name="BExXQUG48Q1ISN53FE4MRROM0HSJ" localSheetId="1" hidden="1">#REF!</definedName>
    <definedName name="BExXQUG48Q1ISN53FE4MRROM0HSJ" localSheetId="9" hidden="1">#REF!</definedName>
    <definedName name="BExXQUG48Q1ISN53FE4MRROM0HSJ" hidden="1">#REF!</definedName>
    <definedName name="BExXQXG18PS8HGBOS03OSTQ0KEYC" localSheetId="56" hidden="1">#REF!</definedName>
    <definedName name="BExXQXG18PS8HGBOS03OSTQ0KEYC" localSheetId="55" hidden="1">#REF!</definedName>
    <definedName name="BExXQXG18PS8HGBOS03OSTQ0KEYC" localSheetId="4" hidden="1">#REF!</definedName>
    <definedName name="BExXQXG18PS8HGBOS03OSTQ0KEYC" localSheetId="1" hidden="1">#REF!</definedName>
    <definedName name="BExXQXG18PS8HGBOS03OSTQ0KEYC" localSheetId="9" hidden="1">#REF!</definedName>
    <definedName name="BExXQXG18PS8HGBOS03OSTQ0KEYC" hidden="1">#REF!</definedName>
    <definedName name="BExXQXQT4OAFQT5B0YB3USDJOJOB" localSheetId="56" hidden="1">#REF!</definedName>
    <definedName name="BExXQXQT4OAFQT5B0YB3USDJOJOB" localSheetId="55" hidden="1">#REF!</definedName>
    <definedName name="BExXQXQT4OAFQT5B0YB3USDJOJOB" localSheetId="4" hidden="1">#REF!</definedName>
    <definedName name="BExXQXQT4OAFQT5B0YB3USDJOJOB" localSheetId="1" hidden="1">#REF!</definedName>
    <definedName name="BExXQXQT4OAFQT5B0YB3USDJOJOB" localSheetId="9" hidden="1">#REF!</definedName>
    <definedName name="BExXQXQT4OAFQT5B0YB3USDJOJOB" hidden="1">#REF!</definedName>
    <definedName name="BExXR3FSEXAHSXEQNJORWFCPX86N" localSheetId="56" hidden="1">#REF!</definedName>
    <definedName name="BExXR3FSEXAHSXEQNJORWFCPX86N" localSheetId="55" hidden="1">#REF!</definedName>
    <definedName name="BExXR3FSEXAHSXEQNJORWFCPX86N" localSheetId="4" hidden="1">#REF!</definedName>
    <definedName name="BExXR3FSEXAHSXEQNJORWFCPX86N" localSheetId="1" hidden="1">#REF!</definedName>
    <definedName name="BExXR3FSEXAHSXEQNJORWFCPX86N" localSheetId="9" hidden="1">#REF!</definedName>
    <definedName name="BExXR3FSEXAHSXEQNJORWFCPX86N" hidden="1">#REF!</definedName>
    <definedName name="BExXR3W3FKYQBLR299HO9RZ70C43" localSheetId="56" hidden="1">#REF!</definedName>
    <definedName name="BExXR3W3FKYQBLR299HO9RZ70C43" localSheetId="55" hidden="1">#REF!</definedName>
    <definedName name="BExXR3W3FKYQBLR299HO9RZ70C43" localSheetId="4" hidden="1">#REF!</definedName>
    <definedName name="BExXR3W3FKYQBLR299HO9RZ70C43" localSheetId="1" hidden="1">#REF!</definedName>
    <definedName name="BExXR3W3FKYQBLR299HO9RZ70C43" localSheetId="9" hidden="1">#REF!</definedName>
    <definedName name="BExXR3W3FKYQBLR299HO9RZ70C43" hidden="1">#REF!</definedName>
    <definedName name="BExXR46U23CRRBV6IZT982MAEQKI" localSheetId="56" hidden="1">#REF!</definedName>
    <definedName name="BExXR46U23CRRBV6IZT982MAEQKI" localSheetId="55" hidden="1">#REF!</definedName>
    <definedName name="BExXR46U23CRRBV6IZT982MAEQKI" localSheetId="4" hidden="1">#REF!</definedName>
    <definedName name="BExXR46U23CRRBV6IZT982MAEQKI" localSheetId="1" hidden="1">#REF!</definedName>
    <definedName name="BExXR46U23CRRBV6IZT982MAEQKI" localSheetId="9" hidden="1">#REF!</definedName>
    <definedName name="BExXR46U23CRRBV6IZT982MAEQKI" hidden="1">#REF!</definedName>
    <definedName name="BExXR6A8W3ND3XDZXBMQZ1VCAXHG" localSheetId="56" hidden="1">#REF!</definedName>
    <definedName name="BExXR6A8W3ND3XDZXBMQZ1VCAXHG" localSheetId="55" hidden="1">#REF!</definedName>
    <definedName name="BExXR6A8W3ND3XDZXBMQZ1VCAXHG" localSheetId="4" hidden="1">#REF!</definedName>
    <definedName name="BExXR6A8W3ND3XDZXBMQZ1VCAXHG" localSheetId="1" hidden="1">#REF!</definedName>
    <definedName name="BExXR6A8W3ND3XDZXBMQZ1VCAXHG" localSheetId="9" hidden="1">#REF!</definedName>
    <definedName name="BExXR6A8W3ND3XDZXBMQZ1VCAXHG" hidden="1">#REF!</definedName>
    <definedName name="BExXR7HKNHT37B4OOA9K9191PP22" localSheetId="56" hidden="1">#REF!</definedName>
    <definedName name="BExXR7HKNHT37B4OOA9K9191PP22" localSheetId="55" hidden="1">#REF!</definedName>
    <definedName name="BExXR7HKNHT37B4OOA9K9191PP22" localSheetId="4" hidden="1">#REF!</definedName>
    <definedName name="BExXR7HKNHT37B4OOA9K9191PP22" localSheetId="1" hidden="1">#REF!</definedName>
    <definedName name="BExXR7HKNHT37B4OOA9K9191PP22" localSheetId="9" hidden="1">#REF!</definedName>
    <definedName name="BExXR7HKNHT37B4OOA9K9191PP22" hidden="1">#REF!</definedName>
    <definedName name="BExXR8OKAVX7O70V5IYG2PRKXSTI" localSheetId="56" hidden="1">#REF!</definedName>
    <definedName name="BExXR8OKAVX7O70V5IYG2PRKXSTI" localSheetId="55" hidden="1">#REF!</definedName>
    <definedName name="BExXR8OKAVX7O70V5IYG2PRKXSTI" localSheetId="4" hidden="1">#REF!</definedName>
    <definedName name="BExXR8OKAVX7O70V5IYG2PRKXSTI" localSheetId="1" hidden="1">#REF!</definedName>
    <definedName name="BExXR8OKAVX7O70V5IYG2PRKXSTI" localSheetId="9" hidden="1">#REF!</definedName>
    <definedName name="BExXR8OKAVX7O70V5IYG2PRKXSTI" hidden="1">#REF!</definedName>
    <definedName name="BExXRA6N6XCLQM6XDV724ZIH6G93" localSheetId="56" hidden="1">#REF!</definedName>
    <definedName name="BExXRA6N6XCLQM6XDV724ZIH6G93" localSheetId="55" hidden="1">#REF!</definedName>
    <definedName name="BExXRA6N6XCLQM6XDV724ZIH6G93" localSheetId="4" hidden="1">#REF!</definedName>
    <definedName name="BExXRA6N6XCLQM6XDV724ZIH6G93" localSheetId="1" hidden="1">#REF!</definedName>
    <definedName name="BExXRA6N6XCLQM6XDV724ZIH6G93" localSheetId="9" hidden="1">#REF!</definedName>
    <definedName name="BExXRA6N6XCLQM6XDV724ZIH6G93" hidden="1">#REF!</definedName>
    <definedName name="BExXRABZ1CNKCG6K1MR6OUFHF7J9" localSheetId="56" hidden="1">#REF!</definedName>
    <definedName name="BExXRABZ1CNKCG6K1MR6OUFHF7J9" localSheetId="55" hidden="1">#REF!</definedName>
    <definedName name="BExXRABZ1CNKCG6K1MR6OUFHF7J9" localSheetId="4" hidden="1">#REF!</definedName>
    <definedName name="BExXRABZ1CNKCG6K1MR6OUFHF7J9" localSheetId="1" hidden="1">#REF!</definedName>
    <definedName name="BExXRABZ1CNKCG6K1MR6OUFHF7J9" localSheetId="9" hidden="1">#REF!</definedName>
    <definedName name="BExXRABZ1CNKCG6K1MR6OUFHF7J9" hidden="1">#REF!</definedName>
    <definedName name="BExXRBOFETC0OTJ6WY3VPMFH03VB" localSheetId="56" hidden="1">#REF!</definedName>
    <definedName name="BExXRBOFETC0OTJ6WY3VPMFH03VB" localSheetId="55" hidden="1">#REF!</definedName>
    <definedName name="BExXRBOFETC0OTJ6WY3VPMFH03VB" localSheetId="4" hidden="1">#REF!</definedName>
    <definedName name="BExXRBOFETC0OTJ6WY3VPMFH03VB" localSheetId="1" hidden="1">#REF!</definedName>
    <definedName name="BExXRBOFETC0OTJ6WY3VPMFH03VB" localSheetId="9" hidden="1">#REF!</definedName>
    <definedName name="BExXRBOFETC0OTJ6WY3VPMFH03VB" hidden="1">#REF!</definedName>
    <definedName name="BExXRD13K1S9Y3JGR7CXSONT7RJZ" localSheetId="56" hidden="1">#REF!</definedName>
    <definedName name="BExXRD13K1S9Y3JGR7CXSONT7RJZ" localSheetId="55" hidden="1">#REF!</definedName>
    <definedName name="BExXRD13K1S9Y3JGR7CXSONT7RJZ" localSheetId="4" hidden="1">#REF!</definedName>
    <definedName name="BExXRD13K1S9Y3JGR7CXSONT7RJZ" localSheetId="1" hidden="1">#REF!</definedName>
    <definedName name="BExXRD13K1S9Y3JGR7CXSONT7RJZ" localSheetId="9" hidden="1">#REF!</definedName>
    <definedName name="BExXRD13K1S9Y3JGR7CXSONT7RJZ" hidden="1">#REF!</definedName>
    <definedName name="BExXRIFB4QQ87QIGA9AG0NXP577K" localSheetId="56" hidden="1">#REF!</definedName>
    <definedName name="BExXRIFB4QQ87QIGA9AG0NXP577K" localSheetId="55" hidden="1">#REF!</definedName>
    <definedName name="BExXRIFB4QQ87QIGA9AG0NXP577K" localSheetId="4" hidden="1">#REF!</definedName>
    <definedName name="BExXRIFB4QQ87QIGA9AG0NXP577K" localSheetId="1" hidden="1">#REF!</definedName>
    <definedName name="BExXRIFB4QQ87QIGA9AG0NXP577K" localSheetId="9" hidden="1">#REF!</definedName>
    <definedName name="BExXRIFB4QQ87QIGA9AG0NXP577K" hidden="1">#REF!</definedName>
    <definedName name="BExXRIQ2JF2CVTRDQX2D9SPH7FTN" localSheetId="56" hidden="1">#REF!</definedName>
    <definedName name="BExXRIQ2JF2CVTRDQX2D9SPH7FTN" localSheetId="55" hidden="1">#REF!</definedName>
    <definedName name="BExXRIQ2JF2CVTRDQX2D9SPH7FTN" localSheetId="4" hidden="1">#REF!</definedName>
    <definedName name="BExXRIQ2JF2CVTRDQX2D9SPH7FTN" localSheetId="1" hidden="1">#REF!</definedName>
    <definedName name="BExXRIQ2JF2CVTRDQX2D9SPH7FTN" localSheetId="9" hidden="1">#REF!</definedName>
    <definedName name="BExXRIQ2JF2CVTRDQX2D9SPH7FTN" hidden="1">#REF!</definedName>
    <definedName name="BExXRO4A6VUH1F4XV8N1BRJ4896W" localSheetId="56" hidden="1">#REF!</definedName>
    <definedName name="BExXRO4A6VUH1F4XV8N1BRJ4896W" localSheetId="55" hidden="1">#REF!</definedName>
    <definedName name="BExXRO4A6VUH1F4XV8N1BRJ4896W" localSheetId="4" hidden="1">#REF!</definedName>
    <definedName name="BExXRO4A6VUH1F4XV8N1BRJ4896W" localSheetId="1" hidden="1">#REF!</definedName>
    <definedName name="BExXRO4A6VUH1F4XV8N1BRJ4896W" localSheetId="9" hidden="1">#REF!</definedName>
    <definedName name="BExXRO4A6VUH1F4XV8N1BRJ4896W" hidden="1">#REF!</definedName>
    <definedName name="BExXRO9N1SNJZGKD90P4K7FU1J0P" localSheetId="56" hidden="1">#REF!</definedName>
    <definedName name="BExXRO9N1SNJZGKD90P4K7FU1J0P" localSheetId="55" hidden="1">#REF!</definedName>
    <definedName name="BExXRO9N1SNJZGKD90P4K7FU1J0P" localSheetId="4" hidden="1">#REF!</definedName>
    <definedName name="BExXRO9N1SNJZGKD90P4K7FU1J0P" localSheetId="1" hidden="1">#REF!</definedName>
    <definedName name="BExXRO9N1SNJZGKD90P4K7FU1J0P" localSheetId="9" hidden="1">#REF!</definedName>
    <definedName name="BExXRO9N1SNJZGKD90P4K7FU1J0P" hidden="1">#REF!</definedName>
    <definedName name="BExXROF2MWDZ7IFXX27XOJ79Q86E" localSheetId="56" hidden="1">#REF!</definedName>
    <definedName name="BExXROF2MWDZ7IFXX27XOJ79Q86E" localSheetId="55" hidden="1">#REF!</definedName>
    <definedName name="BExXROF2MWDZ7IFXX27XOJ79Q86E" localSheetId="4" hidden="1">#REF!</definedName>
    <definedName name="BExXROF2MWDZ7IFXX27XOJ79Q86E" localSheetId="1" hidden="1">#REF!</definedName>
    <definedName name="BExXROF2MWDZ7IFXX27XOJ79Q86E" localSheetId="9" hidden="1">#REF!</definedName>
    <definedName name="BExXROF2MWDZ7IFXX27XOJ79Q86E" hidden="1">#REF!</definedName>
    <definedName name="BExXRV5QP3Z0KAQ1EQT9JYT2FV0L" localSheetId="56" hidden="1">#REF!</definedName>
    <definedName name="BExXRV5QP3Z0KAQ1EQT9JYT2FV0L" localSheetId="55" hidden="1">#REF!</definedName>
    <definedName name="BExXRV5QP3Z0KAQ1EQT9JYT2FV0L" localSheetId="4" hidden="1">#REF!</definedName>
    <definedName name="BExXRV5QP3Z0KAQ1EQT9JYT2FV0L" localSheetId="1" hidden="1">#REF!</definedName>
    <definedName name="BExXRV5QP3Z0KAQ1EQT9JYT2FV0L" localSheetId="9" hidden="1">#REF!</definedName>
    <definedName name="BExXRV5QP3Z0KAQ1EQT9JYT2FV0L" hidden="1">#REF!</definedName>
    <definedName name="BExXRZ20LZZCW8LVGDK0XETOTSAI" localSheetId="56" hidden="1">#REF!</definedName>
    <definedName name="BExXRZ20LZZCW8LVGDK0XETOTSAI" localSheetId="55" hidden="1">#REF!</definedName>
    <definedName name="BExXRZ20LZZCW8LVGDK0XETOTSAI" localSheetId="4" hidden="1">#REF!</definedName>
    <definedName name="BExXRZ20LZZCW8LVGDK0XETOTSAI" localSheetId="1" hidden="1">#REF!</definedName>
    <definedName name="BExXRZ20LZZCW8LVGDK0XETOTSAI" localSheetId="9" hidden="1">#REF!</definedName>
    <definedName name="BExXRZ20LZZCW8LVGDK0XETOTSAI" hidden="1">#REF!</definedName>
    <definedName name="BExXS4R1GKUJQX6MHUIUN4S3SCAS" localSheetId="56" hidden="1">#REF!</definedName>
    <definedName name="BExXS4R1GKUJQX6MHUIUN4S3SCAS" localSheetId="55" hidden="1">#REF!</definedName>
    <definedName name="BExXS4R1GKUJQX6MHUIUN4S3SCAS" localSheetId="4" hidden="1">#REF!</definedName>
    <definedName name="BExXS4R1GKUJQX6MHUIUN4S3SCAS" localSheetId="1" hidden="1">#REF!</definedName>
    <definedName name="BExXS4R1GKUJQX6MHUIUN4S3SCAS" localSheetId="9" hidden="1">#REF!</definedName>
    <definedName name="BExXS4R1GKUJQX6MHUIUN4S3SCAS" hidden="1">#REF!</definedName>
    <definedName name="BExXS63O4OMWMNXXAODZQFSDG33N" localSheetId="56" hidden="1">#REF!</definedName>
    <definedName name="BExXS63O4OMWMNXXAODZQFSDG33N" localSheetId="55" hidden="1">#REF!</definedName>
    <definedName name="BExXS63O4OMWMNXXAODZQFSDG33N" localSheetId="4" hidden="1">#REF!</definedName>
    <definedName name="BExXS63O4OMWMNXXAODZQFSDG33N" localSheetId="1" hidden="1">#REF!</definedName>
    <definedName name="BExXS63O4OMWMNXXAODZQFSDG33N" localSheetId="9" hidden="1">#REF!</definedName>
    <definedName name="BExXS63O4OMWMNXXAODZQFSDG33N" hidden="1">#REF!</definedName>
    <definedName name="BExXSBSP1TOY051HSPEPM0AEIO2M" localSheetId="56" hidden="1">#REF!</definedName>
    <definedName name="BExXSBSP1TOY051HSPEPM0AEIO2M" localSheetId="55" hidden="1">#REF!</definedName>
    <definedName name="BExXSBSP1TOY051HSPEPM0AEIO2M" localSheetId="4" hidden="1">#REF!</definedName>
    <definedName name="BExXSBSP1TOY051HSPEPM0AEIO2M" localSheetId="1" hidden="1">#REF!</definedName>
    <definedName name="BExXSBSP1TOY051HSPEPM0AEIO2M" localSheetId="9" hidden="1">#REF!</definedName>
    <definedName name="BExXSBSP1TOY051HSPEPM0AEIO2M" hidden="1">#REF!</definedName>
    <definedName name="BExXSC8RFK5D68FJD2HI4K66SA6I" localSheetId="56" hidden="1">#REF!</definedName>
    <definedName name="BExXSC8RFK5D68FJD2HI4K66SA6I" localSheetId="55" hidden="1">#REF!</definedName>
    <definedName name="BExXSC8RFK5D68FJD2HI4K66SA6I" localSheetId="4" hidden="1">#REF!</definedName>
    <definedName name="BExXSC8RFK5D68FJD2HI4K66SA6I" localSheetId="1" hidden="1">#REF!</definedName>
    <definedName name="BExXSC8RFK5D68FJD2HI4K66SA6I" localSheetId="9" hidden="1">#REF!</definedName>
    <definedName name="BExXSC8RFK5D68FJD2HI4K66SA6I" hidden="1">#REF!</definedName>
    <definedName name="BExXSCP0AZ5MYCC2UFG2GLBCV1CC" localSheetId="56" hidden="1">#REF!</definedName>
    <definedName name="BExXSCP0AZ5MYCC2UFG2GLBCV1CC" localSheetId="55" hidden="1">#REF!</definedName>
    <definedName name="BExXSCP0AZ5MYCC2UFG2GLBCV1CC" localSheetId="4" hidden="1">#REF!</definedName>
    <definedName name="BExXSCP0AZ5MYCC2UFG2GLBCV1CC" localSheetId="1" hidden="1">#REF!</definedName>
    <definedName name="BExXSCP0AZ5MYCC2UFG2GLBCV1CC" localSheetId="9" hidden="1">#REF!</definedName>
    <definedName name="BExXSCP0AZ5MYCC2UFG2GLBCV1CC" hidden="1">#REF!</definedName>
    <definedName name="BExXSNHC88W4UMXEOIOOATJAIKZO" localSheetId="56" hidden="1">#REF!</definedName>
    <definedName name="BExXSNHC88W4UMXEOIOOATJAIKZO" localSheetId="55" hidden="1">#REF!</definedName>
    <definedName name="BExXSNHC88W4UMXEOIOOATJAIKZO" localSheetId="4" hidden="1">#REF!</definedName>
    <definedName name="BExXSNHC88W4UMXEOIOOATJAIKZO" localSheetId="1" hidden="1">#REF!</definedName>
    <definedName name="BExXSNHC88W4UMXEOIOOATJAIKZO" localSheetId="9" hidden="1">#REF!</definedName>
    <definedName name="BExXSNHC88W4UMXEOIOOATJAIKZO" hidden="1">#REF!</definedName>
    <definedName name="BExXSTBS08WIA9TLALV3UQ2Z3MRG" localSheetId="56" hidden="1">#REF!</definedName>
    <definedName name="BExXSTBS08WIA9TLALV3UQ2Z3MRG" localSheetId="55" hidden="1">#REF!</definedName>
    <definedName name="BExXSTBS08WIA9TLALV3UQ2Z3MRG" localSheetId="4" hidden="1">#REF!</definedName>
    <definedName name="BExXSTBS08WIA9TLALV3UQ2Z3MRG" localSheetId="1" hidden="1">#REF!</definedName>
    <definedName name="BExXSTBS08WIA9TLALV3UQ2Z3MRG" localSheetId="9" hidden="1">#REF!</definedName>
    <definedName name="BExXSTBS08WIA9TLALV3UQ2Z3MRG" hidden="1">#REF!</definedName>
    <definedName name="BExXSVQ2WOJJ73YEO8Q2FK60V4G8" localSheetId="56" hidden="1">#REF!</definedName>
    <definedName name="BExXSVQ2WOJJ73YEO8Q2FK60V4G8" localSheetId="55" hidden="1">#REF!</definedName>
    <definedName name="BExXSVQ2WOJJ73YEO8Q2FK60V4G8" localSheetId="4" hidden="1">#REF!</definedName>
    <definedName name="BExXSVQ2WOJJ73YEO8Q2FK60V4G8" localSheetId="1" hidden="1">#REF!</definedName>
    <definedName name="BExXSVQ2WOJJ73YEO8Q2FK60V4G8" localSheetId="9" hidden="1">#REF!</definedName>
    <definedName name="BExXSVQ2WOJJ73YEO8Q2FK60V4G8" hidden="1">#REF!</definedName>
    <definedName name="BExXTER5A2EQ14KN6J0MVATIHVKN" localSheetId="56" hidden="1">#REF!</definedName>
    <definedName name="BExXTER5A2EQ14KN6J0MVATIHVKN" localSheetId="55" hidden="1">#REF!</definedName>
    <definedName name="BExXTER5A2EQ14KN6J0MVATIHVKN" localSheetId="4" hidden="1">#REF!</definedName>
    <definedName name="BExXTER5A2EQ14KN6J0MVATIHVKN" localSheetId="1" hidden="1">#REF!</definedName>
    <definedName name="BExXTER5A2EQ14KN6J0MVATIHVKN" localSheetId="9" hidden="1">#REF!</definedName>
    <definedName name="BExXTER5A2EQ14KN6J0MVATIHVKN" hidden="1">#REF!</definedName>
    <definedName name="BExXTHLRNL82GN7KZY3TOLO508N7" localSheetId="56" hidden="1">#REF!</definedName>
    <definedName name="BExXTHLRNL82GN7KZY3TOLO508N7" localSheetId="55" hidden="1">#REF!</definedName>
    <definedName name="BExXTHLRNL82GN7KZY3TOLO508N7" localSheetId="4" hidden="1">#REF!</definedName>
    <definedName name="BExXTHLRNL82GN7KZY3TOLO508N7" localSheetId="1" hidden="1">#REF!</definedName>
    <definedName name="BExXTHLRNL82GN7KZY3TOLO508N7" localSheetId="9" hidden="1">#REF!</definedName>
    <definedName name="BExXTHLRNL82GN7KZY3TOLO508N7" hidden="1">#REF!</definedName>
    <definedName name="BExXTL72MKEQSQH9L2OTFLU8DM2B" localSheetId="56" hidden="1">#REF!</definedName>
    <definedName name="BExXTL72MKEQSQH9L2OTFLU8DM2B" localSheetId="55" hidden="1">#REF!</definedName>
    <definedName name="BExXTL72MKEQSQH9L2OTFLU8DM2B" localSheetId="4" hidden="1">#REF!</definedName>
    <definedName name="BExXTL72MKEQSQH9L2OTFLU8DM2B" localSheetId="1" hidden="1">#REF!</definedName>
    <definedName name="BExXTL72MKEQSQH9L2OTFLU8DM2B" localSheetId="9" hidden="1">#REF!</definedName>
    <definedName name="BExXTL72MKEQSQH9L2OTFLU8DM2B" hidden="1">#REF!</definedName>
    <definedName name="BExXTM3M4RTCRSX7VGAXGQNPP668" localSheetId="56" hidden="1">#REF!</definedName>
    <definedName name="BExXTM3M4RTCRSX7VGAXGQNPP668" localSheetId="55" hidden="1">#REF!</definedName>
    <definedName name="BExXTM3M4RTCRSX7VGAXGQNPP668" localSheetId="4" hidden="1">#REF!</definedName>
    <definedName name="BExXTM3M4RTCRSX7VGAXGQNPP668" localSheetId="1" hidden="1">#REF!</definedName>
    <definedName name="BExXTM3M4RTCRSX7VGAXGQNPP668" localSheetId="9" hidden="1">#REF!</definedName>
    <definedName name="BExXTM3M4RTCRSX7VGAXGQNPP668" hidden="1">#REF!</definedName>
    <definedName name="BExXTOCF78J7WY6FOVBRY1N2RBBR" localSheetId="56" hidden="1">#REF!</definedName>
    <definedName name="BExXTOCF78J7WY6FOVBRY1N2RBBR" localSheetId="55" hidden="1">#REF!</definedName>
    <definedName name="BExXTOCF78J7WY6FOVBRY1N2RBBR" localSheetId="4" hidden="1">#REF!</definedName>
    <definedName name="BExXTOCF78J7WY6FOVBRY1N2RBBR" localSheetId="1" hidden="1">#REF!</definedName>
    <definedName name="BExXTOCF78J7WY6FOVBRY1N2RBBR" localSheetId="9" hidden="1">#REF!</definedName>
    <definedName name="BExXTOCF78J7WY6FOVBRY1N2RBBR" hidden="1">#REF!</definedName>
    <definedName name="BExXTP3GYO6Z9RTKKT10XA0UTV3T" localSheetId="56" hidden="1">#REF!</definedName>
    <definedName name="BExXTP3GYO6Z9RTKKT10XA0UTV3T" localSheetId="55" hidden="1">#REF!</definedName>
    <definedName name="BExXTP3GYO6Z9RTKKT10XA0UTV3T" localSheetId="4" hidden="1">#REF!</definedName>
    <definedName name="BExXTP3GYO6Z9RTKKT10XA0UTV3T" localSheetId="1" hidden="1">#REF!</definedName>
    <definedName name="BExXTP3GYO6Z9RTKKT10XA0UTV3T" localSheetId="9" hidden="1">#REF!</definedName>
    <definedName name="BExXTP3GYO6Z9RTKKT10XA0UTV3T" hidden="1">#REF!</definedName>
    <definedName name="BExXTRN4AFX9QW6YC4HNGBBD5R08" localSheetId="56" hidden="1">#REF!</definedName>
    <definedName name="BExXTRN4AFX9QW6YC4HNGBBD5R08" localSheetId="55" hidden="1">#REF!</definedName>
    <definedName name="BExXTRN4AFX9QW6YC4HNGBBD5R08" localSheetId="4" hidden="1">#REF!</definedName>
    <definedName name="BExXTRN4AFX9QW6YC4HNGBBD5R08" localSheetId="1" hidden="1">#REF!</definedName>
    <definedName name="BExXTRN4AFX9QW6YC4HNGBBD5R08" localSheetId="9" hidden="1">#REF!</definedName>
    <definedName name="BExXTRN4AFX9QW6YC4HNGBBD5R08" hidden="1">#REF!</definedName>
    <definedName name="BExXTV8M7YIG5C64O046DN613ZRO" localSheetId="56" hidden="1">#REF!</definedName>
    <definedName name="BExXTV8M7YIG5C64O046DN613ZRO" localSheetId="55" hidden="1">#REF!</definedName>
    <definedName name="BExXTV8M7YIG5C64O046DN613ZRO" localSheetId="4" hidden="1">#REF!</definedName>
    <definedName name="BExXTV8M7YIG5C64O046DN613ZRO" localSheetId="1" hidden="1">#REF!</definedName>
    <definedName name="BExXTV8M7YIG5C64O046DN613ZRO" localSheetId="9" hidden="1">#REF!</definedName>
    <definedName name="BExXTV8M7YIG5C64O046DN613ZRO" hidden="1">#REF!</definedName>
    <definedName name="BExXTVDXQ7ZX3THNLFJXFAONW0AI" localSheetId="56" hidden="1">#REF!</definedName>
    <definedName name="BExXTVDXQ7ZX3THNLFJXFAONW0AI" localSheetId="55" hidden="1">#REF!</definedName>
    <definedName name="BExXTVDXQ7ZX3THNLFJXFAONW0AI" localSheetId="4" hidden="1">#REF!</definedName>
    <definedName name="BExXTVDXQ7ZX3THNLFJXFAONW0AI" localSheetId="1" hidden="1">#REF!</definedName>
    <definedName name="BExXTVDXQ7ZX3THNLFJXFAONW0AI" localSheetId="9" hidden="1">#REF!</definedName>
    <definedName name="BExXTVDXQ7ZX3THNLFJXFAONW0AI" hidden="1">#REF!</definedName>
    <definedName name="BExXTZKZ4CG92ZQLIRKEXXH9BFIR" localSheetId="56" hidden="1">#REF!</definedName>
    <definedName name="BExXTZKZ4CG92ZQLIRKEXXH9BFIR" localSheetId="55" hidden="1">#REF!</definedName>
    <definedName name="BExXTZKZ4CG92ZQLIRKEXXH9BFIR" localSheetId="4" hidden="1">#REF!</definedName>
    <definedName name="BExXTZKZ4CG92ZQLIRKEXXH9BFIR" localSheetId="1" hidden="1">#REF!</definedName>
    <definedName name="BExXTZKZ4CG92ZQLIRKEXXH9BFIR" localSheetId="9" hidden="1">#REF!</definedName>
    <definedName name="BExXTZKZ4CG92ZQLIRKEXXH9BFIR" hidden="1">#REF!</definedName>
    <definedName name="BExXU4J2BM2964GD5UZHM752Q4NS" localSheetId="56" hidden="1">#REF!</definedName>
    <definedName name="BExXU4J2BM2964GD5UZHM752Q4NS" localSheetId="55" hidden="1">#REF!</definedName>
    <definedName name="BExXU4J2BM2964GD5UZHM752Q4NS" localSheetId="4" hidden="1">#REF!</definedName>
    <definedName name="BExXU4J2BM2964GD5UZHM752Q4NS" localSheetId="1" hidden="1">#REF!</definedName>
    <definedName name="BExXU4J2BM2964GD5UZHM752Q4NS" localSheetId="9" hidden="1">#REF!</definedName>
    <definedName name="BExXU4J2BM2964GD5UZHM752Q4NS" hidden="1">#REF!</definedName>
    <definedName name="BExXU6XDTT7RM93KILIDEYPA9XKF" localSheetId="56" hidden="1">#REF!</definedName>
    <definedName name="BExXU6XDTT7RM93KILIDEYPA9XKF" localSheetId="55" hidden="1">#REF!</definedName>
    <definedName name="BExXU6XDTT7RM93KILIDEYPA9XKF" localSheetId="4" hidden="1">#REF!</definedName>
    <definedName name="BExXU6XDTT7RM93KILIDEYPA9XKF" localSheetId="1" hidden="1">#REF!</definedName>
    <definedName name="BExXU6XDTT7RM93KILIDEYPA9XKF" localSheetId="9" hidden="1">#REF!</definedName>
    <definedName name="BExXU6XDTT7RM93KILIDEYPA9XKF" hidden="1">#REF!</definedName>
    <definedName name="BExXU8VLZA7WLPZ3RAQZGNERUD26" localSheetId="56" hidden="1">#REF!</definedName>
    <definedName name="BExXU8VLZA7WLPZ3RAQZGNERUD26" localSheetId="55" hidden="1">#REF!</definedName>
    <definedName name="BExXU8VLZA7WLPZ3RAQZGNERUD26" localSheetId="4" hidden="1">#REF!</definedName>
    <definedName name="BExXU8VLZA7WLPZ3RAQZGNERUD26" localSheetId="1" hidden="1">#REF!</definedName>
    <definedName name="BExXU8VLZA7WLPZ3RAQZGNERUD26" localSheetId="9" hidden="1">#REF!</definedName>
    <definedName name="BExXU8VLZA7WLPZ3RAQZGNERUD26" hidden="1">#REF!</definedName>
    <definedName name="BExXUB9RSLSCNN5ETLXY72DAPZZM" localSheetId="56" hidden="1">#REF!</definedName>
    <definedName name="BExXUB9RSLSCNN5ETLXY72DAPZZM" localSheetId="55" hidden="1">#REF!</definedName>
    <definedName name="BExXUB9RSLSCNN5ETLXY72DAPZZM" localSheetId="4" hidden="1">#REF!</definedName>
    <definedName name="BExXUB9RSLSCNN5ETLXY72DAPZZM" localSheetId="1" hidden="1">#REF!</definedName>
    <definedName name="BExXUB9RSLSCNN5ETLXY72DAPZZM" localSheetId="9" hidden="1">#REF!</definedName>
    <definedName name="BExXUB9RSLSCNN5ETLXY72DAPZZM" hidden="1">#REF!</definedName>
    <definedName name="BExXUFRM82XQIN2T8KGLDQL1IBQW" localSheetId="56" hidden="1">#REF!</definedName>
    <definedName name="BExXUFRM82XQIN2T8KGLDQL1IBQW" localSheetId="55" hidden="1">#REF!</definedName>
    <definedName name="BExXUFRM82XQIN2T8KGLDQL1IBQW" localSheetId="4" hidden="1">#REF!</definedName>
    <definedName name="BExXUFRM82XQIN2T8KGLDQL1IBQW" localSheetId="1" hidden="1">#REF!</definedName>
    <definedName name="BExXUFRM82XQIN2T8KGLDQL1IBQW" localSheetId="9" hidden="1">#REF!</definedName>
    <definedName name="BExXUFRM82XQIN2T8KGLDQL1IBQW" hidden="1">#REF!</definedName>
    <definedName name="BExXUQEQBF6FI240ZGIF9YXZSRAU" localSheetId="56" hidden="1">#REF!</definedName>
    <definedName name="BExXUQEQBF6FI240ZGIF9YXZSRAU" localSheetId="55" hidden="1">#REF!</definedName>
    <definedName name="BExXUQEQBF6FI240ZGIF9YXZSRAU" localSheetId="4" hidden="1">#REF!</definedName>
    <definedName name="BExXUQEQBF6FI240ZGIF9YXZSRAU" localSheetId="1" hidden="1">#REF!</definedName>
    <definedName name="BExXUQEQBF6FI240ZGIF9YXZSRAU" localSheetId="9" hidden="1">#REF!</definedName>
    <definedName name="BExXUQEQBF6FI240ZGIF9YXZSRAU" hidden="1">#REF!</definedName>
    <definedName name="BExXUX02UQ8LJPBZ4YBORILFR0W0" localSheetId="56" hidden="1">#REF!</definedName>
    <definedName name="BExXUX02UQ8LJPBZ4YBORILFR0W0" localSheetId="55" hidden="1">#REF!</definedName>
    <definedName name="BExXUX02UQ8LJPBZ4YBORILFR0W0" localSheetId="4" hidden="1">#REF!</definedName>
    <definedName name="BExXUX02UQ8LJPBZ4YBORILFR0W0" localSheetId="1" hidden="1">#REF!</definedName>
    <definedName name="BExXUX02UQ8LJPBZ4YBORILFR0W0" localSheetId="9" hidden="1">#REF!</definedName>
    <definedName name="BExXUX02UQ8LJPBZ4YBORILFR0W0" hidden="1">#REF!</definedName>
    <definedName name="BExXUYND6EJO7CJ5KRICV4O1JNWK" localSheetId="56" hidden="1">#REF!</definedName>
    <definedName name="BExXUYND6EJO7CJ5KRICV4O1JNWK" localSheetId="55" hidden="1">#REF!</definedName>
    <definedName name="BExXUYND6EJO7CJ5KRICV4O1JNWK" localSheetId="4" hidden="1">#REF!</definedName>
    <definedName name="BExXUYND6EJO7CJ5KRICV4O1JNWK" localSheetId="1" hidden="1">#REF!</definedName>
    <definedName name="BExXUYND6EJO7CJ5KRICV4O1JNWK" localSheetId="9" hidden="1">#REF!</definedName>
    <definedName name="BExXUYND6EJO7CJ5KRICV4O1JNWK" hidden="1">#REF!</definedName>
    <definedName name="BExXV6FWG4H3S2QEUJZYIXILNGJ7" localSheetId="56" hidden="1">#REF!</definedName>
    <definedName name="BExXV6FWG4H3S2QEUJZYIXILNGJ7" localSheetId="55" hidden="1">#REF!</definedName>
    <definedName name="BExXV6FWG4H3S2QEUJZYIXILNGJ7" localSheetId="4" hidden="1">#REF!</definedName>
    <definedName name="BExXV6FWG4H3S2QEUJZYIXILNGJ7" localSheetId="1" hidden="1">#REF!</definedName>
    <definedName name="BExXV6FWG4H3S2QEUJZYIXILNGJ7" localSheetId="9" hidden="1">#REF!</definedName>
    <definedName name="BExXV6FWG4H3S2QEUJZYIXILNGJ7" hidden="1">#REF!</definedName>
    <definedName name="BExXVK87BMMO6LHKV0CFDNIQVIBS" localSheetId="56" hidden="1">#REF!</definedName>
    <definedName name="BExXVK87BMMO6LHKV0CFDNIQVIBS" localSheetId="55" hidden="1">#REF!</definedName>
    <definedName name="BExXVK87BMMO6LHKV0CFDNIQVIBS" localSheetId="4" hidden="1">#REF!</definedName>
    <definedName name="BExXVK87BMMO6LHKV0CFDNIQVIBS" localSheetId="1" hidden="1">#REF!</definedName>
    <definedName name="BExXVK87BMMO6LHKV0CFDNIQVIBS" localSheetId="9" hidden="1">#REF!</definedName>
    <definedName name="BExXVK87BMMO6LHKV0CFDNIQVIBS" hidden="1">#REF!</definedName>
    <definedName name="BExXVKZ9WXPGL6IVY6T61IDD771I" localSheetId="56" hidden="1">#REF!</definedName>
    <definedName name="BExXVKZ9WXPGL6IVY6T61IDD771I" localSheetId="55" hidden="1">#REF!</definedName>
    <definedName name="BExXVKZ9WXPGL6IVY6T61IDD771I" localSheetId="4" hidden="1">#REF!</definedName>
    <definedName name="BExXVKZ9WXPGL6IVY6T61IDD771I" localSheetId="1" hidden="1">#REF!</definedName>
    <definedName name="BExXVKZ9WXPGL6IVY6T61IDD771I" localSheetId="9" hidden="1">#REF!</definedName>
    <definedName name="BExXVKZ9WXPGL6IVY6T61IDD771I" hidden="1">#REF!</definedName>
    <definedName name="BExXVLA319WCSEOVHB05KDUSU054" localSheetId="56" hidden="1">#REF!</definedName>
    <definedName name="BExXVLA319WCSEOVHB05KDUSU054" localSheetId="55" hidden="1">#REF!</definedName>
    <definedName name="BExXVLA319WCSEOVHB05KDUSU054" localSheetId="4" hidden="1">#REF!</definedName>
    <definedName name="BExXVLA319WCSEOVHB05KDUSU054" localSheetId="1" hidden="1">#REF!</definedName>
    <definedName name="BExXVLA319WCSEOVHB05KDUSU054" localSheetId="9" hidden="1">#REF!</definedName>
    <definedName name="BExXVLA319WCSEOVHB05KDUSU054" hidden="1">#REF!</definedName>
    <definedName name="BExXVTTG5YRCSTI0UL141BKR36SU" localSheetId="56" hidden="1">#REF!</definedName>
    <definedName name="BExXVTTG5YRCSTI0UL141BKR36SU" localSheetId="55" hidden="1">#REF!</definedName>
    <definedName name="BExXVTTG5YRCSTI0UL141BKR36SU" localSheetId="4" hidden="1">#REF!</definedName>
    <definedName name="BExXVTTG5YRCSTI0UL141BKR36SU" localSheetId="1" hidden="1">#REF!</definedName>
    <definedName name="BExXVTTG5YRCSTI0UL141BKR36SU" localSheetId="9" hidden="1">#REF!</definedName>
    <definedName name="BExXVTTG5YRCSTI0UL141BKR36SU" hidden="1">#REF!</definedName>
    <definedName name="BExXVYWX74VKI8BDDSX9U85460MB" localSheetId="56" hidden="1">#REF!</definedName>
    <definedName name="BExXVYWX74VKI8BDDSX9U85460MB" localSheetId="55" hidden="1">#REF!</definedName>
    <definedName name="BExXVYWX74VKI8BDDSX9U85460MB" localSheetId="4" hidden="1">#REF!</definedName>
    <definedName name="BExXVYWX74VKI8BDDSX9U85460MB" localSheetId="1" hidden="1">#REF!</definedName>
    <definedName name="BExXVYWX74VKI8BDDSX9U85460MB" localSheetId="9" hidden="1">#REF!</definedName>
    <definedName name="BExXVYWX74VKI8BDDSX9U85460MB" hidden="1">#REF!</definedName>
    <definedName name="BExXW27MMXHXUXX78SDTBE1JYTHT" localSheetId="56" hidden="1">#REF!</definedName>
    <definedName name="BExXW27MMXHXUXX78SDTBE1JYTHT" localSheetId="55" hidden="1">#REF!</definedName>
    <definedName name="BExXW27MMXHXUXX78SDTBE1JYTHT" localSheetId="4" hidden="1">#REF!</definedName>
    <definedName name="BExXW27MMXHXUXX78SDTBE1JYTHT" localSheetId="1" hidden="1">#REF!</definedName>
    <definedName name="BExXW27MMXHXUXX78SDTBE1JYTHT" localSheetId="9" hidden="1">#REF!</definedName>
    <definedName name="BExXW27MMXHXUXX78SDTBE1JYTHT" hidden="1">#REF!</definedName>
    <definedName name="BExXW2YIM2MYBSHRIX0RP9D4PRMN" localSheetId="56" hidden="1">#REF!</definedName>
    <definedName name="BExXW2YIM2MYBSHRIX0RP9D4PRMN" localSheetId="55" hidden="1">#REF!</definedName>
    <definedName name="BExXW2YIM2MYBSHRIX0RP9D4PRMN" localSheetId="4" hidden="1">#REF!</definedName>
    <definedName name="BExXW2YIM2MYBSHRIX0RP9D4PRMN" localSheetId="1" hidden="1">#REF!</definedName>
    <definedName name="BExXW2YIM2MYBSHRIX0RP9D4PRMN" localSheetId="9" hidden="1">#REF!</definedName>
    <definedName name="BExXW2YIM2MYBSHRIX0RP9D4PRMN" hidden="1">#REF!</definedName>
    <definedName name="BExXWBNE4KTFSXKVSRF6WX039WPB" localSheetId="56" hidden="1">#REF!</definedName>
    <definedName name="BExXWBNE4KTFSXKVSRF6WX039WPB" localSheetId="55" hidden="1">#REF!</definedName>
    <definedName name="BExXWBNE4KTFSXKVSRF6WX039WPB" localSheetId="4" hidden="1">#REF!</definedName>
    <definedName name="BExXWBNE4KTFSXKVSRF6WX039WPB" localSheetId="1" hidden="1">#REF!</definedName>
    <definedName name="BExXWBNE4KTFSXKVSRF6WX039WPB" localSheetId="9" hidden="1">#REF!</definedName>
    <definedName name="BExXWBNE4KTFSXKVSRF6WX039WPB" hidden="1">#REF!</definedName>
    <definedName name="BExXWFP5AYE7EHYTJWBZSQ8PQ0YX" localSheetId="56" hidden="1">#REF!</definedName>
    <definedName name="BExXWFP5AYE7EHYTJWBZSQ8PQ0YX" localSheetId="55" hidden="1">#REF!</definedName>
    <definedName name="BExXWFP5AYE7EHYTJWBZSQ8PQ0YX" localSheetId="4" hidden="1">#REF!</definedName>
    <definedName name="BExXWFP5AYE7EHYTJWBZSQ8PQ0YX" localSheetId="1" hidden="1">#REF!</definedName>
    <definedName name="BExXWFP5AYE7EHYTJWBZSQ8PQ0YX" localSheetId="9" hidden="1">#REF!</definedName>
    <definedName name="BExXWFP5AYE7EHYTJWBZSQ8PQ0YX" hidden="1">#REF!</definedName>
    <definedName name="BExXWIUCR0LXM58OVKZT2APLVTIA" localSheetId="56" hidden="1">#REF!</definedName>
    <definedName name="BExXWIUCR0LXM58OVKZT2APLVTIA" localSheetId="55" hidden="1">#REF!</definedName>
    <definedName name="BExXWIUCR0LXM58OVKZT2APLVTIA" localSheetId="4" hidden="1">#REF!</definedName>
    <definedName name="BExXWIUCR0LXM58OVKZT2APLVTIA" localSheetId="1" hidden="1">#REF!</definedName>
    <definedName name="BExXWIUCR0LXM58OVKZT2APLVTIA" localSheetId="9" hidden="1">#REF!</definedName>
    <definedName name="BExXWIUCR0LXM58OVKZT2APLVTIA" hidden="1">#REF!</definedName>
    <definedName name="BExXWTXJEA32DLC6QKN10QB955JT" localSheetId="56" hidden="1">#REF!</definedName>
    <definedName name="BExXWTXJEA32DLC6QKN10QB955JT" localSheetId="55" hidden="1">#REF!</definedName>
    <definedName name="BExXWTXJEA32DLC6QKN10QB955JT" localSheetId="4" hidden="1">#REF!</definedName>
    <definedName name="BExXWTXJEA32DLC6QKN10QB955JT" localSheetId="1" hidden="1">#REF!</definedName>
    <definedName name="BExXWTXJEA32DLC6QKN10QB955JT" localSheetId="9" hidden="1">#REF!</definedName>
    <definedName name="BExXWTXJEA32DLC6QKN10QB955JT" hidden="1">#REF!</definedName>
    <definedName name="BExXWVFIBQT8OY1O41FRFPFGXQHK" localSheetId="56" hidden="1">#REF!</definedName>
    <definedName name="BExXWVFIBQT8OY1O41FRFPFGXQHK" localSheetId="55" hidden="1">#REF!</definedName>
    <definedName name="BExXWVFIBQT8OY1O41FRFPFGXQHK" localSheetId="4" hidden="1">#REF!</definedName>
    <definedName name="BExXWVFIBQT8OY1O41FRFPFGXQHK" localSheetId="1" hidden="1">#REF!</definedName>
    <definedName name="BExXWVFIBQT8OY1O41FRFPFGXQHK" localSheetId="9" hidden="1">#REF!</definedName>
    <definedName name="BExXWVFIBQT8OY1O41FRFPFGXQHK" hidden="1">#REF!</definedName>
    <definedName name="BExXWWXHBZHA9J3N8K47F84X0M0L" localSheetId="56" hidden="1">#REF!</definedName>
    <definedName name="BExXWWXHBZHA9J3N8K47F84X0M0L" localSheetId="55" hidden="1">#REF!</definedName>
    <definedName name="BExXWWXHBZHA9J3N8K47F84X0M0L" localSheetId="4" hidden="1">#REF!</definedName>
    <definedName name="BExXWWXHBZHA9J3N8K47F84X0M0L" localSheetId="1" hidden="1">#REF!</definedName>
    <definedName name="BExXWWXHBZHA9J3N8K47F84X0M0L" localSheetId="9" hidden="1">#REF!</definedName>
    <definedName name="BExXWWXHBZHA9J3N8K47F84X0M0L" hidden="1">#REF!</definedName>
    <definedName name="BExXXBM521DL8R4ZX7NZ3DBCUOR5" localSheetId="56" hidden="1">#REF!</definedName>
    <definedName name="BExXXBM521DL8R4ZX7NZ3DBCUOR5" localSheetId="55" hidden="1">#REF!</definedName>
    <definedName name="BExXXBM521DL8R4ZX7NZ3DBCUOR5" localSheetId="4" hidden="1">#REF!</definedName>
    <definedName name="BExXXBM521DL8R4ZX7NZ3DBCUOR5" localSheetId="1" hidden="1">#REF!</definedName>
    <definedName name="BExXXBM521DL8R4ZX7NZ3DBCUOR5" localSheetId="9" hidden="1">#REF!</definedName>
    <definedName name="BExXXBM521DL8R4ZX7NZ3DBCUOR5" hidden="1">#REF!</definedName>
    <definedName name="BExXXC7OZI33XZ03NRMEP7VRLQK4" localSheetId="56" hidden="1">#REF!</definedName>
    <definedName name="BExXXC7OZI33XZ03NRMEP7VRLQK4" localSheetId="55" hidden="1">#REF!</definedName>
    <definedName name="BExXXC7OZI33XZ03NRMEP7VRLQK4" localSheetId="4" hidden="1">#REF!</definedName>
    <definedName name="BExXXC7OZI33XZ03NRMEP7VRLQK4" localSheetId="1" hidden="1">#REF!</definedName>
    <definedName name="BExXXC7OZI33XZ03NRMEP7VRLQK4" localSheetId="9" hidden="1">#REF!</definedName>
    <definedName name="BExXXC7OZI33XZ03NRMEP7VRLQK4" hidden="1">#REF!</definedName>
    <definedName name="BExXXH5N3NKBQ7BCJPJTBF8CYM2Q" localSheetId="56" hidden="1">#REF!</definedName>
    <definedName name="BExXXH5N3NKBQ7BCJPJTBF8CYM2Q" localSheetId="55" hidden="1">#REF!</definedName>
    <definedName name="BExXXH5N3NKBQ7BCJPJTBF8CYM2Q" localSheetId="4" hidden="1">#REF!</definedName>
    <definedName name="BExXXH5N3NKBQ7BCJPJTBF8CYM2Q" localSheetId="1" hidden="1">#REF!</definedName>
    <definedName name="BExXXH5N3NKBQ7BCJPJTBF8CYM2Q" localSheetId="9" hidden="1">#REF!</definedName>
    <definedName name="BExXXH5N3NKBQ7BCJPJTBF8CYM2Q" hidden="1">#REF!</definedName>
    <definedName name="BExXXI7HHXLBLUEW7EQ73TALJF48" localSheetId="56" hidden="1">#REF!</definedName>
    <definedName name="BExXXI7HHXLBLUEW7EQ73TALJF48" localSheetId="55" hidden="1">#REF!</definedName>
    <definedName name="BExXXI7HHXLBLUEW7EQ73TALJF48" localSheetId="4" hidden="1">#REF!</definedName>
    <definedName name="BExXXI7HHXLBLUEW7EQ73TALJF48" localSheetId="1" hidden="1">#REF!</definedName>
    <definedName name="BExXXI7HHXLBLUEW7EQ73TALJF48" localSheetId="9" hidden="1">#REF!</definedName>
    <definedName name="BExXXI7HHXLBLUEW7EQ73TALJF48" hidden="1">#REF!</definedName>
    <definedName name="BExXXKWLM4D541BH6O8GOJMHFHMW" localSheetId="56" hidden="1">#REF!</definedName>
    <definedName name="BExXXKWLM4D541BH6O8GOJMHFHMW" localSheetId="55" hidden="1">#REF!</definedName>
    <definedName name="BExXXKWLM4D541BH6O8GOJMHFHMW" localSheetId="4" hidden="1">#REF!</definedName>
    <definedName name="BExXXKWLM4D541BH6O8GOJMHFHMW" localSheetId="1" hidden="1">#REF!</definedName>
    <definedName name="BExXXKWLM4D541BH6O8GOJMHFHMW" localSheetId="9" hidden="1">#REF!</definedName>
    <definedName name="BExXXKWLM4D541BH6O8GOJMHFHMW" hidden="1">#REF!</definedName>
    <definedName name="BExXXNR17I6P4FQZPQF2ZXDFYB6C" localSheetId="56" hidden="1">#REF!</definedName>
    <definedName name="BExXXNR17I6P4FQZPQF2ZXDFYB6C" localSheetId="55" hidden="1">#REF!</definedName>
    <definedName name="BExXXNR17I6P4FQZPQF2ZXDFYB6C" localSheetId="4" hidden="1">#REF!</definedName>
    <definedName name="BExXXNR17I6P4FQZPQF2ZXDFYB6C" localSheetId="1" hidden="1">#REF!</definedName>
    <definedName name="BExXXNR17I6P4FQZPQF2ZXDFYB6C" localSheetId="9" hidden="1">#REF!</definedName>
    <definedName name="BExXXNR17I6P4FQZPQF2ZXDFYB6C" hidden="1">#REF!</definedName>
    <definedName name="BExXXPPA1Q87XPI97X0OXCPBPDON" localSheetId="56" hidden="1">#REF!</definedName>
    <definedName name="BExXXPPA1Q87XPI97X0OXCPBPDON" localSheetId="55" hidden="1">#REF!</definedName>
    <definedName name="BExXXPPA1Q87XPI97X0OXCPBPDON" localSheetId="4" hidden="1">#REF!</definedName>
    <definedName name="BExXXPPA1Q87XPI97X0OXCPBPDON" localSheetId="1" hidden="1">#REF!</definedName>
    <definedName name="BExXXPPA1Q87XPI97X0OXCPBPDON" localSheetId="9" hidden="1">#REF!</definedName>
    <definedName name="BExXXPPA1Q87XPI97X0OXCPBPDON" hidden="1">#REF!</definedName>
    <definedName name="BExXXVUDA98IZTQ6MANKU4MTTDVR" localSheetId="56" hidden="1">#REF!</definedName>
    <definedName name="BExXXVUDA98IZTQ6MANKU4MTTDVR" localSheetId="55" hidden="1">#REF!</definedName>
    <definedName name="BExXXVUDA98IZTQ6MANKU4MTTDVR" localSheetId="4" hidden="1">#REF!</definedName>
    <definedName name="BExXXVUDA98IZTQ6MANKU4MTTDVR" localSheetId="1" hidden="1">#REF!</definedName>
    <definedName name="BExXXVUDA98IZTQ6MANKU4MTTDVR" localSheetId="9" hidden="1">#REF!</definedName>
    <definedName name="BExXXVUDA98IZTQ6MANKU4MTTDVR" hidden="1">#REF!</definedName>
    <definedName name="BExXXZQNZY6IZI45DJXJK0MQZWA7" localSheetId="56" hidden="1">#REF!</definedName>
    <definedName name="BExXXZQNZY6IZI45DJXJK0MQZWA7" localSheetId="55" hidden="1">#REF!</definedName>
    <definedName name="BExXXZQNZY6IZI45DJXJK0MQZWA7" localSheetId="4" hidden="1">#REF!</definedName>
    <definedName name="BExXXZQNZY6IZI45DJXJK0MQZWA7" localSheetId="1" hidden="1">#REF!</definedName>
    <definedName name="BExXXZQNZY6IZI45DJXJK0MQZWA7" localSheetId="9" hidden="1">#REF!</definedName>
    <definedName name="BExXXZQNZY6IZI45DJXJK0MQZWA7" hidden="1">#REF!</definedName>
    <definedName name="BExXY5QFG6QP94SFT3935OBM8Y4K" localSheetId="56" hidden="1">#REF!</definedName>
    <definedName name="BExXY5QFG6QP94SFT3935OBM8Y4K" localSheetId="55" hidden="1">#REF!</definedName>
    <definedName name="BExXY5QFG6QP94SFT3935OBM8Y4K" localSheetId="4" hidden="1">#REF!</definedName>
    <definedName name="BExXY5QFG6QP94SFT3935OBM8Y4K" localSheetId="1" hidden="1">#REF!</definedName>
    <definedName name="BExXY5QFG6QP94SFT3935OBM8Y4K" localSheetId="9" hidden="1">#REF!</definedName>
    <definedName name="BExXY5QFG6QP94SFT3935OBM8Y4K" hidden="1">#REF!</definedName>
    <definedName name="BExXY7TYEBFXRYUYIFHTN65RJ8EW" localSheetId="56" hidden="1">#REF!</definedName>
    <definedName name="BExXY7TYEBFXRYUYIFHTN65RJ8EW" localSheetId="55" hidden="1">#REF!</definedName>
    <definedName name="BExXY7TYEBFXRYUYIFHTN65RJ8EW" localSheetId="4" hidden="1">#REF!</definedName>
    <definedName name="BExXY7TYEBFXRYUYIFHTN65RJ8EW" localSheetId="1" hidden="1">#REF!</definedName>
    <definedName name="BExXY7TYEBFXRYUYIFHTN65RJ8EW" localSheetId="9" hidden="1">#REF!</definedName>
    <definedName name="BExXY7TYEBFXRYUYIFHTN65RJ8EW" hidden="1">#REF!</definedName>
    <definedName name="BExXYLBHANUXC5FCTDDTGOVD3GQS" localSheetId="56" hidden="1">#REF!</definedName>
    <definedName name="BExXYLBHANUXC5FCTDDTGOVD3GQS" localSheetId="55" hidden="1">#REF!</definedName>
    <definedName name="BExXYLBHANUXC5FCTDDTGOVD3GQS" localSheetId="4" hidden="1">#REF!</definedName>
    <definedName name="BExXYLBHANUXC5FCTDDTGOVD3GQS" localSheetId="1" hidden="1">#REF!</definedName>
    <definedName name="BExXYLBHANUXC5FCTDDTGOVD3GQS" localSheetId="9" hidden="1">#REF!</definedName>
    <definedName name="BExXYLBHANUXC5FCTDDTGOVD3GQS" hidden="1">#REF!</definedName>
    <definedName name="BExXYMNYAYH3WA2ZCFAYKZID9ZCI" localSheetId="56" hidden="1">#REF!</definedName>
    <definedName name="BExXYMNYAYH3WA2ZCFAYKZID9ZCI" localSheetId="55" hidden="1">#REF!</definedName>
    <definedName name="BExXYMNYAYH3WA2ZCFAYKZID9ZCI" localSheetId="4" hidden="1">#REF!</definedName>
    <definedName name="BExXYMNYAYH3WA2ZCFAYKZID9ZCI" localSheetId="1" hidden="1">#REF!</definedName>
    <definedName name="BExXYMNYAYH3WA2ZCFAYKZID9ZCI" localSheetId="9" hidden="1">#REF!</definedName>
    <definedName name="BExXYMNYAYH3WA2ZCFAYKZID9ZCI" hidden="1">#REF!</definedName>
    <definedName name="BExXYYT12SVN2VDMLVNV4P3ISD8T" localSheetId="56" hidden="1">#REF!</definedName>
    <definedName name="BExXYYT12SVN2VDMLVNV4P3ISD8T" localSheetId="55" hidden="1">#REF!</definedName>
    <definedName name="BExXYYT12SVN2VDMLVNV4P3ISD8T" localSheetId="4" hidden="1">#REF!</definedName>
    <definedName name="BExXYYT12SVN2VDMLVNV4P3ISD8T" localSheetId="1" hidden="1">#REF!</definedName>
    <definedName name="BExXYYT12SVN2VDMLVNV4P3ISD8T" localSheetId="9" hidden="1">#REF!</definedName>
    <definedName name="BExXYYT12SVN2VDMLVNV4P3ISD8T" hidden="1">#REF!</definedName>
    <definedName name="BExXYZ3SPSRCWM4YHTPZDCOLZPHR" localSheetId="56" hidden="1">#REF!</definedName>
    <definedName name="BExXYZ3SPSRCWM4YHTPZDCOLZPHR" localSheetId="55" hidden="1">#REF!</definedName>
    <definedName name="BExXYZ3SPSRCWM4YHTPZDCOLZPHR" localSheetId="4" hidden="1">#REF!</definedName>
    <definedName name="BExXYZ3SPSRCWM4YHTPZDCOLZPHR" localSheetId="1" hidden="1">#REF!</definedName>
    <definedName name="BExXYZ3SPSRCWM4YHTPZDCOLZPHR" localSheetId="9" hidden="1">#REF!</definedName>
    <definedName name="BExXYZ3SPSRCWM4YHTPZDCOLZPHR" hidden="1">#REF!</definedName>
    <definedName name="BExXZFVV4YB42AZ3H1I40YG3JAPU" localSheetId="56" hidden="1">#REF!</definedName>
    <definedName name="BExXZFVV4YB42AZ3H1I40YG3JAPU" localSheetId="55" hidden="1">#REF!</definedName>
    <definedName name="BExXZFVV4YB42AZ3H1I40YG3JAPU" localSheetId="4" hidden="1">#REF!</definedName>
    <definedName name="BExXZFVV4YB42AZ3H1I40YG3JAPU" localSheetId="1" hidden="1">#REF!</definedName>
    <definedName name="BExXZFVV4YB42AZ3H1I40YG3JAPU" localSheetId="9" hidden="1">#REF!</definedName>
    <definedName name="BExXZFVV4YB42AZ3H1I40YG3JAPU" hidden="1">#REF!</definedName>
    <definedName name="BExXZG1CQE1M9TDJ99253H6JVGIH" localSheetId="56" hidden="1">#REF!</definedName>
    <definedName name="BExXZG1CQE1M9TDJ99253H6JVGIH" localSheetId="55" hidden="1">#REF!</definedName>
    <definedName name="BExXZG1CQE1M9TDJ99253H6JVGIH" localSheetId="4" hidden="1">#REF!</definedName>
    <definedName name="BExXZG1CQE1M9TDJ99253H6JVGIH" localSheetId="1" hidden="1">#REF!</definedName>
    <definedName name="BExXZG1CQE1M9TDJ99253H6JVGIH" localSheetId="9" hidden="1">#REF!</definedName>
    <definedName name="BExXZG1CQE1M9TDJ99253H6JVGIH" hidden="1">#REF!</definedName>
    <definedName name="BExXZHJ9T2JELF12CHHGD54J1B0C" localSheetId="56" hidden="1">#REF!</definedName>
    <definedName name="BExXZHJ9T2JELF12CHHGD54J1B0C" localSheetId="55" hidden="1">#REF!</definedName>
    <definedName name="BExXZHJ9T2JELF12CHHGD54J1B0C" localSheetId="4" hidden="1">#REF!</definedName>
    <definedName name="BExXZHJ9T2JELF12CHHGD54J1B0C" localSheetId="1" hidden="1">#REF!</definedName>
    <definedName name="BExXZHJ9T2JELF12CHHGD54J1B0C" localSheetId="9" hidden="1">#REF!</definedName>
    <definedName name="BExXZHJ9T2JELF12CHHGD54J1B0C" hidden="1">#REF!</definedName>
    <definedName name="BExXZNJ2X1TK2LRK5ZY3MX49H5T7" localSheetId="56" hidden="1">#REF!</definedName>
    <definedName name="BExXZNJ2X1TK2LRK5ZY3MX49H5T7" localSheetId="55" hidden="1">#REF!</definedName>
    <definedName name="BExXZNJ2X1TK2LRK5ZY3MX49H5T7" localSheetId="4" hidden="1">#REF!</definedName>
    <definedName name="BExXZNJ2X1TK2LRK5ZY3MX49H5T7" localSheetId="1" hidden="1">#REF!</definedName>
    <definedName name="BExXZNJ2X1TK2LRK5ZY3MX49H5T7" localSheetId="9" hidden="1">#REF!</definedName>
    <definedName name="BExXZNJ2X1TK2LRK5ZY3MX49H5T7" hidden="1">#REF!</definedName>
    <definedName name="BExXZOVPCEP495TQSON6PSRQ8XCY" localSheetId="56" hidden="1">#REF!</definedName>
    <definedName name="BExXZOVPCEP495TQSON6PSRQ8XCY" localSheetId="55" hidden="1">#REF!</definedName>
    <definedName name="BExXZOVPCEP495TQSON6PSRQ8XCY" localSheetId="4" hidden="1">#REF!</definedName>
    <definedName name="BExXZOVPCEP495TQSON6PSRQ8XCY" localSheetId="1" hidden="1">#REF!</definedName>
    <definedName name="BExXZOVPCEP495TQSON6PSRQ8XCY" localSheetId="9" hidden="1">#REF!</definedName>
    <definedName name="BExXZOVPCEP495TQSON6PSRQ8XCY" hidden="1">#REF!</definedName>
    <definedName name="BExXZXKH7NBARQQAZM69Z57IH1MM" localSheetId="56" hidden="1">#REF!</definedName>
    <definedName name="BExXZXKH7NBARQQAZM69Z57IH1MM" localSheetId="55" hidden="1">#REF!</definedName>
    <definedName name="BExXZXKH7NBARQQAZM69Z57IH1MM" localSheetId="4" hidden="1">#REF!</definedName>
    <definedName name="BExXZXKH7NBARQQAZM69Z57IH1MM" localSheetId="1" hidden="1">#REF!</definedName>
    <definedName name="BExXZXKH7NBARQQAZM69Z57IH1MM" localSheetId="9" hidden="1">#REF!</definedName>
    <definedName name="BExXZXKH7NBARQQAZM69Z57IH1MM" hidden="1">#REF!</definedName>
    <definedName name="BExY07WSDH5QEVM7BJXJK2ZRAI1O" localSheetId="56" hidden="1">#REF!</definedName>
    <definedName name="BExY07WSDH5QEVM7BJXJK2ZRAI1O" localSheetId="55" hidden="1">#REF!</definedName>
    <definedName name="BExY07WSDH5QEVM7BJXJK2ZRAI1O" localSheetId="4" hidden="1">#REF!</definedName>
    <definedName name="BExY07WSDH5QEVM7BJXJK2ZRAI1O" localSheetId="1" hidden="1">#REF!</definedName>
    <definedName name="BExY07WSDH5QEVM7BJXJK2ZRAI1O" localSheetId="9" hidden="1">#REF!</definedName>
    <definedName name="BExY07WSDH5QEVM7BJXJK2ZRAI1O" hidden="1">#REF!</definedName>
    <definedName name="BExY09PJJWYWGWWLX3YT8EVK0YV4" localSheetId="56" hidden="1">#REF!</definedName>
    <definedName name="BExY09PJJWYWGWWLX3YT8EVK0YV4" localSheetId="55" hidden="1">#REF!</definedName>
    <definedName name="BExY09PJJWYWGWWLX3YT8EVK0YV4" localSheetId="4" hidden="1">#REF!</definedName>
    <definedName name="BExY09PJJWYWGWWLX3YT8EVK0YV4" localSheetId="1" hidden="1">#REF!</definedName>
    <definedName name="BExY09PJJWYWGWWLX3YT8EVK0YV4" localSheetId="9" hidden="1">#REF!</definedName>
    <definedName name="BExY09PJJWYWGWWLX3YT8EVK0YV4" hidden="1">#REF!</definedName>
    <definedName name="BExY0C3UBVC4M59JIRXVQ8OWAJC1" localSheetId="56" hidden="1">#REF!</definedName>
    <definedName name="BExY0C3UBVC4M59JIRXVQ8OWAJC1" localSheetId="55" hidden="1">#REF!</definedName>
    <definedName name="BExY0C3UBVC4M59JIRXVQ8OWAJC1" localSheetId="4" hidden="1">#REF!</definedName>
    <definedName name="BExY0C3UBVC4M59JIRXVQ8OWAJC1" localSheetId="1" hidden="1">#REF!</definedName>
    <definedName name="BExY0C3UBVC4M59JIRXVQ8OWAJC1" localSheetId="9" hidden="1">#REF!</definedName>
    <definedName name="BExY0C3UBVC4M59JIRXVQ8OWAJC1" hidden="1">#REF!</definedName>
    <definedName name="BExY0ENH6ZXHW155XIGS0F46T43M" localSheetId="56" hidden="1">#REF!</definedName>
    <definedName name="BExY0ENH6ZXHW155XIGS0F46T43M" localSheetId="55" hidden="1">#REF!</definedName>
    <definedName name="BExY0ENH6ZXHW155XIGS0F46T43M" localSheetId="4" hidden="1">#REF!</definedName>
    <definedName name="BExY0ENH6ZXHW155XIGS0F46T43M" localSheetId="1" hidden="1">#REF!</definedName>
    <definedName name="BExY0ENH6ZXHW155XIGS0F46T43M" localSheetId="9" hidden="1">#REF!</definedName>
    <definedName name="BExY0ENH6ZXHW155XIGS0F46T43M" hidden="1">#REF!</definedName>
    <definedName name="BExY0IEEUB9SRGD9I14IDCPO5GV4" localSheetId="56" hidden="1">#REF!</definedName>
    <definedName name="BExY0IEEUB9SRGD9I14IDCPO5GV4" localSheetId="55" hidden="1">#REF!</definedName>
    <definedName name="BExY0IEEUB9SRGD9I14IDCPO5GV4" localSheetId="4" hidden="1">#REF!</definedName>
    <definedName name="BExY0IEEUB9SRGD9I14IDCPO5GV4" localSheetId="1" hidden="1">#REF!</definedName>
    <definedName name="BExY0IEEUB9SRGD9I14IDCPO5GV4" localSheetId="9" hidden="1">#REF!</definedName>
    <definedName name="BExY0IEEUB9SRGD9I14IDCPO5GV4" hidden="1">#REF!</definedName>
    <definedName name="BExY0LEAAM7MUGBRLXD6KXBOHZ6S" localSheetId="56" hidden="1">#REF!</definedName>
    <definedName name="BExY0LEAAM7MUGBRLXD6KXBOHZ6S" localSheetId="55" hidden="1">#REF!</definedName>
    <definedName name="BExY0LEAAM7MUGBRLXD6KXBOHZ6S" localSheetId="4" hidden="1">#REF!</definedName>
    <definedName name="BExY0LEAAM7MUGBRLXD6KXBOHZ6S" localSheetId="1" hidden="1">#REF!</definedName>
    <definedName name="BExY0LEAAM7MUGBRLXD6KXBOHZ6S" localSheetId="9" hidden="1">#REF!</definedName>
    <definedName name="BExY0LEAAM7MUGBRLXD6KXBOHZ6S" hidden="1">#REF!</definedName>
    <definedName name="BExY0OE8GFHMLLTEAFIOQTOPEVPB" localSheetId="56" hidden="1">#REF!</definedName>
    <definedName name="BExY0OE8GFHMLLTEAFIOQTOPEVPB" localSheetId="55" hidden="1">#REF!</definedName>
    <definedName name="BExY0OE8GFHMLLTEAFIOQTOPEVPB" localSheetId="4" hidden="1">#REF!</definedName>
    <definedName name="BExY0OE8GFHMLLTEAFIOQTOPEVPB" localSheetId="1" hidden="1">#REF!</definedName>
    <definedName name="BExY0OE8GFHMLLTEAFIOQTOPEVPB" localSheetId="9" hidden="1">#REF!</definedName>
    <definedName name="BExY0OE8GFHMLLTEAFIOQTOPEVPB" hidden="1">#REF!</definedName>
    <definedName name="BExY0OJHW85S0VKBA8T4HTYPYBOS" localSheetId="56" hidden="1">#REF!</definedName>
    <definedName name="BExY0OJHW85S0VKBA8T4HTYPYBOS" localSheetId="55" hidden="1">#REF!</definedName>
    <definedName name="BExY0OJHW85S0VKBA8T4HTYPYBOS" localSheetId="4" hidden="1">#REF!</definedName>
    <definedName name="BExY0OJHW85S0VKBA8T4HTYPYBOS" localSheetId="1" hidden="1">#REF!</definedName>
    <definedName name="BExY0OJHW85S0VKBA8T4HTYPYBOS" localSheetId="9" hidden="1">#REF!</definedName>
    <definedName name="BExY0OJHW85S0VKBA8T4HTYPYBOS" hidden="1">#REF!</definedName>
    <definedName name="BExY0T1E034D7XAXNC6F7540LLIE" localSheetId="56" hidden="1">#REF!</definedName>
    <definedName name="BExY0T1E034D7XAXNC6F7540LLIE" localSheetId="55" hidden="1">#REF!</definedName>
    <definedName name="BExY0T1E034D7XAXNC6F7540LLIE" localSheetId="4" hidden="1">#REF!</definedName>
    <definedName name="BExY0T1E034D7XAXNC6F7540LLIE" localSheetId="1" hidden="1">#REF!</definedName>
    <definedName name="BExY0T1E034D7XAXNC6F7540LLIE" localSheetId="9" hidden="1">#REF!</definedName>
    <definedName name="BExY0T1E034D7XAXNC6F7540LLIE" hidden="1">#REF!</definedName>
    <definedName name="BExY0XTZLHN49J2JH94BYTKBJLT3" localSheetId="56" hidden="1">#REF!</definedName>
    <definedName name="BExY0XTZLHN49J2JH94BYTKBJLT3" localSheetId="55" hidden="1">#REF!</definedName>
    <definedName name="BExY0XTZLHN49J2JH94BYTKBJLT3" localSheetId="4" hidden="1">#REF!</definedName>
    <definedName name="BExY0XTZLHN49J2JH94BYTKBJLT3" localSheetId="1" hidden="1">#REF!</definedName>
    <definedName name="BExY0XTZLHN49J2JH94BYTKBJLT3" localSheetId="9" hidden="1">#REF!</definedName>
    <definedName name="BExY0XTZLHN49J2JH94BYTKBJLT3" hidden="1">#REF!</definedName>
    <definedName name="BExY11FH9TXHERUYGG8FE50U7H7J" localSheetId="56" hidden="1">#REF!</definedName>
    <definedName name="BExY11FH9TXHERUYGG8FE50U7H7J" localSheetId="55" hidden="1">#REF!</definedName>
    <definedName name="BExY11FH9TXHERUYGG8FE50U7H7J" localSheetId="4" hidden="1">#REF!</definedName>
    <definedName name="BExY11FH9TXHERUYGG8FE50U7H7J" localSheetId="1" hidden="1">#REF!</definedName>
    <definedName name="BExY11FH9TXHERUYGG8FE50U7H7J" localSheetId="9" hidden="1">#REF!</definedName>
    <definedName name="BExY11FH9TXHERUYGG8FE50U7H7J" hidden="1">#REF!</definedName>
    <definedName name="BExY180UKNW5NIAWD6ZUYTFEH8QS" localSheetId="56" hidden="1">#REF!</definedName>
    <definedName name="BExY180UKNW5NIAWD6ZUYTFEH8QS" localSheetId="55" hidden="1">#REF!</definedName>
    <definedName name="BExY180UKNW5NIAWD6ZUYTFEH8QS" localSheetId="4" hidden="1">#REF!</definedName>
    <definedName name="BExY180UKNW5NIAWD6ZUYTFEH8QS" localSheetId="1" hidden="1">#REF!</definedName>
    <definedName name="BExY180UKNW5NIAWD6ZUYTFEH8QS" localSheetId="9" hidden="1">#REF!</definedName>
    <definedName name="BExY180UKNW5NIAWD6ZUYTFEH8QS" hidden="1">#REF!</definedName>
    <definedName name="BExY1DPTV4LSY9MEOUGXF8X052NA" localSheetId="56" hidden="1">#REF!</definedName>
    <definedName name="BExY1DPTV4LSY9MEOUGXF8X052NA" localSheetId="55" hidden="1">#REF!</definedName>
    <definedName name="BExY1DPTV4LSY9MEOUGXF8X052NA" localSheetId="4" hidden="1">#REF!</definedName>
    <definedName name="BExY1DPTV4LSY9MEOUGXF8X052NA" localSheetId="1" hidden="1">#REF!</definedName>
    <definedName name="BExY1DPTV4LSY9MEOUGXF8X052NA" localSheetId="9" hidden="1">#REF!</definedName>
    <definedName name="BExY1DPTV4LSY9MEOUGXF8X052NA" hidden="1">#REF!</definedName>
    <definedName name="BExY1GK9ELBEKDD7O6HR6DUO8YGO" localSheetId="56" hidden="1">#REF!</definedName>
    <definedName name="BExY1GK9ELBEKDD7O6HR6DUO8YGO" localSheetId="55" hidden="1">#REF!</definedName>
    <definedName name="BExY1GK9ELBEKDD7O6HR6DUO8YGO" localSheetId="4" hidden="1">#REF!</definedName>
    <definedName name="BExY1GK9ELBEKDD7O6HR6DUO8YGO" localSheetId="1" hidden="1">#REF!</definedName>
    <definedName name="BExY1GK9ELBEKDD7O6HR6DUO8YGO" localSheetId="9" hidden="1">#REF!</definedName>
    <definedName name="BExY1GK9ELBEKDD7O6HR6DUO8YGO" hidden="1">#REF!</definedName>
    <definedName name="BExY1NWOXXFV9GGZ3PX444LZ8TVX" localSheetId="56" hidden="1">#REF!</definedName>
    <definedName name="BExY1NWOXXFV9GGZ3PX444LZ8TVX" localSheetId="55" hidden="1">#REF!</definedName>
    <definedName name="BExY1NWOXXFV9GGZ3PX444LZ8TVX" localSheetId="4" hidden="1">#REF!</definedName>
    <definedName name="BExY1NWOXXFV9GGZ3PX444LZ8TVX" localSheetId="1" hidden="1">#REF!</definedName>
    <definedName name="BExY1NWOXXFV9GGZ3PX444LZ8TVX" localSheetId="9" hidden="1">#REF!</definedName>
    <definedName name="BExY1NWOXXFV9GGZ3PX444LZ8TVX" hidden="1">#REF!</definedName>
    <definedName name="BExY1UCL0RND63LLSM9X5SFRG117" localSheetId="56" hidden="1">#REF!</definedName>
    <definedName name="BExY1UCL0RND63LLSM9X5SFRG117" localSheetId="55" hidden="1">#REF!</definedName>
    <definedName name="BExY1UCL0RND63LLSM9X5SFRG117" localSheetId="4" hidden="1">#REF!</definedName>
    <definedName name="BExY1UCL0RND63LLSM9X5SFRG117" localSheetId="1" hidden="1">#REF!</definedName>
    <definedName name="BExY1UCL0RND63LLSM9X5SFRG117" localSheetId="9" hidden="1">#REF!</definedName>
    <definedName name="BExY1UCL0RND63LLSM9X5SFRG117" hidden="1">#REF!</definedName>
    <definedName name="BExY1WAT3937L08HLHIRQHMP2A3H" localSheetId="56" hidden="1">#REF!</definedName>
    <definedName name="BExY1WAT3937L08HLHIRQHMP2A3H" localSheetId="55" hidden="1">#REF!</definedName>
    <definedName name="BExY1WAT3937L08HLHIRQHMP2A3H" localSheetId="4" hidden="1">#REF!</definedName>
    <definedName name="BExY1WAT3937L08HLHIRQHMP2A3H" localSheetId="1" hidden="1">#REF!</definedName>
    <definedName name="BExY1WAT3937L08HLHIRQHMP2A3H" localSheetId="9" hidden="1">#REF!</definedName>
    <definedName name="BExY1WAT3937L08HLHIRQHMP2A3H" hidden="1">#REF!</definedName>
    <definedName name="BExY1YEBOSLMID7LURP8QB46AI91" localSheetId="56" hidden="1">#REF!</definedName>
    <definedName name="BExY1YEBOSLMID7LURP8QB46AI91" localSheetId="55" hidden="1">#REF!</definedName>
    <definedName name="BExY1YEBOSLMID7LURP8QB46AI91" localSheetId="4" hidden="1">#REF!</definedName>
    <definedName name="BExY1YEBOSLMID7LURP8QB46AI91" localSheetId="1" hidden="1">#REF!</definedName>
    <definedName name="BExY1YEBOSLMID7LURP8QB46AI91" localSheetId="9" hidden="1">#REF!</definedName>
    <definedName name="BExY1YEBOSLMID7LURP8QB46AI91" hidden="1">#REF!</definedName>
    <definedName name="BExY236UB98PA9PNCHMCSZYCHJBD" localSheetId="56" hidden="1">#REF!</definedName>
    <definedName name="BExY236UB98PA9PNCHMCSZYCHJBD" localSheetId="55" hidden="1">#REF!</definedName>
    <definedName name="BExY236UB98PA9PNCHMCSZYCHJBD" localSheetId="4" hidden="1">#REF!</definedName>
    <definedName name="BExY236UB98PA9PNCHMCSZYCHJBD" localSheetId="1" hidden="1">#REF!</definedName>
    <definedName name="BExY236UB98PA9PNCHMCSZYCHJBD" localSheetId="9" hidden="1">#REF!</definedName>
    <definedName name="BExY236UB98PA9PNCHMCSZYCHJBD" hidden="1">#REF!</definedName>
    <definedName name="BExY2FS4LFX9OHOTQT7SJ2PXAC25" localSheetId="56" hidden="1">#REF!</definedName>
    <definedName name="BExY2FS4LFX9OHOTQT7SJ2PXAC25" localSheetId="55" hidden="1">#REF!</definedName>
    <definedName name="BExY2FS4LFX9OHOTQT7SJ2PXAC25" localSheetId="4" hidden="1">#REF!</definedName>
    <definedName name="BExY2FS4LFX9OHOTQT7SJ2PXAC25" localSheetId="1" hidden="1">#REF!</definedName>
    <definedName name="BExY2FS4LFX9OHOTQT7SJ2PXAC25" localSheetId="9" hidden="1">#REF!</definedName>
    <definedName name="BExY2FS4LFX9OHOTQT7SJ2PXAC25" hidden="1">#REF!</definedName>
    <definedName name="BExY2GDPCZPVU0IQ6IJIB1YQQRQ6" localSheetId="56" hidden="1">#REF!</definedName>
    <definedName name="BExY2GDPCZPVU0IQ6IJIB1YQQRQ6" localSheetId="55" hidden="1">#REF!</definedName>
    <definedName name="BExY2GDPCZPVU0IQ6IJIB1YQQRQ6" localSheetId="4" hidden="1">#REF!</definedName>
    <definedName name="BExY2GDPCZPVU0IQ6IJIB1YQQRQ6" localSheetId="1" hidden="1">#REF!</definedName>
    <definedName name="BExY2GDPCZPVU0IQ6IJIB1YQQRQ6" localSheetId="9" hidden="1">#REF!</definedName>
    <definedName name="BExY2GDPCZPVU0IQ6IJIB1YQQRQ6" hidden="1">#REF!</definedName>
    <definedName name="BExY2GTSZ3VA9TXLY7KW1LIAKJ61" localSheetId="56" hidden="1">#REF!</definedName>
    <definedName name="BExY2GTSZ3VA9TXLY7KW1LIAKJ61" localSheetId="55" hidden="1">#REF!</definedName>
    <definedName name="BExY2GTSZ3VA9TXLY7KW1LIAKJ61" localSheetId="4" hidden="1">#REF!</definedName>
    <definedName name="BExY2GTSZ3VA9TXLY7KW1LIAKJ61" localSheetId="1" hidden="1">#REF!</definedName>
    <definedName name="BExY2GTSZ3VA9TXLY7KW1LIAKJ61" localSheetId="9" hidden="1">#REF!</definedName>
    <definedName name="BExY2GTSZ3VA9TXLY7KW1LIAKJ61" hidden="1">#REF!</definedName>
    <definedName name="BExY2IXBR1SGYZH08T7QHKEFS8HA" localSheetId="56" hidden="1">#REF!</definedName>
    <definedName name="BExY2IXBR1SGYZH08T7QHKEFS8HA" localSheetId="55" hidden="1">#REF!</definedName>
    <definedName name="BExY2IXBR1SGYZH08T7QHKEFS8HA" localSheetId="4" hidden="1">#REF!</definedName>
    <definedName name="BExY2IXBR1SGYZH08T7QHKEFS8HA" localSheetId="1" hidden="1">#REF!</definedName>
    <definedName name="BExY2IXBR1SGYZH08T7QHKEFS8HA" localSheetId="9" hidden="1">#REF!</definedName>
    <definedName name="BExY2IXBR1SGYZH08T7QHKEFS8HA" hidden="1">#REF!</definedName>
    <definedName name="BExY2Q4B5FUDA5VU4VRUHX327QN0" localSheetId="56" hidden="1">#REF!</definedName>
    <definedName name="BExY2Q4B5FUDA5VU4VRUHX327QN0" localSheetId="55" hidden="1">#REF!</definedName>
    <definedName name="BExY2Q4B5FUDA5VU4VRUHX327QN0" localSheetId="4" hidden="1">#REF!</definedName>
    <definedName name="BExY2Q4B5FUDA5VU4VRUHX327QN0" localSheetId="1" hidden="1">#REF!</definedName>
    <definedName name="BExY2Q4B5FUDA5VU4VRUHX327QN0" localSheetId="9" hidden="1">#REF!</definedName>
    <definedName name="BExY2Q4B5FUDA5VU4VRUHX327QN0" hidden="1">#REF!</definedName>
    <definedName name="BExY2S7TM2NG7A1NFYPWIFAIKUCO" localSheetId="56" hidden="1">#REF!</definedName>
    <definedName name="BExY2S7TM2NG7A1NFYPWIFAIKUCO" localSheetId="55" hidden="1">#REF!</definedName>
    <definedName name="BExY2S7TM2NG7A1NFYPWIFAIKUCO" localSheetId="4" hidden="1">#REF!</definedName>
    <definedName name="BExY2S7TM2NG7A1NFYPWIFAIKUCO" localSheetId="1" hidden="1">#REF!</definedName>
    <definedName name="BExY2S7TM2NG7A1NFYPWIFAIKUCO" localSheetId="9" hidden="1">#REF!</definedName>
    <definedName name="BExY2S7TM2NG7A1NFYPWIFAIKUCO" hidden="1">#REF!</definedName>
    <definedName name="BExY2Z3ZGRGD12RWANJZ8DFQO776" localSheetId="56" hidden="1">#REF!</definedName>
    <definedName name="BExY2Z3ZGRGD12RWANJZ8DFQO776" localSheetId="55" hidden="1">#REF!</definedName>
    <definedName name="BExY2Z3ZGRGD12RWANJZ8DFQO776" localSheetId="4" hidden="1">#REF!</definedName>
    <definedName name="BExY2Z3ZGRGD12RWANJZ8DFQO776" localSheetId="1" hidden="1">#REF!</definedName>
    <definedName name="BExY2Z3ZGRGD12RWANJZ8DFQO776" localSheetId="9" hidden="1">#REF!</definedName>
    <definedName name="BExY2Z3ZGRGD12RWANJZ8DFQO776" hidden="1">#REF!</definedName>
    <definedName name="BExY30WPXLJ01P42XKBSUF8KNOOK" localSheetId="56" hidden="1">#REF!</definedName>
    <definedName name="BExY30WPXLJ01P42XKBSUF8KNOOK" localSheetId="55" hidden="1">#REF!</definedName>
    <definedName name="BExY30WPXLJ01P42XKBSUF8KNOOK" localSheetId="4" hidden="1">#REF!</definedName>
    <definedName name="BExY30WPXLJ01P42XKBSUF8KNOOK" localSheetId="1" hidden="1">#REF!</definedName>
    <definedName name="BExY30WPXLJ01P42XKBSUF8KNOOK" localSheetId="9" hidden="1">#REF!</definedName>
    <definedName name="BExY30WPXLJ01P42XKBSUF8KNOOK" hidden="1">#REF!</definedName>
    <definedName name="BExY3297KIB0C8Z1G99OS1MCEGTO" localSheetId="56" hidden="1">#REF!</definedName>
    <definedName name="BExY3297KIB0C8Z1G99OS1MCEGTO" localSheetId="55" hidden="1">#REF!</definedName>
    <definedName name="BExY3297KIB0C8Z1G99OS1MCEGTO" localSheetId="4" hidden="1">#REF!</definedName>
    <definedName name="BExY3297KIB0C8Z1G99OS1MCEGTO" localSheetId="1" hidden="1">#REF!</definedName>
    <definedName name="BExY3297KIB0C8Z1G99OS1MCEGTO" localSheetId="9" hidden="1">#REF!</definedName>
    <definedName name="BExY3297KIB0C8Z1G99OS1MCEGTO" hidden="1">#REF!</definedName>
    <definedName name="BExY3HOSK7YI364K15OX70AVR6F1" localSheetId="56" hidden="1">#REF!</definedName>
    <definedName name="BExY3HOSK7YI364K15OX70AVR6F1" localSheetId="55" hidden="1">#REF!</definedName>
    <definedName name="BExY3HOSK7YI364K15OX70AVR6F1" localSheetId="4" hidden="1">#REF!</definedName>
    <definedName name="BExY3HOSK7YI364K15OX70AVR6F1" localSheetId="1" hidden="1">#REF!</definedName>
    <definedName name="BExY3HOSK7YI364K15OX70AVR6F1" localSheetId="9" hidden="1">#REF!</definedName>
    <definedName name="BExY3HOSK7YI364K15OX70AVR6F1" hidden="1">#REF!</definedName>
    <definedName name="BExY3I526B4VA8JBTKXWE3FGVT0D" localSheetId="56" hidden="1">#REF!</definedName>
    <definedName name="BExY3I526B4VA8JBTKXWE3FGVT0D" localSheetId="55" hidden="1">#REF!</definedName>
    <definedName name="BExY3I526B4VA8JBTKXWE3FGVT0D" localSheetId="4" hidden="1">#REF!</definedName>
    <definedName name="BExY3I526B4VA8JBTKXWE3FGVT0D" localSheetId="1" hidden="1">#REF!</definedName>
    <definedName name="BExY3I526B4VA8JBTKXWE3FGVT0D" localSheetId="9" hidden="1">#REF!</definedName>
    <definedName name="BExY3I526B4VA8JBTKXWE3FGVT0D" hidden="1">#REF!</definedName>
    <definedName name="BExY3I52TZR3GXQ9HDVDNIYLIGEH" localSheetId="56" hidden="1">#REF!</definedName>
    <definedName name="BExY3I52TZR3GXQ9HDVDNIYLIGEH" localSheetId="55" hidden="1">#REF!</definedName>
    <definedName name="BExY3I52TZR3GXQ9HDVDNIYLIGEH" localSheetId="4" hidden="1">#REF!</definedName>
    <definedName name="BExY3I52TZR3GXQ9HDVDNIYLIGEH" localSheetId="1" hidden="1">#REF!</definedName>
    <definedName name="BExY3I52TZR3GXQ9HDVDNIYLIGEH" localSheetId="9" hidden="1">#REF!</definedName>
    <definedName name="BExY3I52TZR3GXQ9HDVDNIYLIGEH" hidden="1">#REF!</definedName>
    <definedName name="BExY3T89AUR83SOAZZ3OMDEJDQ39" localSheetId="56" hidden="1">#REF!</definedName>
    <definedName name="BExY3T89AUR83SOAZZ3OMDEJDQ39" localSheetId="55" hidden="1">#REF!</definedName>
    <definedName name="BExY3T89AUR83SOAZZ3OMDEJDQ39" localSheetId="4" hidden="1">#REF!</definedName>
    <definedName name="BExY3T89AUR83SOAZZ3OMDEJDQ39" localSheetId="1" hidden="1">#REF!</definedName>
    <definedName name="BExY3T89AUR83SOAZZ3OMDEJDQ39" localSheetId="9" hidden="1">#REF!</definedName>
    <definedName name="BExY3T89AUR83SOAZZ3OMDEJDQ39" hidden="1">#REF!</definedName>
    <definedName name="BExY3WZ7VO2K6TYCHDY754FY24AA" localSheetId="56" hidden="1">#REF!</definedName>
    <definedName name="BExY3WZ7VO2K6TYCHDY754FY24AA" localSheetId="55" hidden="1">#REF!</definedName>
    <definedName name="BExY3WZ7VO2K6TYCHDY754FY24AA" localSheetId="4" hidden="1">#REF!</definedName>
    <definedName name="BExY3WZ7VO2K6TYCHDY754FY24AA" localSheetId="1" hidden="1">#REF!</definedName>
    <definedName name="BExY3WZ7VO2K6TYCHDY754FY24AA" localSheetId="9" hidden="1">#REF!</definedName>
    <definedName name="BExY3WZ7VO2K6TYCHDY754FY24AA" hidden="1">#REF!</definedName>
    <definedName name="BExY4BIG95HDDO6MY6WBUSWJIOLR" localSheetId="56" hidden="1">#REF!</definedName>
    <definedName name="BExY4BIG95HDDO6MY6WBUSWJIOLR" localSheetId="55" hidden="1">#REF!</definedName>
    <definedName name="BExY4BIG95HDDO6MY6WBUSWJIOLR" localSheetId="4" hidden="1">#REF!</definedName>
    <definedName name="BExY4BIG95HDDO6MY6WBUSWJIOLR" localSheetId="1" hidden="1">#REF!</definedName>
    <definedName name="BExY4BIG95HDDO6MY6WBUSWJIOLR" localSheetId="9" hidden="1">#REF!</definedName>
    <definedName name="BExY4BIG95HDDO6MY6WBUSWJIOLR" hidden="1">#REF!</definedName>
    <definedName name="BExY4MG771JQ84EMIVB6HQGGHZY7" localSheetId="56" hidden="1">#REF!</definedName>
    <definedName name="BExY4MG771JQ84EMIVB6HQGGHZY7" localSheetId="55" hidden="1">#REF!</definedName>
    <definedName name="BExY4MG771JQ84EMIVB6HQGGHZY7" localSheetId="4" hidden="1">#REF!</definedName>
    <definedName name="BExY4MG771JQ84EMIVB6HQGGHZY7" localSheetId="1" hidden="1">#REF!</definedName>
    <definedName name="BExY4MG771JQ84EMIVB6HQGGHZY7" localSheetId="9" hidden="1">#REF!</definedName>
    <definedName name="BExY4MG771JQ84EMIVB6HQGGHZY7" hidden="1">#REF!</definedName>
    <definedName name="BExY4PWCSFB8P3J3TBQB2MD67263" localSheetId="56" hidden="1">#REF!</definedName>
    <definedName name="BExY4PWCSFB8P3J3TBQB2MD67263" localSheetId="55" hidden="1">#REF!</definedName>
    <definedName name="BExY4PWCSFB8P3J3TBQB2MD67263" localSheetId="4" hidden="1">#REF!</definedName>
    <definedName name="BExY4PWCSFB8P3J3TBQB2MD67263" localSheetId="1" hidden="1">#REF!</definedName>
    <definedName name="BExY4PWCSFB8P3J3TBQB2MD67263" localSheetId="9" hidden="1">#REF!</definedName>
    <definedName name="BExY4PWCSFB8P3J3TBQB2MD67263" hidden="1">#REF!</definedName>
    <definedName name="BExY4RP3BE6KYZDIKQZO4U4DIT33" localSheetId="56" hidden="1">#REF!</definedName>
    <definedName name="BExY4RP3BE6KYZDIKQZO4U4DIT33" localSheetId="55" hidden="1">#REF!</definedName>
    <definedName name="BExY4RP3BE6KYZDIKQZO4U4DIT33" localSheetId="4" hidden="1">#REF!</definedName>
    <definedName name="BExY4RP3BE6KYZDIKQZO4U4DIT33" localSheetId="1" hidden="1">#REF!</definedName>
    <definedName name="BExY4RP3BE6KYZDIKQZO4U4DIT33" localSheetId="9" hidden="1">#REF!</definedName>
    <definedName name="BExY4RP3BE6KYZDIKQZO4U4DIT33" hidden="1">#REF!</definedName>
    <definedName name="BExY4RZW3KK11JLYBA4DWZ92M6LQ" localSheetId="56" hidden="1">#REF!</definedName>
    <definedName name="BExY4RZW3KK11JLYBA4DWZ92M6LQ" localSheetId="55" hidden="1">#REF!</definedName>
    <definedName name="BExY4RZW3KK11JLYBA4DWZ92M6LQ" localSheetId="4" hidden="1">#REF!</definedName>
    <definedName name="BExY4RZW3KK11JLYBA4DWZ92M6LQ" localSheetId="1" hidden="1">#REF!</definedName>
    <definedName name="BExY4RZW3KK11JLYBA4DWZ92M6LQ" localSheetId="9" hidden="1">#REF!</definedName>
    <definedName name="BExY4RZW3KK11JLYBA4DWZ92M6LQ" hidden="1">#REF!</definedName>
    <definedName name="BExY4XOVTTNVZ577RLIEC7NZQFIX" localSheetId="56" hidden="1">#REF!</definedName>
    <definedName name="BExY4XOVTTNVZ577RLIEC7NZQFIX" localSheetId="55" hidden="1">#REF!</definedName>
    <definedName name="BExY4XOVTTNVZ577RLIEC7NZQFIX" localSheetId="4" hidden="1">#REF!</definedName>
    <definedName name="BExY4XOVTTNVZ577RLIEC7NZQFIX" localSheetId="1" hidden="1">#REF!</definedName>
    <definedName name="BExY4XOVTTNVZ577RLIEC7NZQFIX" localSheetId="9" hidden="1">#REF!</definedName>
    <definedName name="BExY4XOVTTNVZ577RLIEC7NZQFIX" hidden="1">#REF!</definedName>
    <definedName name="BExY50JAF5CG01GTHAUS7I4ZLUDC" localSheetId="56" hidden="1">#REF!</definedName>
    <definedName name="BExY50JAF5CG01GTHAUS7I4ZLUDC" localSheetId="55" hidden="1">#REF!</definedName>
    <definedName name="BExY50JAF5CG01GTHAUS7I4ZLUDC" localSheetId="4" hidden="1">#REF!</definedName>
    <definedName name="BExY50JAF5CG01GTHAUS7I4ZLUDC" localSheetId="1" hidden="1">#REF!</definedName>
    <definedName name="BExY50JAF5CG01GTHAUS7I4ZLUDC" localSheetId="9" hidden="1">#REF!</definedName>
    <definedName name="BExY50JAF5CG01GTHAUS7I4ZLUDC" hidden="1">#REF!</definedName>
    <definedName name="BExY53J7EXFEOFTRNAHLK7IH3ACB" localSheetId="56" hidden="1">#REF!</definedName>
    <definedName name="BExY53J7EXFEOFTRNAHLK7IH3ACB" localSheetId="55" hidden="1">#REF!</definedName>
    <definedName name="BExY53J7EXFEOFTRNAHLK7IH3ACB" localSheetId="4" hidden="1">#REF!</definedName>
    <definedName name="BExY53J7EXFEOFTRNAHLK7IH3ACB" localSheetId="1" hidden="1">#REF!</definedName>
    <definedName name="BExY53J7EXFEOFTRNAHLK7IH3ACB" localSheetId="9" hidden="1">#REF!</definedName>
    <definedName name="BExY53J7EXFEOFTRNAHLK7IH3ACB" hidden="1">#REF!</definedName>
    <definedName name="BExY5515SJTJS3VM80M3YYR0WF37" localSheetId="56" hidden="1">#REF!</definedName>
    <definedName name="BExY5515SJTJS3VM80M3YYR0WF37" localSheetId="55" hidden="1">#REF!</definedName>
    <definedName name="BExY5515SJTJS3VM80M3YYR0WF37" localSheetId="4" hidden="1">#REF!</definedName>
    <definedName name="BExY5515SJTJS3VM80M3YYR0WF37" localSheetId="1" hidden="1">#REF!</definedName>
    <definedName name="BExY5515SJTJS3VM80M3YYR0WF37" localSheetId="9" hidden="1">#REF!</definedName>
    <definedName name="BExY5515SJTJS3VM80M3YYR0WF37" hidden="1">#REF!</definedName>
    <definedName name="BExY5515WE39FQ3EG5QHG67V9C0O" localSheetId="56" hidden="1">#REF!</definedName>
    <definedName name="BExY5515WE39FQ3EG5QHG67V9C0O" localSheetId="55" hidden="1">#REF!</definedName>
    <definedName name="BExY5515WE39FQ3EG5QHG67V9C0O" localSheetId="4" hidden="1">#REF!</definedName>
    <definedName name="BExY5515WE39FQ3EG5QHG67V9C0O" localSheetId="1" hidden="1">#REF!</definedName>
    <definedName name="BExY5515WE39FQ3EG5QHG67V9C0O" localSheetId="9" hidden="1">#REF!</definedName>
    <definedName name="BExY5515WE39FQ3EG5QHG67V9C0O" hidden="1">#REF!</definedName>
    <definedName name="BExY5986WNAD8NFCPXC9TVLBU4FG" localSheetId="56" hidden="1">#REF!</definedName>
    <definedName name="BExY5986WNAD8NFCPXC9TVLBU4FG" localSheetId="55" hidden="1">#REF!</definedName>
    <definedName name="BExY5986WNAD8NFCPXC9TVLBU4FG" localSheetId="4" hidden="1">#REF!</definedName>
    <definedName name="BExY5986WNAD8NFCPXC9TVLBU4FG" localSheetId="1" hidden="1">#REF!</definedName>
    <definedName name="BExY5986WNAD8NFCPXC9TVLBU4FG" localSheetId="9" hidden="1">#REF!</definedName>
    <definedName name="BExY5986WNAD8NFCPXC9TVLBU4FG" hidden="1">#REF!</definedName>
    <definedName name="BExY5DF9MS25IFNWGJ1YAS5MDN8R" localSheetId="56" hidden="1">#REF!</definedName>
    <definedName name="BExY5DF9MS25IFNWGJ1YAS5MDN8R" localSheetId="55" hidden="1">#REF!</definedName>
    <definedName name="BExY5DF9MS25IFNWGJ1YAS5MDN8R" localSheetId="4" hidden="1">#REF!</definedName>
    <definedName name="BExY5DF9MS25IFNWGJ1YAS5MDN8R" localSheetId="1" hidden="1">#REF!</definedName>
    <definedName name="BExY5DF9MS25IFNWGJ1YAS5MDN8R" localSheetId="9" hidden="1">#REF!</definedName>
    <definedName name="BExY5DF9MS25IFNWGJ1YAS5MDN8R" hidden="1">#REF!</definedName>
    <definedName name="BExY5ERVGL3UM2MGT8LJ0XPKTZEK" localSheetId="56" hidden="1">#REF!</definedName>
    <definedName name="BExY5ERVGL3UM2MGT8LJ0XPKTZEK" localSheetId="55" hidden="1">#REF!</definedName>
    <definedName name="BExY5ERVGL3UM2MGT8LJ0XPKTZEK" localSheetId="4" hidden="1">#REF!</definedName>
    <definedName name="BExY5ERVGL3UM2MGT8LJ0XPKTZEK" localSheetId="1" hidden="1">#REF!</definedName>
    <definedName name="BExY5ERVGL3UM2MGT8LJ0XPKTZEK" localSheetId="9" hidden="1">#REF!</definedName>
    <definedName name="BExY5ERVGL3UM2MGT8LJ0XPKTZEK" hidden="1">#REF!</definedName>
    <definedName name="BExY5EX6NJFK8W754ZVZDN5DS04K" localSheetId="56" hidden="1">#REF!</definedName>
    <definedName name="BExY5EX6NJFK8W754ZVZDN5DS04K" localSheetId="55" hidden="1">#REF!</definedName>
    <definedName name="BExY5EX6NJFK8W754ZVZDN5DS04K" localSheetId="4" hidden="1">#REF!</definedName>
    <definedName name="BExY5EX6NJFK8W754ZVZDN5DS04K" localSheetId="1" hidden="1">#REF!</definedName>
    <definedName name="BExY5EX6NJFK8W754ZVZDN5DS04K" localSheetId="9" hidden="1">#REF!</definedName>
    <definedName name="BExY5EX6NJFK8W754ZVZDN5DS04K" hidden="1">#REF!</definedName>
    <definedName name="BExY5S3XD1NJT109CV54IFOHVLQ6" localSheetId="56" hidden="1">#REF!</definedName>
    <definedName name="BExY5S3XD1NJT109CV54IFOHVLQ6" localSheetId="55" hidden="1">#REF!</definedName>
    <definedName name="BExY5S3XD1NJT109CV54IFOHVLQ6" localSheetId="4" hidden="1">#REF!</definedName>
    <definedName name="BExY5S3XD1NJT109CV54IFOHVLQ6" localSheetId="1" hidden="1">#REF!</definedName>
    <definedName name="BExY5S3XD1NJT109CV54IFOHVLQ6" localSheetId="9" hidden="1">#REF!</definedName>
    <definedName name="BExY5S3XD1NJT109CV54IFOHVLQ6" hidden="1">#REF!</definedName>
    <definedName name="BExY5W088PPAPLSMR2P7FV2CRDCT" localSheetId="56" hidden="1">#REF!</definedName>
    <definedName name="BExY5W088PPAPLSMR2P7FV2CRDCT" localSheetId="55" hidden="1">#REF!</definedName>
    <definedName name="BExY5W088PPAPLSMR2P7FV2CRDCT" localSheetId="4" hidden="1">#REF!</definedName>
    <definedName name="BExY5W088PPAPLSMR2P7FV2CRDCT" localSheetId="1" hidden="1">#REF!</definedName>
    <definedName name="BExY5W088PPAPLSMR2P7FV2CRDCT" localSheetId="9" hidden="1">#REF!</definedName>
    <definedName name="BExY5W088PPAPLSMR2P7FV2CRDCT" hidden="1">#REF!</definedName>
    <definedName name="BExY6KA6BQ6H4SH5EMJBVF8UR4ZY" localSheetId="56" hidden="1">#REF!</definedName>
    <definedName name="BExY6KA6BQ6H4SH5EMJBVF8UR4ZY" localSheetId="55" hidden="1">#REF!</definedName>
    <definedName name="BExY6KA6BQ6H4SH5EMJBVF8UR4ZY" localSheetId="4" hidden="1">#REF!</definedName>
    <definedName name="BExY6KA6BQ6H4SH5EMJBVF8UR4ZY" localSheetId="1" hidden="1">#REF!</definedName>
    <definedName name="BExY6KA6BQ6H4SH5EMJBVF8UR4ZY" localSheetId="9" hidden="1">#REF!</definedName>
    <definedName name="BExY6KA6BQ6H4SH5EMJBVF8UR4ZY" hidden="1">#REF!</definedName>
    <definedName name="BExY6KVS1MMZ2R34PGEFR2BMTU9W" localSheetId="56" hidden="1">#REF!</definedName>
    <definedName name="BExY6KVS1MMZ2R34PGEFR2BMTU9W" localSheetId="55" hidden="1">#REF!</definedName>
    <definedName name="BExY6KVS1MMZ2R34PGEFR2BMTU9W" localSheetId="4" hidden="1">#REF!</definedName>
    <definedName name="BExY6KVS1MMZ2R34PGEFR2BMTU9W" localSheetId="1" hidden="1">#REF!</definedName>
    <definedName name="BExY6KVS1MMZ2R34PGEFR2BMTU9W" localSheetId="9" hidden="1">#REF!</definedName>
    <definedName name="BExY6KVS1MMZ2R34PGEFR2BMTU9W" hidden="1">#REF!</definedName>
    <definedName name="BExY6Q9YY7LW745GP7CYOGGSPHGE" localSheetId="56" hidden="1">#REF!</definedName>
    <definedName name="BExY6Q9YY7LW745GP7CYOGGSPHGE" localSheetId="55" hidden="1">#REF!</definedName>
    <definedName name="BExY6Q9YY7LW745GP7CYOGGSPHGE" localSheetId="4" hidden="1">#REF!</definedName>
    <definedName name="BExY6Q9YY7LW745GP7CYOGGSPHGE" localSheetId="1" hidden="1">#REF!</definedName>
    <definedName name="BExY6Q9YY7LW745GP7CYOGGSPHGE" localSheetId="9" hidden="1">#REF!</definedName>
    <definedName name="BExY6Q9YY7LW745GP7CYOGGSPHGE" hidden="1">#REF!</definedName>
    <definedName name="BExY6R6BYIQZ4OR1E7YI0OVOC08W" localSheetId="56" hidden="1">#REF!</definedName>
    <definedName name="BExY6R6BYIQZ4OR1E7YI0OVOC08W" localSheetId="55" hidden="1">#REF!</definedName>
    <definedName name="BExY6R6BYIQZ4OR1E7YI0OVOC08W" localSheetId="4" hidden="1">#REF!</definedName>
    <definedName name="BExY6R6BYIQZ4OR1E7YI0OVOC08W" localSheetId="1" hidden="1">#REF!</definedName>
    <definedName name="BExY6R6BYIQZ4OR1E7YI0OVOC08W" localSheetId="9" hidden="1">#REF!</definedName>
    <definedName name="BExY6R6BYIQZ4OR1E7YI0OVOC08W" hidden="1">#REF!</definedName>
    <definedName name="BExZIA3C8LKJTEH3MKQ57KJH5TA2" localSheetId="56" hidden="1">#REF!</definedName>
    <definedName name="BExZIA3C8LKJTEH3MKQ57KJH5TA2" localSheetId="55" hidden="1">#REF!</definedName>
    <definedName name="BExZIA3C8LKJTEH3MKQ57KJH5TA2" localSheetId="4" hidden="1">#REF!</definedName>
    <definedName name="BExZIA3C8LKJTEH3MKQ57KJH5TA2" localSheetId="1" hidden="1">#REF!</definedName>
    <definedName name="BExZIA3C8LKJTEH3MKQ57KJH5TA2" localSheetId="9" hidden="1">#REF!</definedName>
    <definedName name="BExZIA3C8LKJTEH3MKQ57KJH5TA2" hidden="1">#REF!</definedName>
    <definedName name="BExZIGDWFIOPMMVCRWX45OIJ5AP3" localSheetId="56" hidden="1">#REF!</definedName>
    <definedName name="BExZIGDWFIOPMMVCRWX45OIJ5AP3" localSheetId="55" hidden="1">#REF!</definedName>
    <definedName name="BExZIGDWFIOPMMVCRWX45OIJ5AP3" localSheetId="4" hidden="1">#REF!</definedName>
    <definedName name="BExZIGDWFIOPMMVCRWX45OIJ5AP3" localSheetId="1" hidden="1">#REF!</definedName>
    <definedName name="BExZIGDWFIOPMMVCRWX45OIJ5AP3" localSheetId="9" hidden="1">#REF!</definedName>
    <definedName name="BExZIGDWFIOPMMVCRWX45OIJ5AP3" hidden="1">#REF!</definedName>
    <definedName name="BExZIIHH3QNQE3GFMHEE4UMHY6WQ" localSheetId="56" hidden="1">#REF!</definedName>
    <definedName name="BExZIIHH3QNQE3GFMHEE4UMHY6WQ" localSheetId="55" hidden="1">#REF!</definedName>
    <definedName name="BExZIIHH3QNQE3GFMHEE4UMHY6WQ" localSheetId="4" hidden="1">#REF!</definedName>
    <definedName name="BExZIIHH3QNQE3GFMHEE4UMHY6WQ" localSheetId="1" hidden="1">#REF!</definedName>
    <definedName name="BExZIIHH3QNQE3GFMHEE4UMHY6WQ" localSheetId="9" hidden="1">#REF!</definedName>
    <definedName name="BExZIIHH3QNQE3GFMHEE4UMHY6WQ" hidden="1">#REF!</definedName>
    <definedName name="BExZIYO22G5UXOB42GDLYGVRJ6U7" localSheetId="56" hidden="1">#REF!</definedName>
    <definedName name="BExZIYO22G5UXOB42GDLYGVRJ6U7" localSheetId="55" hidden="1">#REF!</definedName>
    <definedName name="BExZIYO22G5UXOB42GDLYGVRJ6U7" localSheetId="4" hidden="1">#REF!</definedName>
    <definedName name="BExZIYO22G5UXOB42GDLYGVRJ6U7" localSheetId="1" hidden="1">#REF!</definedName>
    <definedName name="BExZIYO22G5UXOB42GDLYGVRJ6U7" localSheetId="9" hidden="1">#REF!</definedName>
    <definedName name="BExZIYO22G5UXOB42GDLYGVRJ6U7" hidden="1">#REF!</definedName>
    <definedName name="BExZJ7I9T8XU4MZRKJ1VVU76V2LZ" localSheetId="56" hidden="1">#REF!</definedName>
    <definedName name="BExZJ7I9T8XU4MZRKJ1VVU76V2LZ" localSheetId="55" hidden="1">#REF!</definedName>
    <definedName name="BExZJ7I9T8XU4MZRKJ1VVU76V2LZ" localSheetId="4" hidden="1">#REF!</definedName>
    <definedName name="BExZJ7I9T8XU4MZRKJ1VVU76V2LZ" localSheetId="1" hidden="1">#REF!</definedName>
    <definedName name="BExZJ7I9T8XU4MZRKJ1VVU76V2LZ" localSheetId="9" hidden="1">#REF!</definedName>
    <definedName name="BExZJ7I9T8XU4MZRKJ1VVU76V2LZ" hidden="1">#REF!</definedName>
    <definedName name="BExZJMY170JCUU1RWASNZ1HJPRTA" localSheetId="56" hidden="1">#REF!</definedName>
    <definedName name="BExZJMY170JCUU1RWASNZ1HJPRTA" localSheetId="55" hidden="1">#REF!</definedName>
    <definedName name="BExZJMY170JCUU1RWASNZ1HJPRTA" localSheetId="4" hidden="1">#REF!</definedName>
    <definedName name="BExZJMY170JCUU1RWASNZ1HJPRTA" localSheetId="1" hidden="1">#REF!</definedName>
    <definedName name="BExZJMY170JCUU1RWASNZ1HJPRTA" localSheetId="9" hidden="1">#REF!</definedName>
    <definedName name="BExZJMY170JCUU1RWASNZ1HJPRTA" hidden="1">#REF!</definedName>
    <definedName name="BExZJOQR77H0P4SUKVYACDCFBBXO" localSheetId="56" hidden="1">#REF!</definedName>
    <definedName name="BExZJOQR77H0P4SUKVYACDCFBBXO" localSheetId="55" hidden="1">#REF!</definedName>
    <definedName name="BExZJOQR77H0P4SUKVYACDCFBBXO" localSheetId="4" hidden="1">#REF!</definedName>
    <definedName name="BExZJOQR77H0P4SUKVYACDCFBBXO" localSheetId="1" hidden="1">#REF!</definedName>
    <definedName name="BExZJOQR77H0P4SUKVYACDCFBBXO" localSheetId="9" hidden="1">#REF!</definedName>
    <definedName name="BExZJOQR77H0P4SUKVYACDCFBBXO" hidden="1">#REF!</definedName>
    <definedName name="BExZJS6RG34ODDY9HMZ0O34MEMSB" localSheetId="56" hidden="1">#REF!</definedName>
    <definedName name="BExZJS6RG34ODDY9HMZ0O34MEMSB" localSheetId="55" hidden="1">#REF!</definedName>
    <definedName name="BExZJS6RG34ODDY9HMZ0O34MEMSB" localSheetId="4" hidden="1">#REF!</definedName>
    <definedName name="BExZJS6RG34ODDY9HMZ0O34MEMSB" localSheetId="1" hidden="1">#REF!</definedName>
    <definedName name="BExZJS6RG34ODDY9HMZ0O34MEMSB" localSheetId="9" hidden="1">#REF!</definedName>
    <definedName name="BExZJS6RG34ODDY9HMZ0O34MEMSB" hidden="1">#REF!</definedName>
    <definedName name="BExZK34NR4BAD7HJAP7SQ926UQP3" localSheetId="56" hidden="1">#REF!</definedName>
    <definedName name="BExZK34NR4BAD7HJAP7SQ926UQP3" localSheetId="55" hidden="1">#REF!</definedName>
    <definedName name="BExZK34NR4BAD7HJAP7SQ926UQP3" localSheetId="4" hidden="1">#REF!</definedName>
    <definedName name="BExZK34NR4BAD7HJAP7SQ926UQP3" localSheetId="1" hidden="1">#REF!</definedName>
    <definedName name="BExZK34NR4BAD7HJAP7SQ926UQP3" localSheetId="9" hidden="1">#REF!</definedName>
    <definedName name="BExZK34NR4BAD7HJAP7SQ926UQP3" hidden="1">#REF!</definedName>
    <definedName name="BExZK3FGPHH5H771U7D5XY7XBS6E" localSheetId="56" hidden="1">#REF!</definedName>
    <definedName name="BExZK3FGPHH5H771U7D5XY7XBS6E" localSheetId="55" hidden="1">#REF!</definedName>
    <definedName name="BExZK3FGPHH5H771U7D5XY7XBS6E" localSheetId="4" hidden="1">#REF!</definedName>
    <definedName name="BExZK3FGPHH5H771U7D5XY7XBS6E" localSheetId="1" hidden="1">#REF!</definedName>
    <definedName name="BExZK3FGPHH5H771U7D5XY7XBS6E" localSheetId="9" hidden="1">#REF!</definedName>
    <definedName name="BExZK3FGPHH5H771U7D5XY7XBS6E" hidden="1">#REF!</definedName>
    <definedName name="BExZK46CVVS9X1BZ6LLL71016ENT" localSheetId="56" hidden="1">#REF!</definedName>
    <definedName name="BExZK46CVVS9X1BZ6LLL71016ENT" localSheetId="55" hidden="1">#REF!</definedName>
    <definedName name="BExZK46CVVS9X1BZ6LLL71016ENT" localSheetId="4" hidden="1">#REF!</definedName>
    <definedName name="BExZK46CVVS9X1BZ6LLL71016ENT" localSheetId="1" hidden="1">#REF!</definedName>
    <definedName name="BExZK46CVVS9X1BZ6LLL71016ENT" localSheetId="9" hidden="1">#REF!</definedName>
    <definedName name="BExZK46CVVS9X1BZ6LLL71016ENT" hidden="1">#REF!</definedName>
    <definedName name="BExZK52PZLTP1F04T09MP30BVT7H" localSheetId="56" hidden="1">#REF!</definedName>
    <definedName name="BExZK52PZLTP1F04T09MP30BVT7H" localSheetId="55" hidden="1">#REF!</definedName>
    <definedName name="BExZK52PZLTP1F04T09MP30BVT7H" localSheetId="4" hidden="1">#REF!</definedName>
    <definedName name="BExZK52PZLTP1F04T09MP30BVT7H" localSheetId="1" hidden="1">#REF!</definedName>
    <definedName name="BExZK52PZLTP1F04T09MP30BVT7H" localSheetId="9" hidden="1">#REF!</definedName>
    <definedName name="BExZK52PZLTP1F04T09MP30BVT7H" hidden="1">#REF!</definedName>
    <definedName name="BExZKHYORG3O8C772XPFHM1N8T80" localSheetId="56" hidden="1">#REF!</definedName>
    <definedName name="BExZKHYORG3O8C772XPFHM1N8T80" localSheetId="55" hidden="1">#REF!</definedName>
    <definedName name="BExZKHYORG3O8C772XPFHM1N8T80" localSheetId="4" hidden="1">#REF!</definedName>
    <definedName name="BExZKHYORG3O8C772XPFHM1N8T80" localSheetId="1" hidden="1">#REF!</definedName>
    <definedName name="BExZKHYORG3O8C772XPFHM1N8T80" localSheetId="9" hidden="1">#REF!</definedName>
    <definedName name="BExZKHYORG3O8C772XPFHM1N8T80" hidden="1">#REF!</definedName>
    <definedName name="BExZKJRF2IRR57DG9CLC7MSHWNNN" localSheetId="56" hidden="1">#REF!</definedName>
    <definedName name="BExZKJRF2IRR57DG9CLC7MSHWNNN" localSheetId="55" hidden="1">#REF!</definedName>
    <definedName name="BExZKJRF2IRR57DG9CLC7MSHWNNN" localSheetId="4" hidden="1">#REF!</definedName>
    <definedName name="BExZKJRF2IRR57DG9CLC7MSHWNNN" localSheetId="1" hidden="1">#REF!</definedName>
    <definedName name="BExZKJRF2IRR57DG9CLC7MSHWNNN" localSheetId="9" hidden="1">#REF!</definedName>
    <definedName name="BExZKJRF2IRR57DG9CLC7MSHWNNN" hidden="1">#REF!</definedName>
    <definedName name="BExZKV5GYXO0X760SBD9TWTIQHGI" localSheetId="56" hidden="1">#REF!</definedName>
    <definedName name="BExZKV5GYXO0X760SBD9TWTIQHGI" localSheetId="55" hidden="1">#REF!</definedName>
    <definedName name="BExZKV5GYXO0X760SBD9TWTIQHGI" localSheetId="4" hidden="1">#REF!</definedName>
    <definedName name="BExZKV5GYXO0X760SBD9TWTIQHGI" localSheetId="1" hidden="1">#REF!</definedName>
    <definedName name="BExZKV5GYXO0X760SBD9TWTIQHGI" localSheetId="9" hidden="1">#REF!</definedName>
    <definedName name="BExZKV5GYXO0X760SBD9TWTIQHGI" hidden="1">#REF!</definedName>
    <definedName name="BExZKZCGNEA9IPON37A91L4H4H17" localSheetId="56" hidden="1">#REF!</definedName>
    <definedName name="BExZKZCGNEA9IPON37A91L4H4H17" localSheetId="55" hidden="1">#REF!</definedName>
    <definedName name="BExZKZCGNEA9IPON37A91L4H4H17" localSheetId="4" hidden="1">#REF!</definedName>
    <definedName name="BExZKZCGNEA9IPON37A91L4H4H17" localSheetId="1" hidden="1">#REF!</definedName>
    <definedName name="BExZKZCGNEA9IPON37A91L4H4H17" localSheetId="9" hidden="1">#REF!</definedName>
    <definedName name="BExZKZCGNEA9IPON37A91L4H4H17" hidden="1">#REF!</definedName>
    <definedName name="BExZL6E4YVXRUN7ZGF2BIGIXFR8K" localSheetId="56" hidden="1">#REF!</definedName>
    <definedName name="BExZL6E4YVXRUN7ZGF2BIGIXFR8K" localSheetId="55" hidden="1">#REF!</definedName>
    <definedName name="BExZL6E4YVXRUN7ZGF2BIGIXFR8K" localSheetId="4" hidden="1">#REF!</definedName>
    <definedName name="BExZL6E4YVXRUN7ZGF2BIGIXFR8K" localSheetId="1" hidden="1">#REF!</definedName>
    <definedName name="BExZL6E4YVXRUN7ZGF2BIGIXFR8K" localSheetId="9" hidden="1">#REF!</definedName>
    <definedName name="BExZL6E4YVXRUN7ZGF2BIGIXFR8K" hidden="1">#REF!</definedName>
    <definedName name="BExZLF2ZTA4EPN0GHO7C5O8DZ1SN" localSheetId="56" hidden="1">#REF!</definedName>
    <definedName name="BExZLF2ZTA4EPN0GHO7C5O8DZ1SN" localSheetId="55" hidden="1">#REF!</definedName>
    <definedName name="BExZLF2ZTA4EPN0GHO7C5O8DZ1SN" localSheetId="4" hidden="1">#REF!</definedName>
    <definedName name="BExZLF2ZTA4EPN0GHO7C5O8DZ1SN" localSheetId="1" hidden="1">#REF!</definedName>
    <definedName name="BExZLF2ZTA4EPN0GHO7C5O8DZ1SN" localSheetId="9" hidden="1">#REF!</definedName>
    <definedName name="BExZLF2ZTA4EPN0GHO7C5O8DZ1SN" hidden="1">#REF!</definedName>
    <definedName name="BExZLGVLMKTPFXG42QYT0PO81G7F" localSheetId="56" hidden="1">#REF!</definedName>
    <definedName name="BExZLGVLMKTPFXG42QYT0PO81G7F" localSheetId="55" hidden="1">#REF!</definedName>
    <definedName name="BExZLGVLMKTPFXG42QYT0PO81G7F" localSheetId="4" hidden="1">#REF!</definedName>
    <definedName name="BExZLGVLMKTPFXG42QYT0PO81G7F" localSheetId="1" hidden="1">#REF!</definedName>
    <definedName name="BExZLGVLMKTPFXG42QYT0PO81G7F" localSheetId="9" hidden="1">#REF!</definedName>
    <definedName name="BExZLGVLMKTPFXG42QYT0PO81G7F" hidden="1">#REF!</definedName>
    <definedName name="BExZLHRYQQ7BYD3VQWHVTZGYGRCT" localSheetId="56" hidden="1">#REF!</definedName>
    <definedName name="BExZLHRYQQ7BYD3VQWHVTZGYGRCT" localSheetId="55" hidden="1">#REF!</definedName>
    <definedName name="BExZLHRYQQ7BYD3VQWHVTZGYGRCT" localSheetId="4" hidden="1">#REF!</definedName>
    <definedName name="BExZLHRYQQ7BYD3VQWHVTZGYGRCT" localSheetId="1" hidden="1">#REF!</definedName>
    <definedName name="BExZLHRYQQ7BYD3VQWHVTZGYGRCT" localSheetId="9" hidden="1">#REF!</definedName>
    <definedName name="BExZLHRYQQ7BYD3VQWHVTZGYGRCT" hidden="1">#REF!</definedName>
    <definedName name="BExZLKMK7LRK14S09WLMH7MXSQXM" localSheetId="56" hidden="1">#REF!</definedName>
    <definedName name="BExZLKMK7LRK14S09WLMH7MXSQXM" localSheetId="55" hidden="1">#REF!</definedName>
    <definedName name="BExZLKMK7LRK14S09WLMH7MXSQXM" localSheetId="4" hidden="1">#REF!</definedName>
    <definedName name="BExZLKMK7LRK14S09WLMH7MXSQXM" localSheetId="1" hidden="1">#REF!</definedName>
    <definedName name="BExZLKMK7LRK14S09WLMH7MXSQXM" localSheetId="9" hidden="1">#REF!</definedName>
    <definedName name="BExZLKMK7LRK14S09WLMH7MXSQXM" hidden="1">#REF!</definedName>
    <definedName name="BExZM503X0NZBS0FF22LK2RGG6GP" localSheetId="56" hidden="1">#REF!</definedName>
    <definedName name="BExZM503X0NZBS0FF22LK2RGG6GP" localSheetId="55" hidden="1">#REF!</definedName>
    <definedName name="BExZM503X0NZBS0FF22LK2RGG6GP" localSheetId="4" hidden="1">#REF!</definedName>
    <definedName name="BExZM503X0NZBS0FF22LK2RGG6GP" localSheetId="1" hidden="1">#REF!</definedName>
    <definedName name="BExZM503X0NZBS0FF22LK2RGG6GP" localSheetId="9" hidden="1">#REF!</definedName>
    <definedName name="BExZM503X0NZBS0FF22LK2RGG6GP" hidden="1">#REF!</definedName>
    <definedName name="BExZM7JVLG0W8EG5RBU915U3SKBY" localSheetId="56" hidden="1">#REF!</definedName>
    <definedName name="BExZM7JVLG0W8EG5RBU915U3SKBY" localSheetId="55" hidden="1">#REF!</definedName>
    <definedName name="BExZM7JVLG0W8EG5RBU915U3SKBY" localSheetId="4" hidden="1">#REF!</definedName>
    <definedName name="BExZM7JVLG0W8EG5RBU915U3SKBY" localSheetId="1" hidden="1">#REF!</definedName>
    <definedName name="BExZM7JVLG0W8EG5RBU915U3SKBY" localSheetId="9" hidden="1">#REF!</definedName>
    <definedName name="BExZM7JVLG0W8EG5RBU915U3SKBY" hidden="1">#REF!</definedName>
    <definedName name="BExZM85FOVUFF110XMQ9O2ODSJUK" localSheetId="56" hidden="1">#REF!</definedName>
    <definedName name="BExZM85FOVUFF110XMQ9O2ODSJUK" localSheetId="55" hidden="1">#REF!</definedName>
    <definedName name="BExZM85FOVUFF110XMQ9O2ODSJUK" localSheetId="4" hidden="1">#REF!</definedName>
    <definedName name="BExZM85FOVUFF110XMQ9O2ODSJUK" localSheetId="1" hidden="1">#REF!</definedName>
    <definedName name="BExZM85FOVUFF110XMQ9O2ODSJUK" localSheetId="9" hidden="1">#REF!</definedName>
    <definedName name="BExZM85FOVUFF110XMQ9O2ODSJUK" hidden="1">#REF!</definedName>
    <definedName name="BExZMF1MMTZ1TA14PZ8ASSU2CBSP" localSheetId="56" hidden="1">#REF!</definedName>
    <definedName name="BExZMF1MMTZ1TA14PZ8ASSU2CBSP" localSheetId="55" hidden="1">#REF!</definedName>
    <definedName name="BExZMF1MMTZ1TA14PZ8ASSU2CBSP" localSheetId="4" hidden="1">#REF!</definedName>
    <definedName name="BExZMF1MMTZ1TA14PZ8ASSU2CBSP" localSheetId="1" hidden="1">#REF!</definedName>
    <definedName name="BExZMF1MMTZ1TA14PZ8ASSU2CBSP" localSheetId="9" hidden="1">#REF!</definedName>
    <definedName name="BExZMF1MMTZ1TA14PZ8ASSU2CBSP" hidden="1">#REF!</definedName>
    <definedName name="BExZMH54ZU6X4KM0375X9K5VJDZN" localSheetId="56" hidden="1">#REF!</definedName>
    <definedName name="BExZMH54ZU6X4KM0375X9K5VJDZN" localSheetId="55" hidden="1">#REF!</definedName>
    <definedName name="BExZMH54ZU6X4KM0375X9K5VJDZN" localSheetId="4" hidden="1">#REF!</definedName>
    <definedName name="BExZMH54ZU6X4KM0375X9K5VJDZN" localSheetId="1" hidden="1">#REF!</definedName>
    <definedName name="BExZMH54ZU6X4KM0375X9K5VJDZN" localSheetId="9" hidden="1">#REF!</definedName>
    <definedName name="BExZMH54ZU6X4KM0375X9K5VJDZN" hidden="1">#REF!</definedName>
    <definedName name="BExZMKL5YQZD7F0FUCSVFGLPFK52" localSheetId="56" hidden="1">#REF!</definedName>
    <definedName name="BExZMKL5YQZD7F0FUCSVFGLPFK52" localSheetId="55" hidden="1">#REF!</definedName>
    <definedName name="BExZMKL5YQZD7F0FUCSVFGLPFK52" localSheetId="4" hidden="1">#REF!</definedName>
    <definedName name="BExZMKL5YQZD7F0FUCSVFGLPFK52" localSheetId="1" hidden="1">#REF!</definedName>
    <definedName name="BExZMKL5YQZD7F0FUCSVFGLPFK52" localSheetId="9" hidden="1">#REF!</definedName>
    <definedName name="BExZMKL5YQZD7F0FUCSVFGLPFK52" hidden="1">#REF!</definedName>
    <definedName name="BExZMOC3VNZALJM71X2T6FV91GTB" localSheetId="56" hidden="1">#REF!</definedName>
    <definedName name="BExZMOC3VNZALJM71X2T6FV91GTB" localSheetId="55" hidden="1">#REF!</definedName>
    <definedName name="BExZMOC3VNZALJM71X2T6FV91GTB" localSheetId="4" hidden="1">#REF!</definedName>
    <definedName name="BExZMOC3VNZALJM71X2T6FV91GTB" localSheetId="1" hidden="1">#REF!</definedName>
    <definedName name="BExZMOC3VNZALJM71X2T6FV91GTB" localSheetId="9" hidden="1">#REF!</definedName>
    <definedName name="BExZMOC3VNZALJM71X2T6FV91GTB" hidden="1">#REF!</definedName>
    <definedName name="BExZMRHA7TTR9QKJOMONHRVY3YOF" localSheetId="56" hidden="1">#REF!</definedName>
    <definedName name="BExZMRHA7TTR9QKJOMONHRVY3YOF" localSheetId="55" hidden="1">#REF!</definedName>
    <definedName name="BExZMRHA7TTR9QKJOMONHRVY3YOF" localSheetId="4" hidden="1">#REF!</definedName>
    <definedName name="BExZMRHA7TTR9QKJOMONHRVY3YOF" localSheetId="1" hidden="1">#REF!</definedName>
    <definedName name="BExZMRHA7TTR9QKJOMONHRVY3YOF" localSheetId="9" hidden="1">#REF!</definedName>
    <definedName name="BExZMRHA7TTR9QKJOMONHRVY3YOF" hidden="1">#REF!</definedName>
    <definedName name="BExZMXH39OB0I43XEL3K11U3G9PM" localSheetId="56" hidden="1">#REF!</definedName>
    <definedName name="BExZMXH39OB0I43XEL3K11U3G9PM" localSheetId="55" hidden="1">#REF!</definedName>
    <definedName name="BExZMXH39OB0I43XEL3K11U3G9PM" localSheetId="4" hidden="1">#REF!</definedName>
    <definedName name="BExZMXH39OB0I43XEL3K11U3G9PM" localSheetId="1" hidden="1">#REF!</definedName>
    <definedName name="BExZMXH39OB0I43XEL3K11U3G9PM" localSheetId="9" hidden="1">#REF!</definedName>
    <definedName name="BExZMXH39OB0I43XEL3K11U3G9PM" hidden="1">#REF!</definedName>
    <definedName name="BExZMZQ3RBKDHT5GLFNLS52OSJA0" localSheetId="56" hidden="1">#REF!</definedName>
    <definedName name="BExZMZQ3RBKDHT5GLFNLS52OSJA0" localSheetId="55" hidden="1">#REF!</definedName>
    <definedName name="BExZMZQ3RBKDHT5GLFNLS52OSJA0" localSheetId="4" hidden="1">#REF!</definedName>
    <definedName name="BExZMZQ3RBKDHT5GLFNLS52OSJA0" localSheetId="1" hidden="1">#REF!</definedName>
    <definedName name="BExZMZQ3RBKDHT5GLFNLS52OSJA0" localSheetId="9" hidden="1">#REF!</definedName>
    <definedName name="BExZMZQ3RBKDHT5GLFNLS52OSJA0" hidden="1">#REF!</definedName>
    <definedName name="BExZN2F7Y2J2L2LN5WZRG949MS4A" localSheetId="56" hidden="1">#REF!</definedName>
    <definedName name="BExZN2F7Y2J2L2LN5WZRG949MS4A" localSheetId="55" hidden="1">#REF!</definedName>
    <definedName name="BExZN2F7Y2J2L2LN5WZRG949MS4A" localSheetId="4" hidden="1">#REF!</definedName>
    <definedName name="BExZN2F7Y2J2L2LN5WZRG949MS4A" localSheetId="1" hidden="1">#REF!</definedName>
    <definedName name="BExZN2F7Y2J2L2LN5WZRG949MS4A" localSheetId="9" hidden="1">#REF!</definedName>
    <definedName name="BExZN2F7Y2J2L2LN5WZRG949MS4A" hidden="1">#REF!</definedName>
    <definedName name="BExZN847WUWKRYTZWG9TCQZJS3OL" localSheetId="56" hidden="1">#REF!</definedName>
    <definedName name="BExZN847WUWKRYTZWG9TCQZJS3OL" localSheetId="55" hidden="1">#REF!</definedName>
    <definedName name="BExZN847WUWKRYTZWG9TCQZJS3OL" localSheetId="4" hidden="1">#REF!</definedName>
    <definedName name="BExZN847WUWKRYTZWG9TCQZJS3OL" localSheetId="1" hidden="1">#REF!</definedName>
    <definedName name="BExZN847WUWKRYTZWG9TCQZJS3OL" localSheetId="9" hidden="1">#REF!</definedName>
    <definedName name="BExZN847WUWKRYTZWG9TCQZJS3OL" hidden="1">#REF!</definedName>
    <definedName name="BExZNA2ALK6RDWFAXZQCL9TWRDCF" localSheetId="56" hidden="1">#REF!</definedName>
    <definedName name="BExZNA2ALK6RDWFAXZQCL9TWRDCF" localSheetId="55" hidden="1">#REF!</definedName>
    <definedName name="BExZNA2ALK6RDWFAXZQCL9TWRDCF" localSheetId="4" hidden="1">#REF!</definedName>
    <definedName name="BExZNA2ALK6RDWFAXZQCL9TWRDCF" localSheetId="1" hidden="1">#REF!</definedName>
    <definedName name="BExZNA2ALK6RDWFAXZQCL9TWRDCF" localSheetId="9" hidden="1">#REF!</definedName>
    <definedName name="BExZNA2ALK6RDWFAXZQCL9TWRDCF" hidden="1">#REF!</definedName>
    <definedName name="BExZNH3VISFF4NQI11BZDP5IQ7VG" localSheetId="56" hidden="1">#REF!</definedName>
    <definedName name="BExZNH3VISFF4NQI11BZDP5IQ7VG" localSheetId="55" hidden="1">#REF!</definedName>
    <definedName name="BExZNH3VISFF4NQI11BZDP5IQ7VG" localSheetId="4" hidden="1">#REF!</definedName>
    <definedName name="BExZNH3VISFF4NQI11BZDP5IQ7VG" localSheetId="1" hidden="1">#REF!</definedName>
    <definedName name="BExZNH3VISFF4NQI11BZDP5IQ7VG" localSheetId="9" hidden="1">#REF!</definedName>
    <definedName name="BExZNH3VISFF4NQI11BZDP5IQ7VG" hidden="1">#REF!</definedName>
    <definedName name="BExZNJYCFYVMAOI62GB2BABK1ELE" localSheetId="56" hidden="1">#REF!</definedName>
    <definedName name="BExZNJYCFYVMAOI62GB2BABK1ELE" localSheetId="55" hidden="1">#REF!</definedName>
    <definedName name="BExZNJYCFYVMAOI62GB2BABK1ELE" localSheetId="4" hidden="1">#REF!</definedName>
    <definedName name="BExZNJYCFYVMAOI62GB2BABK1ELE" localSheetId="1" hidden="1">#REF!</definedName>
    <definedName name="BExZNJYCFYVMAOI62GB2BABK1ELE" localSheetId="9" hidden="1">#REF!</definedName>
    <definedName name="BExZNJYCFYVMAOI62GB2BABK1ELE" hidden="1">#REF!</definedName>
    <definedName name="BExZNLGAA6ATMJW0Y28J4OI5W27I" localSheetId="56" hidden="1">#REF!</definedName>
    <definedName name="BExZNLGAA6ATMJW0Y28J4OI5W27I" localSheetId="55" hidden="1">#REF!</definedName>
    <definedName name="BExZNLGAA6ATMJW0Y28J4OI5W27I" localSheetId="4" hidden="1">#REF!</definedName>
    <definedName name="BExZNLGAA6ATMJW0Y28J4OI5W27I" localSheetId="1" hidden="1">#REF!</definedName>
    <definedName name="BExZNLGAA6ATMJW0Y28J4OI5W27I" localSheetId="9" hidden="1">#REF!</definedName>
    <definedName name="BExZNLGAA6ATMJW0Y28J4OI5W27I" hidden="1">#REF!</definedName>
    <definedName name="BExZNP7916CH3QP4VCZEULUIKKS5" localSheetId="56" hidden="1">#REF!</definedName>
    <definedName name="BExZNP7916CH3QP4VCZEULUIKKS5" localSheetId="55" hidden="1">#REF!</definedName>
    <definedName name="BExZNP7916CH3QP4VCZEULUIKKS5" localSheetId="4" hidden="1">#REF!</definedName>
    <definedName name="BExZNP7916CH3QP4VCZEULUIKKS5" localSheetId="1" hidden="1">#REF!</definedName>
    <definedName name="BExZNP7916CH3QP4VCZEULUIKKS5" localSheetId="9" hidden="1">#REF!</definedName>
    <definedName name="BExZNP7916CH3QP4VCZEULUIKKS5" hidden="1">#REF!</definedName>
    <definedName name="BExZNV707LIU6Z5H6QI6H67LHTI1" localSheetId="56" hidden="1">#REF!</definedName>
    <definedName name="BExZNV707LIU6Z5H6QI6H67LHTI1" localSheetId="55" hidden="1">#REF!</definedName>
    <definedName name="BExZNV707LIU6Z5H6QI6H67LHTI1" localSheetId="4" hidden="1">#REF!</definedName>
    <definedName name="BExZNV707LIU6Z5H6QI6H67LHTI1" localSheetId="1" hidden="1">#REF!</definedName>
    <definedName name="BExZNV707LIU6Z5H6QI6H67LHTI1" localSheetId="9" hidden="1">#REF!</definedName>
    <definedName name="BExZNV707LIU6Z5H6QI6H67LHTI1" hidden="1">#REF!</definedName>
    <definedName name="BExZNVCBKB930QQ9QW7KSGOZ0V1M" localSheetId="56" hidden="1">#REF!</definedName>
    <definedName name="BExZNVCBKB930QQ9QW7KSGOZ0V1M" localSheetId="55" hidden="1">#REF!</definedName>
    <definedName name="BExZNVCBKB930QQ9QW7KSGOZ0V1M" localSheetId="4" hidden="1">#REF!</definedName>
    <definedName name="BExZNVCBKB930QQ9QW7KSGOZ0V1M" localSheetId="1" hidden="1">#REF!</definedName>
    <definedName name="BExZNVCBKB930QQ9QW7KSGOZ0V1M" localSheetId="9" hidden="1">#REF!</definedName>
    <definedName name="BExZNVCBKB930QQ9QW7KSGOZ0V1M" hidden="1">#REF!</definedName>
    <definedName name="BExZNW8QJ18X0RSGFDWAE9ZSDX39" localSheetId="56" hidden="1">#REF!</definedName>
    <definedName name="BExZNW8QJ18X0RSGFDWAE9ZSDX39" localSheetId="55" hidden="1">#REF!</definedName>
    <definedName name="BExZNW8QJ18X0RSGFDWAE9ZSDX39" localSheetId="4" hidden="1">#REF!</definedName>
    <definedName name="BExZNW8QJ18X0RSGFDWAE9ZSDX39" localSheetId="1" hidden="1">#REF!</definedName>
    <definedName name="BExZNW8QJ18X0RSGFDWAE9ZSDX39" localSheetId="9" hidden="1">#REF!</definedName>
    <definedName name="BExZNW8QJ18X0RSGFDWAE9ZSDX39" hidden="1">#REF!</definedName>
    <definedName name="BExZNZDWRS6Q40L8OCWFEIVI0A1O" localSheetId="56" hidden="1">#REF!</definedName>
    <definedName name="BExZNZDWRS6Q40L8OCWFEIVI0A1O" localSheetId="55" hidden="1">#REF!</definedName>
    <definedName name="BExZNZDWRS6Q40L8OCWFEIVI0A1O" localSheetId="4" hidden="1">#REF!</definedName>
    <definedName name="BExZNZDWRS6Q40L8OCWFEIVI0A1O" localSheetId="1" hidden="1">#REF!</definedName>
    <definedName name="BExZNZDWRS6Q40L8OCWFEIVI0A1O" localSheetId="9" hidden="1">#REF!</definedName>
    <definedName name="BExZNZDWRS6Q40L8OCWFEIVI0A1O" hidden="1">#REF!</definedName>
    <definedName name="BExZOBO9NYLGVJQ31LVQ9XS2ZT4N" localSheetId="56" hidden="1">#REF!</definedName>
    <definedName name="BExZOBO9NYLGVJQ31LVQ9XS2ZT4N" localSheetId="55" hidden="1">#REF!</definedName>
    <definedName name="BExZOBO9NYLGVJQ31LVQ9XS2ZT4N" localSheetId="4" hidden="1">#REF!</definedName>
    <definedName name="BExZOBO9NYLGVJQ31LVQ9XS2ZT4N" localSheetId="1" hidden="1">#REF!</definedName>
    <definedName name="BExZOBO9NYLGVJQ31LVQ9XS2ZT4N" localSheetId="9" hidden="1">#REF!</definedName>
    <definedName name="BExZOBO9NYLGVJQ31LVQ9XS2ZT4N" hidden="1">#REF!</definedName>
    <definedName name="BExZOETNB1CJ3Y2RKLI1ZK0S8Z6H" localSheetId="56" hidden="1">#REF!</definedName>
    <definedName name="BExZOETNB1CJ3Y2RKLI1ZK0S8Z6H" localSheetId="55" hidden="1">#REF!</definedName>
    <definedName name="BExZOETNB1CJ3Y2RKLI1ZK0S8Z6H" localSheetId="4" hidden="1">#REF!</definedName>
    <definedName name="BExZOETNB1CJ3Y2RKLI1ZK0S8Z6H" localSheetId="1" hidden="1">#REF!</definedName>
    <definedName name="BExZOETNB1CJ3Y2RKLI1ZK0S8Z6H" localSheetId="9" hidden="1">#REF!</definedName>
    <definedName name="BExZOETNB1CJ3Y2RKLI1ZK0S8Z6H" hidden="1">#REF!</definedName>
    <definedName name="BExZOREMVSK4E5VSWM838KHUB8AI" localSheetId="56" hidden="1">#REF!</definedName>
    <definedName name="BExZOREMVSK4E5VSWM838KHUB8AI" localSheetId="55" hidden="1">#REF!</definedName>
    <definedName name="BExZOREMVSK4E5VSWM838KHUB8AI" localSheetId="4" hidden="1">#REF!</definedName>
    <definedName name="BExZOREMVSK4E5VSWM838KHUB8AI" localSheetId="1" hidden="1">#REF!</definedName>
    <definedName name="BExZOREMVSK4E5VSWM838KHUB8AI" localSheetId="9" hidden="1">#REF!</definedName>
    <definedName name="BExZOREMVSK4E5VSWM838KHUB8AI" hidden="1">#REF!</definedName>
    <definedName name="BExZOVR745T5P1KS9NV2PXZPZVRG" localSheetId="56" hidden="1">#REF!</definedName>
    <definedName name="BExZOVR745T5P1KS9NV2PXZPZVRG" localSheetId="55" hidden="1">#REF!</definedName>
    <definedName name="BExZOVR745T5P1KS9NV2PXZPZVRG" localSheetId="4" hidden="1">#REF!</definedName>
    <definedName name="BExZOVR745T5P1KS9NV2PXZPZVRG" localSheetId="1" hidden="1">#REF!</definedName>
    <definedName name="BExZOVR745T5P1KS9NV2PXZPZVRG" localSheetId="9" hidden="1">#REF!</definedName>
    <definedName name="BExZOVR745T5P1KS9NV2PXZPZVRG" hidden="1">#REF!</definedName>
    <definedName name="BExZOZSWGLSY2XYVRIS6VSNJDSGD" localSheetId="56" hidden="1">#REF!</definedName>
    <definedName name="BExZOZSWGLSY2XYVRIS6VSNJDSGD" localSheetId="55" hidden="1">#REF!</definedName>
    <definedName name="BExZOZSWGLSY2XYVRIS6VSNJDSGD" localSheetId="4" hidden="1">#REF!</definedName>
    <definedName name="BExZOZSWGLSY2XYVRIS6VSNJDSGD" localSheetId="1" hidden="1">#REF!</definedName>
    <definedName name="BExZOZSWGLSY2XYVRIS6VSNJDSGD" localSheetId="9" hidden="1">#REF!</definedName>
    <definedName name="BExZOZSWGLSY2XYVRIS6VSNJDSGD" hidden="1">#REF!</definedName>
    <definedName name="BExZP7AIJKLM6C6CSUIIFAHFBNX2" localSheetId="56" hidden="1">#REF!</definedName>
    <definedName name="BExZP7AIJKLM6C6CSUIIFAHFBNX2" localSheetId="55" hidden="1">#REF!</definedName>
    <definedName name="BExZP7AIJKLM6C6CSUIIFAHFBNX2" localSheetId="4" hidden="1">#REF!</definedName>
    <definedName name="BExZP7AIJKLM6C6CSUIIFAHFBNX2" localSheetId="1" hidden="1">#REF!</definedName>
    <definedName name="BExZP7AIJKLM6C6CSUIIFAHFBNX2" localSheetId="9" hidden="1">#REF!</definedName>
    <definedName name="BExZP7AIJKLM6C6CSUIIFAHFBNX2" hidden="1">#REF!</definedName>
    <definedName name="BExZPALCPOH27L4MUPX2RFT3F8OM" localSheetId="56" hidden="1">#REF!</definedName>
    <definedName name="BExZPALCPOH27L4MUPX2RFT3F8OM" localSheetId="55" hidden="1">#REF!</definedName>
    <definedName name="BExZPALCPOH27L4MUPX2RFT3F8OM" localSheetId="4" hidden="1">#REF!</definedName>
    <definedName name="BExZPALCPOH27L4MUPX2RFT3F8OM" localSheetId="1" hidden="1">#REF!</definedName>
    <definedName name="BExZPALCPOH27L4MUPX2RFT3F8OM" localSheetId="9" hidden="1">#REF!</definedName>
    <definedName name="BExZPALCPOH27L4MUPX2RFT3F8OM" hidden="1">#REF!</definedName>
    <definedName name="BExZPQ0XY507N8FJMVPKCTK8HC9H" localSheetId="56" hidden="1">#REF!</definedName>
    <definedName name="BExZPQ0XY507N8FJMVPKCTK8HC9H" localSheetId="55" hidden="1">#REF!</definedName>
    <definedName name="BExZPQ0XY507N8FJMVPKCTK8HC9H" localSheetId="4" hidden="1">#REF!</definedName>
    <definedName name="BExZPQ0XY507N8FJMVPKCTK8HC9H" localSheetId="1" hidden="1">#REF!</definedName>
    <definedName name="BExZPQ0XY507N8FJMVPKCTK8HC9H" localSheetId="9" hidden="1">#REF!</definedName>
    <definedName name="BExZPQ0XY507N8FJMVPKCTK8HC9H" hidden="1">#REF!</definedName>
    <definedName name="BExZPXTHEWEN48J9E5ARSA8IGRBI" localSheetId="56" hidden="1">#REF!</definedName>
    <definedName name="BExZPXTHEWEN48J9E5ARSA8IGRBI" localSheetId="55" hidden="1">#REF!</definedName>
    <definedName name="BExZPXTHEWEN48J9E5ARSA8IGRBI" localSheetId="4" hidden="1">#REF!</definedName>
    <definedName name="BExZPXTHEWEN48J9E5ARSA8IGRBI" localSheetId="1" hidden="1">#REF!</definedName>
    <definedName name="BExZPXTHEWEN48J9E5ARSA8IGRBI" localSheetId="9" hidden="1">#REF!</definedName>
    <definedName name="BExZPXTHEWEN48J9E5ARSA8IGRBI" hidden="1">#REF!</definedName>
    <definedName name="BExZQ37OVBR25U32CO2YYVPZOMR5" localSheetId="56" hidden="1">#REF!</definedName>
    <definedName name="BExZQ37OVBR25U32CO2YYVPZOMR5" localSheetId="55" hidden="1">#REF!</definedName>
    <definedName name="BExZQ37OVBR25U32CO2YYVPZOMR5" localSheetId="4" hidden="1">#REF!</definedName>
    <definedName name="BExZQ37OVBR25U32CO2YYVPZOMR5" localSheetId="1" hidden="1">#REF!</definedName>
    <definedName name="BExZQ37OVBR25U32CO2YYVPZOMR5" localSheetId="9" hidden="1">#REF!</definedName>
    <definedName name="BExZQ37OVBR25U32CO2YYVPZOMR5" hidden="1">#REF!</definedName>
    <definedName name="BExZQ3NT7H06VO0AR48WHZULZB93" localSheetId="56" hidden="1">#REF!</definedName>
    <definedName name="BExZQ3NT7H06VO0AR48WHZULZB93" localSheetId="55" hidden="1">#REF!</definedName>
    <definedName name="BExZQ3NT7H06VO0AR48WHZULZB93" localSheetId="4" hidden="1">#REF!</definedName>
    <definedName name="BExZQ3NT7H06VO0AR48WHZULZB93" localSheetId="1" hidden="1">#REF!</definedName>
    <definedName name="BExZQ3NT7H06VO0AR48WHZULZB93" localSheetId="9" hidden="1">#REF!</definedName>
    <definedName name="BExZQ3NT7H06VO0AR48WHZULZB93" hidden="1">#REF!</definedName>
    <definedName name="BExZQ5RCYU1R0DUT1MFN99S1C408" localSheetId="56" hidden="1">#REF!</definedName>
    <definedName name="BExZQ5RCYU1R0DUT1MFN99S1C408" localSheetId="55" hidden="1">#REF!</definedName>
    <definedName name="BExZQ5RCYU1R0DUT1MFN99S1C408" localSheetId="4" hidden="1">#REF!</definedName>
    <definedName name="BExZQ5RCYU1R0DUT1MFN99S1C408" localSheetId="1" hidden="1">#REF!</definedName>
    <definedName name="BExZQ5RCYU1R0DUT1MFN99S1C408" localSheetId="9" hidden="1">#REF!</definedName>
    <definedName name="BExZQ5RCYU1R0DUT1MFN99S1C408" hidden="1">#REF!</definedName>
    <definedName name="BExZQ7PJU07SEJMDX18U9YVDC2GU" localSheetId="56" hidden="1">#REF!</definedName>
    <definedName name="BExZQ7PJU07SEJMDX18U9YVDC2GU" localSheetId="55" hidden="1">#REF!</definedName>
    <definedName name="BExZQ7PJU07SEJMDX18U9YVDC2GU" localSheetId="4" hidden="1">#REF!</definedName>
    <definedName name="BExZQ7PJU07SEJMDX18U9YVDC2GU" localSheetId="1" hidden="1">#REF!</definedName>
    <definedName name="BExZQ7PJU07SEJMDX18U9YVDC2GU" localSheetId="9" hidden="1">#REF!</definedName>
    <definedName name="BExZQ7PJU07SEJMDX18U9YVDC2GU" hidden="1">#REF!</definedName>
    <definedName name="BExZQAJXQ5IJ5RB71EDSPGTRO5HC" localSheetId="56" hidden="1">#REF!</definedName>
    <definedName name="BExZQAJXQ5IJ5RB71EDSPGTRO5HC" localSheetId="55" hidden="1">#REF!</definedName>
    <definedName name="BExZQAJXQ5IJ5RB71EDSPGTRO5HC" localSheetId="4" hidden="1">#REF!</definedName>
    <definedName name="BExZQAJXQ5IJ5RB71EDSPGTRO5HC" localSheetId="1" hidden="1">#REF!</definedName>
    <definedName name="BExZQAJXQ5IJ5RB71EDSPGTRO5HC" localSheetId="9" hidden="1">#REF!</definedName>
    <definedName name="BExZQAJXQ5IJ5RB71EDSPGTRO5HC" hidden="1">#REF!</definedName>
    <definedName name="BExZQBLTKPF3O4MCH6L4LE544FQB" localSheetId="56" hidden="1">#REF!</definedName>
    <definedName name="BExZQBLTKPF3O4MCH6L4LE544FQB" localSheetId="55" hidden="1">#REF!</definedName>
    <definedName name="BExZQBLTKPF3O4MCH6L4LE544FQB" localSheetId="4" hidden="1">#REF!</definedName>
    <definedName name="BExZQBLTKPF3O4MCH6L4LE544FQB" localSheetId="1" hidden="1">#REF!</definedName>
    <definedName name="BExZQBLTKPF3O4MCH6L4LE544FQB" localSheetId="9" hidden="1">#REF!</definedName>
    <definedName name="BExZQBLTKPF3O4MCH6L4LE544FQB" hidden="1">#REF!</definedName>
    <definedName name="BExZQIHTGHK7OOI2Y2PN3JYBY82I" localSheetId="56" hidden="1">#REF!</definedName>
    <definedName name="BExZQIHTGHK7OOI2Y2PN3JYBY82I" localSheetId="55" hidden="1">#REF!</definedName>
    <definedName name="BExZQIHTGHK7OOI2Y2PN3JYBY82I" localSheetId="4" hidden="1">#REF!</definedName>
    <definedName name="BExZQIHTGHK7OOI2Y2PN3JYBY82I" localSheetId="1" hidden="1">#REF!</definedName>
    <definedName name="BExZQIHTGHK7OOI2Y2PN3JYBY82I" localSheetId="9" hidden="1">#REF!</definedName>
    <definedName name="BExZQIHTGHK7OOI2Y2PN3JYBY82I" hidden="1">#REF!</definedName>
    <definedName name="BExZQJJMGU5MHQOILGXGJPAQI5XI" localSheetId="56" hidden="1">#REF!</definedName>
    <definedName name="BExZQJJMGU5MHQOILGXGJPAQI5XI" localSheetId="55" hidden="1">#REF!</definedName>
    <definedName name="BExZQJJMGU5MHQOILGXGJPAQI5XI" localSheetId="4" hidden="1">#REF!</definedName>
    <definedName name="BExZQJJMGU5MHQOILGXGJPAQI5XI" localSheetId="1" hidden="1">#REF!</definedName>
    <definedName name="BExZQJJMGU5MHQOILGXGJPAQI5XI" localSheetId="9" hidden="1">#REF!</definedName>
    <definedName name="BExZQJJMGU5MHQOILGXGJPAQI5XI" hidden="1">#REF!</definedName>
    <definedName name="BExZQL1M2EX5YEQBMNQKVD747N3I" localSheetId="56" hidden="1">#REF!</definedName>
    <definedName name="BExZQL1M2EX5YEQBMNQKVD747N3I" localSheetId="55" hidden="1">#REF!</definedName>
    <definedName name="BExZQL1M2EX5YEQBMNQKVD747N3I" localSheetId="4" hidden="1">#REF!</definedName>
    <definedName name="BExZQL1M2EX5YEQBMNQKVD747N3I" localSheetId="1" hidden="1">#REF!</definedName>
    <definedName name="BExZQL1M2EX5YEQBMNQKVD747N3I" localSheetId="9" hidden="1">#REF!</definedName>
    <definedName name="BExZQL1M2EX5YEQBMNQKVD747N3I" hidden="1">#REF!</definedName>
    <definedName name="BExZQPDYUBJL0C1OME996KHU23N5" localSheetId="56" hidden="1">#REF!</definedName>
    <definedName name="BExZQPDYUBJL0C1OME996KHU23N5" localSheetId="55" hidden="1">#REF!</definedName>
    <definedName name="BExZQPDYUBJL0C1OME996KHU23N5" localSheetId="4" hidden="1">#REF!</definedName>
    <definedName name="BExZQPDYUBJL0C1OME996KHU23N5" localSheetId="1" hidden="1">#REF!</definedName>
    <definedName name="BExZQPDYUBJL0C1OME996KHU23N5" localSheetId="9" hidden="1">#REF!</definedName>
    <definedName name="BExZQPDYUBJL0C1OME996KHU23N5" hidden="1">#REF!</definedName>
    <definedName name="BExZQXBYEBN28QUH1KOVW6KKA5UM" localSheetId="56" hidden="1">#REF!</definedName>
    <definedName name="BExZQXBYEBN28QUH1KOVW6KKA5UM" localSheetId="55" hidden="1">#REF!</definedName>
    <definedName name="BExZQXBYEBN28QUH1KOVW6KKA5UM" localSheetId="4" hidden="1">#REF!</definedName>
    <definedName name="BExZQXBYEBN28QUH1KOVW6KKA5UM" localSheetId="1" hidden="1">#REF!</definedName>
    <definedName name="BExZQXBYEBN28QUH1KOVW6KKA5UM" localSheetId="9" hidden="1">#REF!</definedName>
    <definedName name="BExZQXBYEBN28QUH1KOVW6KKA5UM" hidden="1">#REF!</definedName>
    <definedName name="BExZQZKT146WEN8FTVZ7Y5TSB8L5" localSheetId="56" hidden="1">#REF!</definedName>
    <definedName name="BExZQZKT146WEN8FTVZ7Y5TSB8L5" localSheetId="55" hidden="1">#REF!</definedName>
    <definedName name="BExZQZKT146WEN8FTVZ7Y5TSB8L5" localSheetId="4" hidden="1">#REF!</definedName>
    <definedName name="BExZQZKT146WEN8FTVZ7Y5TSB8L5" localSheetId="1" hidden="1">#REF!</definedName>
    <definedName name="BExZQZKT146WEN8FTVZ7Y5TSB8L5" localSheetId="9" hidden="1">#REF!</definedName>
    <definedName name="BExZQZKT146WEN8FTVZ7Y5TSB8L5" hidden="1">#REF!</definedName>
    <definedName name="BExZR485AKBH93YZ08CMUC3WROED" localSheetId="56" hidden="1">#REF!</definedName>
    <definedName name="BExZR485AKBH93YZ08CMUC3WROED" localSheetId="55" hidden="1">#REF!</definedName>
    <definedName name="BExZR485AKBH93YZ08CMUC3WROED" localSheetId="4" hidden="1">#REF!</definedName>
    <definedName name="BExZR485AKBH93YZ08CMUC3WROED" localSheetId="1" hidden="1">#REF!</definedName>
    <definedName name="BExZR485AKBH93YZ08CMUC3WROED" localSheetId="9" hidden="1">#REF!</definedName>
    <definedName name="BExZR485AKBH93YZ08CMUC3WROED" hidden="1">#REF!</definedName>
    <definedName name="BExZR7TL98P2PPUVGIZYR5873DWW" localSheetId="56" hidden="1">#REF!</definedName>
    <definedName name="BExZR7TL98P2PPUVGIZYR5873DWW" localSheetId="55" hidden="1">#REF!</definedName>
    <definedName name="BExZR7TL98P2PPUVGIZYR5873DWW" localSheetId="4" hidden="1">#REF!</definedName>
    <definedName name="BExZR7TL98P2PPUVGIZYR5873DWW" localSheetId="1" hidden="1">#REF!</definedName>
    <definedName name="BExZR7TL98P2PPUVGIZYR5873DWW" localSheetId="9" hidden="1">#REF!</definedName>
    <definedName name="BExZR7TL98P2PPUVGIZYR5873DWW" hidden="1">#REF!</definedName>
    <definedName name="BExZRAYSYOXAM1PBW1EF6YAZ9RU3" localSheetId="56" hidden="1">#REF!</definedName>
    <definedName name="BExZRAYSYOXAM1PBW1EF6YAZ9RU3" localSheetId="55" hidden="1">#REF!</definedName>
    <definedName name="BExZRAYSYOXAM1PBW1EF6YAZ9RU3" localSheetId="4" hidden="1">#REF!</definedName>
    <definedName name="BExZRAYSYOXAM1PBW1EF6YAZ9RU3" localSheetId="1" hidden="1">#REF!</definedName>
    <definedName name="BExZRAYSYOXAM1PBW1EF6YAZ9RU3" localSheetId="9" hidden="1">#REF!</definedName>
    <definedName name="BExZRAYSYOXAM1PBW1EF6YAZ9RU3" hidden="1">#REF!</definedName>
    <definedName name="BExZRGD1603X5ACFALUUDKCD7X48" localSheetId="56" hidden="1">#REF!</definedName>
    <definedName name="BExZRGD1603X5ACFALUUDKCD7X48" localSheetId="55" hidden="1">#REF!</definedName>
    <definedName name="BExZRGD1603X5ACFALUUDKCD7X48" localSheetId="4" hidden="1">#REF!</definedName>
    <definedName name="BExZRGD1603X5ACFALUUDKCD7X48" localSheetId="1" hidden="1">#REF!</definedName>
    <definedName name="BExZRGD1603X5ACFALUUDKCD7X48" localSheetId="9" hidden="1">#REF!</definedName>
    <definedName name="BExZRGD1603X5ACFALUUDKCD7X48" hidden="1">#REF!</definedName>
    <definedName name="BExZRMSYHFOP8FFWKKUSBHU85J81" localSheetId="56" hidden="1">#REF!</definedName>
    <definedName name="BExZRMSYHFOP8FFWKKUSBHU85J81" localSheetId="55" hidden="1">#REF!</definedName>
    <definedName name="BExZRMSYHFOP8FFWKKUSBHU85J81" localSheetId="4" hidden="1">#REF!</definedName>
    <definedName name="BExZRMSYHFOP8FFWKKUSBHU85J81" localSheetId="1" hidden="1">#REF!</definedName>
    <definedName name="BExZRMSYHFOP8FFWKKUSBHU85J81" localSheetId="9" hidden="1">#REF!</definedName>
    <definedName name="BExZRMSYHFOP8FFWKKUSBHU85J81" hidden="1">#REF!</definedName>
    <definedName name="BExZRP1X6UVLN1UOLHH5VF4STP1O" localSheetId="56" hidden="1">#REF!</definedName>
    <definedName name="BExZRP1X6UVLN1UOLHH5VF4STP1O" localSheetId="55" hidden="1">#REF!</definedName>
    <definedName name="BExZRP1X6UVLN1UOLHH5VF4STP1O" localSheetId="4" hidden="1">#REF!</definedName>
    <definedName name="BExZRP1X6UVLN1UOLHH5VF4STP1O" localSheetId="1" hidden="1">#REF!</definedName>
    <definedName name="BExZRP1X6UVLN1UOLHH5VF4STP1O" localSheetId="9" hidden="1">#REF!</definedName>
    <definedName name="BExZRP1X6UVLN1UOLHH5VF4STP1O" hidden="1">#REF!</definedName>
    <definedName name="BExZRQ930U6OCYNV00CH5I0Q4LPE" localSheetId="56" hidden="1">#REF!</definedName>
    <definedName name="BExZRQ930U6OCYNV00CH5I0Q4LPE" localSheetId="55" hidden="1">#REF!</definedName>
    <definedName name="BExZRQ930U6OCYNV00CH5I0Q4LPE" localSheetId="4" hidden="1">#REF!</definedName>
    <definedName name="BExZRQ930U6OCYNV00CH5I0Q4LPE" localSheetId="1" hidden="1">#REF!</definedName>
    <definedName name="BExZRQ930U6OCYNV00CH5I0Q4LPE" localSheetId="9" hidden="1">#REF!</definedName>
    <definedName name="BExZRQ930U6OCYNV00CH5I0Q4LPE" hidden="1">#REF!</definedName>
    <definedName name="BExZRQP7JLKS45QOGATXS7MK5GUZ" localSheetId="56" hidden="1">#REF!</definedName>
    <definedName name="BExZRQP7JLKS45QOGATXS7MK5GUZ" localSheetId="55" hidden="1">#REF!</definedName>
    <definedName name="BExZRQP7JLKS45QOGATXS7MK5GUZ" localSheetId="4" hidden="1">#REF!</definedName>
    <definedName name="BExZRQP7JLKS45QOGATXS7MK5GUZ" localSheetId="1" hidden="1">#REF!</definedName>
    <definedName name="BExZRQP7JLKS45QOGATXS7MK5GUZ" localSheetId="9" hidden="1">#REF!</definedName>
    <definedName name="BExZRQP7JLKS45QOGATXS7MK5GUZ" hidden="1">#REF!</definedName>
    <definedName name="BExZRW8W514W8OZ72YBONYJ64GXF" localSheetId="56" hidden="1">#REF!</definedName>
    <definedName name="BExZRW8W514W8OZ72YBONYJ64GXF" localSheetId="55" hidden="1">#REF!</definedName>
    <definedName name="BExZRW8W514W8OZ72YBONYJ64GXF" localSheetId="4" hidden="1">#REF!</definedName>
    <definedName name="BExZRW8W514W8OZ72YBONYJ64GXF" localSheetId="1" hidden="1">#REF!</definedName>
    <definedName name="BExZRW8W514W8OZ72YBONYJ64GXF" localSheetId="9" hidden="1">#REF!</definedName>
    <definedName name="BExZRW8W514W8OZ72YBONYJ64GXF" hidden="1">#REF!</definedName>
    <definedName name="BExZRWJP2BUVFJPO8U8ATQEP0LZU" localSheetId="56" hidden="1">#REF!</definedName>
    <definedName name="BExZRWJP2BUVFJPO8U8ATQEP0LZU" localSheetId="55" hidden="1">#REF!</definedName>
    <definedName name="BExZRWJP2BUVFJPO8U8ATQEP0LZU" localSheetId="4" hidden="1">#REF!</definedName>
    <definedName name="BExZRWJP2BUVFJPO8U8ATQEP0LZU" localSheetId="1" hidden="1">#REF!</definedName>
    <definedName name="BExZRWJP2BUVFJPO8U8ATQEP0LZU" localSheetId="9" hidden="1">#REF!</definedName>
    <definedName name="BExZRWJP2BUVFJPO8U8ATQEP0LZU" hidden="1">#REF!</definedName>
    <definedName name="BExZSI9USDLZAN8LI8M4YYQL24GZ" localSheetId="56" hidden="1">#REF!</definedName>
    <definedName name="BExZSI9USDLZAN8LI8M4YYQL24GZ" localSheetId="55" hidden="1">#REF!</definedName>
    <definedName name="BExZSI9USDLZAN8LI8M4YYQL24GZ" localSheetId="4" hidden="1">#REF!</definedName>
    <definedName name="BExZSI9USDLZAN8LI8M4YYQL24GZ" localSheetId="1" hidden="1">#REF!</definedName>
    <definedName name="BExZSI9USDLZAN8LI8M4YYQL24GZ" localSheetId="9" hidden="1">#REF!</definedName>
    <definedName name="BExZSI9USDLZAN8LI8M4YYQL24GZ" hidden="1">#REF!</definedName>
    <definedName name="BExZSLKO175YAM0RMMZH1FPXL4V2" localSheetId="56" hidden="1">#REF!</definedName>
    <definedName name="BExZSLKO175YAM0RMMZH1FPXL4V2" localSheetId="55" hidden="1">#REF!</definedName>
    <definedName name="BExZSLKO175YAM0RMMZH1FPXL4V2" localSheetId="4" hidden="1">#REF!</definedName>
    <definedName name="BExZSLKO175YAM0RMMZH1FPXL4V2" localSheetId="1" hidden="1">#REF!</definedName>
    <definedName name="BExZSLKO175YAM0RMMZH1FPXL4V2" localSheetId="9" hidden="1">#REF!</definedName>
    <definedName name="BExZSLKO175YAM0RMMZH1FPXL4V2" hidden="1">#REF!</definedName>
    <definedName name="BExZSS0LA2JY4ZLJ1Z5YCMLJJZCH" localSheetId="56" hidden="1">#REF!</definedName>
    <definedName name="BExZSS0LA2JY4ZLJ1Z5YCMLJJZCH" localSheetId="55" hidden="1">#REF!</definedName>
    <definedName name="BExZSS0LA2JY4ZLJ1Z5YCMLJJZCH" localSheetId="4" hidden="1">#REF!</definedName>
    <definedName name="BExZSS0LA2JY4ZLJ1Z5YCMLJJZCH" localSheetId="1" hidden="1">#REF!</definedName>
    <definedName name="BExZSS0LA2JY4ZLJ1Z5YCMLJJZCH" localSheetId="9" hidden="1">#REF!</definedName>
    <definedName name="BExZSS0LA2JY4ZLJ1Z5YCMLJJZCH" hidden="1">#REF!</definedName>
    <definedName name="BExZSTNUWCRNCL22SMKXKFSLCJ0O" localSheetId="56" hidden="1">#REF!</definedName>
    <definedName name="BExZSTNUWCRNCL22SMKXKFSLCJ0O" localSheetId="55" hidden="1">#REF!</definedName>
    <definedName name="BExZSTNUWCRNCL22SMKXKFSLCJ0O" localSheetId="4" hidden="1">#REF!</definedName>
    <definedName name="BExZSTNUWCRNCL22SMKXKFSLCJ0O" localSheetId="1" hidden="1">#REF!</definedName>
    <definedName name="BExZSTNUWCRNCL22SMKXKFSLCJ0O" localSheetId="9" hidden="1">#REF!</definedName>
    <definedName name="BExZSTNUWCRNCL22SMKXKFSLCJ0O" hidden="1">#REF!</definedName>
    <definedName name="BExZT6JSZ8CBS0SB3T07N3LMAX7M" localSheetId="56" hidden="1">#REF!</definedName>
    <definedName name="BExZT6JSZ8CBS0SB3T07N3LMAX7M" localSheetId="55" hidden="1">#REF!</definedName>
    <definedName name="BExZT6JSZ8CBS0SB3T07N3LMAX7M" localSheetId="4" hidden="1">#REF!</definedName>
    <definedName name="BExZT6JSZ8CBS0SB3T07N3LMAX7M" localSheetId="1" hidden="1">#REF!</definedName>
    <definedName name="BExZT6JSZ8CBS0SB3T07N3LMAX7M" localSheetId="9" hidden="1">#REF!</definedName>
    <definedName name="BExZT6JSZ8CBS0SB3T07N3LMAX7M" hidden="1">#REF!</definedName>
    <definedName name="BExZTAQV2QVSZY5Y3VCCWUBSBW9P" localSheetId="56" hidden="1">#REF!</definedName>
    <definedName name="BExZTAQV2QVSZY5Y3VCCWUBSBW9P" localSheetId="55" hidden="1">#REF!</definedName>
    <definedName name="BExZTAQV2QVSZY5Y3VCCWUBSBW9P" localSheetId="4" hidden="1">#REF!</definedName>
    <definedName name="BExZTAQV2QVSZY5Y3VCCWUBSBW9P" localSheetId="1" hidden="1">#REF!</definedName>
    <definedName name="BExZTAQV2QVSZY5Y3VCCWUBSBW9P" localSheetId="9" hidden="1">#REF!</definedName>
    <definedName name="BExZTAQV2QVSZY5Y3VCCWUBSBW9P" hidden="1">#REF!</definedName>
    <definedName name="BExZTHSI2FX56PWRSNX9H5EWTZFO" localSheetId="56" hidden="1">#REF!</definedName>
    <definedName name="BExZTHSI2FX56PWRSNX9H5EWTZFO" localSheetId="55" hidden="1">#REF!</definedName>
    <definedName name="BExZTHSI2FX56PWRSNX9H5EWTZFO" localSheetId="4" hidden="1">#REF!</definedName>
    <definedName name="BExZTHSI2FX56PWRSNX9H5EWTZFO" localSheetId="1" hidden="1">#REF!</definedName>
    <definedName name="BExZTHSI2FX56PWRSNX9H5EWTZFO" localSheetId="9" hidden="1">#REF!</definedName>
    <definedName name="BExZTHSI2FX56PWRSNX9H5EWTZFO" hidden="1">#REF!</definedName>
    <definedName name="BExZTJL3HVBFY139H6CJHEQCT1EL" localSheetId="56" hidden="1">#REF!</definedName>
    <definedName name="BExZTJL3HVBFY139H6CJHEQCT1EL" localSheetId="55" hidden="1">#REF!</definedName>
    <definedName name="BExZTJL3HVBFY139H6CJHEQCT1EL" localSheetId="4" hidden="1">#REF!</definedName>
    <definedName name="BExZTJL3HVBFY139H6CJHEQCT1EL" localSheetId="1" hidden="1">#REF!</definedName>
    <definedName name="BExZTJL3HVBFY139H6CJHEQCT1EL" localSheetId="9" hidden="1">#REF!</definedName>
    <definedName name="BExZTJL3HVBFY139H6CJHEQCT1EL" hidden="1">#REF!</definedName>
    <definedName name="BExZTLOL8OPABZI453E0KVNA1GJS" localSheetId="56" hidden="1">#REF!</definedName>
    <definedName name="BExZTLOL8OPABZI453E0KVNA1GJS" localSheetId="55" hidden="1">#REF!</definedName>
    <definedName name="BExZTLOL8OPABZI453E0KVNA1GJS" localSheetId="4" hidden="1">#REF!</definedName>
    <definedName name="BExZTLOL8OPABZI453E0KVNA1GJS" localSheetId="1" hidden="1">#REF!</definedName>
    <definedName name="BExZTLOL8OPABZI453E0KVNA1GJS" localSheetId="9" hidden="1">#REF!</definedName>
    <definedName name="BExZTLOL8OPABZI453E0KVNA1GJS" hidden="1">#REF!</definedName>
    <definedName name="BExZTOTZ9F2ZI18DZM8GW39VDF1N" localSheetId="56" hidden="1">#REF!</definedName>
    <definedName name="BExZTOTZ9F2ZI18DZM8GW39VDF1N" localSheetId="55" hidden="1">#REF!</definedName>
    <definedName name="BExZTOTZ9F2ZI18DZM8GW39VDF1N" localSheetId="4" hidden="1">#REF!</definedName>
    <definedName name="BExZTOTZ9F2ZI18DZM8GW39VDF1N" localSheetId="1" hidden="1">#REF!</definedName>
    <definedName name="BExZTOTZ9F2ZI18DZM8GW39VDF1N" localSheetId="9" hidden="1">#REF!</definedName>
    <definedName name="BExZTOTZ9F2ZI18DZM8GW39VDF1N" hidden="1">#REF!</definedName>
    <definedName name="BExZTT6J3X0TOX0ZY6YPLUVMCW9X" localSheetId="56" hidden="1">#REF!</definedName>
    <definedName name="BExZTT6J3X0TOX0ZY6YPLUVMCW9X" localSheetId="55" hidden="1">#REF!</definedName>
    <definedName name="BExZTT6J3X0TOX0ZY6YPLUVMCW9X" localSheetId="4" hidden="1">#REF!</definedName>
    <definedName name="BExZTT6J3X0TOX0ZY6YPLUVMCW9X" localSheetId="1" hidden="1">#REF!</definedName>
    <definedName name="BExZTT6J3X0TOX0ZY6YPLUVMCW9X" localSheetId="9" hidden="1">#REF!</definedName>
    <definedName name="BExZTT6J3X0TOX0ZY6YPLUVMCW9X" hidden="1">#REF!</definedName>
    <definedName name="BExZTW6ECBRA0BBITWBQ8R93RMCL" localSheetId="56" hidden="1">#REF!</definedName>
    <definedName name="BExZTW6ECBRA0BBITWBQ8R93RMCL" localSheetId="55" hidden="1">#REF!</definedName>
    <definedName name="BExZTW6ECBRA0BBITWBQ8R93RMCL" localSheetId="4" hidden="1">#REF!</definedName>
    <definedName name="BExZTW6ECBRA0BBITWBQ8R93RMCL" localSheetId="1" hidden="1">#REF!</definedName>
    <definedName name="BExZTW6ECBRA0BBITWBQ8R93RMCL" localSheetId="9" hidden="1">#REF!</definedName>
    <definedName name="BExZTW6ECBRA0BBITWBQ8R93RMCL" hidden="1">#REF!</definedName>
    <definedName name="BExZU2BHYAOKSCBM3C5014ZF6IXS" localSheetId="56" hidden="1">#REF!</definedName>
    <definedName name="BExZU2BHYAOKSCBM3C5014ZF6IXS" localSheetId="55" hidden="1">#REF!</definedName>
    <definedName name="BExZU2BHYAOKSCBM3C5014ZF6IXS" localSheetId="4" hidden="1">#REF!</definedName>
    <definedName name="BExZU2BHYAOKSCBM3C5014ZF6IXS" localSheetId="1" hidden="1">#REF!</definedName>
    <definedName name="BExZU2BHYAOKSCBM3C5014ZF6IXS" localSheetId="9" hidden="1">#REF!</definedName>
    <definedName name="BExZU2BHYAOKSCBM3C5014ZF6IXS" hidden="1">#REF!</definedName>
    <definedName name="BExZU2RMJTXOCS0ROPMYPE6WTD87" localSheetId="56" hidden="1">#REF!</definedName>
    <definedName name="BExZU2RMJTXOCS0ROPMYPE6WTD87" localSheetId="55" hidden="1">#REF!</definedName>
    <definedName name="BExZU2RMJTXOCS0ROPMYPE6WTD87" localSheetId="4" hidden="1">#REF!</definedName>
    <definedName name="BExZU2RMJTXOCS0ROPMYPE6WTD87" localSheetId="1" hidden="1">#REF!</definedName>
    <definedName name="BExZU2RMJTXOCS0ROPMYPE6WTD87" localSheetId="9" hidden="1">#REF!</definedName>
    <definedName name="BExZU2RMJTXOCS0ROPMYPE6WTD87" hidden="1">#REF!</definedName>
    <definedName name="BExZUBRAHA9DNEGONEZEB2TDVFC2" localSheetId="56" hidden="1">#REF!</definedName>
    <definedName name="BExZUBRAHA9DNEGONEZEB2TDVFC2" localSheetId="55" hidden="1">#REF!</definedName>
    <definedName name="BExZUBRAHA9DNEGONEZEB2TDVFC2" localSheetId="4" hidden="1">#REF!</definedName>
    <definedName name="BExZUBRAHA9DNEGONEZEB2TDVFC2" localSheetId="1" hidden="1">#REF!</definedName>
    <definedName name="BExZUBRAHA9DNEGONEZEB2TDVFC2" localSheetId="9" hidden="1">#REF!</definedName>
    <definedName name="BExZUBRAHA9DNEGONEZEB2TDVFC2" hidden="1">#REF!</definedName>
    <definedName name="BExZUF7G8FENTJKH9R1XUWXM6CWD" localSheetId="56" hidden="1">#REF!</definedName>
    <definedName name="BExZUF7G8FENTJKH9R1XUWXM6CWD" localSheetId="55" hidden="1">#REF!</definedName>
    <definedName name="BExZUF7G8FENTJKH9R1XUWXM6CWD" localSheetId="4" hidden="1">#REF!</definedName>
    <definedName name="BExZUF7G8FENTJKH9R1XUWXM6CWD" localSheetId="1" hidden="1">#REF!</definedName>
    <definedName name="BExZUF7G8FENTJKH9R1XUWXM6CWD" localSheetId="9" hidden="1">#REF!</definedName>
    <definedName name="BExZUF7G8FENTJKH9R1XUWXM6CWD" hidden="1">#REF!</definedName>
    <definedName name="BExZUNARUJBIZ08VCAV3GEVBIR3D" localSheetId="56" hidden="1">#REF!</definedName>
    <definedName name="BExZUNARUJBIZ08VCAV3GEVBIR3D" localSheetId="55" hidden="1">#REF!</definedName>
    <definedName name="BExZUNARUJBIZ08VCAV3GEVBIR3D" localSheetId="4" hidden="1">#REF!</definedName>
    <definedName name="BExZUNARUJBIZ08VCAV3GEVBIR3D" localSheetId="1" hidden="1">#REF!</definedName>
    <definedName name="BExZUNARUJBIZ08VCAV3GEVBIR3D" localSheetId="9" hidden="1">#REF!</definedName>
    <definedName name="BExZUNARUJBIZ08VCAV3GEVBIR3D" hidden="1">#REF!</definedName>
    <definedName name="BExZUSZT5496UMBP4LFSLTR1GVEW" localSheetId="56" hidden="1">#REF!</definedName>
    <definedName name="BExZUSZT5496UMBP4LFSLTR1GVEW" localSheetId="55" hidden="1">#REF!</definedName>
    <definedName name="BExZUSZT5496UMBP4LFSLTR1GVEW" localSheetId="4" hidden="1">#REF!</definedName>
    <definedName name="BExZUSZT5496UMBP4LFSLTR1GVEW" localSheetId="1" hidden="1">#REF!</definedName>
    <definedName name="BExZUSZT5496UMBP4LFSLTR1GVEW" localSheetId="9" hidden="1">#REF!</definedName>
    <definedName name="BExZUSZT5496UMBP4LFSLTR1GVEW" hidden="1">#REF!</definedName>
    <definedName name="BExZUT54340I38GVCV79EL116WR0" localSheetId="56" hidden="1">#REF!</definedName>
    <definedName name="BExZUT54340I38GVCV79EL116WR0" localSheetId="55" hidden="1">#REF!</definedName>
    <definedName name="BExZUT54340I38GVCV79EL116WR0" localSheetId="4" hidden="1">#REF!</definedName>
    <definedName name="BExZUT54340I38GVCV79EL116WR0" localSheetId="1" hidden="1">#REF!</definedName>
    <definedName name="BExZUT54340I38GVCV79EL116WR0" localSheetId="9" hidden="1">#REF!</definedName>
    <definedName name="BExZUT54340I38GVCV79EL116WR0" hidden="1">#REF!</definedName>
    <definedName name="BExZUXC66MK2SXPXCLD8ZSU0BMTY" localSheetId="56" hidden="1">#REF!</definedName>
    <definedName name="BExZUXC66MK2SXPXCLD8ZSU0BMTY" localSheetId="55" hidden="1">#REF!</definedName>
    <definedName name="BExZUXC66MK2SXPXCLD8ZSU0BMTY" localSheetId="4" hidden="1">#REF!</definedName>
    <definedName name="BExZUXC66MK2SXPXCLD8ZSU0BMTY" localSheetId="1" hidden="1">#REF!</definedName>
    <definedName name="BExZUXC66MK2SXPXCLD8ZSU0BMTY" localSheetId="9" hidden="1">#REF!</definedName>
    <definedName name="BExZUXC66MK2SXPXCLD8ZSU0BMTY" hidden="1">#REF!</definedName>
    <definedName name="BExZUYDULCX65H9OZ9JHPBNKF3MI" localSheetId="56" hidden="1">#REF!</definedName>
    <definedName name="BExZUYDULCX65H9OZ9JHPBNKF3MI" localSheetId="55" hidden="1">#REF!</definedName>
    <definedName name="BExZUYDULCX65H9OZ9JHPBNKF3MI" localSheetId="4" hidden="1">#REF!</definedName>
    <definedName name="BExZUYDULCX65H9OZ9JHPBNKF3MI" localSheetId="1" hidden="1">#REF!</definedName>
    <definedName name="BExZUYDULCX65H9OZ9JHPBNKF3MI" localSheetId="9" hidden="1">#REF!</definedName>
    <definedName name="BExZUYDULCX65H9OZ9JHPBNKF3MI" hidden="1">#REF!</definedName>
    <definedName name="BExZV2QD5ZDK3AGDRULLA7JB46C3" localSheetId="56" hidden="1">#REF!</definedName>
    <definedName name="BExZV2QD5ZDK3AGDRULLA7JB46C3" localSheetId="55" hidden="1">#REF!</definedName>
    <definedName name="BExZV2QD5ZDK3AGDRULLA7JB46C3" localSheetId="4" hidden="1">#REF!</definedName>
    <definedName name="BExZV2QD5ZDK3AGDRULLA7JB46C3" localSheetId="1" hidden="1">#REF!</definedName>
    <definedName name="BExZV2QD5ZDK3AGDRULLA7JB46C3" localSheetId="9" hidden="1">#REF!</definedName>
    <definedName name="BExZV2QD5ZDK3AGDRULLA7JB46C3" hidden="1">#REF!</definedName>
    <definedName name="BExZVBQ29OM0V8XAL3HL0JIM0MMU" localSheetId="56" hidden="1">#REF!</definedName>
    <definedName name="BExZVBQ29OM0V8XAL3HL0JIM0MMU" localSheetId="55" hidden="1">#REF!</definedName>
    <definedName name="BExZVBQ29OM0V8XAL3HL0JIM0MMU" localSheetId="4" hidden="1">#REF!</definedName>
    <definedName name="BExZVBQ29OM0V8XAL3HL0JIM0MMU" localSheetId="1" hidden="1">#REF!</definedName>
    <definedName name="BExZVBQ29OM0V8XAL3HL0JIM0MMU" localSheetId="9" hidden="1">#REF!</definedName>
    <definedName name="BExZVBQ29OM0V8XAL3HL0JIM0MMU" hidden="1">#REF!</definedName>
    <definedName name="BExZVKV2XCPCINW1KP8Q1FI6KDNG" localSheetId="56" hidden="1">#REF!</definedName>
    <definedName name="BExZVKV2XCPCINW1KP8Q1FI6KDNG" localSheetId="55" hidden="1">#REF!</definedName>
    <definedName name="BExZVKV2XCPCINW1KP8Q1FI6KDNG" localSheetId="4" hidden="1">#REF!</definedName>
    <definedName name="BExZVKV2XCPCINW1KP8Q1FI6KDNG" localSheetId="1" hidden="1">#REF!</definedName>
    <definedName name="BExZVKV2XCPCINW1KP8Q1FI6KDNG" localSheetId="9" hidden="1">#REF!</definedName>
    <definedName name="BExZVKV2XCPCINW1KP8Q1FI6KDNG" hidden="1">#REF!</definedName>
    <definedName name="BExZVLM4T9ORS4ZWHME46U4Q103C" localSheetId="56" hidden="1">#REF!</definedName>
    <definedName name="BExZVLM4T9ORS4ZWHME46U4Q103C" localSheetId="55" hidden="1">#REF!</definedName>
    <definedName name="BExZVLM4T9ORS4ZWHME46U4Q103C" localSheetId="4" hidden="1">#REF!</definedName>
    <definedName name="BExZVLM4T9ORS4ZWHME46U4Q103C" localSheetId="1" hidden="1">#REF!</definedName>
    <definedName name="BExZVLM4T9ORS4ZWHME46U4Q103C" localSheetId="9" hidden="1">#REF!</definedName>
    <definedName name="BExZVLM4T9ORS4ZWHME46U4Q103C" hidden="1">#REF!</definedName>
    <definedName name="BExZVM7OZWPPRH5YQW50EYMMIW1A" localSheetId="56" hidden="1">#REF!</definedName>
    <definedName name="BExZVM7OZWPPRH5YQW50EYMMIW1A" localSheetId="55" hidden="1">#REF!</definedName>
    <definedName name="BExZVM7OZWPPRH5YQW50EYMMIW1A" localSheetId="4" hidden="1">#REF!</definedName>
    <definedName name="BExZVM7OZWPPRH5YQW50EYMMIW1A" localSheetId="1" hidden="1">#REF!</definedName>
    <definedName name="BExZVM7OZWPPRH5YQW50EYMMIW1A" localSheetId="9" hidden="1">#REF!</definedName>
    <definedName name="BExZVM7OZWPPRH5YQW50EYMMIW1A" hidden="1">#REF!</definedName>
    <definedName name="BExZVMYK7BAH6AGIAEXBE1NXDZ5Z" localSheetId="56" hidden="1">#REF!</definedName>
    <definedName name="BExZVMYK7BAH6AGIAEXBE1NXDZ5Z" localSheetId="55" hidden="1">#REF!</definedName>
    <definedName name="BExZVMYK7BAH6AGIAEXBE1NXDZ5Z" localSheetId="4" hidden="1">#REF!</definedName>
    <definedName name="BExZVMYK7BAH6AGIAEXBE1NXDZ5Z" localSheetId="1" hidden="1">#REF!</definedName>
    <definedName name="BExZVMYK7BAH6AGIAEXBE1NXDZ5Z" localSheetId="9" hidden="1">#REF!</definedName>
    <definedName name="BExZVMYK7BAH6AGIAEXBE1NXDZ5Z" hidden="1">#REF!</definedName>
    <definedName name="BExZVPYGX2C5OSHMZ6F0KBKZ6B1S" localSheetId="56" hidden="1">#REF!</definedName>
    <definedName name="BExZVPYGX2C5OSHMZ6F0KBKZ6B1S" localSheetId="55" hidden="1">#REF!</definedName>
    <definedName name="BExZVPYGX2C5OSHMZ6F0KBKZ6B1S" localSheetId="4" hidden="1">#REF!</definedName>
    <definedName name="BExZVPYGX2C5OSHMZ6F0KBKZ6B1S" localSheetId="1" hidden="1">#REF!</definedName>
    <definedName name="BExZVPYGX2C5OSHMZ6F0KBKZ6B1S" localSheetId="9" hidden="1">#REF!</definedName>
    <definedName name="BExZVPYGX2C5OSHMZ6F0KBKZ6B1S" hidden="1">#REF!</definedName>
    <definedName name="BExZW3LHTS7PFBNTYM95N8J5AFYQ" localSheetId="56" hidden="1">#REF!</definedName>
    <definedName name="BExZW3LHTS7PFBNTYM95N8J5AFYQ" localSheetId="55" hidden="1">#REF!</definedName>
    <definedName name="BExZW3LHTS7PFBNTYM95N8J5AFYQ" localSheetId="4" hidden="1">#REF!</definedName>
    <definedName name="BExZW3LHTS7PFBNTYM95N8J5AFYQ" localSheetId="1" hidden="1">#REF!</definedName>
    <definedName name="BExZW3LHTS7PFBNTYM95N8J5AFYQ" localSheetId="9" hidden="1">#REF!</definedName>
    <definedName name="BExZW3LHTS7PFBNTYM95N8J5AFYQ" hidden="1">#REF!</definedName>
    <definedName name="BExZW472V5ADKCFHIKAJ6D4R8MU4" localSheetId="56" hidden="1">#REF!</definedName>
    <definedName name="BExZW472V5ADKCFHIKAJ6D4R8MU4" localSheetId="55" hidden="1">#REF!</definedName>
    <definedName name="BExZW472V5ADKCFHIKAJ6D4R8MU4" localSheetId="4" hidden="1">#REF!</definedName>
    <definedName name="BExZW472V5ADKCFHIKAJ6D4R8MU4" localSheetId="1" hidden="1">#REF!</definedName>
    <definedName name="BExZW472V5ADKCFHIKAJ6D4R8MU4" localSheetId="9" hidden="1">#REF!</definedName>
    <definedName name="BExZW472V5ADKCFHIKAJ6D4R8MU4" hidden="1">#REF!</definedName>
    <definedName name="BExZW5UARC8W9AQNLJX2I5WQWS5F" localSheetId="56" hidden="1">#REF!</definedName>
    <definedName name="BExZW5UARC8W9AQNLJX2I5WQWS5F" localSheetId="55" hidden="1">#REF!</definedName>
    <definedName name="BExZW5UARC8W9AQNLJX2I5WQWS5F" localSheetId="4" hidden="1">#REF!</definedName>
    <definedName name="BExZW5UARC8W9AQNLJX2I5WQWS5F" localSheetId="1" hidden="1">#REF!</definedName>
    <definedName name="BExZW5UARC8W9AQNLJX2I5WQWS5F" localSheetId="9" hidden="1">#REF!</definedName>
    <definedName name="BExZW5UARC8W9AQNLJX2I5WQWS5F" hidden="1">#REF!</definedName>
    <definedName name="BExZW7HRGN6A9YS41KI2B2UUMJ7X" localSheetId="56" hidden="1">#REF!</definedName>
    <definedName name="BExZW7HRGN6A9YS41KI2B2UUMJ7X" localSheetId="55" hidden="1">#REF!</definedName>
    <definedName name="BExZW7HRGN6A9YS41KI2B2UUMJ7X" localSheetId="4" hidden="1">#REF!</definedName>
    <definedName name="BExZW7HRGN6A9YS41KI2B2UUMJ7X" localSheetId="1" hidden="1">#REF!</definedName>
    <definedName name="BExZW7HRGN6A9YS41KI2B2UUMJ7X" localSheetId="9" hidden="1">#REF!</definedName>
    <definedName name="BExZW7HRGN6A9YS41KI2B2UUMJ7X" hidden="1">#REF!</definedName>
    <definedName name="BExZW8ZPNV43UXGOT98FDNIBQHZY" localSheetId="56" hidden="1">#REF!</definedName>
    <definedName name="BExZW8ZPNV43UXGOT98FDNIBQHZY" localSheetId="55" hidden="1">#REF!</definedName>
    <definedName name="BExZW8ZPNV43UXGOT98FDNIBQHZY" localSheetId="4" hidden="1">#REF!</definedName>
    <definedName name="BExZW8ZPNV43UXGOT98FDNIBQHZY" localSheetId="1" hidden="1">#REF!</definedName>
    <definedName name="BExZW8ZPNV43UXGOT98FDNIBQHZY" localSheetId="9" hidden="1">#REF!</definedName>
    <definedName name="BExZW8ZPNV43UXGOT98FDNIBQHZY" hidden="1">#REF!</definedName>
    <definedName name="BExZWKZ5N3RDXU8MZ8HQVYYD8O0F" localSheetId="56" hidden="1">#REF!</definedName>
    <definedName name="BExZWKZ5N3RDXU8MZ8HQVYYD8O0F" localSheetId="55" hidden="1">#REF!</definedName>
    <definedName name="BExZWKZ5N3RDXU8MZ8HQVYYD8O0F" localSheetId="4" hidden="1">#REF!</definedName>
    <definedName name="BExZWKZ5N3RDXU8MZ8HQVYYD8O0F" localSheetId="1" hidden="1">#REF!</definedName>
    <definedName name="BExZWKZ5N3RDXU8MZ8HQVYYD8O0F" localSheetId="9" hidden="1">#REF!</definedName>
    <definedName name="BExZWKZ5N3RDXU8MZ8HQVYYD8O0F" hidden="1">#REF!</definedName>
    <definedName name="BExZWMBRUCPO6F4QT5FNX8JRFL7V" localSheetId="56" hidden="1">#REF!</definedName>
    <definedName name="BExZWMBRUCPO6F4QT5FNX8JRFL7V" localSheetId="55" hidden="1">#REF!</definedName>
    <definedName name="BExZWMBRUCPO6F4QT5FNX8JRFL7V" localSheetId="4" hidden="1">#REF!</definedName>
    <definedName name="BExZWMBRUCPO6F4QT5FNX8JRFL7V" localSheetId="1" hidden="1">#REF!</definedName>
    <definedName name="BExZWMBRUCPO6F4QT5FNX8JRFL7V" localSheetId="9" hidden="1">#REF!</definedName>
    <definedName name="BExZWMBRUCPO6F4QT5FNX8JRFL7V" hidden="1">#REF!</definedName>
    <definedName name="BExZWQO5171HT1OZ6D6JZBHEW4JG" localSheetId="56" hidden="1">#REF!</definedName>
    <definedName name="BExZWQO5171HT1OZ6D6JZBHEW4JG" localSheetId="55" hidden="1">#REF!</definedName>
    <definedName name="BExZWQO5171HT1OZ6D6JZBHEW4JG" localSheetId="4" hidden="1">#REF!</definedName>
    <definedName name="BExZWQO5171HT1OZ6D6JZBHEW4JG" localSheetId="1" hidden="1">#REF!</definedName>
    <definedName name="BExZWQO5171HT1OZ6D6JZBHEW4JG" localSheetId="9" hidden="1">#REF!</definedName>
    <definedName name="BExZWQO5171HT1OZ6D6JZBHEW4JG" hidden="1">#REF!</definedName>
    <definedName name="BExZWSMC9T48W74GFGQCIUJ8ZPP3" localSheetId="56" hidden="1">#REF!</definedName>
    <definedName name="BExZWSMC9T48W74GFGQCIUJ8ZPP3" localSheetId="55" hidden="1">#REF!</definedName>
    <definedName name="BExZWSMC9T48W74GFGQCIUJ8ZPP3" localSheetId="4" hidden="1">#REF!</definedName>
    <definedName name="BExZWSMC9T48W74GFGQCIUJ8ZPP3" localSheetId="1" hidden="1">#REF!</definedName>
    <definedName name="BExZWSMC9T48W74GFGQCIUJ8ZPP3" localSheetId="9" hidden="1">#REF!</definedName>
    <definedName name="BExZWSMC9T48W74GFGQCIUJ8ZPP3" hidden="1">#REF!</definedName>
    <definedName name="BExZWUF2V4HY3HI8JN9ZVPRWK1H3" localSheetId="56" hidden="1">#REF!</definedName>
    <definedName name="BExZWUF2V4HY3HI8JN9ZVPRWK1H3" localSheetId="55" hidden="1">#REF!</definedName>
    <definedName name="BExZWUF2V4HY3HI8JN9ZVPRWK1H3" localSheetId="4" hidden="1">#REF!</definedName>
    <definedName name="BExZWUF2V4HY3HI8JN9ZVPRWK1H3" localSheetId="1" hidden="1">#REF!</definedName>
    <definedName name="BExZWUF2V4HY3HI8JN9ZVPRWK1H3" localSheetId="9" hidden="1">#REF!</definedName>
    <definedName name="BExZWUF2V4HY3HI8JN9ZVPRWK1H3" hidden="1">#REF!</definedName>
    <definedName name="BExZWX45URTK9KYDJHEXL1OTZ833" localSheetId="56" hidden="1">#REF!</definedName>
    <definedName name="BExZWX45URTK9KYDJHEXL1OTZ833" localSheetId="55" hidden="1">#REF!</definedName>
    <definedName name="BExZWX45URTK9KYDJHEXL1OTZ833" localSheetId="4" hidden="1">#REF!</definedName>
    <definedName name="BExZWX45URTK9KYDJHEXL1OTZ833" localSheetId="1" hidden="1">#REF!</definedName>
    <definedName name="BExZWX45URTK9KYDJHEXL1OTZ833" localSheetId="9" hidden="1">#REF!</definedName>
    <definedName name="BExZWX45URTK9KYDJHEXL1OTZ833" hidden="1">#REF!</definedName>
    <definedName name="BExZX0EWQEZO86WDAD9A4EAEZ012" localSheetId="56" hidden="1">#REF!</definedName>
    <definedName name="BExZX0EWQEZO86WDAD9A4EAEZ012" localSheetId="55" hidden="1">#REF!</definedName>
    <definedName name="BExZX0EWQEZO86WDAD9A4EAEZ012" localSheetId="4" hidden="1">#REF!</definedName>
    <definedName name="BExZX0EWQEZO86WDAD9A4EAEZ012" localSheetId="1" hidden="1">#REF!</definedName>
    <definedName name="BExZX0EWQEZO86WDAD9A4EAEZ012" localSheetId="9" hidden="1">#REF!</definedName>
    <definedName name="BExZX0EWQEZO86WDAD9A4EAEZ012" hidden="1">#REF!</definedName>
    <definedName name="BExZX2T6ZT2DZLYSDJJBPVIT5OK2" localSheetId="56" hidden="1">#REF!</definedName>
    <definedName name="BExZX2T6ZT2DZLYSDJJBPVIT5OK2" localSheetId="55" hidden="1">#REF!</definedName>
    <definedName name="BExZX2T6ZT2DZLYSDJJBPVIT5OK2" localSheetId="4" hidden="1">#REF!</definedName>
    <definedName name="BExZX2T6ZT2DZLYSDJJBPVIT5OK2" localSheetId="1" hidden="1">#REF!</definedName>
    <definedName name="BExZX2T6ZT2DZLYSDJJBPVIT5OK2" localSheetId="9" hidden="1">#REF!</definedName>
    <definedName name="BExZX2T6ZT2DZLYSDJJBPVIT5OK2" hidden="1">#REF!</definedName>
    <definedName name="BExZXOJDELULNLEH7WG0OYJT0NJ4" localSheetId="56" hidden="1">#REF!</definedName>
    <definedName name="BExZXOJDELULNLEH7WG0OYJT0NJ4" localSheetId="55" hidden="1">#REF!</definedName>
    <definedName name="BExZXOJDELULNLEH7WG0OYJT0NJ4" localSheetId="4" hidden="1">#REF!</definedName>
    <definedName name="BExZXOJDELULNLEH7WG0OYJT0NJ4" localSheetId="1" hidden="1">#REF!</definedName>
    <definedName name="BExZXOJDELULNLEH7WG0OYJT0NJ4" localSheetId="9" hidden="1">#REF!</definedName>
    <definedName name="BExZXOJDELULNLEH7WG0OYJT0NJ4" hidden="1">#REF!</definedName>
    <definedName name="BExZXOOTRNUK8LGEAZ8ZCFW9KXQ1" localSheetId="56" hidden="1">#REF!</definedName>
    <definedName name="BExZXOOTRNUK8LGEAZ8ZCFW9KXQ1" localSheetId="55" hidden="1">#REF!</definedName>
    <definedName name="BExZXOOTRNUK8LGEAZ8ZCFW9KXQ1" localSheetId="4" hidden="1">#REF!</definedName>
    <definedName name="BExZXOOTRNUK8LGEAZ8ZCFW9KXQ1" localSheetId="1" hidden="1">#REF!</definedName>
    <definedName name="BExZXOOTRNUK8LGEAZ8ZCFW9KXQ1" localSheetId="9" hidden="1">#REF!</definedName>
    <definedName name="BExZXOOTRNUK8LGEAZ8ZCFW9KXQ1" hidden="1">#REF!</definedName>
    <definedName name="BExZXT6JOXNKEDU23DKL8XZAJZIH" localSheetId="56" hidden="1">#REF!</definedName>
    <definedName name="BExZXT6JOXNKEDU23DKL8XZAJZIH" localSheetId="55" hidden="1">#REF!</definedName>
    <definedName name="BExZXT6JOXNKEDU23DKL8XZAJZIH" localSheetId="4" hidden="1">#REF!</definedName>
    <definedName name="BExZXT6JOXNKEDU23DKL8XZAJZIH" localSheetId="1" hidden="1">#REF!</definedName>
    <definedName name="BExZXT6JOXNKEDU23DKL8XZAJZIH" localSheetId="9" hidden="1">#REF!</definedName>
    <definedName name="BExZXT6JOXNKEDU23DKL8XZAJZIH" hidden="1">#REF!</definedName>
    <definedName name="BExZXUTYW1HWEEZ1LIX4OQWC7HL1" localSheetId="56" hidden="1">#REF!</definedName>
    <definedName name="BExZXUTYW1HWEEZ1LIX4OQWC7HL1" localSheetId="55" hidden="1">#REF!</definedName>
    <definedName name="BExZXUTYW1HWEEZ1LIX4OQWC7HL1" localSheetId="4" hidden="1">#REF!</definedName>
    <definedName name="BExZXUTYW1HWEEZ1LIX4OQWC7HL1" localSheetId="1" hidden="1">#REF!</definedName>
    <definedName name="BExZXUTYW1HWEEZ1LIX4OQWC7HL1" localSheetId="9" hidden="1">#REF!</definedName>
    <definedName name="BExZXUTYW1HWEEZ1LIX4OQWC7HL1" hidden="1">#REF!</definedName>
    <definedName name="BExZXY4NKQL9QD76YMQJ15U1C2G8" localSheetId="56" hidden="1">#REF!</definedName>
    <definedName name="BExZXY4NKQL9QD76YMQJ15U1C2G8" localSheetId="55" hidden="1">#REF!</definedName>
    <definedName name="BExZXY4NKQL9QD76YMQJ15U1C2G8" localSheetId="4" hidden="1">#REF!</definedName>
    <definedName name="BExZXY4NKQL9QD76YMQJ15U1C2G8" localSheetId="1" hidden="1">#REF!</definedName>
    <definedName name="BExZXY4NKQL9QD76YMQJ15U1C2G8" localSheetId="9" hidden="1">#REF!</definedName>
    <definedName name="BExZXY4NKQL9QD76YMQJ15U1C2G8" hidden="1">#REF!</definedName>
    <definedName name="BExZXYQ7U5G08FQGUIGYT14QCBOF" localSheetId="56" hidden="1">#REF!</definedName>
    <definedName name="BExZXYQ7U5G08FQGUIGYT14QCBOF" localSheetId="55" hidden="1">#REF!</definedName>
    <definedName name="BExZXYQ7U5G08FQGUIGYT14QCBOF" localSheetId="4" hidden="1">#REF!</definedName>
    <definedName name="BExZXYQ7U5G08FQGUIGYT14QCBOF" localSheetId="1" hidden="1">#REF!</definedName>
    <definedName name="BExZXYQ7U5G08FQGUIGYT14QCBOF" localSheetId="9" hidden="1">#REF!</definedName>
    <definedName name="BExZXYQ7U5G08FQGUIGYT14QCBOF" hidden="1">#REF!</definedName>
    <definedName name="BExZY02V77YJBMODJSWZOYCMPS5X" localSheetId="56" hidden="1">#REF!</definedName>
    <definedName name="BExZY02V77YJBMODJSWZOYCMPS5X" localSheetId="55" hidden="1">#REF!</definedName>
    <definedName name="BExZY02V77YJBMODJSWZOYCMPS5X" localSheetId="4" hidden="1">#REF!</definedName>
    <definedName name="BExZY02V77YJBMODJSWZOYCMPS5X" localSheetId="1" hidden="1">#REF!</definedName>
    <definedName name="BExZY02V77YJBMODJSWZOYCMPS5X" localSheetId="9" hidden="1">#REF!</definedName>
    <definedName name="BExZY02V77YJBMODJSWZOYCMPS5X" hidden="1">#REF!</definedName>
    <definedName name="BExZY3DEOYNIHRV56IY5LJXZK8RU" localSheetId="56" hidden="1">#REF!</definedName>
    <definedName name="BExZY3DEOYNIHRV56IY5LJXZK8RU" localSheetId="55" hidden="1">#REF!</definedName>
    <definedName name="BExZY3DEOYNIHRV56IY5LJXZK8RU" localSheetId="4" hidden="1">#REF!</definedName>
    <definedName name="BExZY3DEOYNIHRV56IY5LJXZK8RU" localSheetId="1" hidden="1">#REF!</definedName>
    <definedName name="BExZY3DEOYNIHRV56IY5LJXZK8RU" localSheetId="9" hidden="1">#REF!</definedName>
    <definedName name="BExZY3DEOYNIHRV56IY5LJXZK8RU" hidden="1">#REF!</definedName>
    <definedName name="BExZY49QRZIR6CA41LFA9LM6EULU" localSheetId="56" hidden="1">#REF!</definedName>
    <definedName name="BExZY49QRZIR6CA41LFA9LM6EULU" localSheetId="55" hidden="1">#REF!</definedName>
    <definedName name="BExZY49QRZIR6CA41LFA9LM6EULU" localSheetId="4" hidden="1">#REF!</definedName>
    <definedName name="BExZY49QRZIR6CA41LFA9LM6EULU" localSheetId="1" hidden="1">#REF!</definedName>
    <definedName name="BExZY49QRZIR6CA41LFA9LM6EULU" localSheetId="9" hidden="1">#REF!</definedName>
    <definedName name="BExZY49QRZIR6CA41LFA9LM6EULU" hidden="1">#REF!</definedName>
    <definedName name="BExZYTG2G7W27YATTETFDDCZ0C4U" localSheetId="56" hidden="1">#REF!</definedName>
    <definedName name="BExZYTG2G7W27YATTETFDDCZ0C4U" localSheetId="55" hidden="1">#REF!</definedName>
    <definedName name="BExZYTG2G7W27YATTETFDDCZ0C4U" localSheetId="4" hidden="1">#REF!</definedName>
    <definedName name="BExZYTG2G7W27YATTETFDDCZ0C4U" localSheetId="1" hidden="1">#REF!</definedName>
    <definedName name="BExZYTG2G7W27YATTETFDDCZ0C4U" localSheetId="9" hidden="1">#REF!</definedName>
    <definedName name="BExZYTG2G7W27YATTETFDDCZ0C4U" hidden="1">#REF!</definedName>
    <definedName name="BExZYYOZMC36ROQDWLR5Z17WKHCR" localSheetId="56" hidden="1">#REF!</definedName>
    <definedName name="BExZYYOZMC36ROQDWLR5Z17WKHCR" localSheetId="55" hidden="1">#REF!</definedName>
    <definedName name="BExZYYOZMC36ROQDWLR5Z17WKHCR" localSheetId="4" hidden="1">#REF!</definedName>
    <definedName name="BExZYYOZMC36ROQDWLR5Z17WKHCR" localSheetId="1" hidden="1">#REF!</definedName>
    <definedName name="BExZYYOZMC36ROQDWLR5Z17WKHCR" localSheetId="9" hidden="1">#REF!</definedName>
    <definedName name="BExZYYOZMC36ROQDWLR5Z17WKHCR" hidden="1">#REF!</definedName>
    <definedName name="BExZZ2FQA9A8C7CJKMEFQ9VPSLCE" localSheetId="56" hidden="1">#REF!</definedName>
    <definedName name="BExZZ2FQA9A8C7CJKMEFQ9VPSLCE" localSheetId="55" hidden="1">#REF!</definedName>
    <definedName name="BExZZ2FQA9A8C7CJKMEFQ9VPSLCE" localSheetId="4" hidden="1">#REF!</definedName>
    <definedName name="BExZZ2FQA9A8C7CJKMEFQ9VPSLCE" localSheetId="1" hidden="1">#REF!</definedName>
    <definedName name="BExZZ2FQA9A8C7CJKMEFQ9VPSLCE" localSheetId="9" hidden="1">#REF!</definedName>
    <definedName name="BExZZ2FQA9A8C7CJKMEFQ9VPSLCE" hidden="1">#REF!</definedName>
    <definedName name="BExZZ7ZGXIMA3OVYAWY3YQSK64LF" localSheetId="56" hidden="1">#REF!</definedName>
    <definedName name="BExZZ7ZGXIMA3OVYAWY3YQSK64LF" localSheetId="55" hidden="1">#REF!</definedName>
    <definedName name="BExZZ7ZGXIMA3OVYAWY3YQSK64LF" localSheetId="4" hidden="1">#REF!</definedName>
    <definedName name="BExZZ7ZGXIMA3OVYAWY3YQSK64LF" localSheetId="1" hidden="1">#REF!</definedName>
    <definedName name="BExZZ7ZGXIMA3OVYAWY3YQSK64LF" localSheetId="9" hidden="1">#REF!</definedName>
    <definedName name="BExZZ7ZGXIMA3OVYAWY3YQSK64LF" hidden="1">#REF!</definedName>
    <definedName name="BExZZ8FKEIFG203MU6SEJ69MINCD" localSheetId="56" hidden="1">#REF!</definedName>
    <definedName name="BExZZ8FKEIFG203MU6SEJ69MINCD" localSheetId="55" hidden="1">#REF!</definedName>
    <definedName name="BExZZ8FKEIFG203MU6SEJ69MINCD" localSheetId="4" hidden="1">#REF!</definedName>
    <definedName name="BExZZ8FKEIFG203MU6SEJ69MINCD" localSheetId="1" hidden="1">#REF!</definedName>
    <definedName name="BExZZ8FKEIFG203MU6SEJ69MINCD" localSheetId="9" hidden="1">#REF!</definedName>
    <definedName name="BExZZ8FKEIFG203MU6SEJ69MINCD" hidden="1">#REF!</definedName>
    <definedName name="BExZZCHAVHW8C2H649KRGVQ0WVRT" localSheetId="56" hidden="1">#REF!</definedName>
    <definedName name="BExZZCHAVHW8C2H649KRGVQ0WVRT" localSheetId="55" hidden="1">#REF!</definedName>
    <definedName name="BExZZCHAVHW8C2H649KRGVQ0WVRT" localSheetId="4" hidden="1">#REF!</definedName>
    <definedName name="BExZZCHAVHW8C2H649KRGVQ0WVRT" localSheetId="1" hidden="1">#REF!</definedName>
    <definedName name="BExZZCHAVHW8C2H649KRGVQ0WVRT" localSheetId="9" hidden="1">#REF!</definedName>
    <definedName name="BExZZCHAVHW8C2H649KRGVQ0WVRT" hidden="1">#REF!</definedName>
    <definedName name="BExZZTK54OTLF2YB68BHGOS27GEN" localSheetId="56" hidden="1">#REF!</definedName>
    <definedName name="BExZZTK54OTLF2YB68BHGOS27GEN" localSheetId="55" hidden="1">#REF!</definedName>
    <definedName name="BExZZTK54OTLF2YB68BHGOS27GEN" localSheetId="4" hidden="1">#REF!</definedName>
    <definedName name="BExZZTK54OTLF2YB68BHGOS27GEN" localSheetId="1" hidden="1">#REF!</definedName>
    <definedName name="BExZZTK54OTLF2YB68BHGOS27GEN" localSheetId="9" hidden="1">#REF!</definedName>
    <definedName name="BExZZTK54OTLF2YB68BHGOS27GEN" hidden="1">#REF!</definedName>
    <definedName name="BExZZXB3JQQG4SIZS4MRU6NNW7HI" localSheetId="56" hidden="1">#REF!</definedName>
    <definedName name="BExZZXB3JQQG4SIZS4MRU6NNW7HI" localSheetId="55" hidden="1">#REF!</definedName>
    <definedName name="BExZZXB3JQQG4SIZS4MRU6NNW7HI" localSheetId="4" hidden="1">#REF!</definedName>
    <definedName name="BExZZXB3JQQG4SIZS4MRU6NNW7HI" localSheetId="1" hidden="1">#REF!</definedName>
    <definedName name="BExZZXB3JQQG4SIZS4MRU6NNW7HI" localSheetId="9" hidden="1">#REF!</definedName>
    <definedName name="BExZZXB3JQQG4SIZS4MRU6NNW7HI" hidden="1">#REF!</definedName>
    <definedName name="BExZZZEMIIFKMLLV4DJKX5TB9R5V" localSheetId="56" hidden="1">#REF!</definedName>
    <definedName name="BExZZZEMIIFKMLLV4DJKX5TB9R5V" localSheetId="55" hidden="1">#REF!</definedName>
    <definedName name="BExZZZEMIIFKMLLV4DJKX5TB9R5V" localSheetId="4" hidden="1">#REF!</definedName>
    <definedName name="BExZZZEMIIFKMLLV4DJKX5TB9R5V" localSheetId="1" hidden="1">#REF!</definedName>
    <definedName name="BExZZZEMIIFKMLLV4DJKX5TB9R5V" localSheetId="9" hidden="1">#REF!</definedName>
    <definedName name="BExZZZEMIIFKMLLV4DJKX5TB9R5V" hidden="1">#REF!</definedName>
    <definedName name="BottomRight" localSheetId="1">#REF!</definedName>
    <definedName name="BottomRight" localSheetId="9">#REF!</definedName>
    <definedName name="BottomRight">#REF!</definedName>
    <definedName name="BS_Accounts" localSheetId="1">#REF!</definedName>
    <definedName name="BS_Accounts" localSheetId="9">#REF!</definedName>
    <definedName name="BS_Accounts">#REF!</definedName>
    <definedName name="BUSUNIT">'[18]Input '!$C$9</definedName>
    <definedName name="BUTLER" localSheetId="1">#REF!</definedName>
    <definedName name="BUTLER" localSheetId="2">#REF!</definedName>
    <definedName name="BUTLER" localSheetId="9">#REF!</definedName>
    <definedName name="BUTLER">#REF!</definedName>
    <definedName name="Button_1">"TradeSummary_Ken_Finicle_List"</definedName>
    <definedName name="C_" localSheetId="1">'[10]Schedule 4 O&amp;M'!#REF!</definedName>
    <definedName name="C_" localSheetId="2">'[10]Schedule 4 O&amp;M'!#REF!</definedName>
    <definedName name="C_" localSheetId="9">'[10]Schedule 4 O&amp;M'!#REF!</definedName>
    <definedName name="C_">'[10]Schedule 4 O&amp;M'!#REF!</definedName>
    <definedName name="Capacity" localSheetId="1">#REF!</definedName>
    <definedName name="Capacity" localSheetId="9">#REF!</definedName>
    <definedName name="Capacity">#REF!</definedName>
    <definedName name="CaseDescription">'[13]Dispatch Cases'!$C$11</definedName>
    <definedName name="CBWorkbookPriority" hidden="1">-2060790043</definedName>
    <definedName name="CC" localSheetId="1">#REF!</definedName>
    <definedName name="CC" localSheetId="2">#REF!</definedName>
    <definedName name="CC" localSheetId="9">#REF!</definedName>
    <definedName name="CC">#REF!</definedName>
    <definedName name="CCC" localSheetId="1">#REF!</definedName>
    <definedName name="CCC" localSheetId="2">#REF!</definedName>
    <definedName name="CCC" localSheetId="9">#REF!</definedName>
    <definedName name="CCC">#REF!</definedName>
    <definedName name="CCGT_HeatRate">[13]Assumptions!$H$23</definedName>
    <definedName name="CCGTPrice">[13]Assumptions!$H$22</definedName>
    <definedName name="Central_Only" localSheetId="1">'[10]Alloc factors'!#REF!</definedName>
    <definedName name="Central_Only" localSheetId="2">'[10]Alloc factors'!#REF!</definedName>
    <definedName name="Central_Only" localSheetId="9">'[10]Alloc factors'!#REF!</definedName>
    <definedName name="Central_Only">'[10]Alloc factors'!#REF!</definedName>
    <definedName name="CL_RT" localSheetId="1">#REF!</definedName>
    <definedName name="CL_RT" localSheetId="9">#REF!</definedName>
    <definedName name="CL_RT">#REF!</definedName>
    <definedName name="CL_RT2">'[19]Transp Data'!$A$6:$C$81</definedName>
    <definedName name="CO">'[20] Adj 9.01 P3.6'!$A$1</definedName>
    <definedName name="COLHOUSE" localSheetId="1">#REF!</definedName>
    <definedName name="COLHOUSE" localSheetId="9">#REF!</definedName>
    <definedName name="COLHOUSE">#REF!</definedName>
    <definedName name="COLXFER" localSheetId="1">[17]model!#REF!</definedName>
    <definedName name="COLXFER" localSheetId="9">[17]model!#REF!</definedName>
    <definedName name="COLXFER">[17]model!#REF!</definedName>
    <definedName name="CombWC_LineItem" localSheetId="1">[3]BS!#REF!</definedName>
    <definedName name="CombWC_LineItem" localSheetId="9">[3]BS!#REF!</definedName>
    <definedName name="CombWC_LineItem">[3]BS!#REF!</definedName>
    <definedName name="COMMON_ADMIN_ALLOCATED" localSheetId="1">#REF!</definedName>
    <definedName name="COMMON_ADMIN_ALLOCATED" localSheetId="9">#REF!</definedName>
    <definedName name="COMMON_ADMIN_ALLOCATED">#REF!</definedName>
    <definedName name="company" localSheetId="1">'[21]Company Groups'!#REF!</definedName>
    <definedName name="company" localSheetId="2">'[21]Company Groups'!#REF!</definedName>
    <definedName name="company" localSheetId="9">'[21]Company Groups'!#REF!</definedName>
    <definedName name="company">'[21]Company Groups'!#REF!</definedName>
    <definedName name="COMPINSR" localSheetId="1">#REF!</definedName>
    <definedName name="COMPINSR" localSheetId="9">#REF!</definedName>
    <definedName name="COMPINSR">#REF!</definedName>
    <definedName name="CONSERV" localSheetId="1">#REF!</definedName>
    <definedName name="CONSERV" localSheetId="9">#REF!</definedName>
    <definedName name="CONSERV">#REF!</definedName>
    <definedName name="Consv_Rdr_Rt" localSheetId="1">[22]Sch_120!#REF!</definedName>
    <definedName name="Consv_Rdr_Rt" localSheetId="9">[22]Sch_120!#REF!</definedName>
    <definedName name="Consv_Rdr_Rt">[22]Sch_120!#REF!</definedName>
    <definedName name="ContractDate" localSheetId="1">'[23]Dispatch Cases'!#REF!</definedName>
    <definedName name="ContractDate" localSheetId="9">'[23]Dispatch Cases'!#REF!</definedName>
    <definedName name="ContractDate">'[23]Dispatch Cases'!#REF!</definedName>
    <definedName name="Conv_Factor" localSheetId="1">[22]Sch_120!#REF!</definedName>
    <definedName name="Conv_Factor" localSheetId="9">[22]Sch_120!#REF!</definedName>
    <definedName name="Conv_Factor">[22]Sch_120!#REF!</definedName>
    <definedName name="ConversionFactor">[13]Assumptions!$I$65</definedName>
    <definedName name="CONVFACT" localSheetId="1">#REF!</definedName>
    <definedName name="CONVFACT" localSheetId="9">#REF!</definedName>
    <definedName name="CONVFACT">#REF!</definedName>
    <definedName name="Cortez" localSheetId="1">'[10]Alloc factors'!#REF!</definedName>
    <definedName name="Cortez" localSheetId="2">'[10]Alloc factors'!#REF!</definedName>
    <definedName name="Cortez" localSheetId="9">'[10]Alloc factors'!#REF!</definedName>
    <definedName name="Cortez">'[10]Alloc factors'!#REF!</definedName>
    <definedName name="csDesignMode">1</definedName>
    <definedName name="CurrQtr">'[24]Inc Stmt'!$AJ$222</definedName>
    <definedName name="cust" localSheetId="1">#REF!</definedName>
    <definedName name="cust" localSheetId="9">#REF!</definedName>
    <definedName name="cust">#REF!</definedName>
    <definedName name="CUSTDEP" localSheetId="1">#REF!</definedName>
    <definedName name="CUSTDEP" localSheetId="9">#REF!</definedName>
    <definedName name="CUSTDEP">#REF!</definedName>
    <definedName name="customerinput" localSheetId="1">#REF!</definedName>
    <definedName name="customerinput" localSheetId="2">#REF!</definedName>
    <definedName name="customerinput" localSheetId="9">#REF!</definedName>
    <definedName name="customerinput">#REF!</definedName>
    <definedName name="Data" localSheetId="1">#REF!</definedName>
    <definedName name="Data" localSheetId="9">#REF!</definedName>
    <definedName name="Data">#REF!</definedName>
    <definedName name="Data.Avg">'[24]Avg Amts'!$A$5:$BP$34</definedName>
    <definedName name="Data.Qtrs.Avg">'[24]Avg Amts'!$5:$5</definedName>
    <definedName name="data1" localSheetId="1">#REF!</definedName>
    <definedName name="data1" localSheetId="9">#REF!</definedName>
    <definedName name="data1">#REF!</definedName>
    <definedName name="dataset" localSheetId="1">#REF!</definedName>
    <definedName name="dataset" localSheetId="2">#REF!</definedName>
    <definedName name="dataset" localSheetId="9">#REF!</definedName>
    <definedName name="dataset">#REF!</definedName>
    <definedName name="date" localSheetId="1">#REF!</definedName>
    <definedName name="date" localSheetId="2">#REF!</definedName>
    <definedName name="date" localSheetId="9">#REF!</definedName>
    <definedName name="date">#REF!</definedName>
    <definedName name="DebtPerc">[13]Assumptions!$I$58</definedName>
    <definedName name="Dec02AMA" localSheetId="1">[25]BS!#REF!</definedName>
    <definedName name="Dec02AMA" localSheetId="9">[25]BS!#REF!</definedName>
    <definedName name="Dec02AMA">[25]BS!#REF!</definedName>
    <definedName name="Dec03AMA">[7]BS!$AJ$7:$AJ$3582</definedName>
    <definedName name="Dec04AMA">[5]BS!$AO$7:$AO$3582</definedName>
    <definedName name="Dec08AMA">[6]BS!$AJ$7:$AJ$1726</definedName>
    <definedName name="Dec09AMA">[6]BS!$AV$7:$AV$1726</definedName>
    <definedName name="Degree_Days" localSheetId="1">#REF!</definedName>
    <definedName name="Degree_Days" localSheetId="9">#REF!</definedName>
    <definedName name="Degree_Days">#REF!</definedName>
    <definedName name="DELETE01" localSheetId="46" hidden="1">{#N/A,#N/A,FALSE,"Coversheet";#N/A,#N/A,FALSE,"QA"}</definedName>
    <definedName name="DELETE01" localSheetId="52" hidden="1">{#N/A,#N/A,FALSE,"Coversheet";#N/A,#N/A,FALSE,"QA"}</definedName>
    <definedName name="DELETE01" localSheetId="62" hidden="1">{#N/A,#N/A,FALSE,"Coversheet";#N/A,#N/A,FALSE,"QA"}</definedName>
    <definedName name="DELETE01" localSheetId="53" hidden="1">{#N/A,#N/A,FALSE,"Coversheet";#N/A,#N/A,FALSE,"QA"}</definedName>
    <definedName name="DELETE01" localSheetId="60" hidden="1">{#N/A,#N/A,FALSE,"Coversheet";#N/A,#N/A,FALSE,"QA"}</definedName>
    <definedName name="DELETE01" localSheetId="1" hidden="1">{#N/A,#N/A,FALSE,"Coversheet";#N/A,#N/A,FALSE,"QA"}</definedName>
    <definedName name="DELETE01" localSheetId="2" hidden="1">{#N/A,#N/A,FALSE,"Coversheet";#N/A,#N/A,FALSE,"QA"}</definedName>
    <definedName name="DELETE01" localSheetId="11" hidden="1">{#N/A,#N/A,FALSE,"Coversheet";#N/A,#N/A,FALSE,"QA"}</definedName>
    <definedName name="DELETE01" hidden="1">{#N/A,#N/A,FALSE,"Coversheet";#N/A,#N/A,FALSE,"QA"}</definedName>
    <definedName name="DELETE02" localSheetId="46" hidden="1">{#N/A,#N/A,FALSE,"Schedule F";#N/A,#N/A,FALSE,"Schedule G"}</definedName>
    <definedName name="DELETE02" localSheetId="52" hidden="1">{#N/A,#N/A,FALSE,"Schedule F";#N/A,#N/A,FALSE,"Schedule G"}</definedName>
    <definedName name="DELETE02" localSheetId="62" hidden="1">{#N/A,#N/A,FALSE,"Schedule F";#N/A,#N/A,FALSE,"Schedule G"}</definedName>
    <definedName name="DELETE02" localSheetId="53" hidden="1">{#N/A,#N/A,FALSE,"Schedule F";#N/A,#N/A,FALSE,"Schedule G"}</definedName>
    <definedName name="DELETE02" localSheetId="60" hidden="1">{#N/A,#N/A,FALSE,"Schedule F";#N/A,#N/A,FALSE,"Schedule G"}</definedName>
    <definedName name="DELETE02" localSheetId="1" hidden="1">{#N/A,#N/A,FALSE,"Schedule F";#N/A,#N/A,FALSE,"Schedule G"}</definedName>
    <definedName name="DELETE02" localSheetId="2" hidden="1">{#N/A,#N/A,FALSE,"Schedule F";#N/A,#N/A,FALSE,"Schedule G"}</definedName>
    <definedName name="DELETE02" localSheetId="11" hidden="1">{#N/A,#N/A,FALSE,"Schedule F";#N/A,#N/A,FALSE,"Schedule G"}</definedName>
    <definedName name="DELETE02" hidden="1">{#N/A,#N/A,FALSE,"Schedule F";#N/A,#N/A,FALSE,"Schedule G"}</definedName>
    <definedName name="Delete06" localSheetId="46" hidden="1">{#N/A,#N/A,FALSE,"Coversheet";#N/A,#N/A,FALSE,"QA"}</definedName>
    <definedName name="Delete06" localSheetId="62" hidden="1">{#N/A,#N/A,FALSE,"Coversheet";#N/A,#N/A,FALSE,"QA"}</definedName>
    <definedName name="Delete06" localSheetId="60" hidden="1">{#N/A,#N/A,FALSE,"Coversheet";#N/A,#N/A,FALSE,"QA"}</definedName>
    <definedName name="Delete06" localSheetId="1" hidden="1">{#N/A,#N/A,FALSE,"Coversheet";#N/A,#N/A,FALSE,"QA"}</definedName>
    <definedName name="Delete06" localSheetId="2" hidden="1">{#N/A,#N/A,FALSE,"Coversheet";#N/A,#N/A,FALSE,"QA"}</definedName>
    <definedName name="Delete06" localSheetId="11" hidden="1">{#N/A,#N/A,FALSE,"Coversheet";#N/A,#N/A,FALSE,"QA"}</definedName>
    <definedName name="Delete06" hidden="1">{#N/A,#N/A,FALSE,"Coversheet";#N/A,#N/A,FALSE,"QA"}</definedName>
    <definedName name="Delete09" localSheetId="46" hidden="1">{#N/A,#N/A,FALSE,"Coversheet";#N/A,#N/A,FALSE,"QA"}</definedName>
    <definedName name="Delete09" localSheetId="62" hidden="1">{#N/A,#N/A,FALSE,"Coversheet";#N/A,#N/A,FALSE,"QA"}</definedName>
    <definedName name="Delete09" localSheetId="60" hidden="1">{#N/A,#N/A,FALSE,"Coversheet";#N/A,#N/A,FALSE,"QA"}</definedName>
    <definedName name="Delete09" localSheetId="1" hidden="1">{#N/A,#N/A,FALSE,"Coversheet";#N/A,#N/A,FALSE,"QA"}</definedName>
    <definedName name="Delete09" localSheetId="2" hidden="1">{#N/A,#N/A,FALSE,"Coversheet";#N/A,#N/A,FALSE,"QA"}</definedName>
    <definedName name="Delete09" hidden="1">{#N/A,#N/A,FALSE,"Coversheet";#N/A,#N/A,FALSE,"QA"}</definedName>
    <definedName name="Delete1" localSheetId="46" hidden="1">{#N/A,#N/A,FALSE,"Coversheet";#N/A,#N/A,FALSE,"QA"}</definedName>
    <definedName name="Delete1" localSheetId="52" hidden="1">{#N/A,#N/A,FALSE,"Coversheet";#N/A,#N/A,FALSE,"QA"}</definedName>
    <definedName name="Delete1" localSheetId="62" hidden="1">{#N/A,#N/A,FALSE,"Coversheet";#N/A,#N/A,FALSE,"QA"}</definedName>
    <definedName name="Delete1" localSheetId="53" hidden="1">{#N/A,#N/A,FALSE,"Coversheet";#N/A,#N/A,FALSE,"QA"}</definedName>
    <definedName name="Delete1" localSheetId="60" hidden="1">{#N/A,#N/A,FALSE,"Coversheet";#N/A,#N/A,FALSE,"QA"}</definedName>
    <definedName name="Delete1" localSheetId="1" hidden="1">{#N/A,#N/A,FALSE,"Coversheet";#N/A,#N/A,FALSE,"QA"}</definedName>
    <definedName name="Delete1" localSheetId="2" hidden="1">{#N/A,#N/A,FALSE,"Coversheet";#N/A,#N/A,FALSE,"QA"}</definedName>
    <definedName name="Delete1" localSheetId="11" hidden="1">{#N/A,#N/A,FALSE,"Coversheet";#N/A,#N/A,FALSE,"QA"}</definedName>
    <definedName name="Delete1" hidden="1">{#N/A,#N/A,FALSE,"Coversheet";#N/A,#N/A,FALSE,"QA"}</definedName>
    <definedName name="Delete10" localSheetId="46" hidden="1">{#N/A,#N/A,FALSE,"Schedule F";#N/A,#N/A,FALSE,"Schedule G"}</definedName>
    <definedName name="Delete10" localSheetId="62" hidden="1">{#N/A,#N/A,FALSE,"Schedule F";#N/A,#N/A,FALSE,"Schedule G"}</definedName>
    <definedName name="Delete10" localSheetId="60" hidden="1">{#N/A,#N/A,FALSE,"Schedule F";#N/A,#N/A,FALSE,"Schedule G"}</definedName>
    <definedName name="Delete10" localSheetId="1" hidden="1">{#N/A,#N/A,FALSE,"Schedule F";#N/A,#N/A,FALSE,"Schedule G"}</definedName>
    <definedName name="Delete10" localSheetId="2" hidden="1">{#N/A,#N/A,FALSE,"Schedule F";#N/A,#N/A,FALSE,"Schedule G"}</definedName>
    <definedName name="Delete10" hidden="1">{#N/A,#N/A,FALSE,"Schedule F";#N/A,#N/A,FALSE,"Schedule G"}</definedName>
    <definedName name="Delete21" localSheetId="46" hidden="1">{#N/A,#N/A,FALSE,"Coversheet";#N/A,#N/A,FALSE,"QA"}</definedName>
    <definedName name="Delete21" localSheetId="62" hidden="1">{#N/A,#N/A,FALSE,"Coversheet";#N/A,#N/A,FALSE,"QA"}</definedName>
    <definedName name="Delete21" localSheetId="60" hidden="1">{#N/A,#N/A,FALSE,"Coversheet";#N/A,#N/A,FALSE,"QA"}</definedName>
    <definedName name="Delete21" localSheetId="1" hidden="1">{#N/A,#N/A,FALSE,"Coversheet";#N/A,#N/A,FALSE,"QA"}</definedName>
    <definedName name="Delete21" localSheetId="2" hidden="1">{#N/A,#N/A,FALSE,"Coversheet";#N/A,#N/A,FALSE,"QA"}</definedName>
    <definedName name="Delete21" localSheetId="11" hidden="1">{#N/A,#N/A,FALSE,"Coversheet";#N/A,#N/A,FALSE,"QA"}</definedName>
    <definedName name="Delete21" hidden="1">{#N/A,#N/A,FALSE,"Coversheet";#N/A,#N/A,FALSE,"QA"}</definedName>
    <definedName name="DEPRECIATION" localSheetId="1">'[1]Jun 99'!#REF!</definedName>
    <definedName name="DEPRECIATION" localSheetId="2">'[1]Jun 99'!#REF!</definedName>
    <definedName name="DEPRECIATION" localSheetId="9">#REF!</definedName>
    <definedName name="DEPRECIATION">#REF!</definedName>
    <definedName name="DF_HeatRate">[13]Assumptions!$L$23</definedName>
    <definedName name="DFIT" localSheetId="46" hidden="1">{#N/A,#N/A,FALSE,"Coversheet";#N/A,#N/A,FALSE,"QA"}</definedName>
    <definedName name="DFIT" localSheetId="62" hidden="1">{#N/A,#N/A,FALSE,"Coversheet";#N/A,#N/A,FALSE,"QA"}</definedName>
    <definedName name="DFIT" localSheetId="60" hidden="1">{#N/A,#N/A,FALSE,"Coversheet";#N/A,#N/A,FALSE,"QA"}</definedName>
    <definedName name="DFIT" localSheetId="1" hidden="1">{#N/A,#N/A,FALSE,"Coversheet";#N/A,#N/A,FALSE,"QA"}</definedName>
    <definedName name="DFIT" localSheetId="2" hidden="1">{#N/A,#N/A,FALSE,"Coversheet";#N/A,#N/A,FALSE,"QA"}</definedName>
    <definedName name="DFIT" hidden="1">{#N/A,#N/A,FALSE,"Coversheet";#N/A,#N/A,FALSE,"QA"}</definedName>
    <definedName name="Disc" localSheetId="1">'[23]Debt Amortization'!#REF!</definedName>
    <definedName name="Disc" localSheetId="9">'[23]Debt Amortization'!#REF!</definedName>
    <definedName name="Disc">'[23]Debt Amortization'!#REF!</definedName>
    <definedName name="DJInd" localSheetId="1">#REF!</definedName>
    <definedName name="DJInd" localSheetId="2">#REF!</definedName>
    <definedName name="DJInd" localSheetId="9">#REF!</definedName>
    <definedName name="DJInd">#REF!</definedName>
    <definedName name="DJUtil" localSheetId="1">#REF!</definedName>
    <definedName name="DJUtil" localSheetId="2">#REF!</definedName>
    <definedName name="DJUtil" localSheetId="9">#REF!</definedName>
    <definedName name="DJUtil">#REF!</definedName>
    <definedName name="DOCKET" localSheetId="1">#REF!</definedName>
    <definedName name="DOCKET" localSheetId="9">#REF!</definedName>
    <definedName name="DOCKET">#REF!</definedName>
    <definedName name="Durango" localSheetId="1">'[10]Alloc factors'!#REF!</definedName>
    <definedName name="Durango" localSheetId="2">'[10]Alloc factors'!#REF!</definedName>
    <definedName name="Durango" localSheetId="9">'[10]Alloc factors'!#REF!</definedName>
    <definedName name="Durango">'[10]Alloc factors'!#REF!</definedName>
    <definedName name="ee" localSheetId="39" hidden="1">{#N/A,#N/A,FALSE,"Month ";#N/A,#N/A,FALSE,"YTD";#N/A,#N/A,FALSE,"12 mo ended"}</definedName>
    <definedName name="ee" localSheetId="46" hidden="1">{#N/A,#N/A,FALSE,"Month ";#N/A,#N/A,FALSE,"YTD";#N/A,#N/A,FALSE,"12 mo ended"}</definedName>
    <definedName name="ee" localSheetId="62" hidden="1">{#N/A,#N/A,FALSE,"Month ";#N/A,#N/A,FALSE,"YTD";#N/A,#N/A,FALSE,"12 mo ended"}</definedName>
    <definedName name="ee" localSheetId="14" hidden="1">{#N/A,#N/A,FALSE,"Month ";#N/A,#N/A,FALSE,"YTD";#N/A,#N/A,FALSE,"12 mo ended"}</definedName>
    <definedName name="ee" localSheetId="12" hidden="1">{#N/A,#N/A,FALSE,"Month ";#N/A,#N/A,FALSE,"YTD";#N/A,#N/A,FALSE,"12 mo ended"}</definedName>
    <definedName name="ee" localSheetId="13" hidden="1">{#N/A,#N/A,FALSE,"Month ";#N/A,#N/A,FALSE,"YTD";#N/A,#N/A,FALSE,"12 mo ended"}</definedName>
    <definedName name="ee" hidden="1">{#N/A,#N/A,FALSE,"Month ";#N/A,#N/A,FALSE,"YTD";#N/A,#N/A,FALSE,"12 mo ended"}</definedName>
    <definedName name="EEE" localSheetId="1">#REF!</definedName>
    <definedName name="EEE" localSheetId="2">#REF!</definedName>
    <definedName name="EEE" localSheetId="9">#REF!</definedName>
    <definedName name="EEE">#REF!</definedName>
    <definedName name="Electp1" localSheetId="1">#REF!</definedName>
    <definedName name="Electp1" localSheetId="9">#REF!</definedName>
    <definedName name="Electp1">#REF!</definedName>
    <definedName name="Electp2" localSheetId="1">#REF!</definedName>
    <definedName name="Electp2" localSheetId="9">#REF!</definedName>
    <definedName name="Electp2">#REF!</definedName>
    <definedName name="Electric_Prices">'[26]Monthly Price Summary'!$B$4:$E$27</definedName>
    <definedName name="ElecWC_LineItems" localSheetId="1">[3]BS!#REF!</definedName>
    <definedName name="ElecWC_LineItems" localSheetId="9">[3]BS!#REF!</definedName>
    <definedName name="ElecWC_LineItems">[3]BS!#REF!</definedName>
    <definedName name="ElRBLine">[5]BS!$AQ$7:$AQ$3303</definedName>
    <definedName name="EMPLBENE" localSheetId="1">#REF!</definedName>
    <definedName name="EMPLBENE" localSheetId="9">#REF!</definedName>
    <definedName name="EMPLBENE">#REF!</definedName>
    <definedName name="EndDate">[13]Assumptions!$C$11</definedName>
    <definedName name="Estimate" localSheetId="1" hidden="1">{#N/A,#N/A,FALSE,"Summ";#N/A,#N/A,FALSE,"General"}</definedName>
    <definedName name="Estimate" localSheetId="2" hidden="1">{#N/A,#N/A,FALSE,"Summ";#N/A,#N/A,FALSE,"General"}</definedName>
    <definedName name="Estimate" hidden="1">{#N/A,#N/A,FALSE,"Summ";#N/A,#N/A,FALSE,"General"}</definedName>
    <definedName name="ex" localSheetId="1" hidden="1">{#N/A,#N/A,FALSE,"Summ";#N/A,#N/A,FALSE,"General"}</definedName>
    <definedName name="ex" localSheetId="2" hidden="1">{#N/A,#N/A,FALSE,"Summ";#N/A,#N/A,FALSE,"General"}</definedName>
    <definedName name="ex" hidden="1">{#N/A,#N/A,FALSE,"Summ";#N/A,#N/A,FALSE,"General"}</definedName>
    <definedName name="EXH1A" localSheetId="1">#REF!</definedName>
    <definedName name="EXH1A" localSheetId="2">#REF!</definedName>
    <definedName name="EXH1A" localSheetId="9">#REF!</definedName>
    <definedName name="EXH1A">#REF!</definedName>
    <definedName name="Exhibit_No.______MJS_11">'[11]MJS-11'!$M$3</definedName>
    <definedName name="Exhibit_No.______MJS_12">'[11]MJS-12'!$E$3</definedName>
    <definedName name="Exhibit_No.______MJS_13">'[11]MJS-13'!$F$3</definedName>
    <definedName name="FACTORS" localSheetId="1">#REF!</definedName>
    <definedName name="FACTORS" localSheetId="9">#REF!</definedName>
    <definedName name="FACTORS">#REF!</definedName>
    <definedName name="fdasfdas" localSheetId="3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4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6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4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6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39" hidden="1">{#N/A,#N/A,FALSE,"Month ";#N/A,#N/A,FALSE,"YTD";#N/A,#N/A,FALSE,"12 mo ended"}</definedName>
    <definedName name="fdsafdasfdsa" localSheetId="46" hidden="1">{#N/A,#N/A,FALSE,"Month ";#N/A,#N/A,FALSE,"YTD";#N/A,#N/A,FALSE,"12 mo ended"}</definedName>
    <definedName name="fdsafdasfdsa" localSheetId="62" hidden="1">{#N/A,#N/A,FALSE,"Month ";#N/A,#N/A,FALSE,"YTD";#N/A,#N/A,FALSE,"12 mo ended"}</definedName>
    <definedName name="fdsafdasfdsa" localSheetId="14" hidden="1">{#N/A,#N/A,FALSE,"Month ";#N/A,#N/A,FALSE,"YTD";#N/A,#N/A,FALSE,"12 mo ended"}</definedName>
    <definedName name="fdsafdasfdsa" localSheetId="12" hidden="1">{#N/A,#N/A,FALSE,"Month ";#N/A,#N/A,FALSE,"YTD";#N/A,#N/A,FALSE,"12 mo ended"}</definedName>
    <definedName name="fdsafdasfdsa" localSheetId="13" hidden="1">{#N/A,#N/A,FALSE,"Month ";#N/A,#N/A,FALSE,"YTD";#N/A,#N/A,FALSE,"12 mo ended"}</definedName>
    <definedName name="fdsafdasfdsa" hidden="1">{#N/A,#N/A,FALSE,"Month ";#N/A,#N/A,FALSE,"YTD";#N/A,#N/A,FALSE,"12 mo ended"}</definedName>
    <definedName name="Feb03AMA" localSheetId="1">'[15]BS C&amp;L'!#REF!</definedName>
    <definedName name="Feb03AMA" localSheetId="9">'[15]BS C&amp;L'!#REF!</definedName>
    <definedName name="Feb03AMA">'[15]BS C&amp;L'!#REF!</definedName>
    <definedName name="Feb04AMA">[5]BS!$AE$7:$AE$3582</definedName>
    <definedName name="Feb05AMA" localSheetId="1">[3]BS!#REF!</definedName>
    <definedName name="Feb05AMA" localSheetId="9">[3]BS!#REF!</definedName>
    <definedName name="Feb05AMA">[3]BS!#REF!</definedName>
    <definedName name="Feb09AMA">[6]BS!$AL$7:$AL$1725</definedName>
    <definedName name="Feb10AMA">[6]BS!$AX$7:$AX$1726</definedName>
    <definedName name="Fed_Cap_Tax">[27]Inputs!$E$112</definedName>
    <definedName name="FedTaxRate">[13]Assumptions!$C$33</definedName>
    <definedName name="FF" localSheetId="1">#REF!</definedName>
    <definedName name="FF" localSheetId="9">#REF!</definedName>
    <definedName name="FF">#REF!</definedName>
    <definedName name="FFF" localSheetId="1">#REF!</definedName>
    <definedName name="FFF" localSheetId="2">#REF!</definedName>
    <definedName name="FFF" localSheetId="9">#REF!</definedName>
    <definedName name="FFF">#REF!</definedName>
    <definedName name="ffff" hidden="1">{#N/A,#N/A,FALSE,"Coversheet";#N/A,#N/A,FALSE,"QA"}</definedName>
    <definedName name="fffgf" hidden="1">{#N/A,#N/A,FALSE,"Coversheet";#N/A,#N/A,FALSE,"QA"}</definedName>
    <definedName name="FIELDCHRG" localSheetId="1">[17]model!#REF!</definedName>
    <definedName name="FIELDCHRG" localSheetId="9">[17]model!#REF!</definedName>
    <definedName name="FIELDCHRG">[17]model!#REF!</definedName>
    <definedName name="fill" localSheetId="1" hidden="1">#REF!</definedName>
    <definedName name="fill" localSheetId="9" hidden="1">#REF!</definedName>
    <definedName name="fill" hidden="1">#REF!</definedName>
    <definedName name="Final" localSheetId="1">#REF!</definedName>
    <definedName name="Final" localSheetId="9">#REF!</definedName>
    <definedName name="Final">#REF!</definedName>
    <definedName name="FIT" localSheetId="1">#REF!</definedName>
    <definedName name="FIT" localSheetId="9">#REF!</definedName>
    <definedName name="FIT">#REF!</definedName>
    <definedName name="Fremont" localSheetId="1">'[10]Alloc factors'!#REF!</definedName>
    <definedName name="Fremont" localSheetId="2">'[10]Alloc factors'!#REF!</definedName>
    <definedName name="Fremont" localSheetId="9">'[10]Alloc factors'!#REF!</definedName>
    <definedName name="Fremont">'[10]Alloc factors'!#REF!</definedName>
    <definedName name="Fuel" localSheetId="1">#REF!</definedName>
    <definedName name="Fuel" localSheetId="9">#REF!</definedName>
    <definedName name="Fuel">#REF!</definedName>
    <definedName name="GasRBLine">[5]BS!$AS$7:$AS$3631</definedName>
    <definedName name="GasWC_LineItem">[5]BS!$AR$7:$AR$3631</definedName>
    <definedName name="GeoDate" localSheetId="1">'[23]Dispatch Cases'!#REF!</definedName>
    <definedName name="GeoDate" localSheetId="9">'[23]Dispatch Cases'!#REF!</definedName>
    <definedName name="GeoDate">'[23]Dispatch Cases'!#REF!</definedName>
    <definedName name="GGG" localSheetId="1">#REF!</definedName>
    <definedName name="GGG" localSheetId="2">#REF!</definedName>
    <definedName name="GGG" localSheetId="9">#REF!</definedName>
    <definedName name="GGG">#REF!</definedName>
    <definedName name="GOEXP" localSheetId="1">'[18]Input '!#REF!</definedName>
    <definedName name="GOEXP" localSheetId="2">'[18]Input '!#REF!</definedName>
    <definedName name="GOEXP" localSheetId="9">'[18]Input '!#REF!</definedName>
    <definedName name="GOEXP">'[18]Input '!#REF!</definedName>
    <definedName name="GOEXP_PROFORMA">'[16]DATA INPUT'!$D$53</definedName>
    <definedName name="GOPLANT" localSheetId="1">'[18]Input '!#REF!</definedName>
    <definedName name="GOPLANT" localSheetId="2">'[18]Input '!#REF!</definedName>
    <definedName name="GOPLANT" localSheetId="9">'[18]Input '!#REF!</definedName>
    <definedName name="GOPLANT">'[18]Input '!#REF!</definedName>
    <definedName name="GOPLANT_PROFORMA">'[16]DATA INPUT'!$D$57</definedName>
    <definedName name="Graph" localSheetId="1" hidden="1">[2]ConsolidatingPL!#REF!</definedName>
    <definedName name="Graph" localSheetId="9" hidden="1">[2]ConsolidatingPL!#REF!</definedName>
    <definedName name="Graph" hidden="1">[2]ConsolidatingPL!#REF!</definedName>
    <definedName name="GRC">'[20] Adj 9.01 P3.6'!$A$8</definedName>
    <definedName name="helllo" hidden="1">{#N/A,#N/A,FALSE,"Pg 6b CustCount_Gas";#N/A,#N/A,FALSE,"QA";#N/A,#N/A,FALSE,"Report";#N/A,#N/A,FALSE,"forecast"}</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owToChange" localSheetId="1">#REF!</definedName>
    <definedName name="howToChange" localSheetId="9">#REF!</definedName>
    <definedName name="howToChange">#REF!</definedName>
    <definedName name="howToCheck" localSheetId="1">#REF!</definedName>
    <definedName name="howToCheck" localSheetId="9">#REF!</definedName>
    <definedName name="howToCheck">#REF!</definedName>
    <definedName name="HydroCap" localSheetId="1">#REF!</definedName>
    <definedName name="HydroCap" localSheetId="9">#REF!</definedName>
    <definedName name="HydroCap">#REF!</definedName>
    <definedName name="HydroGen" localSheetId="1">[23]Dispatch!#REF!</definedName>
    <definedName name="HydroGen" localSheetId="9">[23]Dispatch!#REF!</definedName>
    <definedName name="HydroGen">[23]Dispatch!#REF!</definedName>
    <definedName name="inact" localSheetId="1">#REF!</definedName>
    <definedName name="inact" localSheetId="9">#REF!</definedName>
    <definedName name="inact">#REF!</definedName>
    <definedName name="income_satement_ytd" hidden="1">{#N/A,#N/A,FALSE,"monthly";#N/A,#N/A,FALSE,"year to date";#N/A,#N/A,FALSE,"12_months_IS";#N/A,#N/A,FALSE,"balance sheet";#N/A,#N/A,FALSE,"op_revenues_12m";#N/A,#N/A,FALSE,"op_revenues_ytd";#N/A,#N/A,FALSE,"op_revenues_cm"}</definedName>
    <definedName name="INCSTMNT" localSheetId="1">#REF!</definedName>
    <definedName name="INCSTMNT" localSheetId="9">#REF!</definedName>
    <definedName name="INCSTMNT">#REF!</definedName>
    <definedName name="INCSTMT" localSheetId="1">#REF!</definedName>
    <definedName name="INCSTMT" localSheetId="9">#REF!</definedName>
    <definedName name="INCSTMT">#REF!</definedName>
    <definedName name="InfoPane" localSheetId="1">#REF!</definedName>
    <definedName name="InfoPane" localSheetId="9">#REF!</definedName>
    <definedName name="InfoPane">#REF!</definedName>
    <definedName name="InformationPane" localSheetId="1">#REF!</definedName>
    <definedName name="InformationPane" localSheetId="9">#REF!</definedName>
    <definedName name="InformationPane">#REF!</definedName>
    <definedName name="InfpPane" localSheetId="1">#REF!</definedName>
    <definedName name="InfpPane" localSheetId="9">#REF!</definedName>
    <definedName name="InfpPane">#REF!</definedName>
    <definedName name="INTRESEXCH" localSheetId="1">#REF!</definedName>
    <definedName name="INTRESEXCH" localSheetId="9">#REF!</definedName>
    <definedName name="INTRESEXCH">#REF!</definedName>
    <definedName name="INVPLAN" localSheetId="1">#REF!</definedName>
    <definedName name="INVPLAN" localSheetId="9">#REF!</definedName>
    <definedName name="INVPLAN">#REF!</definedName>
    <definedName name="ISytd" hidden="1">{#N/A,#N/A,FALSE,"monthly";#N/A,#N/A,FALSE,"year to date";#N/A,#N/A,FALSE,"12_months_IS";#N/A,#N/A,FALSE,"balance sheet";#N/A,#N/A,FALSE,"op_revenues_12m";#N/A,#N/A,FALSE,"op_revenues_ytd";#N/A,#N/A,FALSE,"op_revenues_cm"}</definedName>
    <definedName name="Jan03AMA" localSheetId="1">'[15]BS C&amp;L'!#REF!</definedName>
    <definedName name="Jan03AMA" localSheetId="9">'[15]BS C&amp;L'!#REF!</definedName>
    <definedName name="Jan03AMA">'[15]BS C&amp;L'!#REF!</definedName>
    <definedName name="Jan04AMA">[5]BS!$AD$7:$AD$3582</definedName>
    <definedName name="Jan05AMA" localSheetId="1">[3]BS!#REF!</definedName>
    <definedName name="Jan05AMA" localSheetId="9">[3]BS!#REF!</definedName>
    <definedName name="Jan05AMA">[3]BS!#REF!</definedName>
    <definedName name="Jan09AMA">[6]BS!$AK$7:$AK$1743</definedName>
    <definedName name="Jan10AMA">[6]BS!$AW$7:$AW$1726</definedName>
    <definedName name="Jane" hidden="1">{#N/A,#N/A,FALSE,"Expenditures";#N/A,#N/A,FALSE,"Property Placed In-Service";#N/A,#N/A,FALSE,"Removals";#N/A,#N/A,FALSE,"Retirements";#N/A,#N/A,FALSE,"CWIP Balances";#N/A,#N/A,FALSE,"CWIP_Expend_Ratios";#N/A,#N/A,FALSE,"CWIP_Yr_End"}</definedName>
    <definedName name="Jul03AMA" localSheetId="1">'[15]BS C&amp;L'!#REF!</definedName>
    <definedName name="Jul03AMA" localSheetId="9">'[15]BS C&amp;L'!#REF!</definedName>
    <definedName name="Jul03AMA">'[15]BS C&amp;L'!#REF!</definedName>
    <definedName name="Jul04AMA">[5]BS!$AJ$7:$AJ$3582</definedName>
    <definedName name="Jul05AMA" localSheetId="1">[3]BS!#REF!</definedName>
    <definedName name="Jul05AMA" localSheetId="9">[3]BS!#REF!</definedName>
    <definedName name="Jul05AMA">[3]BS!#REF!</definedName>
    <definedName name="Jul09AMA">[6]BS!$AQ$7:$AQ$1726</definedName>
    <definedName name="Jun03AMA" localSheetId="1">'[15]BS C&amp;L'!#REF!</definedName>
    <definedName name="Jun03AMA" localSheetId="9">'[15]BS C&amp;L'!#REF!</definedName>
    <definedName name="Jun03AMA">'[15]BS C&amp;L'!#REF!</definedName>
    <definedName name="Jun04AMA">[5]BS!$AI$7:$AI$3582</definedName>
    <definedName name="Jun05AMA" localSheetId="1">[3]BS!#REF!</definedName>
    <definedName name="Jun05AMA" localSheetId="9">[3]BS!#REF!</definedName>
    <definedName name="Jun05AMA">[3]BS!#REF!</definedName>
    <definedName name="Jun09AMA">[6]BS!$AP$7:$AP$1726</definedName>
    <definedName name="Jun10AMA">[6]BS!$BB$7:$BB$1726</definedName>
    <definedName name="JURISDICTION">'[18]Input '!$C$8</definedName>
    <definedName name="k" localSheetId="3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4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6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IRK" localSheetId="1">#REF!</definedName>
    <definedName name="KIRK" localSheetId="2">#REF!</definedName>
    <definedName name="KIRK" localSheetId="9">#REF!</definedName>
    <definedName name="KIRK">#REF!</definedName>
    <definedName name="Kirk_Plant" localSheetId="1">#REF!</definedName>
    <definedName name="Kirk_Plant" localSheetId="2">#REF!</definedName>
    <definedName name="Kirk_Plant" localSheetId="9">#REF!</definedName>
    <definedName name="Kirk_Plant">#REF!</definedName>
    <definedName name="l" localSheetId="3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4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6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st_Row" localSheetId="1">IF('Exhibit No._(CTM-2), Pg. 1'!Values_Entered,Header_Row+'Exhibit No._(CTM-2), Pg. 1'!Number_of_Payments,Header_Row)</definedName>
    <definedName name="Last_Row" localSheetId="9">IF('Exhibit No._(CTM-2), Pg. 31a-b'!Values_Entered,Header_Row+'Exhibit No._(CTM-2), Pg. 31a-b'!Number_of_Payments,Header_Row)</definedName>
    <definedName name="Last_Row">IF([0]!Values_Entered,Header_Row+[0]!Number_of_Payments,Header_Row)</definedName>
    <definedName name="LATEPAY" localSheetId="1">#REF!</definedName>
    <definedName name="LATEPAY" localSheetId="9">#REF!</definedName>
    <definedName name="LATEPAY">#REF!</definedName>
    <definedName name="LDCs" localSheetId="1">#REF!</definedName>
    <definedName name="LDCs" localSheetId="2">#REF!</definedName>
    <definedName name="LDCs" localSheetId="9">#REF!</definedName>
    <definedName name="LDCs">#REF!</definedName>
    <definedName name="Line_10" localSheetId="1">#REF!</definedName>
    <definedName name="Line_10" localSheetId="9">#REF!</definedName>
    <definedName name="Line_10">#REF!</definedName>
    <definedName name="Line_11" localSheetId="1">#REF!</definedName>
    <definedName name="Line_11" localSheetId="9">#REF!</definedName>
    <definedName name="Line_11">#REF!</definedName>
    <definedName name="Line_12" localSheetId="1">#REF!</definedName>
    <definedName name="Line_12" localSheetId="9">#REF!</definedName>
    <definedName name="Line_12">#REF!</definedName>
    <definedName name="line_14" localSheetId="1">#REF!</definedName>
    <definedName name="line_14" localSheetId="9">#REF!</definedName>
    <definedName name="line_14">#REF!</definedName>
    <definedName name="Line_15" localSheetId="1">#REF!</definedName>
    <definedName name="Line_15" localSheetId="9">#REF!</definedName>
    <definedName name="Line_15">#REF!</definedName>
    <definedName name="Line_19" localSheetId="1">#REF!</definedName>
    <definedName name="Line_19" localSheetId="9">#REF!</definedName>
    <definedName name="Line_19">#REF!</definedName>
    <definedName name="Line_22" localSheetId="1">#REF!</definedName>
    <definedName name="Line_22" localSheetId="9">#REF!</definedName>
    <definedName name="Line_22">#REF!</definedName>
    <definedName name="Line_23" localSheetId="1">#REF!</definedName>
    <definedName name="Line_23" localSheetId="9">#REF!</definedName>
    <definedName name="Line_23">#REF!</definedName>
    <definedName name="Line_25" localSheetId="1">#REF!</definedName>
    <definedName name="Line_25" localSheetId="9">#REF!</definedName>
    <definedName name="Line_25">#REF!</definedName>
    <definedName name="LoadArray">'[28]Load Source Data'!$C$78:$X$89</definedName>
    <definedName name="LoadGrowthAdder" localSheetId="1">#REF!</definedName>
    <definedName name="LoadGrowthAdder" localSheetId="9">#REF!</definedName>
    <definedName name="LoadGrowthAdder">#REF!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TD_Rate">'[18]Input '!$C$23</definedName>
    <definedName name="LTDcostrate" localSheetId="1">#REF!</definedName>
    <definedName name="LTDcostrate" localSheetId="2">#REF!</definedName>
    <definedName name="LTDcostrate" localSheetId="9">#REF!</definedName>
    <definedName name="LTDcostrate">#REF!</definedName>
    <definedName name="Mar03AMA" localSheetId="1">'[15]BS C&amp;L'!#REF!</definedName>
    <definedName name="Mar03AMA" localSheetId="9">'[15]BS C&amp;L'!#REF!</definedName>
    <definedName name="Mar03AMA">'[15]BS C&amp;L'!#REF!</definedName>
    <definedName name="Mar04AMA">[5]BS!$AF$7:$AF$3582</definedName>
    <definedName name="Mar05AMA" localSheetId="1">[3]BS!#REF!</definedName>
    <definedName name="Mar05AMA" localSheetId="9">[3]BS!#REF!</definedName>
    <definedName name="Mar05AMA">[3]BS!#REF!</definedName>
    <definedName name="MAR09AMA">[6]BS!$AM$7:$AM$1725</definedName>
    <definedName name="Mar10AMA">[6]BS!$AY$7:$AY$1726</definedName>
    <definedName name="Market_Return" localSheetId="1">#REF!</definedName>
    <definedName name="Market_Return" localSheetId="2">#REF!</definedName>
    <definedName name="Market_Return" localSheetId="9">#REF!</definedName>
    <definedName name="Market_Return">#REF!</definedName>
    <definedName name="May03AMA" localSheetId="1">'[15]BS C&amp;L'!#REF!</definedName>
    <definedName name="May03AMA" localSheetId="9">'[15]BS C&amp;L'!#REF!</definedName>
    <definedName name="May03AMA">'[15]BS C&amp;L'!#REF!</definedName>
    <definedName name="May04AMA">[5]BS!$AH$7:$AH$3582</definedName>
    <definedName name="May05AMA" localSheetId="1">[3]BS!#REF!</definedName>
    <definedName name="May05AMA" localSheetId="9">[3]BS!#REF!</definedName>
    <definedName name="May05AMA">[3]BS!#REF!</definedName>
    <definedName name="MAY09AMA">[6]BS!$AO$7:$AO$1726</definedName>
    <definedName name="May10AMA">[6]BS!$BA$7:$BA$1726</definedName>
    <definedName name="menu1_Button5_Click" localSheetId="1">[29]!menu1_Button5_Click</definedName>
    <definedName name="menu1_Button5_Click" localSheetId="9">[29]!menu1_Button5_Click</definedName>
    <definedName name="menu1_Button5_Click">[29]!menu1_Button5_Click</definedName>
    <definedName name="menu1_Button6_Click" localSheetId="1">[29]!menu1_Button6_Click</definedName>
    <definedName name="menu1_Button6_Click" localSheetId="9">[29]!menu1_Button6_Click</definedName>
    <definedName name="menu1_Button6_Click">[29]!menu1_Button6_Click</definedName>
    <definedName name="MERGER_COST">[30]Sheet1!$AF$3:$AJ$28</definedName>
    <definedName name="MERGERCOSTS" localSheetId="1">[31]model!#REF!</definedName>
    <definedName name="MERGERCOSTS" localSheetId="9">[31]model!#REF!</definedName>
    <definedName name="MERGERCOSTS">[31]model!#REF!</definedName>
    <definedName name="Miller" hidden="1">{#N/A,#N/A,FALSE,"Expenditures";#N/A,#N/A,FALSE,"Property Placed In-Service";#N/A,#N/A,FALSE,"CWIP Balances"}</definedName>
    <definedName name="MISCELLANEOUS" localSheetId="1">#REF!</definedName>
    <definedName name="MISCELLANEOUS" localSheetId="9">#REF!</definedName>
    <definedName name="MISCELLANEOUS">#REF!</definedName>
    <definedName name="MonTotalDispatch" localSheetId="1">[23]Dispatch!#REF!</definedName>
    <definedName name="MonTotalDispatch" localSheetId="9">[23]Dispatch!#REF!</definedName>
    <definedName name="MonTotalDispatch">[23]Dispatch!#REF!</definedName>
    <definedName name="MS" localSheetId="1">#REF!</definedName>
    <definedName name="MS" localSheetId="2">#REF!</definedName>
    <definedName name="MS" localSheetId="9">#REF!</definedName>
    <definedName name="MS">#REF!</definedName>
    <definedName name="MS_Plant" localSheetId="1">#REF!</definedName>
    <definedName name="MS_Plant" localSheetId="2">#REF!</definedName>
    <definedName name="MS_Plant" localSheetId="9">#REF!</definedName>
    <definedName name="MS_Plant">#REF!</definedName>
    <definedName name="MT" localSheetId="1">#REF!</definedName>
    <definedName name="MT" localSheetId="9">#REF!</definedName>
    <definedName name="MT">#REF!</definedName>
    <definedName name="MTD_Format">[32]Mthly!$B$11:$D$11,[32]Mthly!$B$35:$D$35</definedName>
    <definedName name="MustRunGen" localSheetId="1">[23]Dispatch!#REF!</definedName>
    <definedName name="MustRunGen" localSheetId="9">[23]Dispatch!#REF!</definedName>
    <definedName name="MustRunGen">[23]Dispatch!#REF!</definedName>
    <definedName name="name" localSheetId="1">[4]DT_A_DOL93!#REF!</definedName>
    <definedName name="name" localSheetId="9">[4]DT_A_DOL93!#REF!</definedName>
    <definedName name="name">[4]DT_A_DOL93!#REF!</definedName>
    <definedName name="NavPane" localSheetId="1">#REF!</definedName>
    <definedName name="NavPane" localSheetId="9">#REF!</definedName>
    <definedName name="NavPane">#REF!</definedName>
    <definedName name="NEadit" localSheetId="1">#REF!</definedName>
    <definedName name="NEadit" localSheetId="2">#REF!</definedName>
    <definedName name="NEadit" localSheetId="9">#REF!</definedName>
    <definedName name="NEadit">#REF!</definedName>
    <definedName name="NEadv" localSheetId="1">#REF!</definedName>
    <definedName name="NEadv" localSheetId="2">#REF!</definedName>
    <definedName name="NEadv" localSheetId="9">#REF!</definedName>
    <definedName name="NEadv">#REF!</definedName>
    <definedName name="NEcash" localSheetId="1">#REF!</definedName>
    <definedName name="NEcash" localSheetId="2">#REF!</definedName>
    <definedName name="NEcash" localSheetId="9">#REF!</definedName>
    <definedName name="NEcash">#REF!</definedName>
    <definedName name="NEcwip" localSheetId="1">#REF!</definedName>
    <definedName name="NEcwip" localSheetId="2">#REF!</definedName>
    <definedName name="NEcwip" localSheetId="9">#REF!</definedName>
    <definedName name="NEcwip">#REF!</definedName>
    <definedName name="NEdep" localSheetId="1">#REF!</definedName>
    <definedName name="NEdep" localSheetId="2">#REF!</definedName>
    <definedName name="NEdep" localSheetId="9">#REF!</definedName>
    <definedName name="NEdep">#REF!</definedName>
    <definedName name="NEmatsup" localSheetId="1">#REF!</definedName>
    <definedName name="NEmatsup" localSheetId="2">#REF!</definedName>
    <definedName name="NEmatsup" localSheetId="9">#REF!</definedName>
    <definedName name="NEmatsup">#REF!</definedName>
    <definedName name="NEplant" localSheetId="1">#REF!</definedName>
    <definedName name="NEplant" localSheetId="2">#REF!</definedName>
    <definedName name="NEplant" localSheetId="9">#REF!</definedName>
    <definedName name="NEplant">#REF!</definedName>
    <definedName name="NEpp" localSheetId="1">#REF!</definedName>
    <definedName name="NEpp" localSheetId="2">#REF!</definedName>
    <definedName name="NEpp" localSheetId="9">#REF!</definedName>
    <definedName name="NEpp">#REF!</definedName>
    <definedName name="NEstorg" localSheetId="1">#REF!</definedName>
    <definedName name="NEstorg" localSheetId="2">#REF!</definedName>
    <definedName name="NEstorg" localSheetId="9">#REF!</definedName>
    <definedName name="NEstorg">#REF!</definedName>
    <definedName name="new" localSheetId="1" hidden="1">{#N/A,#N/A,FALSE,"Summ";#N/A,#N/A,FALSE,"General"}</definedName>
    <definedName name="new" localSheetId="2" hidden="1">{#N/A,#N/A,FALSE,"Summ";#N/A,#N/A,FALSE,"General"}</definedName>
    <definedName name="new" hidden="1">{#N/A,#N/A,FALSE,"Summ";#N/A,#N/A,FALSE,"General"}</definedName>
    <definedName name="newname" localSheetId="1">[4]DT_A_DOL93!#REF!</definedName>
    <definedName name="newname" localSheetId="9">[4]DT_A_DOL93!#REF!</definedName>
    <definedName name="newname">[4]DT_A_DOL93!#REF!</definedName>
    <definedName name="Nov03AMA">[7]BS!$AI$7:$AI$3582</definedName>
    <definedName name="Nov04AMA">[5]BS!$AN$7:$AN$3582</definedName>
    <definedName name="Nov09AMA">[6]BS!$AU$7:$AU$1726</definedName>
    <definedName name="Number_of_Payments" localSheetId="1">MATCH(0.01,End_Bal,-1)+1</definedName>
    <definedName name="Number_of_Payments" localSheetId="9">MATCH(0.01,End_Bal,-1)+1</definedName>
    <definedName name="Number_of_Payments">MATCH(0.01,End_Bal,-1)+1</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ROJECT_ID">"PROJECT_TBL_VW"</definedName>
    <definedName name="NvsValTbl.STATISTICS_CODE">"STAT_TBL"</definedName>
    <definedName name="NW_Only" localSheetId="1">'[10]Alloc factors'!#REF!</definedName>
    <definedName name="NW_Only" localSheetId="2">'[10]Alloc factors'!#REF!</definedName>
    <definedName name="NW_Only" localSheetId="9">'[10]Alloc factors'!#REF!</definedName>
    <definedName name="NW_Only">'[10]Alloc factors'!#REF!</definedName>
    <definedName name="NWadit" localSheetId="1">#REF!</definedName>
    <definedName name="NWadit" localSheetId="2">#REF!</definedName>
    <definedName name="NWadit" localSheetId="9">#REF!</definedName>
    <definedName name="NWadit">#REF!</definedName>
    <definedName name="NWadv" localSheetId="1">#REF!</definedName>
    <definedName name="NWadv" localSheetId="2">#REF!</definedName>
    <definedName name="NWadv" localSheetId="9">#REF!</definedName>
    <definedName name="NWadv">#REF!</definedName>
    <definedName name="NWcash" localSheetId="1">#REF!</definedName>
    <definedName name="NWcash" localSheetId="2">#REF!</definedName>
    <definedName name="NWcash" localSheetId="9">#REF!</definedName>
    <definedName name="NWcash">#REF!</definedName>
    <definedName name="NWcwip" localSheetId="1">#REF!</definedName>
    <definedName name="NWcwip" localSheetId="2">#REF!</definedName>
    <definedName name="NWcwip" localSheetId="9">#REF!</definedName>
    <definedName name="NWcwip">#REF!</definedName>
    <definedName name="NWdep" localSheetId="1">#REF!</definedName>
    <definedName name="NWdep" localSheetId="2">#REF!</definedName>
    <definedName name="NWdep" localSheetId="9">#REF!</definedName>
    <definedName name="NWdep">#REF!</definedName>
    <definedName name="NWmatsup" localSheetId="1">#REF!</definedName>
    <definedName name="NWmatsup" localSheetId="2">#REF!</definedName>
    <definedName name="NWmatsup" localSheetId="9">#REF!</definedName>
    <definedName name="NWmatsup">#REF!</definedName>
    <definedName name="NWplant" localSheetId="1">#REF!</definedName>
    <definedName name="NWplant" localSheetId="2">#REF!</definedName>
    <definedName name="NWplant" localSheetId="9">#REF!</definedName>
    <definedName name="NWplant">#REF!</definedName>
    <definedName name="NWpp" localSheetId="1">#REF!</definedName>
    <definedName name="NWpp" localSheetId="2">#REF!</definedName>
    <definedName name="NWpp" localSheetId="9">#REF!</definedName>
    <definedName name="NWpp">#REF!</definedName>
    <definedName name="NWSales_MWH" localSheetId="1">[4]DT_A_AMW93!#REF!</definedName>
    <definedName name="NWSales_MWH" localSheetId="9">[4]DT_A_AMW93!#REF!</definedName>
    <definedName name="NWSales_MWH">[4]DT_A_AMW93!#REF!</definedName>
    <definedName name="NWstorg" localSheetId="1">#REF!</definedName>
    <definedName name="NWstorg" localSheetId="2">#REF!</definedName>
    <definedName name="NWstorg" localSheetId="9">#REF!</definedName>
    <definedName name="NWstorg">#REF!</definedName>
    <definedName name="OBCLEASE" localSheetId="1">#REF!</definedName>
    <definedName name="OBCLEASE" localSheetId="9">#REF!</definedName>
    <definedName name="OBCLEASE">#REF!</definedName>
    <definedName name="Oct03AMA">[7]BS!$AH$7:$AH$3582</definedName>
    <definedName name="Oct04AMA">[5]BS!$AM$7:$AM$3582</definedName>
    <definedName name="Oct09AMA">[6]BS!$AT$7:$AT$1726</definedName>
    <definedName name="OPEXPPF" localSheetId="1">[17]model!#REF!</definedName>
    <definedName name="OPEXPPF" localSheetId="9">[17]model!#REF!</definedName>
    <definedName name="OPEXPPF">[17]model!#REF!</definedName>
    <definedName name="OPEXPRS" localSheetId="1">#REF!</definedName>
    <definedName name="OPEXPRS" localSheetId="9">#REF!</definedName>
    <definedName name="OPEXPRS">#REF!</definedName>
    <definedName name="outlookdata">'[33]pivoted data'!$D$3:$Q$90</definedName>
    <definedName name="p" localSheetId="39"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4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6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1">#REF!</definedName>
    <definedName name="Page1" localSheetId="9">#REF!</definedName>
    <definedName name="Page1">#REF!</definedName>
    <definedName name="Page2" localSheetId="1">#REF!</definedName>
    <definedName name="Page2" localSheetId="9">#REF!</definedName>
    <definedName name="Page2">#REF!</definedName>
    <definedName name="PAGE5" localSheetId="1">#REF!</definedName>
    <definedName name="PAGE5" localSheetId="2">#REF!</definedName>
    <definedName name="PAGE5" localSheetId="9">#REF!</definedName>
    <definedName name="PAGE5">#REF!</definedName>
    <definedName name="PAGE6" localSheetId="1">#REF!</definedName>
    <definedName name="PAGE6" localSheetId="2">#REF!</definedName>
    <definedName name="PAGE6" localSheetId="9">#REF!</definedName>
    <definedName name="PAGE6">#REF!</definedName>
    <definedName name="PAGE7" localSheetId="1">#REF!</definedName>
    <definedName name="PAGE7" localSheetId="2">#REF!</definedName>
    <definedName name="PAGE7" localSheetId="9">#REF!</definedName>
    <definedName name="PAGE7">#REF!</definedName>
    <definedName name="PAGE8" localSheetId="1">#REF!</definedName>
    <definedName name="PAGE8" localSheetId="2">#REF!</definedName>
    <definedName name="PAGE8" localSheetId="9">#REF!</definedName>
    <definedName name="PAGE8">#REF!</definedName>
    <definedName name="Parent_Company">'[34]Company Groups'!$B$3</definedName>
    <definedName name="PEBBLE" localSheetId="1">[17]model!#REF!</definedName>
    <definedName name="PEBBLE" localSheetId="9">[17]model!#REF!</definedName>
    <definedName name="PEBBLE">[17]model!#REF!</definedName>
    <definedName name="Percent_debt">[27]Inputs!$E$129</definedName>
    <definedName name="PERCENTAGES_CALCULATED" localSheetId="1">#REF!</definedName>
    <definedName name="PERCENTAGES_CALCULATED" localSheetId="9">#REF!</definedName>
    <definedName name="PERCENTAGES_CALCULATED">#REF!</definedName>
    <definedName name="PreTaxDebtCost">[13]Assumptions!$I$56</definedName>
    <definedName name="PreTaxWACC">[13]Assumptions!$I$62</definedName>
    <definedName name="PriceCaseTable" localSheetId="1">#REF!</definedName>
    <definedName name="PriceCaseTable" localSheetId="9">#REF!</definedName>
    <definedName name="PriceCaseTable">#REF!</definedName>
    <definedName name="Prices_Aurora">'[26]Monthly Price Summary'!$C$4:$H$63</definedName>
    <definedName name="_xlnm.Print_Area" localSheetId="45">'6.03G - 12ME 12-31-2010 SOG '!$A$1:$W$66</definedName>
    <definedName name="_xlnm.Print_Area" localSheetId="0">Assignments!$A$1:$M$49</definedName>
    <definedName name="_xlnm.Print_Area" localSheetId="1">'Exhibit No._(CTM-2), Pg. 1'!$A$2:$P$41</definedName>
    <definedName name="_xlnm.Print_Area" localSheetId="2">'Exhibit No._(CTM-2), Pg. 1 (D)'!$A$2:$M$41</definedName>
    <definedName name="_xlnm.Print_Area" localSheetId="8">'Exhibit No._(CTM-2), Pg. 10-30'!$A$1:$CW$66</definedName>
    <definedName name="_xlnm.Print_Area" localSheetId="6">'Exhibit No._(CTM-2), Pg. 2-6'!$A$2:$AN$60</definedName>
    <definedName name="_xlnm.Print_Area" localSheetId="9">'Exhibit No._(CTM-2), Pg. 31a-b'!$A$2:$F$130</definedName>
    <definedName name="_xlnm.Print_Area" localSheetId="11">'Exhibit No._(CTM-2), Unit Cost'!$B$1:$I$52</definedName>
    <definedName name="_xlnm.Print_Area" localSheetId="13">'UG-101644 - Revenue Exhibit'!$A$1:$Q$54</definedName>
    <definedName name="Print_Area_MI" localSheetId="1">'[1]Jun 99'!#REF!</definedName>
    <definedName name="Print_Area_MI" localSheetId="2">'[1]Jun 99'!#REF!</definedName>
    <definedName name="Print_Area_MI" localSheetId="9">'[1]Jun 99'!#REF!</definedName>
    <definedName name="Print_Area_MI">'[1]Jun 99'!#REF!</definedName>
    <definedName name="_xlnm.Print_Titles" localSheetId="35">'5.03G - Data (HC)'!$4:$5</definedName>
    <definedName name="_xlnm.Print_Titles" localSheetId="6">'Exhibit No._(CTM-2), Pg. 2-6'!$A:$B</definedName>
    <definedName name="_xlnm.Print_Titles" localSheetId="9">'Exhibit No._(CTM-2), Pg. 31a-b'!$2:$11</definedName>
    <definedName name="_xlnm.Print_Titles">#N/A</definedName>
    <definedName name="Prior_Month">[35]Sch_120!$I$21</definedName>
    <definedName name="PRO_FORMA" localSheetId="1">#REF!</definedName>
    <definedName name="PRO_FORMA" localSheetId="9">#REF!</definedName>
    <definedName name="PRO_FORMA">#REF!</definedName>
    <definedName name="PRODADJ" localSheetId="1">[17]model!#REF!</definedName>
    <definedName name="PRODADJ" localSheetId="9">[17]model!#REF!</definedName>
    <definedName name="PRODADJ">[17]model!#REF!</definedName>
    <definedName name="Prodprop" localSheetId="1">#REF!</definedName>
    <definedName name="Prodprop" localSheetId="9">#REF!</definedName>
    <definedName name="Prodprop">#REF!</definedName>
    <definedName name="Production_Factor" localSheetId="1">#REF!</definedName>
    <definedName name="Production_Factor" localSheetId="9">#REF!</definedName>
    <definedName name="Production_Factor">#REF!</definedName>
    <definedName name="PROPERTY" localSheetId="1">'[1]Jun 99'!#REF!</definedName>
    <definedName name="PROPERTY" localSheetId="2">'[1]Jun 99'!#REF!</definedName>
    <definedName name="PROPERTY" localSheetId="9">'[1]Jun 99'!#REF!</definedName>
    <definedName name="PROPERTY">'[1]Jun 99'!#REF!</definedName>
    <definedName name="PROPSALES" localSheetId="1">[17]model!#REF!</definedName>
    <definedName name="PROPSALES" localSheetId="9">[17]model!#REF!</definedName>
    <definedName name="PROPSALES">[17]model!#REF!</definedName>
    <definedName name="Prov_Cap_Tax">[27]Inputs!$E$111</definedName>
    <definedName name="PSE">'[36]4.04'!$A$6</definedName>
    <definedName name="PSPL" localSheetId="1">#REF!</definedName>
    <definedName name="PSPL" localSheetId="9">#REF!</definedName>
    <definedName name="PSPL">#REF!</definedName>
    <definedName name="PWRCSTPF" localSheetId="1">[17]model!#REF!</definedName>
    <definedName name="PWRCSTPF" localSheetId="9">[17]model!#REF!</definedName>
    <definedName name="PWRCSTPF">[17]model!#REF!</definedName>
    <definedName name="PWRCSTRS" localSheetId="1">#REF!</definedName>
    <definedName name="PWRCSTRS" localSheetId="9">#REF!</definedName>
    <definedName name="PWRCSTRS">#REF!</definedName>
    <definedName name="PWRCSTWP" localSheetId="1">#REF!</definedName>
    <definedName name="PWRCSTWP" localSheetId="9">#REF!</definedName>
    <definedName name="PWRCSTWP">#REF!</definedName>
    <definedName name="PWRCSTWR" localSheetId="1">#REF!</definedName>
    <definedName name="PWRCSTWR" localSheetId="9">#REF!</definedName>
    <definedName name="PWRCSTWR">#REF!</definedName>
    <definedName name="PXPACC1_ALL_MERGE" localSheetId="1">#REF!</definedName>
    <definedName name="PXPACC1_ALL_MERGE" localSheetId="9">#REF!</definedName>
    <definedName name="PXPACC1_ALL_MERGE">#REF!</definedName>
    <definedName name="QA" localSheetId="1">[37]IPOA2002!#REF!</definedName>
    <definedName name="QA" localSheetId="9">[37]IPOA2002!#REF!</definedName>
    <definedName name="QA">[37]IPOA2002!#REF!</definedName>
    <definedName name="qqq" hidden="1">{#N/A,#N/A,FALSE,"schA"}</definedName>
    <definedName name="QTD_Format">[32]QTD!$B$11:$D$11,[32]QTD!$B$35:$D$35</definedName>
    <definedName name="RATE" localSheetId="1">#REF!</definedName>
    <definedName name="RATE" localSheetId="9">#REF!</definedName>
    <definedName name="RATE">#REF!</definedName>
    <definedName name="RATE2">'[19]Transp Data'!$A$8:$I$112</definedName>
    <definedName name="RATEBASE" localSheetId="1">#REF!</definedName>
    <definedName name="RATEBASE" localSheetId="9">#REF!</definedName>
    <definedName name="RATEBASE">#REF!</definedName>
    <definedName name="RATEBASE_U95" localSheetId="1">#REF!</definedName>
    <definedName name="RATEBASE_U95" localSheetId="9">#REF!</definedName>
    <definedName name="RATEBASE_U95">#REF!</definedName>
    <definedName name="RATECASE" localSheetId="1">[17]model!#REF!</definedName>
    <definedName name="RATECASE" localSheetId="9">[17]model!#REF!</definedName>
    <definedName name="RATECASE">[17]model!#REF!</definedName>
    <definedName name="RdSch_CY" localSheetId="1">'[38]INPUT TAB'!#REF!</definedName>
    <definedName name="RdSch_CY" localSheetId="9">'[38]INPUT TAB'!#REF!</definedName>
    <definedName name="RdSch_CY">'[38]INPUT TAB'!#REF!</definedName>
    <definedName name="RdSch_PY" localSheetId="1">'[38]INPUT TAB'!#REF!</definedName>
    <definedName name="RdSch_PY" localSheetId="9">'[38]INPUT TAB'!#REF!</definedName>
    <definedName name="RdSch_PY">'[38]INPUT TAB'!#REF!</definedName>
    <definedName name="RdSch_PY2" localSheetId="1">'[38]INPUT TAB'!#REF!</definedName>
    <definedName name="RdSch_PY2" localSheetId="9">'[38]INPUT TAB'!#REF!</definedName>
    <definedName name="RdSch_PY2">'[38]INPUT TAB'!#REF!</definedName>
    <definedName name="regasset" localSheetId="1">#REF!</definedName>
    <definedName name="regasset" localSheetId="9">#REF!</definedName>
    <definedName name="regasset">#REF!</definedName>
    <definedName name="ResExchCrRate">[35]Sch_194!$M$31</definedName>
    <definedName name="resource_lookup">'[39]#REF'!$B$3:$C$112</definedName>
    <definedName name="RESTATING" localSheetId="1">#REF!</definedName>
    <definedName name="RESTATING" localSheetId="9">#REF!</definedName>
    <definedName name="RESTATING">#REF!</definedName>
    <definedName name="Results" localSheetId="1">#REF!</definedName>
    <definedName name="Results" localSheetId="9">#REF!</definedName>
    <definedName name="Results">#REF!</definedName>
    <definedName name="RETIREPLAN" localSheetId="1">[17]model!#REF!</definedName>
    <definedName name="RETIREPLAN" localSheetId="9">[17]model!#REF!</definedName>
    <definedName name="RETIREPLAN">[17]model!#REF!</definedName>
    <definedName name="REV" localSheetId="1">#REF!</definedName>
    <definedName name="REV" localSheetId="9">#REF!</definedName>
    <definedName name="REV">#REF!</definedName>
    <definedName name="REVADJ" localSheetId="1">#REF!</definedName>
    <definedName name="REVADJ" localSheetId="9">#REF!</definedName>
    <definedName name="REVADJ">#REF!</definedName>
    <definedName name="Revenue" localSheetId="1">#REF!</definedName>
    <definedName name="Revenue" localSheetId="9">#REF!</definedName>
    <definedName name="Revenue">#REF!</definedName>
    <definedName name="REVREQ" localSheetId="1">#REF!</definedName>
    <definedName name="REVREQ" localSheetId="9">#REF!</definedName>
    <definedName name="REVREQ">#REF!</definedName>
    <definedName name="Risk_Free_Rate" localSheetId="1">#REF!</definedName>
    <definedName name="Risk_Free_Rate" localSheetId="2">#REF!</definedName>
    <definedName name="Risk_Free_Rate" localSheetId="9">#REF!</definedName>
    <definedName name="Risk_Free_Rate">#REF!</definedName>
    <definedName name="ROE" localSheetId="1">#REF!</definedName>
    <definedName name="ROE" localSheetId="9">#REF!</definedName>
    <definedName name="ROE">#REF!</definedName>
    <definedName name="ROEXP" localSheetId="1">'[18]Input '!#REF!</definedName>
    <definedName name="ROEXP" localSheetId="2">'[18]Input '!#REF!</definedName>
    <definedName name="ROEXP" localSheetId="9">'[18]Input '!#REF!</definedName>
    <definedName name="ROEXP">'[18]Input '!#REF!</definedName>
    <definedName name="ROPLANT" localSheetId="1">'[18]Input '!#REF!</definedName>
    <definedName name="ROPLANT" localSheetId="2">'[18]Input '!#REF!</definedName>
    <definedName name="ROPLANT" localSheetId="9">'[18]Input '!#REF!</definedName>
    <definedName name="ROPLANT">'[18]Input '!#REF!</definedName>
    <definedName name="ROR" localSheetId="1">#REF!</definedName>
    <definedName name="ROR" localSheetId="9">#REF!</definedName>
    <definedName name="ROR">#REF!</definedName>
    <definedName name="ROR_Rate">'[18]Input '!$C$25</definedName>
    <definedName name="SALESRESALEP" localSheetId="1">#REF!</definedName>
    <definedName name="SALESRESALEP" localSheetId="9">#REF!</definedName>
    <definedName name="SALESRESALEP">#REF!</definedName>
    <definedName name="SALESRESALER" localSheetId="1">#REF!</definedName>
    <definedName name="SALESRESALER" localSheetId="9">#REF!</definedName>
    <definedName name="SALESRESALER">#REF!</definedName>
    <definedName name="SAPBEXhrIndnt" hidden="1">"Wide"</definedName>
    <definedName name="SAPsysID" hidden="1">"708C5W7SBKP804JT78WJ0JNKI"</definedName>
    <definedName name="SAPwbID" hidden="1">"ARS"</definedName>
    <definedName name="sch">[40]WP_H9!$A$1:$Q$46</definedName>
    <definedName name="SCH_B1">[41]SCH_B1!$A$1:$G$30</definedName>
    <definedName name="SCH_B3">[41]SCH_B3!$A$1:$G$42</definedName>
    <definedName name="SCH_C2">[41]SCH_C2!$A$1:$G$42</definedName>
    <definedName name="SCH_D2">[41]SCH_D2!$A$1:$G$42</definedName>
    <definedName name="SCH_H2">[41]SCH_H2!$A$1:$G$42</definedName>
    <definedName name="Sch194Rlfwd">'[42]Sch94 Rlfwd'!$B$11</definedName>
    <definedName name="SE_Only" localSheetId="1">'[10]Alloc factors'!#REF!</definedName>
    <definedName name="SE_Only" localSheetId="2">'[10]Alloc factors'!#REF!</definedName>
    <definedName name="SE_Only" localSheetId="9">'[10]Alloc factors'!#REF!</definedName>
    <definedName name="SE_Only">'[10]Alloc factors'!#REF!</definedName>
    <definedName name="SEadit" localSheetId="1">#REF!</definedName>
    <definedName name="SEadit" localSheetId="2">#REF!</definedName>
    <definedName name="SEadit" localSheetId="9">#REF!</definedName>
    <definedName name="SEadit">#REF!</definedName>
    <definedName name="SEadv" localSheetId="1">#REF!</definedName>
    <definedName name="SEadv" localSheetId="2">#REF!</definedName>
    <definedName name="SEadv" localSheetId="9">#REF!</definedName>
    <definedName name="SEadv">#REF!</definedName>
    <definedName name="SEcash" localSheetId="1">#REF!</definedName>
    <definedName name="SEcash" localSheetId="2">#REF!</definedName>
    <definedName name="SEcash" localSheetId="9">#REF!</definedName>
    <definedName name="SEcash">#REF!</definedName>
    <definedName name="SecSSW_MWH" localSheetId="1">[4]DT_A_AMW93!#REF!</definedName>
    <definedName name="SecSSW_MWH" localSheetId="9">[4]DT_A_AMW93!#REF!</definedName>
    <definedName name="SecSSW_MWH">[4]DT_A_AMW93!#REF!</definedName>
    <definedName name="SEcwip" localSheetId="1">#REF!</definedName>
    <definedName name="SEcwip" localSheetId="2">#REF!</definedName>
    <definedName name="SEcwip" localSheetId="9">#REF!</definedName>
    <definedName name="SEcwip">#REF!</definedName>
    <definedName name="SEdep" localSheetId="1">#REF!</definedName>
    <definedName name="SEdep" localSheetId="2">#REF!</definedName>
    <definedName name="SEdep" localSheetId="9">#REF!</definedName>
    <definedName name="SEdep">#REF!</definedName>
    <definedName name="SEmatsup" localSheetId="1">#REF!</definedName>
    <definedName name="SEmatsup" localSheetId="2">#REF!</definedName>
    <definedName name="SEmatsup" localSheetId="9">#REF!</definedName>
    <definedName name="SEmatsup">#REF!</definedName>
    <definedName name="SEMO" localSheetId="1">#REF!</definedName>
    <definedName name="SEMO" localSheetId="2">#REF!</definedName>
    <definedName name="SEMO" localSheetId="9">#REF!</definedName>
    <definedName name="SEMO">#REF!</definedName>
    <definedName name="SEMO_Plant" localSheetId="1">#REF!</definedName>
    <definedName name="SEMO_Plant" localSheetId="2">#REF!</definedName>
    <definedName name="SEMO_Plant" localSheetId="9">#REF!</definedName>
    <definedName name="SEMO_Plant">#REF!</definedName>
    <definedName name="Sep03AMA">[7]BS!$AG$7:$AG$3582</definedName>
    <definedName name="Sep04AMA">[5]BS!$AL$7:$AL$3582</definedName>
    <definedName name="Sep05AMA" localSheetId="1">#REF!</definedName>
    <definedName name="Sep05AMA" localSheetId="9">#REF!</definedName>
    <definedName name="Sep05AMA">#REF!</definedName>
    <definedName name="Sep09AMA">[6]BS!$AS$7:$AS$1726</definedName>
    <definedName name="SEplant" localSheetId="1">#REF!</definedName>
    <definedName name="SEplant" localSheetId="2">#REF!</definedName>
    <definedName name="SEplant" localSheetId="9">#REF!</definedName>
    <definedName name="SEplant">#REF!</definedName>
    <definedName name="SEpp" localSheetId="1">#REF!</definedName>
    <definedName name="SEpp" localSheetId="2">#REF!</definedName>
    <definedName name="SEpp" localSheetId="9">#REF!</definedName>
    <definedName name="SEpp">#REF!</definedName>
    <definedName name="SEstorg" localSheetId="1">#REF!</definedName>
    <definedName name="SEstorg" localSheetId="2">#REF!</definedName>
    <definedName name="SEstorg" localSheetId="9">#REF!</definedName>
    <definedName name="SEstorg">#REF!</definedName>
    <definedName name="six" localSheetId="1" hidden="1">{#N/A,#N/A,FALSE,"Drill Sites";"WP 212",#N/A,FALSE,"MWAG EOR";"WP 213",#N/A,FALSE,"MWAG EOR";#N/A,#N/A,FALSE,"Misc. Facility";#N/A,#N/A,FALSE,"WWTP"}</definedName>
    <definedName name="six" localSheetId="2" hidden="1">{#N/A,#N/A,FALSE,"Drill Sites";"WP 212",#N/A,FALSE,"MWAG EOR";"WP 213",#N/A,FALSE,"MWAG EOR";#N/A,#N/A,FALSE,"Misc. Facility";#N/A,#N/A,FALSE,"WWTP"}</definedName>
    <definedName name="six" hidden="1">{#N/A,#N/A,FALSE,"Drill Sites";"WP 212",#N/A,FALSE,"MWAG EOR";"WP 213",#N/A,FALSE,"MWAG EOR";#N/A,#N/A,FALSE,"Misc. Facility";#N/A,#N/A,FALSE,"WWTP"}</definedName>
    <definedName name="SKAGIT" localSheetId="1">[17]model!#REF!</definedName>
    <definedName name="SKAGIT" localSheetId="9">[17]model!#REF!</definedName>
    <definedName name="SKAGIT">[17]model!#REF!</definedName>
    <definedName name="SLFINSURANCE" localSheetId="1">#REF!</definedName>
    <definedName name="SLFINSURANCE" localSheetId="9">#REF!</definedName>
    <definedName name="SLFINSURANCE">#REF!</definedName>
    <definedName name="SolarDate" localSheetId="1">'[23]Dispatch Cases'!#REF!</definedName>
    <definedName name="SolarDate" localSheetId="9">'[23]Dispatch Cases'!#REF!</definedName>
    <definedName name="SolarDate">'[23]Dispatch Cases'!#REF!</definedName>
    <definedName name="sp" localSheetId="1">#REF!</definedName>
    <definedName name="sp" localSheetId="2">#REF!</definedName>
    <definedName name="sp" localSheetId="9">#REF!</definedName>
    <definedName name="sp">#REF!</definedName>
    <definedName name="SSExp" localSheetId="1">'[18]Input '!#REF!</definedName>
    <definedName name="SSExp" localSheetId="2">'[18]Input '!#REF!</definedName>
    <definedName name="SSExp" localSheetId="9">'[18]Input '!#REF!</definedName>
    <definedName name="SSExp">'[18]Input '!#REF!</definedName>
    <definedName name="SSPlant" localSheetId="1">'[18]Input '!#REF!</definedName>
    <definedName name="SSPlant" localSheetId="2">'[18]Input '!#REF!</definedName>
    <definedName name="SSPlant" localSheetId="9">'[18]Input '!#REF!</definedName>
    <definedName name="SSPlant">'[18]Input '!#REF!</definedName>
    <definedName name="SSS" localSheetId="1">#REF!</definedName>
    <definedName name="SSS" localSheetId="2">#REF!</definedName>
    <definedName name="SSS" localSheetId="9">#REF!</definedName>
    <definedName name="SSS">#REF!</definedName>
    <definedName name="STAFFREDUC" localSheetId="1">#REF!</definedName>
    <definedName name="STAFFREDUC" localSheetId="9">#REF!</definedName>
    <definedName name="STAFFREDUC">#REF!</definedName>
    <definedName name="StartDate">[13]Assumptions!$C$9</definedName>
    <definedName name="STD_Rate">'[18]Input '!$C$24</definedName>
    <definedName name="STORM" localSheetId="1">#REF!</definedName>
    <definedName name="STORM" localSheetId="9">#REF!</definedName>
    <definedName name="STORM">#REF!</definedName>
    <definedName name="Sttax" localSheetId="1">#REF!</definedName>
    <definedName name="Sttax" localSheetId="2">#REF!</definedName>
    <definedName name="Sttax" localSheetId="9">#REF!</definedName>
    <definedName name="Sttax">#REF!</definedName>
    <definedName name="Study_Company" localSheetId="1">#REF!</definedName>
    <definedName name="Study_Company" localSheetId="2">#REF!</definedName>
    <definedName name="Study_Company" localSheetId="9">#REF!</definedName>
    <definedName name="Study_Company">#REF!</definedName>
    <definedName name="SUMMARY" localSheetId="1">#REF!</definedName>
    <definedName name="SUMMARY" localSheetId="9">#REF!</definedName>
    <definedName name="SUMMARY">#REF!</definedName>
    <definedName name="SWadit" localSheetId="1">#REF!</definedName>
    <definedName name="SWadit" localSheetId="2">#REF!</definedName>
    <definedName name="SWadit" localSheetId="9">#REF!</definedName>
    <definedName name="SWadit">#REF!</definedName>
    <definedName name="SWadv" localSheetId="1">#REF!</definedName>
    <definedName name="SWadv" localSheetId="2">#REF!</definedName>
    <definedName name="SWadv" localSheetId="9">#REF!</definedName>
    <definedName name="SWadv">#REF!</definedName>
    <definedName name="SWcash" localSheetId="1">#REF!</definedName>
    <definedName name="SWcash" localSheetId="2">#REF!</definedName>
    <definedName name="SWcash" localSheetId="9">#REF!</definedName>
    <definedName name="SWcash">#REF!</definedName>
    <definedName name="SWcwip" localSheetId="1">#REF!</definedName>
    <definedName name="SWcwip" localSheetId="2">#REF!</definedName>
    <definedName name="SWcwip" localSheetId="9">#REF!</definedName>
    <definedName name="SWcwip">#REF!</definedName>
    <definedName name="SWdep" localSheetId="1">#REF!</definedName>
    <definedName name="SWdep" localSheetId="2">#REF!</definedName>
    <definedName name="SWdep" localSheetId="9">#REF!</definedName>
    <definedName name="SWdep">#REF!</definedName>
    <definedName name="SWmatsup" localSheetId="1">#REF!</definedName>
    <definedName name="SWmatsup" localSheetId="2">#REF!</definedName>
    <definedName name="SWmatsup" localSheetId="9">#REF!</definedName>
    <definedName name="SWmatsup">#REF!</definedName>
    <definedName name="SWplant" localSheetId="1">#REF!</definedName>
    <definedName name="SWplant" localSheetId="2">#REF!</definedName>
    <definedName name="SWplant" localSheetId="9">#REF!</definedName>
    <definedName name="SWplant">#REF!</definedName>
    <definedName name="SWpp" localSheetId="1">#REF!</definedName>
    <definedName name="SWpp" localSheetId="2">#REF!</definedName>
    <definedName name="SWpp" localSheetId="9">#REF!</definedName>
    <definedName name="SWpp">#REF!</definedName>
    <definedName name="SWSales_MWH" localSheetId="1">[4]DT_A_AMW93!#REF!</definedName>
    <definedName name="SWSales_MWH" localSheetId="9">[4]DT_A_AMW93!#REF!</definedName>
    <definedName name="SWSales_MWH">[4]DT_A_AMW93!#REF!</definedName>
    <definedName name="SWstorg" localSheetId="1">#REF!</definedName>
    <definedName name="SWstorg" localSheetId="2">#REF!</definedName>
    <definedName name="SWstorg" localSheetId="9">#REF!</definedName>
    <definedName name="SWstorg">#REF!</definedName>
    <definedName name="t" localSheetId="1" hidden="1">{#N/A,#N/A,FALSE,"CESTSUM";#N/A,#N/A,FALSE,"est sum A";#N/A,#N/A,FALSE,"est detail A"}</definedName>
    <definedName name="t" localSheetId="2" hidden="1">{#N/A,#N/A,FALSE,"CESTSUM";#N/A,#N/A,FALSE,"est sum A";#N/A,#N/A,FALSE,"est detail A"}</definedName>
    <definedName name="t" hidden="1">{#N/A,#N/A,FALSE,"CESTSUM";#N/A,#N/A,FALSE,"est sum A";#N/A,#N/A,FALSE,"est detail A"}</definedName>
    <definedName name="TAXCORPLIC" localSheetId="1">#REF!</definedName>
    <definedName name="TAXCORPLIC" localSheetId="9">#REF!</definedName>
    <definedName name="TAXCORPLIC">#REF!</definedName>
    <definedName name="TAXENERGYP" localSheetId="1">[17]model!#REF!</definedName>
    <definedName name="TAXENERGYP" localSheetId="9">[17]model!#REF!</definedName>
    <definedName name="TAXENERGYP">[17]model!#REF!</definedName>
    <definedName name="TAXENERGYR" localSheetId="1">#REF!</definedName>
    <definedName name="TAXENERGYR" localSheetId="9">#REF!</definedName>
    <definedName name="TAXENERGYR">#REF!</definedName>
    <definedName name="TAXEXCISE" localSheetId="1">#REF!</definedName>
    <definedName name="TAXEXCISE" localSheetId="9">#REF!</definedName>
    <definedName name="TAXEXCISE">#REF!</definedName>
    <definedName name="TAXFICA" localSheetId="1">#REF!</definedName>
    <definedName name="TAXFICA" localSheetId="9">#REF!</definedName>
    <definedName name="TAXFICA">#REF!</definedName>
    <definedName name="TAXFUT" localSheetId="1">[17]model!#REF!</definedName>
    <definedName name="TAXFUT" localSheetId="9">[17]model!#REF!</definedName>
    <definedName name="TAXFUT">[17]model!#REF!</definedName>
    <definedName name="TAXINCOME" localSheetId="1">#REF!</definedName>
    <definedName name="TAXINCOME" localSheetId="9">#REF!</definedName>
    <definedName name="TAXINCOME">#REF!</definedName>
    <definedName name="TAXMEDICARE" localSheetId="1">#REF!</definedName>
    <definedName name="TAXMEDICARE" localSheetId="9">#REF!</definedName>
    <definedName name="TAXMEDICARE">#REF!</definedName>
    <definedName name="TAXPFINT" localSheetId="1">#REF!</definedName>
    <definedName name="TAXPFINT" localSheetId="9">#REF!</definedName>
    <definedName name="TAXPFINT">#REF!</definedName>
    <definedName name="TAXPROPERTY" localSheetId="1">#REF!</definedName>
    <definedName name="TAXPROPERTY" localSheetId="9">#REF!</definedName>
    <definedName name="TAXPROPERTY">#REF!</definedName>
    <definedName name="TAXSUT" localSheetId="1">[17]model!#REF!</definedName>
    <definedName name="TAXSUT" localSheetId="9">[17]model!#REF!</definedName>
    <definedName name="TAXSUT">[17]model!#REF!</definedName>
    <definedName name="tbl_Master" localSheetId="1">#REF!</definedName>
    <definedName name="tbl_Master" localSheetId="9">#REF!</definedName>
    <definedName name="tbl_Master">#REF!</definedName>
    <definedName name="TEMP" localSheetId="1" hidden="1">{#N/A,#N/A,FALSE,"Summ";#N/A,#N/A,FALSE,"General"}</definedName>
    <definedName name="TEMP" localSheetId="2" hidden="1">{#N/A,#N/A,FALSE,"Summ";#N/A,#N/A,FALSE,"General"}</definedName>
    <definedName name="TEMP" hidden="1">{#N/A,#N/A,FALSE,"Summ";#N/A,#N/A,FALSE,"General"}</definedName>
    <definedName name="Temp1" localSheetId="1" hidden="1">{#N/A,#N/A,FALSE,"CESTSUM";#N/A,#N/A,FALSE,"est sum A";#N/A,#N/A,FALSE,"est detail A"}</definedName>
    <definedName name="Temp1" localSheetId="2" hidden="1">{#N/A,#N/A,FALSE,"CESTSUM";#N/A,#N/A,FALSE,"est sum A";#N/A,#N/A,FALSE,"est detail A"}</definedName>
    <definedName name="Temp1" hidden="1">{#N/A,#N/A,FALSE,"CESTSUM";#N/A,#N/A,FALSE,"est sum A";#N/A,#N/A,FALSE,"est detail A"}</definedName>
    <definedName name="TEMPADJ" localSheetId="1">#REF!</definedName>
    <definedName name="TEMPADJ" localSheetId="9">#REF!</definedName>
    <definedName name="TEMPADJ">#REF!</definedName>
    <definedName name="TenaskaShare" localSheetId="1">[23]Dispatch!#REF!</definedName>
    <definedName name="TenaskaShare" localSheetId="9">[23]Dispatch!#REF!</definedName>
    <definedName name="TenaskaShare">[23]Dispatch!#REF!</definedName>
    <definedName name="Test" localSheetId="1">[3]BS!#REF!</definedName>
    <definedName name="Test" localSheetId="9">[3]BS!#REF!</definedName>
    <definedName name="Test">[3]BS!#REF!</definedName>
    <definedName name="TEST0" localSheetId="1">#REF!</definedName>
    <definedName name="TEST0" localSheetId="9">#REF!</definedName>
    <definedName name="TEST0">#REF!</definedName>
    <definedName name="TESTHKEY" localSheetId="1">#REF!</definedName>
    <definedName name="TESTHKEY" localSheetId="9">#REF!</definedName>
    <definedName name="TESTHKEY">#REF!</definedName>
    <definedName name="TESTKEYS" localSheetId="1">#REF!</definedName>
    <definedName name="TESTKEYS" localSheetId="9">#REF!</definedName>
    <definedName name="TESTKEYS">#REF!</definedName>
    <definedName name="TESTPERIOD">'[18]Input '!$C$10</definedName>
    <definedName name="TestPeriodDate">[43]Inputs!$D$20</definedName>
    <definedName name="TESTVKEY" localSheetId="1">#REF!</definedName>
    <definedName name="TESTVKEY" localSheetId="9">#REF!</definedName>
    <definedName name="TESTVKEY">#REF!</definedName>
    <definedName name="TESTYEAR" localSheetId="1">#REF!</definedName>
    <definedName name="TESTYEAR" localSheetId="9">#REF!</definedName>
    <definedName name="TESTYEAR">#REF!</definedName>
    <definedName name="Therm_upload" localSheetId="1">#REF!</definedName>
    <definedName name="Therm_upload" localSheetId="9">#REF!</definedName>
    <definedName name="Therm_upload">#REF!</definedName>
    <definedName name="ThermalBookLife">[13]Assumptions!$C$25</definedName>
    <definedName name="therms" localSheetId="1">#REF!</definedName>
    <definedName name="therms" localSheetId="9">#REF!</definedName>
    <definedName name="therms">#REF!</definedName>
    <definedName name="Title">[13]Assumptions!$A$1</definedName>
    <definedName name="TopLeft" localSheetId="1">#REF!</definedName>
    <definedName name="TopLeft" localSheetId="9">#REF!</definedName>
    <definedName name="TopLeft">#REF!</definedName>
    <definedName name="TOTadit" localSheetId="1">#REF!</definedName>
    <definedName name="TOTadit" localSheetId="2">#REF!</definedName>
    <definedName name="TOTadit" localSheetId="9">#REF!</definedName>
    <definedName name="TOTadit">#REF!</definedName>
    <definedName name="TOTadv" localSheetId="1">#REF!</definedName>
    <definedName name="TOTadv" localSheetId="2">#REF!</definedName>
    <definedName name="TOTadv" localSheetId="9">#REF!</definedName>
    <definedName name="TOTadv">#REF!</definedName>
    <definedName name="TOTcash" localSheetId="1">#REF!</definedName>
    <definedName name="TOTcash" localSheetId="2">#REF!</definedName>
    <definedName name="TOTcash" localSheetId="9">#REF!</definedName>
    <definedName name="TOTcash">#REF!</definedName>
    <definedName name="TOTcwip" localSheetId="1">#REF!</definedName>
    <definedName name="TOTcwip" localSheetId="2">#REF!</definedName>
    <definedName name="TOTcwip" localSheetId="9">#REF!</definedName>
    <definedName name="TOTcwip">#REF!</definedName>
    <definedName name="TOTdep" localSheetId="1">#REF!</definedName>
    <definedName name="TOTdep" localSheetId="2">#REF!</definedName>
    <definedName name="TOTdep" localSheetId="9">#REF!</definedName>
    <definedName name="TOTdep">#REF!</definedName>
    <definedName name="TOTmatsup" localSheetId="1">#REF!</definedName>
    <definedName name="TOTmatsup" localSheetId="2">#REF!</definedName>
    <definedName name="TOTmatsup" localSheetId="9">#REF!</definedName>
    <definedName name="TOTmatsup">#REF!</definedName>
    <definedName name="TOTplant" localSheetId="1">#REF!</definedName>
    <definedName name="TOTplant" localSheetId="2">#REF!</definedName>
    <definedName name="TOTplant" localSheetId="9">#REF!</definedName>
    <definedName name="TOTplant">#REF!</definedName>
    <definedName name="TOTpp" localSheetId="1">#REF!</definedName>
    <definedName name="TOTpp" localSheetId="2">#REF!</definedName>
    <definedName name="TOTpp" localSheetId="9">#REF!</definedName>
    <definedName name="TOTpp">#REF!</definedName>
    <definedName name="TOTstorg" localSheetId="1">#REF!</definedName>
    <definedName name="TOTstorg" localSheetId="2">#REF!</definedName>
    <definedName name="TOTstorg" localSheetId="9">#REF!</definedName>
    <definedName name="TOTstorg">#REF!</definedName>
    <definedName name="TRADING_NET" localSheetId="1">[4]DT_A_DOL93!#REF!</definedName>
    <definedName name="TRADING_NET" localSheetId="9">[4]DT_A_DOL93!#REF!</definedName>
    <definedName name="TRADING_NET">[4]DT_A_DOL93!#REF!</definedName>
    <definedName name="tran_revenue" localSheetId="1">#REF!</definedName>
    <definedName name="tran_revenue" localSheetId="9">#REF!</definedName>
    <definedName name="tran_revenue">#REF!</definedName>
    <definedName name="Trans" localSheetId="1">#REF!</definedName>
    <definedName name="Trans" localSheetId="2">#REF!</definedName>
    <definedName name="Trans" localSheetId="9">#REF!</definedName>
    <definedName name="Trans">#REF!</definedName>
    <definedName name="transdb" localSheetId="1">#REF!</definedName>
    <definedName name="transdb" localSheetId="9">#REF!</definedName>
    <definedName name="transdb">#REF!</definedName>
    <definedName name="Transfer" localSheetId="4" hidden="1">#REF!</definedName>
    <definedName name="Transfer" localSheetId="1" hidden="1">#REF!</definedName>
    <definedName name="Transfer" localSheetId="9" hidden="1">#REF!</definedName>
    <definedName name="Transfer" hidden="1">#REF!</definedName>
    <definedName name="Transfers" localSheetId="4" hidden="1">#REF!</definedName>
    <definedName name="Transfers" localSheetId="1" hidden="1">#REF!</definedName>
    <definedName name="Transfers" localSheetId="9" hidden="1">#REF!</definedName>
    <definedName name="Transfers" hidden="1">#REF!</definedName>
    <definedName name="TY">'[20] Adj 9.01 P3.6'!$A$7</definedName>
    <definedName name="u" localSheetId="1" hidden="1">{#N/A,#N/A,FALSE,"Summ";#N/A,#N/A,FALSE,"General"}</definedName>
    <definedName name="u" localSheetId="2" hidden="1">{#N/A,#N/A,FALSE,"Summ";#N/A,#N/A,FALSE,"General"}</definedName>
    <definedName name="u" hidden="1">{#N/A,#N/A,FALSE,"Summ";#N/A,#N/A,FALSE,"General"}</definedName>
    <definedName name="UBakerAvail" localSheetId="1">#REF!</definedName>
    <definedName name="UBakerAvail" localSheetId="9">#REF!</definedName>
    <definedName name="UBakerAvail">#REF!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 localSheetId="1">#REF!</definedName>
    <definedName name="UNITCOMPARE" localSheetId="9">#REF!</definedName>
    <definedName name="UNITCOMPARE">#REF!</definedName>
    <definedName name="UNITCOSTS" localSheetId="1">#REF!</definedName>
    <definedName name="UNITCOSTS" localSheetId="9">#REF!</definedName>
    <definedName name="UNITCOSTS">#REF!</definedName>
    <definedName name="UTG" localSheetId="1">#REF!</definedName>
    <definedName name="UTG" localSheetId="9">#REF!</definedName>
    <definedName name="UTG">#REF!</definedName>
    <definedName name="UTN" localSheetId="1">#REF!</definedName>
    <definedName name="UTN" localSheetId="9">#REF!</definedName>
    <definedName name="UTN">#REF!</definedName>
    <definedName name="v" hidden="1">{#N/A,#N/A,FALSE,"Coversheet";#N/A,#N/A,FALSE,"QA"}</definedName>
    <definedName name="valueline" localSheetId="1">#REF!</definedName>
    <definedName name="valueline" localSheetId="2">#REF!</definedName>
    <definedName name="valueline" localSheetId="9">#REF!</definedName>
    <definedName name="valueline">#REF!</definedName>
    <definedName name="Values_Entered" localSheetId="1">IF(Loan_Amount*Interest_Rate*Loan_Years*Loan_Start&gt;0,1,0)</definedName>
    <definedName name="Values_Entered" localSheetId="9">IF(Loan_Amount*Interest_Rate*Loan_Years*Loan_Start&gt;0,1,0)</definedName>
    <definedName name="Values_Entered">IF(Loan_Amount*Interest_Rate*Loan_Years*Loan_Start&gt;0,1,0)</definedName>
    <definedName name="VOMEsc">[13]Assumptions!$C$21</definedName>
    <definedName name="w" hidden="1">{#N/A,#N/A,FALSE,"Schedule F";#N/A,#N/A,FALSE,"Schedule G"}</definedName>
    <definedName name="WACC">[13]Assumptions!$I$61</definedName>
    <definedName name="WAGES" localSheetId="1">[17]model!#REF!</definedName>
    <definedName name="WAGES" localSheetId="9">[17]model!#REF!</definedName>
    <definedName name="WAGES">[17]model!#REF!</definedName>
    <definedName name="we" localSheetId="39" hidden="1">{#N/A,#N/A,FALSE,"Pg 6b CustCount_Gas";#N/A,#N/A,FALSE,"QA";#N/A,#N/A,FALSE,"Report";#N/A,#N/A,FALSE,"forecast"}</definedName>
    <definedName name="we" localSheetId="46" hidden="1">{#N/A,#N/A,FALSE,"Pg 6b CustCount_Gas";#N/A,#N/A,FALSE,"QA";#N/A,#N/A,FALSE,"Report";#N/A,#N/A,FALSE,"forecast"}</definedName>
    <definedName name="we" localSheetId="62" hidden="1">{#N/A,#N/A,FALSE,"Pg 6b CustCount_Gas";#N/A,#N/A,FALSE,"QA";#N/A,#N/A,FALSE,"Report";#N/A,#N/A,FALSE,"forecast"}</definedName>
    <definedName name="we" localSheetId="14" hidden="1">{#N/A,#N/A,FALSE,"Pg 6b CustCount_Gas";#N/A,#N/A,FALSE,"QA";#N/A,#N/A,FALSE,"Report";#N/A,#N/A,FALSE,"forecast"}</definedName>
    <definedName name="we" localSheetId="12" hidden="1">{#N/A,#N/A,FALSE,"Pg 6b CustCount_Gas";#N/A,#N/A,FALSE,"QA";#N/A,#N/A,FALSE,"Report";#N/A,#N/A,FALSE,"forecast"}</definedName>
    <definedName name="we" localSheetId="13" hidden="1">{#N/A,#N/A,FALSE,"Pg 6b CustCount_Gas";#N/A,#N/A,FALSE,"QA";#N/A,#N/A,FALSE,"Report";#N/A,#N/A,FALSE,"forecast"}</definedName>
    <definedName name="we" hidden="1">{#N/A,#N/A,FALSE,"Pg 6b CustCount_Gas";#N/A,#N/A,FALSE,"QA";#N/A,#N/A,FALSE,"Report";#N/A,#N/A,FALSE,"forecast"}</definedName>
    <definedName name="what" hidden="1">{#N/A,#N/A,FALSE,"CRPT";#N/A,#N/A,FALSE,"TREND";#N/A,#N/A,FALSE,"%Curve"}</definedName>
    <definedName name="WindDate" localSheetId="1">'[23]Dispatch Cases'!#REF!</definedName>
    <definedName name="WindDate" localSheetId="9">'[23]Dispatch Cases'!#REF!</definedName>
    <definedName name="WindDate">'[23]Dispatch Cases'!#REF!</definedName>
    <definedName name="WP_2_3" localSheetId="1">#REF!</definedName>
    <definedName name="WP_2_3" localSheetId="2">#REF!</definedName>
    <definedName name="WP_2_3" localSheetId="9">#REF!</definedName>
    <definedName name="WP_2_3">#REF!</definedName>
    <definedName name="WP_3_1" localSheetId="1">#REF!</definedName>
    <definedName name="WP_3_1" localSheetId="2">#REF!</definedName>
    <definedName name="WP_3_1" localSheetId="9">#REF!</definedName>
    <definedName name="WP_3_1">#REF!</definedName>
    <definedName name="WP_6_1" localSheetId="1">#REF!</definedName>
    <definedName name="WP_6_1" localSheetId="2">#REF!</definedName>
    <definedName name="WP_6_1" localSheetId="9">#REF!</definedName>
    <definedName name="WP_6_1">#REF!</definedName>
    <definedName name="WP_6_1_1" localSheetId="1">#REF!</definedName>
    <definedName name="WP_6_1_1" localSheetId="2">#REF!</definedName>
    <definedName name="WP_6_1_1" localSheetId="9">#REF!</definedName>
    <definedName name="WP_6_1_1">#REF!</definedName>
    <definedName name="WP_6_2" localSheetId="1">#REF!</definedName>
    <definedName name="WP_6_2" localSheetId="2">#REF!</definedName>
    <definedName name="WP_6_2" localSheetId="9">#REF!</definedName>
    <definedName name="WP_6_2">#REF!</definedName>
    <definedName name="WP_6_2_1" localSheetId="1">#REF!</definedName>
    <definedName name="WP_6_2_1" localSheetId="2">#REF!</definedName>
    <definedName name="WP_6_2_1" localSheetId="9">#REF!</definedName>
    <definedName name="WP_6_2_1">#REF!</definedName>
    <definedName name="WP_6_3" localSheetId="1">#REF!</definedName>
    <definedName name="WP_6_3" localSheetId="2">#REF!</definedName>
    <definedName name="WP_6_3" localSheetId="9">#REF!</definedName>
    <definedName name="WP_6_3">#REF!</definedName>
    <definedName name="WP_6_3_1" localSheetId="1">#REF!</definedName>
    <definedName name="WP_6_3_1" localSheetId="2">#REF!</definedName>
    <definedName name="WP_6_3_1" localSheetId="9">#REF!</definedName>
    <definedName name="WP_6_3_1">#REF!</definedName>
    <definedName name="WP_7_3" localSheetId="1">#REF!</definedName>
    <definedName name="WP_7_3" localSheetId="2">#REF!</definedName>
    <definedName name="WP_7_3" localSheetId="9">#REF!</definedName>
    <definedName name="WP_7_3">#REF!</definedName>
    <definedName name="WP_7_6" localSheetId="1">#REF!</definedName>
    <definedName name="WP_7_6" localSheetId="2">#REF!</definedName>
    <definedName name="WP_7_6" localSheetId="9">#REF!</definedName>
    <definedName name="WP_7_6">#REF!</definedName>
    <definedName name="WP_9_1" localSheetId="1">#REF!</definedName>
    <definedName name="WP_9_1" localSheetId="2">#REF!</definedName>
    <definedName name="WP_9_1" localSheetId="9">#REF!</definedName>
    <definedName name="WP_9_1">#REF!</definedName>
    <definedName name="WP_B9a">[44]WP_B9!$A$30:$U$49</definedName>
    <definedName name="WP_B9b" localSheetId="1">[44]WP_B9!#REF!</definedName>
    <definedName name="WP_B9b" localSheetId="2">[44]WP_B9!#REF!</definedName>
    <definedName name="WP_B9b" localSheetId="9">[44]WP_B9!#REF!</definedName>
    <definedName name="WP_B9b">[44]WP_B9!#REF!</definedName>
    <definedName name="WP_G6">[44]WP_B5!$A$13:$J$349</definedName>
    <definedName name="WRKCAP" localSheetId="1">[17]model!#REF!</definedName>
    <definedName name="WRKCAP" localSheetId="9">[17]model!#REF!</definedName>
    <definedName name="WRKCAP">[17]model!#REF!</definedName>
    <definedName name="wrn.1._.Bi._.Monthly._.CR." localSheetId="1" hidden="1">{#N/A,#N/A,FALSE,"Drill Sites";"WP 212",#N/A,FALSE,"MWAG EOR";"WP 213",#N/A,FALSE,"MWAG EOR";#N/A,#N/A,FALSE,"Misc. Facility";#N/A,#N/A,FALSE,"WWTP"}</definedName>
    <definedName name="wrn.1._.Bi._.Monthly._.CR." localSheetId="2"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hidden="1">{#N/A,#N/A,FALSE,"Balance_Sheet";#N/A,#N/A,FALSE,"income_statement_monthly";#N/A,#N/A,FALSE,"income_statement_Quarter";#N/A,#N/A,FALSE,"income_statement_ytd";#N/A,#N/A,FALSE,"income_statement_12Months"}</definedName>
    <definedName name="wrn.AAI." localSheetId="1" hidden="1">{#N/A,#N/A,FALSE,"CRPT";#N/A,#N/A,FALSE,"TREND";#N/A,#N/A,FALSE,"%Curve"}</definedName>
    <definedName name="wrn.AAI." localSheetId="2" hidden="1">{#N/A,#N/A,FALSE,"CRPT";#N/A,#N/A,FALSE,"TREND";#N/A,#N/A,FALSE,"%Curve"}</definedName>
    <definedName name="wrn.AAI." hidden="1">{#N/A,#N/A,FALSE,"CRPT";#N/A,#N/A,FALSE,"TREND";#N/A,#N/A,FALSE,"%Curve"}</definedName>
    <definedName name="wrn.AAI._.Report." localSheetId="1" hidden="1">{#N/A,#N/A,FALSE,"CRPT";#N/A,#N/A,FALSE,"TREND";#N/A,#N/A,FALSE,"% CURVE"}</definedName>
    <definedName name="wrn.AAI._.Report." localSheetId="2" hidden="1">{#N/A,#N/A,FALSE,"CRPT";#N/A,#N/A,FALSE,"TREND";#N/A,#N/A,FALSE,"% CURVE"}</definedName>
    <definedName name="wrn.AAI._.Report." hidden="1">{#N/A,#N/A,FALSE,"CRPT";#N/A,#N/A,FALSE,"TREND";#N/A,#N/A,FALSE,"% CURVE"}</definedName>
    <definedName name="wrn.Anvil." localSheetId="1" hidden="1">{#N/A,#N/A,FALSE,"CRPT";#N/A,#N/A,FALSE,"PCS ";#N/A,#N/A,FALSE,"TREND";#N/A,#N/A,FALSE,"% CURVE";#N/A,#N/A,FALSE,"FWICALC";#N/A,#N/A,FALSE,"CONTINGENCY";#N/A,#N/A,FALSE,"7616 Fab";#N/A,#N/A,FALSE,"7616 NSK"}</definedName>
    <definedName name="wrn.Anvil." localSheetId="2"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2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9"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9"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4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4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5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6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59"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5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5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5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5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5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6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29" hidden="1">{#N/A,#N/A,FALSE,"Pg 6b CustCount_Gas";#N/A,#N/A,FALSE,"QA";#N/A,#N/A,FALSE,"Report";#N/A,#N/A,FALSE,"forecast"}</definedName>
    <definedName name="wrn.Customer._.Counts._.Gas." localSheetId="39" hidden="1">{#N/A,#N/A,FALSE,"Pg 6b CustCount_Gas";#N/A,#N/A,FALSE,"QA";#N/A,#N/A,FALSE,"Report";#N/A,#N/A,FALSE,"forecast"}</definedName>
    <definedName name="wrn.Customer._.Counts._.Gas." localSheetId="46" hidden="1">{#N/A,#N/A,FALSE,"Pg 6b CustCount_Gas";#N/A,#N/A,FALSE,"QA";#N/A,#N/A,FALSE,"Report";#N/A,#N/A,FALSE,"forecast"}</definedName>
    <definedName name="wrn.Customer._.Counts._.Gas." localSheetId="42" hidden="1">{#N/A,#N/A,FALSE,"Pg 6b CustCount_Gas";#N/A,#N/A,FALSE,"QA";#N/A,#N/A,FALSE,"Report";#N/A,#N/A,FALSE,"forecast"}</definedName>
    <definedName name="wrn.Customer._.Counts._.Gas." localSheetId="52" hidden="1">{#N/A,#N/A,FALSE,"Pg 6b CustCount_Gas";#N/A,#N/A,FALSE,"QA";#N/A,#N/A,FALSE,"Report";#N/A,#N/A,FALSE,"forecast"}</definedName>
    <definedName name="wrn.Customer._.Counts._.Gas." localSheetId="62" hidden="1">{#N/A,#N/A,FALSE,"Pg 6b CustCount_Gas";#N/A,#N/A,FALSE,"QA";#N/A,#N/A,FALSE,"Report";#N/A,#N/A,FALSE,"forecast"}</definedName>
    <definedName name="wrn.Customer._.Counts._.Gas." localSheetId="59" hidden="1">{#N/A,#N/A,FALSE,"Pg 6b CustCount_Gas";#N/A,#N/A,FALSE,"QA";#N/A,#N/A,FALSE,"Report";#N/A,#N/A,FALSE,"forecast"}</definedName>
    <definedName name="wrn.Customer._.Counts._.Gas." localSheetId="58" hidden="1">{#N/A,#N/A,FALSE,"Pg 6b CustCount_Gas";#N/A,#N/A,FALSE,"QA";#N/A,#N/A,FALSE,"Report";#N/A,#N/A,FALSE,"forecast"}</definedName>
    <definedName name="wrn.Customer._.Counts._.Gas." localSheetId="57" hidden="1">{#N/A,#N/A,FALSE,"Pg 6b CustCount_Gas";#N/A,#N/A,FALSE,"QA";#N/A,#N/A,FALSE,"Report";#N/A,#N/A,FALSE,"forecast"}</definedName>
    <definedName name="wrn.Customer._.Counts._.Gas." localSheetId="56" hidden="1">{#N/A,#N/A,FALSE,"Pg 6b CustCount_Gas";#N/A,#N/A,FALSE,"QA";#N/A,#N/A,FALSE,"Report";#N/A,#N/A,FALSE,"forecast"}</definedName>
    <definedName name="wrn.Customer._.Counts._.Gas." localSheetId="55" hidden="1">{#N/A,#N/A,FALSE,"Pg 6b CustCount_Gas";#N/A,#N/A,FALSE,"QA";#N/A,#N/A,FALSE,"Report";#N/A,#N/A,FALSE,"forecast"}</definedName>
    <definedName name="wrn.Customer._.Counts._.Gas." localSheetId="53" hidden="1">{#N/A,#N/A,FALSE,"Pg 6b CustCount_Gas";#N/A,#N/A,FALSE,"QA";#N/A,#N/A,FALSE,"Report";#N/A,#N/A,FALSE,"forecast"}</definedName>
    <definedName name="wrn.Customer._.Counts._.Gas." localSheetId="60" hidden="1">{#N/A,#N/A,FALSE,"Pg 6b CustCount_Gas";#N/A,#N/A,FALSE,"QA";#N/A,#N/A,FALSE,"Report";#N/A,#N/A,FALSE,"forecast"}</definedName>
    <definedName name="wrn.Customer._.Counts._.Gas." localSheetId="1" hidden="1">{#N/A,#N/A,FALSE,"Pg 6b CustCount_Gas";#N/A,#N/A,FALSE,"QA";#N/A,#N/A,FALSE,"Report";#N/A,#N/A,FALSE,"forecast"}</definedName>
    <definedName name="wrn.Customer._.Counts._.Gas." localSheetId="2" hidden="1">{#N/A,#N/A,FALSE,"Pg 6b CustCount_Gas";#N/A,#N/A,FALSE,"QA";#N/A,#N/A,FALSE,"Report";#N/A,#N/A,FALSE,"forecast"}</definedName>
    <definedName name="wrn.Customer._.Counts._.Gas." localSheetId="14" hidden="1">{#N/A,#N/A,FALSE,"Pg 6b CustCount_Gas";#N/A,#N/A,FALSE,"QA";#N/A,#N/A,FALSE,"Report";#N/A,#N/A,FALSE,"forecast"}</definedName>
    <definedName name="wrn.Customer._.Counts._.Gas." localSheetId="12" hidden="1">{#N/A,#N/A,FALSE,"Pg 6b CustCount_Gas";#N/A,#N/A,FALSE,"QA";#N/A,#N/A,FALSE,"Report";#N/A,#N/A,FALSE,"forecast"}</definedName>
    <definedName name="wrn.Customer._.Counts._.Gas." localSheetId="13" hidden="1">{#N/A,#N/A,FALSE,"Pg 6b CustCount_Gas";#N/A,#N/A,FALSE,"QA";#N/A,#N/A,FALSE,"Report";#N/A,#N/A,FALSE,"forecast"}</definedName>
    <definedName name="wrn.Customer._.Counts._.Gas." hidden="1">{#N/A,#N/A,FALSE,"Pg 6b CustCount_Gas";#N/A,#N/A,FALSE,"QA";#N/A,#N/A,FALSE,"Report";#N/A,#N/A,FALSE,"forecast"}</definedName>
    <definedName name="wrn.ECR." hidden="1">{#N/A,#N/A,FALSE,"schA"}</definedName>
    <definedName name="wrn.ESTIMATE." localSheetId="1" hidden="1">{#N/A,#N/A,FALSE,"CESTSUM";#N/A,#N/A,FALSE,"est sum A";#N/A,#N/A,FALSE,"est detail A"}</definedName>
    <definedName name="wrn.ESTIMATE." localSheetId="2" hidden="1">{#N/A,#N/A,FALSE,"CESTSUM";#N/A,#N/A,FALSE,"est sum A";#N/A,#N/A,FALSE,"est detail A"}</definedName>
    <definedName name="wrn.ESTIMATE." hidden="1">{#N/A,#N/A,FALSE,"CESTSUM";#N/A,#N/A,FALSE,"est sum A";#N/A,#N/A,FALSE,"est detail A"}</definedName>
    <definedName name="wrn.Fundamental." localSheetId="46" hidden="1">{#N/A,#N/A,TRUE,"CoverPage";#N/A,#N/A,TRUE,"Gas";#N/A,#N/A,TRUE,"Power";#N/A,#N/A,TRUE,"Historical DJ Mthly Prices"}</definedName>
    <definedName name="wrn.Fundamental." localSheetId="62" hidden="1">{#N/A,#N/A,TRUE,"CoverPage";#N/A,#N/A,TRUE,"Gas";#N/A,#N/A,TRUE,"Power";#N/A,#N/A,TRUE,"Historical DJ Mthly Prices"}</definedName>
    <definedName name="wrn.Fundamental." localSheetId="60" hidden="1">{#N/A,#N/A,TRUE,"CoverPage";#N/A,#N/A,TRUE,"Gas";#N/A,#N/A,TRUE,"Power";#N/A,#N/A,TRUE,"Historical DJ Mthly Prices"}</definedName>
    <definedName name="wrn.Fundamental." localSheetId="1" hidden="1">{#N/A,#N/A,TRUE,"CoverPage";#N/A,#N/A,TRUE,"Gas";#N/A,#N/A,TRUE,"Power";#N/A,#N/A,TRUE,"Historical DJ Mthly Prices"}</definedName>
    <definedName name="wrn.Fundamental." localSheetId="2" hidden="1">{#N/A,#N/A,TRUE,"CoverPage";#N/A,#N/A,TRUE,"Gas";#N/A,#N/A,TRUE,"Power";#N/A,#N/A,TRUE,"Historical DJ Mthly Prices"}</definedName>
    <definedName name="wrn.Fundamental." localSheetId="11" hidden="1">{#N/A,#N/A,TRUE,"CoverPage";#N/A,#N/A,TRUE,"Gas";#N/A,#N/A,TRUE,"Power";#N/A,#N/A,TRUE,"Historical DJ Mthly Prices"}</definedName>
    <definedName name="wrn.Fundamental." hidden="1">{#N/A,#N/A,TRUE,"CoverPage";#N/A,#N/A,TRUE,"Gas";#N/A,#N/A,TRUE,"Power";#N/A,#N/A,TRUE,"Historical DJ Mthly Prices"}</definedName>
    <definedName name="wrn.IEO." localSheetId="1" hidden="1">{#N/A,#N/A,FALSE,"SUMMARY";#N/A,#N/A,FALSE,"AE7616";#N/A,#N/A,FALSE,"AE7617";#N/A,#N/A,FALSE,"AE7618";#N/A,#N/A,FALSE,"AE7619"}</definedName>
    <definedName name="wrn.IEO." localSheetId="2" hidden="1">{#N/A,#N/A,FALSE,"SUMMARY";#N/A,#N/A,FALSE,"AE7616";#N/A,#N/A,FALSE,"AE7617";#N/A,#N/A,FALSE,"AE7618";#N/A,#N/A,FALSE,"AE7619"}</definedName>
    <definedName name="wrn.IEO." hidden="1">{#N/A,#N/A,FALSE,"SUMMARY";#N/A,#N/A,FALSE,"AE7616";#N/A,#N/A,FALSE,"AE7617";#N/A,#N/A,FALSE,"AE7618";#N/A,#N/A,FALSE,"AE7619"}</definedName>
    <definedName name="wrn.Incentive._.Overhead." localSheetId="39" hidden="1">{#N/A,#N/A,FALSE,"Coversheet";#N/A,#N/A,FALSE,"QA"}</definedName>
    <definedName name="wrn.Incentive._.Overhead." localSheetId="46" hidden="1">{#N/A,#N/A,FALSE,"Coversheet";#N/A,#N/A,FALSE,"QA"}</definedName>
    <definedName name="wrn.Incentive._.Overhead." localSheetId="52" hidden="1">{#N/A,#N/A,FALSE,"Coversheet";#N/A,#N/A,FALSE,"QA"}</definedName>
    <definedName name="wrn.Incentive._.Overhead." localSheetId="62" hidden="1">{#N/A,#N/A,FALSE,"Coversheet";#N/A,#N/A,FALSE,"QA"}</definedName>
    <definedName name="wrn.Incentive._.Overhead." localSheetId="53" hidden="1">{#N/A,#N/A,FALSE,"Coversheet";#N/A,#N/A,FALSE,"QA"}</definedName>
    <definedName name="wrn.Incentive._.Overhead." localSheetId="60" hidden="1">{#N/A,#N/A,FALSE,"Coversheet";#N/A,#N/A,FALSE,"QA"}</definedName>
    <definedName name="wrn.Incentive._.Overhead." localSheetId="1" hidden="1">{#N/A,#N/A,FALSE,"Coversheet";#N/A,#N/A,FALSE,"QA"}</definedName>
    <definedName name="wrn.Incentive._.Overhead." localSheetId="2" hidden="1">{#N/A,#N/A,FALSE,"Coversheet";#N/A,#N/A,FALSE,"QA"}</definedName>
    <definedName name="wrn.Incentive._.Overhead." localSheetId="11" hidden="1">{#N/A,#N/A,FALSE,"Coversheet";#N/A,#N/A,FALSE,"QA"}</definedName>
    <definedName name="wrn.Incentive._.Overhead." localSheetId="14" hidden="1">{#N/A,#N/A,FALSE,"Coversheet";#N/A,#N/A,FALSE,"QA"}</definedName>
    <definedName name="wrn.Incentive._.Overhead." localSheetId="12" hidden="1">{#N/A,#N/A,FALSE,"Coversheet";#N/A,#N/A,FALSE,"QA"}</definedName>
    <definedName name="wrn.Incentive._.Overhead." localSheetId="13" hidden="1">{#N/A,#N/A,FALSE,"Coversheet";#N/A,#N/A,FALSE,"QA"}</definedName>
    <definedName name="wrn.Incentive._.Overhead." hidden="1">{#N/A,#N/A,FALSE,"Coversheet";#N/A,#N/A,FALSE,"QA"}</definedName>
    <definedName name="wrn.limit_reports." localSheetId="46" hidden="1">{#N/A,#N/A,FALSE,"Schedule F";#N/A,#N/A,FALSE,"Schedule G"}</definedName>
    <definedName name="wrn.limit_reports." localSheetId="52" hidden="1">{#N/A,#N/A,FALSE,"Schedule F";#N/A,#N/A,FALSE,"Schedule G"}</definedName>
    <definedName name="wrn.limit_reports." localSheetId="62" hidden="1">{#N/A,#N/A,FALSE,"Schedule F";#N/A,#N/A,FALSE,"Schedule G"}</definedName>
    <definedName name="wrn.limit_reports." localSheetId="53" hidden="1">{#N/A,#N/A,FALSE,"Schedule F";#N/A,#N/A,FALSE,"Schedule G"}</definedName>
    <definedName name="wrn.limit_reports." localSheetId="60" hidden="1">{#N/A,#N/A,FALSE,"Schedule F";#N/A,#N/A,FALSE,"Schedule G"}</definedName>
    <definedName name="wrn.limit_reports." localSheetId="1" hidden="1">{#N/A,#N/A,FALSE,"Schedule F";#N/A,#N/A,FALSE,"Schedule G"}</definedName>
    <definedName name="wrn.limit_reports." localSheetId="2" hidden="1">{#N/A,#N/A,FALSE,"Schedule F";#N/A,#N/A,FALSE,"Schedule G"}</definedName>
    <definedName name="wrn.limit_reports." localSheetId="11" hidden="1">{#N/A,#N/A,FALSE,"Schedule F";#N/A,#N/A,FALSE,"Schedule G"}</definedName>
    <definedName name="wrn.limit_reports." hidden="1">{#N/A,#N/A,FALSE,"Schedule F";#N/A,#N/A,FALSE,"Schedule G"}</definedName>
    <definedName name="wrn.MARGIN_WO_QTR." localSheetId="39" hidden="1">{#N/A,#N/A,FALSE,"Month ";#N/A,#N/A,FALSE,"YTD";#N/A,#N/A,FALSE,"12 mo ended"}</definedName>
    <definedName name="wrn.MARGIN_WO_QTR." localSheetId="46" hidden="1">{#N/A,#N/A,FALSE,"Month ";#N/A,#N/A,FALSE,"YTD";#N/A,#N/A,FALSE,"12 mo ended"}</definedName>
    <definedName name="wrn.MARGIN_WO_QTR." localSheetId="52" hidden="1">{#N/A,#N/A,FALSE,"Month ";#N/A,#N/A,FALSE,"YTD";#N/A,#N/A,FALSE,"12 mo ended"}</definedName>
    <definedName name="wrn.MARGIN_WO_QTR." localSheetId="62" hidden="1">{#N/A,#N/A,FALSE,"Month ";#N/A,#N/A,FALSE,"YTD";#N/A,#N/A,FALSE,"12 mo ended"}</definedName>
    <definedName name="wrn.MARGIN_WO_QTR." localSheetId="56" hidden="1">{#N/A,#N/A,FALSE,"Month ";#N/A,#N/A,FALSE,"YTD";#N/A,#N/A,FALSE,"12 mo ended"}</definedName>
    <definedName name="wrn.MARGIN_WO_QTR." localSheetId="55" hidden="1">{#N/A,#N/A,FALSE,"Month ";#N/A,#N/A,FALSE,"YTD";#N/A,#N/A,FALSE,"12 mo ended"}</definedName>
    <definedName name="wrn.MARGIN_WO_QTR." localSheetId="53" hidden="1">{#N/A,#N/A,FALSE,"Month ";#N/A,#N/A,FALSE,"YTD";#N/A,#N/A,FALSE,"12 mo ended"}</definedName>
    <definedName name="wrn.MARGIN_WO_QTR." localSheetId="60" hidden="1">{#N/A,#N/A,FALSE,"Month ";#N/A,#N/A,FALSE,"YTD";#N/A,#N/A,FALSE,"12 mo ended"}</definedName>
    <definedName name="wrn.MARGIN_WO_QTR." localSheetId="1" hidden="1">{#N/A,#N/A,FALSE,"Month ";#N/A,#N/A,FALSE,"YTD";#N/A,#N/A,FALSE,"12 mo ended"}</definedName>
    <definedName name="wrn.MARGIN_WO_QTR." localSheetId="2" hidden="1">{#N/A,#N/A,FALSE,"Month ";#N/A,#N/A,FALSE,"YTD";#N/A,#N/A,FALSE,"12 mo ended"}</definedName>
    <definedName name="wrn.MARGIN_WO_QTR." localSheetId="11" hidden="1">{#N/A,#N/A,FALSE,"Month ";#N/A,#N/A,FALSE,"YTD";#N/A,#N/A,FALSE,"12 mo ended"}</definedName>
    <definedName name="wrn.MARGIN_WO_QTR." localSheetId="14" hidden="1">{#N/A,#N/A,FALSE,"Month ";#N/A,#N/A,FALSE,"YTD";#N/A,#N/A,FALSE,"12 mo ended"}</definedName>
    <definedName name="wrn.MARGIN_WO_QTR." localSheetId="12" hidden="1">{#N/A,#N/A,FALSE,"Month ";#N/A,#N/A,FALSE,"YTD";#N/A,#N/A,FALSE,"12 mo ended"}</definedName>
    <definedName name="wrn.MARGIN_WO_QTR." localSheetId="13" hidden="1">{#N/A,#N/A,FALSE,"Month ";#N/A,#N/A,FALSE,"YTD";#N/A,#N/A,FALSE,"12 mo ended"}</definedName>
    <definedName name="wrn.MARGIN_WO_QTR." hidden="1">{#N/A,#N/A,FALSE,"Month ";#N/A,#N/A,FALSE,"YTD";#N/A,#N/A,FALSE,"12 mo ended"}</definedName>
    <definedName name="wrn.MFR." localSheetId="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unicipal._.Reports." localSheetId="3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4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6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6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1" hidden="1">{#N/A,#N/A,FALSE,"BASE";#N/A,#N/A,FALSE,"LOOPS";#N/A,#N/A,FALSE,"PLC"}</definedName>
    <definedName name="wrn.Project._.Services." localSheetId="2" hidden="1">{#N/A,#N/A,FALSE,"BASE";#N/A,#N/A,FALSE,"LOOPS";#N/A,#N/A,FALSE,"PLC"}</definedName>
    <definedName name="wrn.Project._.Services." hidden="1">{#N/A,#N/A,FALSE,"BASE";#N/A,#N/A,FALSE,"LOOPS";#N/A,#N/A,FALSE,"PLC"}</definedName>
    <definedName name="wrn.SCHEDULE." localSheetId="1" hidden="1">{#N/A,#N/A,FALSE,"7617 Fab";#N/A,#N/A,FALSE,"7617 NSK"}</definedName>
    <definedName name="wrn.SCHEDULE." localSheetId="2" hidden="1">{#N/A,#N/A,FALSE,"7617 Fab";#N/A,#N/A,FALSE,"7617 NSK"}</definedName>
    <definedName name="wrn.SCHEDULE." hidden="1">{#N/A,#N/A,FALSE,"7617 Fab";#N/A,#N/A,FALSE,"7617 NSK"}</definedName>
    <definedName name="wrn.SLB." localSheetId="1" hidden="1">{#N/A,#N/A,FALSE,"SUMMARY";#N/A,#N/A,FALSE,"AE7616";#N/A,#N/A,FALSE,"AE7617";#N/A,#N/A,FALSE,"AE7618";#N/A,#N/A,FALSE,"AE7619";#N/A,#N/A,FALSE,"Target Materials"}</definedName>
    <definedName name="wrn.SLB." localSheetId="2"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46" hidden="1">{#N/A,#N/A,FALSE,"2002 Small Tool OH";#N/A,#N/A,FALSE,"QA"}</definedName>
    <definedName name="wrn.Small._.Tools._.Overhead." localSheetId="52" hidden="1">{#N/A,#N/A,FALSE,"2002 Small Tool OH";#N/A,#N/A,FALSE,"QA"}</definedName>
    <definedName name="wrn.Small._.Tools._.Overhead." localSheetId="62" hidden="1">{#N/A,#N/A,FALSE,"2002 Small Tool OH";#N/A,#N/A,FALSE,"QA"}</definedName>
    <definedName name="wrn.Small._.Tools._.Overhead." localSheetId="53" hidden="1">{#N/A,#N/A,FALSE,"2002 Small Tool OH";#N/A,#N/A,FALSE,"QA"}</definedName>
    <definedName name="wrn.Small._.Tools._.Overhead." localSheetId="60" hidden="1">{#N/A,#N/A,FALSE,"2002 Small Tool OH";#N/A,#N/A,FALSE,"QA"}</definedName>
    <definedName name="wrn.Small._.Tools._.Overhead." localSheetId="1" hidden="1">{#N/A,#N/A,FALSE,"2002 Small Tool OH";#N/A,#N/A,FALSE,"QA"}</definedName>
    <definedName name="wrn.Small._.Tools._.Overhead." localSheetId="2" hidden="1">{#N/A,#N/A,FALSE,"2002 Small Tool OH";#N/A,#N/A,FALSE,"QA"}</definedName>
    <definedName name="wrn.Small._.Tools._.Overhead." hidden="1">{#N/A,#N/A,FALSE,"2002 Small Tool OH";#N/A,#N/A,FALSE,"QA"}</definedName>
    <definedName name="wrn.Summary." localSheetId="1" hidden="1">{#N/A,#N/A,FALSE,"Summ";#N/A,#N/A,FALSE,"General"}</definedName>
    <definedName name="wrn.Summary." localSheetId="2" hidden="1">{#N/A,#N/A,FALSE,"Summ";#N/A,#N/A,FALSE,"General"}</definedName>
    <definedName name="wrn.Summary." hidden="1">{#N/A,#N/A,FALSE,"Summ";#N/A,#N/A,FALSE,"General"}</definedName>
    <definedName name="wrn.SUP." localSheetId="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2"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hidden="1">{#N/A,#N/A,FALSE,"Expenditures";#N/A,#N/A,FALSE,"Property Placed In-Service";#N/A,#N/A,FALSE,"Removals";#N/A,#N/A,FALSE,"Retirements";#N/A,#N/A,FALSE,"CWIP Balances";#N/A,#N/A,FALSE,"CWIP_Expend_Ratios";#N/A,#N/A,FALSE,"CWIP_Yr_End"}</definedName>
    <definedName name="wrn.USIM_Data_Abbrev3." hidden="1">{#N/A,#N/A,FALSE,"Expenditures";#N/A,#N/A,FALSE,"Property Placed In-Service";#N/A,#N/A,FALSE,"CWIP Balances"}</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UTC_Docket_No._UG_11____">'[11]MJS-13'!$F$2</definedName>
    <definedName name="WUTC_FILING_FEE">'[11]MJS-14'!$O$15</definedName>
    <definedName name="www" hidden="1">{#N/A,#N/A,FALSE,"schA"}</definedName>
    <definedName name="x" hidden="1">{#N/A,#N/A,FALSE,"Coversheet";#N/A,#N/A,FALSE,"QA"}</definedName>
    <definedName name="xx" hidden="1">{#N/A,#N/A,FALSE,"Balance_Sheet";#N/A,#N/A,FALSE,"income_statement_monthly";#N/A,#N/A,FALSE,"income_statement_Quarter";#N/A,#N/A,FALSE,"income_statement_ytd";#N/A,#N/A,FALSE,"income_statement_12Months"}</definedName>
    <definedName name="y" localSheetId="39"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46"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62"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s_evaluated">'[45]Revison Inputs'!$B$6</definedName>
    <definedName name="YTD_Format">[32]YTD!$B$13:$D$13,[32]YTD!$B$36:$D$36</definedName>
    <definedName name="z" hidden="1">{#N/A,#N/A,FALSE,"Coversheet";#N/A,#N/A,FALSE,"QA"}</definedName>
    <definedName name="Z_114781A2_0298_429A_B53B_CCDE7FC07C8A_.wvu.PrintArea" localSheetId="8" hidden="1">'Exhibit No._(CTM-2), Pg. 10-30'!#REF!</definedName>
    <definedName name="Z_114781A2_0298_429A_B53B_CCDE7FC07C8A_.wvu.PrintArea" localSheetId="7" hidden="1">'Exhibit No._(CTM-2), Pg. 7-9'!#REF!</definedName>
    <definedName name="Z_1B900283_A429_4403_A9D8_C71CBE042C5B_.wvu.PrintArea" localSheetId="8" hidden="1">'Exhibit No._(CTM-2), Pg. 10-30'!$BY$3:$CC$25</definedName>
    <definedName name="Z_1B900283_A429_4403_A9D8_C71CBE042C5B_.wvu.PrintArea" localSheetId="7" hidden="1">'Exhibit No._(CTM-2), Pg. 7-9'!#REF!</definedName>
    <definedName name="Z_1C1C43A1_DC1D_4B83_8878_3010F6B52F39_.wvu.PrintArea" localSheetId="8" hidden="1">'Exhibit No._(CTM-2), Pg. 10-30'!$CD$3:$CH$23</definedName>
    <definedName name="Z_1C1C43A1_DC1D_4B83_8878_3010F6B52F39_.wvu.PrintArea" localSheetId="7" hidden="1">'Exhibit No._(CTM-2), Pg. 7-9'!#REF!</definedName>
    <definedName name="Z_1E45DDAB_A557_4269_B1F7_CCA75743796E_.wvu.PrintArea" localSheetId="8" hidden="1">'Exhibit No._(CTM-2), Pg. 10-30'!$T$3:$W$27</definedName>
    <definedName name="Z_1E45DDAB_A557_4269_B1F7_CCA75743796E_.wvu.PrintArea" localSheetId="7" hidden="1">'Exhibit No._(CTM-2), Pg. 7-9'!#REF!</definedName>
    <definedName name="Z_2334DAF2_F92A_4F64_8BCA_D8CF0F89B21C_.wvu.PrintArea" localSheetId="28" hidden="1">'3.05E - Customer Count Pg 6a'!$B$1:$G$61</definedName>
    <definedName name="Z_2C3700F5_7337_49E6_9C17_9B49CE910373_.wvu.PrintArea" localSheetId="8" hidden="1">'Exhibit No._(CTM-2), Pg. 10-30'!$X$3:$AB$56</definedName>
    <definedName name="Z_2C3700F5_7337_49E6_9C17_9B49CE910373_.wvu.PrintArea" localSheetId="7" hidden="1">'Exhibit No._(CTM-2), Pg. 7-9'!#REF!</definedName>
    <definedName name="Z_31DFCE0A_9DA6_4A87_B609_465F85B537E0_.wvu.PrintArea" localSheetId="8" hidden="1">'Exhibit No._(CTM-2), Pg. 10-30'!$A$3:$F$59</definedName>
    <definedName name="Z_31DFCE0A_9DA6_4A87_B609_465F85B537E0_.wvu.PrintArea" localSheetId="7" hidden="1">'Exhibit No._(CTM-2), Pg. 7-9'!#REF!</definedName>
    <definedName name="Z_35584FC9_E0EF_4D54_AEC5_A721F3358284_.wvu.PrintArea" localSheetId="28" hidden="1">'3.05E - Customer Count Pg 6a'!$B$1:$G$61</definedName>
    <definedName name="Z_363BCC7B_365C_4862_8308_FD01127C4AC4_.wvu.PrintArea" localSheetId="8" hidden="1">'Exhibit No._(CTM-2), Pg. 7-9'!$A$3:$E$26</definedName>
    <definedName name="Z_363BCC7B_365C_4862_8308_FD01127C4AC4_.wvu.PrintArea" localSheetId="7" hidden="1">'Exhibit No._(CTM-2), Pg. 7-9'!#REF!</definedName>
    <definedName name="Z_368BDFFC_8B6F_4E1E_88F3_F226428845CF_.wvu.PrintArea" localSheetId="8" hidden="1">'Exhibit No._(CTM-2), Pg. 10-30'!$CI$3:$CN$34</definedName>
    <definedName name="Z_368BDFFC_8B6F_4E1E_88F3_F226428845CF_.wvu.PrintArea" localSheetId="7" hidden="1">'Exhibit No._(CTM-2), Pg. 7-9'!#REF!</definedName>
    <definedName name="Z_3CBED636_2D45_404E_AAC8_3EE8AD1E87DC_.wvu.PrintArea" localSheetId="8" hidden="1">'Exhibit No._(CTM-2), Pg. 10-30'!$DH$24:$DL$30</definedName>
    <definedName name="Z_3CBED636_2D45_404E_AAC8_3EE8AD1E87DC_.wvu.PrintArea" localSheetId="7" hidden="1">'Exhibit No._(CTM-2), Pg. 7-9'!#REF!</definedName>
    <definedName name="Z_416960AD_1B0E_43B1_BBE2_4C2BAE619099_.wvu.PrintArea" localSheetId="8" hidden="1">'Exhibit No._(CTM-2), Pg. 10-30'!$CO$3:$CS$38</definedName>
    <definedName name="Z_416960AD_1B0E_43B1_BBE2_4C2BAE619099_.wvu.PrintArea" localSheetId="7" hidden="1">'Exhibit No._(CTM-2), Pg. 7-9'!#REF!</definedName>
    <definedName name="Z_47D0F261_F43B_4751_8C61_1FB1BD5F2805_.wvu.PrintArea" localSheetId="28" hidden="1">'3.05E - Customer Count Pg 6a'!$B$1:$G$61</definedName>
    <definedName name="Z_49153C58_1CF3_499A_A2AA_3AC07FAD1405_.wvu.PrintArea" localSheetId="28" hidden="1">'3.05E - Customer Count Pg 6a'!$B$1:$G$61</definedName>
    <definedName name="Z_4D415296_881A_4775_98CD_22EFE3033486_.wvu.PrintArea" localSheetId="8" hidden="1">'Exhibit No._(CTM-2), Pg. 10-30'!$BQ$3:$BT$43</definedName>
    <definedName name="Z_4D415296_881A_4775_98CD_22EFE3033486_.wvu.PrintArea" localSheetId="7" hidden="1">'Exhibit No._(CTM-2), Pg. 7-9'!#REF!</definedName>
    <definedName name="Z_5528C217_5C85_409E_BEF2_118EFA30D59F_.wvu.PrintArea" localSheetId="8" hidden="1">'Exhibit No._(CTM-2), Pg. 10-30'!$DH$56:$DL$56</definedName>
    <definedName name="Z_5528C217_5C85_409E_BEF2_118EFA30D59F_.wvu.PrintArea" localSheetId="7" hidden="1">'Exhibit No._(CTM-2), Pg. 7-9'!#REF!</definedName>
    <definedName name="Z_57344CAB_EDB4_4D23_8F83_6632FA133D6F_.wvu.PrintArea" localSheetId="8" hidden="1">'Exhibit No._(CTM-2), Pg. 10-30'!$AY$3:$BC$24</definedName>
    <definedName name="Z_57344CAB_EDB4_4D23_8F83_6632FA133D6F_.wvu.PrintArea" localSheetId="7" hidden="1">'Exhibit No._(CTM-2), Pg. 7-9'!#REF!</definedName>
    <definedName name="Z_6734E4FA_60B7_471C_AEFF_A65F9BB053D8_.wvu.Cols" localSheetId="8" hidden="1">'Exhibit No._(CTM-2), Pg. 10-30'!#REF!,'Exhibit No._(CTM-2), Pg. 10-30'!#REF!</definedName>
    <definedName name="Z_6734E4FA_60B7_471C_AEFF_A65F9BB053D8_.wvu.Cols" localSheetId="7" hidden="1">'Exhibit No._(CTM-2), Pg. 7-9'!#REF!,'Exhibit No._(CTM-2), Pg. 7-9'!#REF!</definedName>
    <definedName name="Z_6734E4FA_60B7_471C_AEFF_A65F9BB053D8_.wvu.PrintArea" localSheetId="8" hidden="1">'Exhibit No._(CTM-2), Pg. 2-6'!$M$3:$AN$61</definedName>
    <definedName name="Z_6734E4FA_60B7_471C_AEFF_A65F9BB053D8_.wvu.PrintArea" localSheetId="7" hidden="1">'Exhibit No._(CTM-2), Pg. 2-6'!$M$3:$AN$61</definedName>
    <definedName name="Z_70410578_0BAB_407F_B45A_A1FD00E78914_.wvu.PrintArea" localSheetId="8" hidden="1">'Exhibit No._(CTM-2), Pg. 10-30'!#REF!</definedName>
    <definedName name="Z_70410578_0BAB_407F_B45A_A1FD00E78914_.wvu.PrintArea" localSheetId="7" hidden="1">'Exhibit No._(CTM-2), Pg. 7-9'!#REF!</definedName>
    <definedName name="Z_833E8250_6973_4555_A9B1_5ACEC89F3481_.wvu.PrintArea" localSheetId="8" hidden="1">'Exhibit No._(CTM-2), Pg. 10-30'!$AM$3:$AS$27</definedName>
    <definedName name="Z_833E8250_6973_4555_A9B1_5ACEC89F3481_.wvu.PrintArea" localSheetId="7" hidden="1">'Exhibit No._(CTM-2), Pg. 7-9'!#REF!</definedName>
    <definedName name="Z_9BA720D1_BA25_4C52_A40B_874BAF7D1762_.wvu.PrintArea" localSheetId="8" hidden="1">'Exhibit No._(CTM-2), Pg. 10-30'!$CI$3:$CN$37</definedName>
    <definedName name="Z_9BA720D1_BA25_4C52_A40B_874BAF7D1762_.wvu.PrintArea" localSheetId="7" hidden="1">'Exhibit No._(CTM-2), Pg. 7-9'!#REF!</definedName>
    <definedName name="Z_A74B7FED_837E_46BE_A86A_510E0683DF4F_.wvu.PrintArea" localSheetId="8" hidden="1">'Exhibit No._(CTM-2), Pg. 32-34'!$A$2:$E$9</definedName>
    <definedName name="Z_A74B7FED_837E_46BE_A86A_510E0683DF4F_.wvu.PrintArea" localSheetId="7" hidden="1">'Exhibit No._(CTM-2), Pg. 7-9'!#REF!</definedName>
    <definedName name="Z_B9AD8F6D_DA71_409D_9D5B_33F3A1818990_.wvu.PrintArea" localSheetId="28" hidden="1">'3.05E - Customer Count Pg 6a'!$B$1:$G$61</definedName>
    <definedName name="Z_BEBB2007_766E_4870_AB0B_58E56CB3F651_.wvu.PrintArea" localSheetId="8" hidden="1">'Exhibit No._(CTM-2), Pg. 10-30'!$BM$4:$DB$34</definedName>
    <definedName name="Z_BEBB2007_766E_4870_AB0B_58E56CB3F651_.wvu.PrintArea" localSheetId="7" hidden="1">'Exhibit No._(CTM-2), Pg. 7-9'!#REF!</definedName>
    <definedName name="Z_DF51FD8A_8BA9_46B7_B455_DFD0D532E42D_.wvu.PrintArea" localSheetId="8" hidden="1">'Exhibit No._(CTM-2), Pg. 10-30'!$P$3:$S$43</definedName>
    <definedName name="Z_DF51FD8A_8BA9_46B7_B455_DFD0D532E42D_.wvu.PrintArea" localSheetId="7" hidden="1">'Exhibit No._(CTM-2), Pg. 7-9'!#REF!</definedName>
    <definedName name="Z_E75FE358_FE2D_4487_BA5A_B5AB72EE82DF_.wvu.PrintArea" localSheetId="8" hidden="1">'Exhibit No._(CTM-2), Pg. 10-30'!$AT$3:$AX$25</definedName>
    <definedName name="Z_E75FE358_FE2D_4487_BA5A_B5AB72EE82DF_.wvu.PrintArea" localSheetId="7" hidden="1">'Exhibit No._(CTM-2), Pg. 7-9'!#REF!</definedName>
    <definedName name="Z_EB6D400B_3175_492E_99DF_E9CF317CF31F_.wvu.PrintArea" localSheetId="28" hidden="1">'3.05E - Customer Count Pg 6a'!$B$1:$G$61</definedName>
    <definedName name="Z_F0C9B202_A28C_4D84_9483_9F8FC93D796D_.wvu.PrintArea" localSheetId="8" hidden="1">'Exhibit No._(CTM-2), Pg. 32-34'!$A$3:$E$9</definedName>
    <definedName name="Z_F0C9B202_A28C_4D84_9483_9F8FC93D796D_.wvu.PrintArea" localSheetId="7" hidden="1">'Exhibit No._(CTM-2), Pg. 7-9'!#REF!</definedName>
  </definedNames>
  <calcPr calcId="145621"/>
  <customWorkbookViews>
    <customWorkbookView name="PAGE 2.02" guid="{DF51FD8A-8BA9-46B7-B455-DFD0D532E42D}" maximized="1" windowWidth="1276" windowHeight="746" activeSheetId="6"/>
    <customWorkbookView name="PAGE 2.03" guid="{1E45DDAB-A557-4269-B1F7-CCA75743796E}" maximized="1" windowWidth="1276" windowHeight="746" activeSheetId="6"/>
    <customWorkbookView name="PAGE 2.04" guid="{114781A2-0298-429A-B53B-CCDE7FC07C8A}" maximized="1" windowWidth="1276" windowHeight="746" activeSheetId="6"/>
    <customWorkbookView name="PAGE 2.05" guid="{70410578-0BAB-407F-B45A-A1FD00E78914}" maximized="1" windowWidth="1276" windowHeight="746" activeSheetId="6"/>
    <customWorkbookView name="PAGE 2.06" guid="{833E8250-6973-4555-A9B1-5ACEC89F3481}" maximized="1" windowWidth="1276" windowHeight="746" activeSheetId="6"/>
    <customWorkbookView name="PAGE 2.07" guid="{2C3700F5-7337-49E6-9C17-9B49CE910373}" maximized="1" windowWidth="1276" windowHeight="746" activeSheetId="6"/>
    <customWorkbookView name="PAGE 2.08" guid="{57344CAB-EDB4-4D23-8F83-6632FA133D6F}" maximized="1" windowWidth="1276" windowHeight="746" activeSheetId="6"/>
    <customWorkbookView name="PAGE 2.15" guid="{368BDFFC-8B6F-4E1E-88F3-F226428845CF}" maximized="1" windowWidth="1276" windowHeight="746" activeSheetId="6"/>
    <customWorkbookView name="ckrueg - Personal View" guid="{A74B7FED-837E-46BE-A86A-510E0683DF4F}" mergeInterval="0" personalView="1" maximized="1" windowWidth="1020" windowHeight="579" activeSheetId="1"/>
    <customWorkbookView name="PAGE 2.17" guid="{BEBB2007-766E-4870-AB0B-58E56CB3F651}" maximized="1" windowWidth="1020" windowHeight="579" activeSheetId="1"/>
    <customWorkbookView name="PAGE 4.00" guid="{F0C9B202-A28C-4D84-9483-9F8FC93D796D}" maximized="1" windowWidth="1020" windowHeight="579" activeSheetId="1"/>
    <customWorkbookView name="PAGE 4.02" guid="{5528C217-5C85-409E-BEF2-118EFA30D59F}" maximized="1" windowWidth="1020" windowHeight="579" activeSheetId="1"/>
    <customWorkbookView name="PAGE 4.03" guid="{3CBED636-2D45-404E-AAC8-3EE8AD1E87DC}" maximized="1" windowWidth="1020" windowHeight="579" activeSheetId="1"/>
    <customWorkbookView name="PAGE 2.01" guid="{31DFCE0A-9DA6-4A87-B609-465F85B537E0}" maximized="1" windowWidth="1020" windowHeight="579" activeSheetId="1"/>
    <customWorkbookView name="PAGE 2.09" guid="{363BCC7B-365C-4862-8308-FD01127C4AC4}" maximized="1" windowWidth="1020" windowHeight="579" activeSheetId="1"/>
    <customWorkbookView name="PAGE 2.10" guid="{4D415296-881A-4775-98CD-22EFE3033486}" maximized="1" windowWidth="1020" windowHeight="579" activeSheetId="1"/>
    <customWorkbookView name="PAGE 2.11" guid="{1B900283-A429-4403-A9D8-C71CBE042C5B}" maximized="1" windowWidth="1020" windowHeight="579" activeSheetId="1"/>
    <customWorkbookView name="PAGE 2.12" guid="{1C1C43A1-DC1D-4B83-8878-3010F6B52F39}" maximized="1" windowWidth="1020" windowHeight="579" activeSheetId="1"/>
    <customWorkbookView name="PAGE 2.13" guid="{9BA720D1-BA25-4C52-A40B-874BAF7D1762}" maximized="1" windowWidth="1020" windowHeight="579" activeSheetId="1"/>
    <customWorkbookView name="PAGE 2.14" guid="{416960AD-1B0E-43B1-BBE2-4C2BAE619099}" maximized="1" windowWidth="1020" windowHeight="579" activeSheetId="1"/>
    <customWorkbookView name="PAGE 2.16" guid="{E75FE358-FE2D-4487-BA5A-B5AB72EE82DF}" maximized="1" windowWidth="1020" windowHeight="579" activeSheetId="1"/>
    <customWorkbookView name="Spreadsheet and summary" guid="{6734E4FA-60B7-471C-AEFF-A65F9BB053D8}" maximized="1" windowWidth="1020" windowHeight="579" activeSheetId="1"/>
  </customWorkbookViews>
</workbook>
</file>

<file path=xl/calcChain.xml><?xml version="1.0" encoding="utf-8"?>
<calcChain xmlns="http://schemas.openxmlformats.org/spreadsheetml/2006/main">
  <c r="P39" i="100" l="1"/>
  <c r="L41" i="100"/>
  <c r="J51" i="20"/>
  <c r="G41" i="100"/>
  <c r="O14" i="100" l="1"/>
  <c r="N14" i="100"/>
  <c r="J39" i="100" l="1"/>
  <c r="I39" i="100"/>
  <c r="J38" i="100"/>
  <c r="I38" i="100"/>
  <c r="J37" i="100"/>
  <c r="I37" i="100"/>
  <c r="J36" i="100"/>
  <c r="I36" i="100"/>
  <c r="J35" i="100"/>
  <c r="I35" i="100"/>
  <c r="J34" i="100"/>
  <c r="I34" i="100"/>
  <c r="J33" i="100"/>
  <c r="I33" i="100"/>
  <c r="J32" i="100"/>
  <c r="I32" i="100"/>
  <c r="J31" i="100"/>
  <c r="I31" i="100"/>
  <c r="J30" i="100"/>
  <c r="I30" i="100"/>
  <c r="J29" i="100"/>
  <c r="I29" i="100"/>
  <c r="J28" i="100"/>
  <c r="I28" i="100"/>
  <c r="J27" i="100"/>
  <c r="I27" i="100"/>
  <c r="J26" i="100"/>
  <c r="I26" i="100"/>
  <c r="J25" i="100"/>
  <c r="I25" i="100"/>
  <c r="J24" i="100"/>
  <c r="I24" i="100"/>
  <c r="J23" i="100"/>
  <c r="I23" i="100"/>
  <c r="J22" i="100"/>
  <c r="I22" i="100"/>
  <c r="J21" i="100"/>
  <c r="I21" i="100"/>
  <c r="J20" i="100"/>
  <c r="I20" i="100"/>
  <c r="J19" i="100"/>
  <c r="I19" i="100"/>
  <c r="J18" i="100"/>
  <c r="I18" i="100"/>
  <c r="J17" i="100"/>
  <c r="I17" i="100"/>
  <c r="J16" i="100"/>
  <c r="I16" i="100"/>
  <c r="J15" i="100"/>
  <c r="J40" i="100" s="1"/>
  <c r="I15" i="100"/>
  <c r="J14" i="100"/>
  <c r="I14" i="100"/>
  <c r="G14" i="100"/>
  <c r="K12" i="100"/>
  <c r="A8" i="100"/>
  <c r="A7" i="100"/>
  <c r="A6" i="100"/>
  <c r="A5" i="100"/>
  <c r="P4" i="100"/>
  <c r="K15" i="100" l="1"/>
  <c r="K19" i="100"/>
  <c r="K23" i="100"/>
  <c r="K27" i="100"/>
  <c r="K31" i="100"/>
  <c r="K35" i="100"/>
  <c r="K39" i="100"/>
  <c r="J41" i="100"/>
  <c r="K17" i="100"/>
  <c r="K21" i="100"/>
  <c r="K25" i="100"/>
  <c r="K29" i="100"/>
  <c r="K33" i="100"/>
  <c r="K37" i="100"/>
  <c r="L14" i="100"/>
  <c r="L39" i="100" s="1"/>
  <c r="L37" i="100"/>
  <c r="L33" i="100"/>
  <c r="L31" i="100"/>
  <c r="L29" i="100"/>
  <c r="K14" i="100"/>
  <c r="L30" i="100"/>
  <c r="L34" i="100"/>
  <c r="L38" i="100"/>
  <c r="L15" i="100"/>
  <c r="L16" i="100"/>
  <c r="I40" i="100"/>
  <c r="I41" i="100" s="1"/>
  <c r="K16" i="100"/>
  <c r="L17" i="100"/>
  <c r="L18" i="100"/>
  <c r="K18" i="100"/>
  <c r="L19" i="100"/>
  <c r="L20" i="100"/>
  <c r="K20" i="100"/>
  <c r="L21" i="100"/>
  <c r="L22" i="100"/>
  <c r="K22" i="100"/>
  <c r="L23" i="100"/>
  <c r="L24" i="100"/>
  <c r="K24" i="100"/>
  <c r="L25" i="100"/>
  <c r="L26" i="100"/>
  <c r="K26" i="100"/>
  <c r="L27" i="100"/>
  <c r="L28" i="100"/>
  <c r="K28" i="100"/>
  <c r="L32" i="100"/>
  <c r="L36" i="100"/>
  <c r="K30" i="100"/>
  <c r="K32" i="100"/>
  <c r="K34" i="100"/>
  <c r="K36" i="100"/>
  <c r="K38" i="100"/>
  <c r="F14" i="100"/>
  <c r="P14" i="100" s="1"/>
  <c r="O17" i="100"/>
  <c r="O19" i="100"/>
  <c r="O20" i="100"/>
  <c r="O22" i="100"/>
  <c r="O24" i="100"/>
  <c r="O26" i="100"/>
  <c r="O28" i="100"/>
  <c r="O30" i="100"/>
  <c r="O32" i="100"/>
  <c r="O34" i="100"/>
  <c r="O36" i="100"/>
  <c r="O38" i="100"/>
  <c r="O39" i="100"/>
  <c r="J24" i="1"/>
  <c r="J16" i="1"/>
  <c r="J17" i="1"/>
  <c r="J18" i="1"/>
  <c r="J19" i="1"/>
  <c r="J20" i="1"/>
  <c r="J21" i="1"/>
  <c r="J22" i="1"/>
  <c r="J23" i="1"/>
  <c r="J25" i="1"/>
  <c r="N37" i="100" l="1"/>
  <c r="O37" i="100"/>
  <c r="N35" i="100"/>
  <c r="O33" i="100"/>
  <c r="N31" i="100"/>
  <c r="O29" i="100"/>
  <c r="N27" i="100"/>
  <c r="O25" i="100"/>
  <c r="N23" i="100"/>
  <c r="O21" i="100"/>
  <c r="N18" i="100"/>
  <c r="O16" i="100"/>
  <c r="O35" i="100"/>
  <c r="N33" i="100"/>
  <c r="F33" i="100"/>
  <c r="P33" i="100" s="1"/>
  <c r="G33" i="100"/>
  <c r="O31" i="100"/>
  <c r="N29" i="100"/>
  <c r="F29" i="100"/>
  <c r="P29" i="100" s="1"/>
  <c r="G29" i="100"/>
  <c r="O27" i="100"/>
  <c r="N25" i="100"/>
  <c r="F25" i="100"/>
  <c r="P25" i="100" s="1"/>
  <c r="G25" i="100"/>
  <c r="O23" i="100"/>
  <c r="N21" i="100"/>
  <c r="F21" i="100"/>
  <c r="P21" i="100" s="1"/>
  <c r="G21" i="100"/>
  <c r="O18" i="100"/>
  <c r="N16" i="100"/>
  <c r="F16" i="100"/>
  <c r="P16" i="100" s="1"/>
  <c r="N15" i="100"/>
  <c r="G15" i="100"/>
  <c r="D40" i="100"/>
  <c r="D41" i="100" s="1"/>
  <c r="F15" i="100"/>
  <c r="G18" i="100"/>
  <c r="L35" i="100"/>
  <c r="L40" i="100" s="1"/>
  <c r="K40" i="100"/>
  <c r="H15" i="22"/>
  <c r="N24" i="100" l="1"/>
  <c r="F24" i="100"/>
  <c r="P24" i="100" s="1"/>
  <c r="G24" i="100"/>
  <c r="N32" i="100"/>
  <c r="F32" i="100"/>
  <c r="P32" i="100" s="1"/>
  <c r="G32" i="100"/>
  <c r="N36" i="100"/>
  <c r="F36" i="100"/>
  <c r="P36" i="100" s="1"/>
  <c r="G36" i="100"/>
  <c r="F18" i="100"/>
  <c r="P18" i="100" s="1"/>
  <c r="N22" i="100"/>
  <c r="F22" i="100"/>
  <c r="P22" i="100" s="1"/>
  <c r="G22" i="100"/>
  <c r="G23" i="100"/>
  <c r="N26" i="100"/>
  <c r="F26" i="100"/>
  <c r="P26" i="100" s="1"/>
  <c r="G26" i="100"/>
  <c r="G27" i="100"/>
  <c r="N30" i="100"/>
  <c r="F30" i="100"/>
  <c r="P30" i="100" s="1"/>
  <c r="G30" i="100"/>
  <c r="G31" i="100"/>
  <c r="N34" i="100"/>
  <c r="F34" i="100"/>
  <c r="P34" i="100" s="1"/>
  <c r="G34" i="100"/>
  <c r="G35" i="100"/>
  <c r="N38" i="100"/>
  <c r="F38" i="100"/>
  <c r="P38" i="100" s="1"/>
  <c r="G38" i="100"/>
  <c r="G37" i="100"/>
  <c r="P15" i="100"/>
  <c r="N19" i="100"/>
  <c r="G19" i="100"/>
  <c r="F19" i="100"/>
  <c r="P19" i="100" s="1"/>
  <c r="N20" i="100"/>
  <c r="F20" i="100"/>
  <c r="P20" i="100" s="1"/>
  <c r="G20" i="100"/>
  <c r="N28" i="100"/>
  <c r="F28" i="100"/>
  <c r="P28" i="100" s="1"/>
  <c r="G28" i="100"/>
  <c r="O15" i="100"/>
  <c r="O40" i="100" s="1"/>
  <c r="O41" i="100" s="1"/>
  <c r="E40" i="100"/>
  <c r="E41" i="100" s="1"/>
  <c r="N17" i="100"/>
  <c r="F17" i="100"/>
  <c r="P17" i="100" s="1"/>
  <c r="G17" i="100"/>
  <c r="F23" i="100"/>
  <c r="P23" i="100" s="1"/>
  <c r="F27" i="100"/>
  <c r="P27" i="100" s="1"/>
  <c r="F31" i="100"/>
  <c r="P31" i="100" s="1"/>
  <c r="F35" i="100"/>
  <c r="P35" i="100" s="1"/>
  <c r="N39" i="100"/>
  <c r="G39" i="100"/>
  <c r="F39" i="100"/>
  <c r="F37" i="100"/>
  <c r="P37" i="100" s="1"/>
  <c r="G16" i="100"/>
  <c r="K41" i="100"/>
  <c r="M59" i="20"/>
  <c r="A61" i="98"/>
  <c r="L1" i="20"/>
  <c r="CT25" i="1"/>
  <c r="CT26" i="1"/>
  <c r="CT27" i="1" s="1"/>
  <c r="CT28" i="1" s="1"/>
  <c r="CO41" i="1"/>
  <c r="CO42" i="1" s="1"/>
  <c r="CO43" i="1" s="1"/>
  <c r="CI31" i="1"/>
  <c r="CI32" i="1"/>
  <c r="CI33" i="1" s="1"/>
  <c r="BH23" i="1"/>
  <c r="BH21" i="1"/>
  <c r="BH22" i="1" s="1"/>
  <c r="AT32" i="1"/>
  <c r="AT33" i="1" s="1"/>
  <c r="AT34" i="1" s="1"/>
  <c r="X26" i="1"/>
  <c r="X27" i="1" s="1"/>
  <c r="X28" i="1" s="1"/>
  <c r="X29" i="1" s="1"/>
  <c r="X30" i="1" s="1"/>
  <c r="N40" i="100" l="1"/>
  <c r="N41" i="100" s="1"/>
  <c r="G40" i="100"/>
  <c r="P40" i="100"/>
  <c r="P41" i="100" s="1"/>
  <c r="F40" i="100"/>
  <c r="E108" i="98"/>
  <c r="D107" i="98"/>
  <c r="D97" i="98"/>
  <c r="D110" i="98" s="1"/>
  <c r="D96" i="98"/>
  <c r="D109" i="98" s="1"/>
  <c r="E95" i="98"/>
  <c r="D94" i="98"/>
  <c r="D93" i="98"/>
  <c r="D106" i="98" s="1"/>
  <c r="E80" i="98"/>
  <c r="E79" i="98"/>
  <c r="E78" i="98"/>
  <c r="E77" i="98"/>
  <c r="D76" i="98"/>
  <c r="E76" i="98" s="1"/>
  <c r="E75" i="98"/>
  <c r="E74" i="98"/>
  <c r="E73" i="98"/>
  <c r="E72" i="98"/>
  <c r="E71" i="98"/>
  <c r="E81" i="98" s="1"/>
  <c r="D67" i="98"/>
  <c r="E66" i="98"/>
  <c r="E97" i="98" s="1"/>
  <c r="E110" i="98" s="1"/>
  <c r="E65" i="98"/>
  <c r="E96" i="98" s="1"/>
  <c r="E109" i="98" s="1"/>
  <c r="E64" i="98"/>
  <c r="E94" i="98" s="1"/>
  <c r="E107" i="98" s="1"/>
  <c r="E63" i="98"/>
  <c r="E93" i="98" s="1"/>
  <c r="E106" i="98" s="1"/>
  <c r="E56" i="98"/>
  <c r="E55" i="98"/>
  <c r="E54" i="98"/>
  <c r="E53" i="98"/>
  <c r="E52" i="98"/>
  <c r="E51" i="98"/>
  <c r="E50" i="98"/>
  <c r="E49" i="98"/>
  <c r="E48" i="98"/>
  <c r="E47" i="98"/>
  <c r="D46" i="98"/>
  <c r="D57" i="98" s="1"/>
  <c r="E45" i="98"/>
  <c r="E40" i="98"/>
  <c r="E39" i="98"/>
  <c r="E38" i="98"/>
  <c r="E37" i="98"/>
  <c r="E36" i="98"/>
  <c r="E35" i="98"/>
  <c r="D34" i="98"/>
  <c r="E34" i="98" s="1"/>
  <c r="E33" i="98"/>
  <c r="E32" i="98"/>
  <c r="E31" i="98"/>
  <c r="E30" i="98"/>
  <c r="E29" i="98"/>
  <c r="D25" i="98"/>
  <c r="E24" i="98"/>
  <c r="E23" i="98"/>
  <c r="E22" i="98"/>
  <c r="E21" i="98"/>
  <c r="E20" i="98"/>
  <c r="E19" i="98"/>
  <c r="E18" i="98"/>
  <c r="E17" i="98"/>
  <c r="E16" i="98"/>
  <c r="E15" i="98"/>
  <c r="E14" i="98"/>
  <c r="E13" i="98"/>
  <c r="E25" i="98" s="1"/>
  <c r="A13" i="98"/>
  <c r="A14" i="98" s="1"/>
  <c r="A15" i="98" s="1"/>
  <c r="A16" i="98" s="1"/>
  <c r="A17" i="98" s="1"/>
  <c r="A18" i="98" s="1"/>
  <c r="A19" i="98" s="1"/>
  <c r="A20" i="98" s="1"/>
  <c r="A21" i="98" s="1"/>
  <c r="A22" i="98" s="1"/>
  <c r="A23" i="98" s="1"/>
  <c r="A24" i="98" s="1"/>
  <c r="A25" i="98" s="1"/>
  <c r="A26" i="98" s="1"/>
  <c r="A27" i="98" s="1"/>
  <c r="A28" i="98" s="1"/>
  <c r="A29" i="98" s="1"/>
  <c r="A30" i="98" s="1"/>
  <c r="A31" i="98" s="1"/>
  <c r="A32" i="98" s="1"/>
  <c r="A33" i="98" s="1"/>
  <c r="A34" i="98" s="1"/>
  <c r="A35" i="98" s="1"/>
  <c r="A36" i="98" s="1"/>
  <c r="A37" i="98" s="1"/>
  <c r="A38" i="98" s="1"/>
  <c r="A39" i="98" s="1"/>
  <c r="A40" i="98" s="1"/>
  <c r="A41" i="98" s="1"/>
  <c r="A42" i="98" s="1"/>
  <c r="A43" i="98" s="1"/>
  <c r="A44" i="98" s="1"/>
  <c r="A45" i="98" s="1"/>
  <c r="A46" i="98" s="1"/>
  <c r="A47" i="98" s="1"/>
  <c r="A48" i="98" s="1"/>
  <c r="A49" i="98" s="1"/>
  <c r="A50" i="98" s="1"/>
  <c r="A51" i="98" s="1"/>
  <c r="A52" i="98" s="1"/>
  <c r="A53" i="98" s="1"/>
  <c r="A54" i="98" s="1"/>
  <c r="A55" i="98" s="1"/>
  <c r="A56" i="98" s="1"/>
  <c r="A57" i="98" s="1"/>
  <c r="A58" i="98" s="1"/>
  <c r="A59" i="98" s="1"/>
  <c r="A62" i="98" s="1"/>
  <c r="A63" i="98" s="1"/>
  <c r="A64" i="98" s="1"/>
  <c r="A65" i="98" s="1"/>
  <c r="A66" i="98" s="1"/>
  <c r="A67" i="98" s="1"/>
  <c r="A68" i="98" s="1"/>
  <c r="A69" i="98" s="1"/>
  <c r="A70" i="98" s="1"/>
  <c r="A71" i="98" s="1"/>
  <c r="A72" i="98" s="1"/>
  <c r="A73" i="98" s="1"/>
  <c r="A74" i="98" s="1"/>
  <c r="A75" i="98" s="1"/>
  <c r="A76" i="98" s="1"/>
  <c r="A77" i="98" s="1"/>
  <c r="A78" i="98" s="1"/>
  <c r="A79" i="98" s="1"/>
  <c r="A80" i="98" s="1"/>
  <c r="A81" i="98" s="1"/>
  <c r="A82" i="98" s="1"/>
  <c r="A83" i="98" s="1"/>
  <c r="A84" i="98" s="1"/>
  <c r="A85" i="98" s="1"/>
  <c r="A86" i="98" s="1"/>
  <c r="A87" i="98" s="1"/>
  <c r="A88" i="98" s="1"/>
  <c r="A89" i="98" s="1"/>
  <c r="A90" i="98" s="1"/>
  <c r="A91" i="98" s="1"/>
  <c r="A92" i="98" s="1"/>
  <c r="A93" i="98" s="1"/>
  <c r="A94" i="98" s="1"/>
  <c r="A95" i="98" s="1"/>
  <c r="A96" i="98" s="1"/>
  <c r="A97" i="98" s="1"/>
  <c r="A98" i="98" s="1"/>
  <c r="A99" i="98" s="1"/>
  <c r="A100" i="98" s="1"/>
  <c r="A101" i="98" s="1"/>
  <c r="A102" i="98" s="1"/>
  <c r="A103" i="98" s="1"/>
  <c r="A104" i="98" s="1"/>
  <c r="A105" i="98" s="1"/>
  <c r="A106" i="98" s="1"/>
  <c r="A107" i="98" s="1"/>
  <c r="A108" i="98" s="1"/>
  <c r="A109" i="98" s="1"/>
  <c r="A110" i="98" s="1"/>
  <c r="A111" i="98" s="1"/>
  <c r="A112" i="98" s="1"/>
  <c r="A113" i="98" s="1"/>
  <c r="A114" i="98" s="1"/>
  <c r="A115" i="98" s="1"/>
  <c r="A116" i="98" s="1"/>
  <c r="A117" i="98" s="1"/>
  <c r="A118" i="98" s="1"/>
  <c r="A119" i="98" s="1"/>
  <c r="F3" i="98"/>
  <c r="CR25" i="1"/>
  <c r="CS26" i="1" s="1"/>
  <c r="K25" i="78"/>
  <c r="F41" i="100" l="1"/>
  <c r="Q41" i="100" s="1"/>
  <c r="Q40" i="100"/>
  <c r="A120" i="98"/>
  <c r="A121" i="98" s="1"/>
  <c r="A122" i="98" s="1"/>
  <c r="A123" i="98" s="1"/>
  <c r="A124" i="98" s="1"/>
  <c r="A125" i="98" s="1"/>
  <c r="A126" i="98" s="1"/>
  <c r="A127" i="98" s="1"/>
  <c r="A128" i="98" s="1"/>
  <c r="A129" i="98" s="1"/>
  <c r="A130" i="98" s="1"/>
  <c r="E41" i="98"/>
  <c r="D41" i="98"/>
  <c r="D59" i="98" s="1"/>
  <c r="E46" i="98"/>
  <c r="E57" i="98" s="1"/>
  <c r="E67" i="98"/>
  <c r="D81" i="98"/>
  <c r="D83" i="98" s="1"/>
  <c r="E83" i="98" s="1"/>
  <c r="D85" i="98" l="1"/>
  <c r="E59" i="98"/>
  <c r="E85" i="98" l="1"/>
  <c r="D105" i="98"/>
  <c r="D111" i="98" s="1"/>
  <c r="D92" i="98"/>
  <c r="D87" i="98"/>
  <c r="E87" i="98" s="1"/>
  <c r="D98" i="98" l="1"/>
  <c r="E92" i="98"/>
  <c r="E105" i="98" l="1"/>
  <c r="E111" i="98" s="1"/>
  <c r="E113" i="98" s="1"/>
  <c r="E115" i="98" s="1"/>
  <c r="D115" i="98" s="1"/>
  <c r="AL59" i="20" s="1"/>
  <c r="E98" i="98"/>
  <c r="E100" i="98" s="1"/>
  <c r="E102" i="98" s="1"/>
  <c r="D102" i="98" l="1"/>
  <c r="E117" i="98"/>
  <c r="D117" i="98" s="1"/>
  <c r="D30" i="78" l="1"/>
  <c r="U25" i="78"/>
  <c r="I18" i="20"/>
  <c r="AM38" i="20"/>
  <c r="AM39" i="20"/>
  <c r="AM41" i="20"/>
  <c r="G38" i="94"/>
  <c r="AL58" i="20"/>
  <c r="AL60" i="20" s="1"/>
  <c r="AL43" i="20"/>
  <c r="AL36" i="20"/>
  <c r="AL28" i="20"/>
  <c r="AL19" i="20"/>
  <c r="D59" i="20"/>
  <c r="AL45" i="20" l="1"/>
  <c r="AL47" i="20" s="1"/>
  <c r="I39" i="94" s="1"/>
  <c r="AL49" i="20"/>
  <c r="J39" i="94" s="1"/>
  <c r="AL62" i="20" l="1"/>
  <c r="BK13" i="1"/>
  <c r="S38" i="1" l="1"/>
  <c r="T56" i="20" s="1"/>
  <c r="A23" i="22" l="1"/>
  <c r="A24" i="22" s="1"/>
  <c r="A25" i="22" s="1"/>
  <c r="A26" i="22" s="1"/>
  <c r="A27" i="22" s="1"/>
  <c r="B52" i="7"/>
  <c r="B44" i="7"/>
  <c r="B45" i="7" s="1"/>
  <c r="B46" i="7" s="1"/>
  <c r="B47" i="7" s="1"/>
  <c r="B48" i="7" s="1"/>
  <c r="B49" i="7" s="1"/>
  <c r="B50" i="7" s="1"/>
  <c r="B51" i="7" s="1"/>
  <c r="B41" i="7"/>
  <c r="B42" i="7" s="1"/>
  <c r="B43" i="7" s="1"/>
  <c r="BS17" i="1" l="1"/>
  <c r="BS20" i="1" s="1"/>
  <c r="Q96" i="42" l="1"/>
  <c r="Q93" i="42"/>
  <c r="Q90" i="42"/>
  <c r="Q87" i="42"/>
  <c r="Q84" i="42"/>
  <c r="Q81" i="42"/>
  <c r="Q77" i="42"/>
  <c r="Q75" i="42"/>
  <c r="Q72" i="42"/>
  <c r="Q68" i="42"/>
  <c r="Q64" i="42"/>
  <c r="Q59" i="42"/>
  <c r="Q53" i="42"/>
  <c r="Q51" i="42"/>
  <c r="Q49" i="42"/>
  <c r="Q47" i="42"/>
  <c r="Q45" i="42"/>
  <c r="Q43" i="42"/>
  <c r="Q40" i="42"/>
  <c r="Q39" i="42"/>
  <c r="Q37" i="42"/>
  <c r="Q35" i="42"/>
  <c r="Q33" i="42"/>
  <c r="Q31" i="42"/>
  <c r="Q10" i="42"/>
  <c r="Q13" i="42"/>
  <c r="Q14" i="42"/>
  <c r="Q15" i="42"/>
  <c r="Q16" i="42"/>
  <c r="Q19" i="42"/>
  <c r="Q20" i="42"/>
  <c r="Q21" i="42"/>
  <c r="Q22" i="42"/>
  <c r="Q24" i="42"/>
  <c r="Q26" i="42"/>
  <c r="Q7" i="42"/>
  <c r="Q98" i="42"/>
  <c r="Q28" i="42"/>
  <c r="Q55" i="42" l="1"/>
  <c r="Q103" i="42" s="1"/>
  <c r="AW22" i="1" l="1"/>
  <c r="AW21" i="1"/>
  <c r="AW20" i="1"/>
  <c r="AW19" i="1"/>
  <c r="AW18" i="1"/>
  <c r="AW17" i="1"/>
  <c r="AW16" i="1"/>
  <c r="AW15" i="1"/>
  <c r="AW14" i="1"/>
  <c r="AX14" i="1" s="1"/>
  <c r="CO8" i="1" l="1"/>
  <c r="AT8" i="1"/>
  <c r="A8" i="1"/>
  <c r="A8" i="21"/>
  <c r="F39" i="1"/>
  <c r="O99" i="42" l="1"/>
  <c r="I2" i="7"/>
  <c r="I1" i="7"/>
  <c r="A8" i="94"/>
  <c r="F3" i="1" l="1"/>
  <c r="K3" i="1"/>
  <c r="O3" i="1"/>
  <c r="S3" i="1"/>
  <c r="W3" i="1"/>
  <c r="AB3" i="1"/>
  <c r="AG3" i="1"/>
  <c r="AL3" i="1"/>
  <c r="AS3" i="1"/>
  <c r="AX3" i="1"/>
  <c r="BC3" i="1"/>
  <c r="BG3" i="1"/>
  <c r="BL3" i="1"/>
  <c r="BP3" i="1"/>
  <c r="BT3" i="1"/>
  <c r="BX3" i="1"/>
  <c r="CC3" i="1"/>
  <c r="CH3" i="1"/>
  <c r="CN3" i="1"/>
  <c r="CS3" i="1"/>
  <c r="CW3" i="1"/>
  <c r="E3" i="22"/>
  <c r="J3" i="22"/>
  <c r="N3" i="22"/>
  <c r="R1" i="20" l="1"/>
  <c r="X1" i="20" s="1"/>
  <c r="AN3" i="20"/>
  <c r="AF3" i="20"/>
  <c r="X3" i="20"/>
  <c r="R3" i="20"/>
  <c r="O3" i="21"/>
  <c r="J3" i="21"/>
  <c r="E3" i="21"/>
  <c r="AF1" i="20" l="1"/>
  <c r="AN1" i="20" s="1"/>
  <c r="E1" i="21" s="1"/>
  <c r="J1" i="21" s="1"/>
  <c r="O1" i="21" s="1"/>
  <c r="F1" i="1" s="1"/>
  <c r="K1" i="1" s="1"/>
  <c r="O1" i="1" s="1"/>
  <c r="B41" i="95"/>
  <c r="B40" i="95"/>
  <c r="B39" i="95"/>
  <c r="B15" i="95"/>
  <c r="N2" i="24"/>
  <c r="S1" i="1" l="1"/>
  <c r="W1" i="1" l="1"/>
  <c r="J17" i="22"/>
  <c r="AB1" i="1" l="1"/>
  <c r="AG1" i="1" l="1"/>
  <c r="P53" i="42"/>
  <c r="P51" i="42"/>
  <c r="P49" i="42"/>
  <c r="P47" i="42"/>
  <c r="P45" i="42"/>
  <c r="P43" i="42"/>
  <c r="P40" i="42"/>
  <c r="P39" i="42"/>
  <c r="P37" i="42"/>
  <c r="P35" i="42"/>
  <c r="P33" i="42"/>
  <c r="P31" i="42"/>
  <c r="P96" i="42"/>
  <c r="P93" i="42"/>
  <c r="P90" i="42"/>
  <c r="P87" i="42"/>
  <c r="P84" i="42"/>
  <c r="P81" i="42"/>
  <c r="P77" i="42"/>
  <c r="P75" i="42"/>
  <c r="P72" i="42"/>
  <c r="P68" i="42"/>
  <c r="P64" i="42"/>
  <c r="P59" i="42"/>
  <c r="G12" i="72"/>
  <c r="G9" i="72"/>
  <c r="F109" i="97"/>
  <c r="P99" i="42" l="1"/>
  <c r="AL1" i="1"/>
  <c r="B38" i="95"/>
  <c r="B42" i="95"/>
  <c r="B43" i="95"/>
  <c r="B44" i="95"/>
  <c r="B45" i="95"/>
  <c r="B46" i="95"/>
  <c r="B47" i="95"/>
  <c r="B48" i="95"/>
  <c r="B49" i="95"/>
  <c r="B37" i="95"/>
  <c r="B36" i="95"/>
  <c r="B35" i="95"/>
  <c r="B10" i="95"/>
  <c r="B11" i="95"/>
  <c r="B12" i="95"/>
  <c r="B13" i="95"/>
  <c r="B14" i="95"/>
  <c r="B16" i="95"/>
  <c r="B17" i="95"/>
  <c r="B18" i="95"/>
  <c r="B19" i="95"/>
  <c r="B20" i="95"/>
  <c r="B21" i="95"/>
  <c r="B22" i="95"/>
  <c r="B23" i="95"/>
  <c r="B24" i="95"/>
  <c r="B25" i="95"/>
  <c r="B26" i="95"/>
  <c r="B27" i="95"/>
  <c r="B28" i="95"/>
  <c r="B29" i="95"/>
  <c r="B30" i="95"/>
  <c r="B31" i="95"/>
  <c r="B32" i="95"/>
  <c r="B9" i="95"/>
  <c r="AS1" i="1" l="1"/>
  <c r="AX1" i="1" l="1"/>
  <c r="I31" i="42"/>
  <c r="BC1" i="1" l="1"/>
  <c r="F20" i="48"/>
  <c r="S12" i="86"/>
  <c r="BG1" i="1" l="1"/>
  <c r="J4" i="95"/>
  <c r="BL1" i="1" l="1"/>
  <c r="E40" i="94"/>
  <c r="D40" i="94"/>
  <c r="D41" i="94" s="1"/>
  <c r="A6" i="94"/>
  <c r="F32" i="95"/>
  <c r="E32" i="95"/>
  <c r="D32" i="95"/>
  <c r="C32" i="95"/>
  <c r="F31" i="95"/>
  <c r="E31" i="95"/>
  <c r="D31" i="95"/>
  <c r="C31" i="95"/>
  <c r="F30" i="95"/>
  <c r="E30" i="95"/>
  <c r="D30" i="95"/>
  <c r="C30" i="95"/>
  <c r="F29" i="95"/>
  <c r="E29" i="95"/>
  <c r="D29" i="95"/>
  <c r="C29" i="95"/>
  <c r="F28" i="95"/>
  <c r="E28" i="95"/>
  <c r="D28" i="95"/>
  <c r="C28" i="95"/>
  <c r="F27" i="95"/>
  <c r="E27" i="95"/>
  <c r="D27" i="95"/>
  <c r="C27" i="95"/>
  <c r="F26" i="95"/>
  <c r="E26" i="95"/>
  <c r="D26" i="95"/>
  <c r="C26" i="95"/>
  <c r="F25" i="95"/>
  <c r="E25" i="95"/>
  <c r="D25" i="95"/>
  <c r="C25" i="95"/>
  <c r="F24" i="95"/>
  <c r="E24" i="95"/>
  <c r="D24" i="95"/>
  <c r="C24" i="95"/>
  <c r="F23" i="95"/>
  <c r="E23" i="95"/>
  <c r="D23" i="95"/>
  <c r="C23" i="95"/>
  <c r="F22" i="95"/>
  <c r="E22" i="95"/>
  <c r="D22" i="95"/>
  <c r="C22" i="95"/>
  <c r="F21" i="95"/>
  <c r="E21" i="95"/>
  <c r="D21" i="95"/>
  <c r="C21" i="95"/>
  <c r="F20" i="95"/>
  <c r="E20" i="95"/>
  <c r="D20" i="95"/>
  <c r="C20" i="95"/>
  <c r="F19" i="95"/>
  <c r="E19" i="95"/>
  <c r="D19" i="95"/>
  <c r="C19" i="95"/>
  <c r="F18" i="95"/>
  <c r="E18" i="95"/>
  <c r="D18" i="95"/>
  <c r="C18" i="95"/>
  <c r="F17" i="95"/>
  <c r="E17" i="95"/>
  <c r="D17" i="95"/>
  <c r="C17" i="95"/>
  <c r="F16" i="95"/>
  <c r="E16" i="95"/>
  <c r="D16" i="95"/>
  <c r="C16" i="95"/>
  <c r="F15" i="95"/>
  <c r="E15" i="95"/>
  <c r="D15" i="95"/>
  <c r="C15" i="95"/>
  <c r="F14" i="95"/>
  <c r="E14" i="95"/>
  <c r="D14" i="95"/>
  <c r="C14" i="95"/>
  <c r="F13" i="95"/>
  <c r="E13" i="95"/>
  <c r="D13" i="95"/>
  <c r="C13" i="95"/>
  <c r="F12" i="95"/>
  <c r="E12" i="95"/>
  <c r="D12" i="95"/>
  <c r="C12" i="95"/>
  <c r="F11" i="95"/>
  <c r="E11" i="95"/>
  <c r="D11" i="95"/>
  <c r="C11" i="95"/>
  <c r="F10" i="95"/>
  <c r="E10" i="95"/>
  <c r="D10" i="95"/>
  <c r="C10" i="95"/>
  <c r="F9" i="95"/>
  <c r="E9" i="95"/>
  <c r="D9" i="95"/>
  <c r="C9" i="95"/>
  <c r="F8" i="95"/>
  <c r="E8" i="95"/>
  <c r="E41" i="94"/>
  <c r="F33" i="95" s="1"/>
  <c r="G14" i="94"/>
  <c r="H8" i="95" s="1"/>
  <c r="E33" i="95" l="1"/>
  <c r="G41" i="94"/>
  <c r="BP1" i="1"/>
  <c r="G15" i="94"/>
  <c r="H9" i="95" s="1"/>
  <c r="G17" i="94"/>
  <c r="H11" i="95" s="1"/>
  <c r="G19" i="94"/>
  <c r="H13" i="95" s="1"/>
  <c r="G21" i="94"/>
  <c r="H15" i="95" s="1"/>
  <c r="G23" i="94"/>
  <c r="H17" i="95" s="1"/>
  <c r="G26" i="94"/>
  <c r="H20" i="95" s="1"/>
  <c r="G16" i="94"/>
  <c r="H10" i="95" s="1"/>
  <c r="G18" i="94"/>
  <c r="H12" i="95" s="1"/>
  <c r="G20" i="94"/>
  <c r="H14" i="95" s="1"/>
  <c r="G22" i="94"/>
  <c r="H16" i="95" s="1"/>
  <c r="G24" i="94"/>
  <c r="H18" i="95" s="1"/>
  <c r="G25" i="94"/>
  <c r="H19" i="95" s="1"/>
  <c r="G27" i="94"/>
  <c r="H21" i="95" s="1"/>
  <c r="G28" i="94"/>
  <c r="H22" i="95" s="1"/>
  <c r="G29" i="94"/>
  <c r="H23" i="95" s="1"/>
  <c r="G30" i="94"/>
  <c r="H24" i="95" s="1"/>
  <c r="G31" i="94"/>
  <c r="H25" i="95" s="1"/>
  <c r="G32" i="94"/>
  <c r="H26" i="95" s="1"/>
  <c r="G33" i="94"/>
  <c r="H27" i="95" s="1"/>
  <c r="G34" i="94"/>
  <c r="H28" i="95" s="1"/>
  <c r="G35" i="94"/>
  <c r="H29" i="95" s="1"/>
  <c r="G36" i="94"/>
  <c r="H30" i="95" s="1"/>
  <c r="G37" i="94"/>
  <c r="H31" i="95" s="1"/>
  <c r="G39" i="94"/>
  <c r="H32" i="95" s="1"/>
  <c r="H33" i="95"/>
  <c r="BT1" i="1" l="1"/>
  <c r="G40" i="94"/>
  <c r="BX1" i="1" l="1"/>
  <c r="B12" i="90"/>
  <c r="B10" i="90"/>
  <c r="B12" i="89"/>
  <c r="B11" i="85"/>
  <c r="CC1" i="1" l="1"/>
  <c r="E26" i="81"/>
  <c r="S52" i="83"/>
  <c r="CH1" i="1" l="1"/>
  <c r="F26" i="81"/>
  <c r="B9" i="75"/>
  <c r="B11" i="75" s="1"/>
  <c r="B18" i="75"/>
  <c r="E15" i="72"/>
  <c r="D15" i="72"/>
  <c r="E9" i="73"/>
  <c r="D9" i="73"/>
  <c r="C9" i="73"/>
  <c r="F9" i="73"/>
  <c r="J45" i="1"/>
  <c r="J47" i="1"/>
  <c r="J48" i="1"/>
  <c r="J34" i="1"/>
  <c r="J35" i="1"/>
  <c r="C27" i="93"/>
  <c r="C25" i="93"/>
  <c r="C24" i="93"/>
  <c r="C23" i="93"/>
  <c r="C22" i="93"/>
  <c r="C21" i="93"/>
  <c r="C20" i="93"/>
  <c r="C17" i="93"/>
  <c r="C16" i="93"/>
  <c r="C14" i="93"/>
  <c r="C13" i="93"/>
  <c r="C12" i="93"/>
  <c r="C28" i="93"/>
  <c r="B13" i="90"/>
  <c r="B13" i="89"/>
  <c r="E32" i="80" s="1"/>
  <c r="O30" i="1" s="1"/>
  <c r="D26" i="87"/>
  <c r="D43" i="87" s="1"/>
  <c r="D45" i="87" s="1"/>
  <c r="D50" i="87" s="1"/>
  <c r="C26" i="87"/>
  <c r="C43" i="87" s="1"/>
  <c r="C45" i="87" s="1"/>
  <c r="C50" i="87" s="1"/>
  <c r="D17" i="87"/>
  <c r="C17" i="87"/>
  <c r="M62" i="86"/>
  <c r="E62" i="86"/>
  <c r="O60" i="86"/>
  <c r="Q60" i="86" s="1"/>
  <c r="O59" i="86"/>
  <c r="Q59" i="86" s="1"/>
  <c r="M54" i="86"/>
  <c r="E54" i="86"/>
  <c r="O52" i="86"/>
  <c r="Q52" i="86" s="1"/>
  <c r="O51" i="86"/>
  <c r="Q51" i="86" s="1"/>
  <c r="M48" i="86"/>
  <c r="M56" i="86" s="1"/>
  <c r="M64" i="86" s="1"/>
  <c r="E48" i="86"/>
  <c r="E56" i="86" s="1"/>
  <c r="E64" i="86" s="1"/>
  <c r="O46" i="86"/>
  <c r="Q46" i="86" s="1"/>
  <c r="O45" i="86"/>
  <c r="Q45" i="86" s="1"/>
  <c r="O44" i="86"/>
  <c r="Q44" i="86" s="1"/>
  <c r="O34" i="86"/>
  <c r="Q34" i="86" s="1"/>
  <c r="M30" i="86"/>
  <c r="W30" i="86" s="1"/>
  <c r="E30" i="86"/>
  <c r="S30" i="86" s="1"/>
  <c r="W28" i="86"/>
  <c r="S28" i="86"/>
  <c r="O28" i="86"/>
  <c r="Q28" i="86" s="1"/>
  <c r="W27" i="86"/>
  <c r="S27" i="86"/>
  <c r="O27" i="86"/>
  <c r="Q27" i="86" s="1"/>
  <c r="M22" i="86"/>
  <c r="W22" i="86" s="1"/>
  <c r="E22" i="86"/>
  <c r="S22" i="86" s="1"/>
  <c r="W20" i="86"/>
  <c r="S20" i="86"/>
  <c r="O20" i="86"/>
  <c r="Q20" i="86" s="1"/>
  <c r="W19" i="86"/>
  <c r="S19" i="86"/>
  <c r="O19" i="86"/>
  <c r="Q19" i="86" s="1"/>
  <c r="M16" i="86"/>
  <c r="M24" i="86" s="1"/>
  <c r="M32" i="86" s="1"/>
  <c r="E16" i="86"/>
  <c r="E24" i="86" s="1"/>
  <c r="E32" i="86" s="1"/>
  <c r="W14" i="86"/>
  <c r="S14" i="86"/>
  <c r="O14" i="86"/>
  <c r="Q14" i="86" s="1"/>
  <c r="W13" i="86"/>
  <c r="S13" i="86"/>
  <c r="O13" i="86"/>
  <c r="Q13" i="86" s="1"/>
  <c r="W12" i="86"/>
  <c r="Q12" i="86"/>
  <c r="O12" i="86"/>
  <c r="B15" i="85"/>
  <c r="B14" i="85" s="1"/>
  <c r="R52" i="83"/>
  <c r="Q52" i="83"/>
  <c r="P52" i="83"/>
  <c r="O52" i="83"/>
  <c r="N52" i="83"/>
  <c r="T52" i="83" s="1"/>
  <c r="E23" i="81" s="1"/>
  <c r="T51" i="83"/>
  <c r="T50" i="83"/>
  <c r="T49" i="83"/>
  <c r="T48" i="83"/>
  <c r="T47" i="83"/>
  <c r="T46" i="83"/>
  <c r="T45" i="83"/>
  <c r="T44" i="83"/>
  <c r="T43" i="83"/>
  <c r="T42" i="83"/>
  <c r="T41" i="83"/>
  <c r="T40" i="83"/>
  <c r="T39" i="83"/>
  <c r="T38" i="83"/>
  <c r="T37" i="83"/>
  <c r="T36" i="83"/>
  <c r="T35" i="83"/>
  <c r="T34" i="83"/>
  <c r="T33" i="83"/>
  <c r="T32" i="83"/>
  <c r="T31" i="83"/>
  <c r="T30" i="83"/>
  <c r="T29" i="83"/>
  <c r="T28" i="83"/>
  <c r="T27" i="83"/>
  <c r="T26" i="83"/>
  <c r="T25" i="83"/>
  <c r="T24" i="83"/>
  <c r="T23" i="83"/>
  <c r="T22" i="83"/>
  <c r="T21" i="83"/>
  <c r="T20" i="83"/>
  <c r="T19" i="83"/>
  <c r="T18" i="83"/>
  <c r="T17" i="83"/>
  <c r="T16" i="83"/>
  <c r="T15" i="83"/>
  <c r="T14" i="83"/>
  <c r="T13" i="83"/>
  <c r="T12" i="83"/>
  <c r="T11" i="83"/>
  <c r="T10" i="83"/>
  <c r="T9" i="83"/>
  <c r="T8" i="83"/>
  <c r="T7" i="83"/>
  <c r="T6" i="83"/>
  <c r="T5" i="83"/>
  <c r="T4" i="83"/>
  <c r="E33" i="80"/>
  <c r="O31" i="1" s="1"/>
  <c r="E31" i="80"/>
  <c r="O29" i="1" s="1"/>
  <c r="E30" i="80"/>
  <c r="E34" i="80" s="1"/>
  <c r="E14" i="80"/>
  <c r="O15" i="1" s="1"/>
  <c r="A14" i="80"/>
  <c r="A15" i="80" s="1"/>
  <c r="A16" i="80" s="1"/>
  <c r="A17" i="80" s="1"/>
  <c r="A18" i="80" s="1"/>
  <c r="A19" i="80" s="1"/>
  <c r="A20" i="80" s="1"/>
  <c r="A21" i="80" s="1"/>
  <c r="A22" i="80" s="1"/>
  <c r="A23" i="80" s="1"/>
  <c r="A24" i="80" s="1"/>
  <c r="A25" i="80" s="1"/>
  <c r="A26" i="80" s="1"/>
  <c r="A27" i="80" s="1"/>
  <c r="A28" i="80" s="1"/>
  <c r="A29" i="80" s="1"/>
  <c r="A30" i="80" s="1"/>
  <c r="A31" i="80" s="1"/>
  <c r="A32" i="80" s="1"/>
  <c r="A33" i="80" s="1"/>
  <c r="A34" i="80" s="1"/>
  <c r="A35" i="80" s="1"/>
  <c r="A36" i="80" s="1"/>
  <c r="A37" i="80" s="1"/>
  <c r="A38" i="80" s="1"/>
  <c r="AE32" i="78"/>
  <c r="T30" i="78"/>
  <c r="S30" i="78"/>
  <c r="R30" i="78"/>
  <c r="Q30" i="78"/>
  <c r="P30" i="78"/>
  <c r="O30" i="78"/>
  <c r="N30" i="78"/>
  <c r="M30" i="78"/>
  <c r="L30" i="78"/>
  <c r="K30" i="78"/>
  <c r="J30" i="78"/>
  <c r="I30" i="78"/>
  <c r="H30" i="78"/>
  <c r="G30" i="78"/>
  <c r="E30" i="78"/>
  <c r="U28" i="78"/>
  <c r="AE28" i="78" s="1"/>
  <c r="AE27" i="78"/>
  <c r="Z26" i="78"/>
  <c r="V33" i="78" s="1"/>
  <c r="U33" i="78" s="1"/>
  <c r="AE33" i="78" s="1"/>
  <c r="Y26" i="78"/>
  <c r="V34" i="78" s="1"/>
  <c r="V48" i="78" s="1"/>
  <c r="V26" i="78"/>
  <c r="T26" i="78"/>
  <c r="S26" i="78"/>
  <c r="S31" i="78" s="1"/>
  <c r="S47" i="78" s="1"/>
  <c r="R26" i="78"/>
  <c r="R46" i="78" s="1"/>
  <c r="Q26" i="78"/>
  <c r="Q31" i="78" s="1"/>
  <c r="P26" i="78"/>
  <c r="P31" i="78" s="1"/>
  <c r="O26" i="78"/>
  <c r="O31" i="78" s="1"/>
  <c r="N26" i="78"/>
  <c r="N31" i="78" s="1"/>
  <c r="M26" i="78"/>
  <c r="M31" i="78" s="1"/>
  <c r="M47" i="78" s="1"/>
  <c r="L26" i="78"/>
  <c r="L31" i="78" s="1"/>
  <c r="K26" i="78"/>
  <c r="K46" i="78" s="1"/>
  <c r="J26" i="78"/>
  <c r="J46" i="78" s="1"/>
  <c r="I26" i="78"/>
  <c r="I31" i="78" s="1"/>
  <c r="H26" i="78"/>
  <c r="H46" i="78" s="1"/>
  <c r="G26" i="78"/>
  <c r="G31" i="78" s="1"/>
  <c r="F26" i="78"/>
  <c r="E26" i="78"/>
  <c r="E16" i="80" s="1"/>
  <c r="O17" i="1" s="1"/>
  <c r="D26" i="78"/>
  <c r="D46" i="78" s="1"/>
  <c r="AE25" i="78"/>
  <c r="AA25" i="78"/>
  <c r="AF25" i="78" s="1"/>
  <c r="AD25" i="78"/>
  <c r="AA24" i="78"/>
  <c r="U24" i="78"/>
  <c r="AE24" i="78" s="1"/>
  <c r="AA23" i="78"/>
  <c r="AF23" i="78" s="1"/>
  <c r="U23" i="78"/>
  <c r="AD23" i="78" s="1"/>
  <c r="AF22" i="78"/>
  <c r="AA22" i="78"/>
  <c r="U22" i="78"/>
  <c r="AE22" i="78" s="1"/>
  <c r="AA21" i="78"/>
  <c r="AF21" i="78" s="1"/>
  <c r="U21" i="78"/>
  <c r="AD21" i="78" s="1"/>
  <c r="AA20" i="78"/>
  <c r="U20" i="78"/>
  <c r="AE20" i="78" s="1"/>
  <c r="AA19" i="78"/>
  <c r="AF19" i="78" s="1"/>
  <c r="U19" i="78"/>
  <c r="AD19" i="78" s="1"/>
  <c r="AA18" i="78"/>
  <c r="AF18" i="78" s="1"/>
  <c r="U18" i="78"/>
  <c r="AE18" i="78" s="1"/>
  <c r="AA17" i="78"/>
  <c r="U17" i="78"/>
  <c r="AE17" i="78" s="1"/>
  <c r="AF16" i="78"/>
  <c r="AA16" i="78"/>
  <c r="U16" i="78"/>
  <c r="AE16" i="78" s="1"/>
  <c r="AA15" i="78"/>
  <c r="AF15" i="78" s="1"/>
  <c r="U15" i="78"/>
  <c r="AD15" i="78" s="1"/>
  <c r="AA14" i="78"/>
  <c r="U14" i="78"/>
  <c r="AE14" i="78" s="1"/>
  <c r="AA13" i="78"/>
  <c r="AF13" i="78" s="1"/>
  <c r="U13" i="78"/>
  <c r="AE13" i="78" s="1"/>
  <c r="B13" i="78"/>
  <c r="B14" i="78" s="1"/>
  <c r="B15" i="78" s="1"/>
  <c r="B16" i="78" s="1"/>
  <c r="B17" i="78" s="1"/>
  <c r="B18" i="78" s="1"/>
  <c r="B19" i="78" s="1"/>
  <c r="B20" i="78" s="1"/>
  <c r="B21" i="78" s="1"/>
  <c r="B22" i="78" s="1"/>
  <c r="B23" i="78" s="1"/>
  <c r="B24" i="78" s="1"/>
  <c r="B25" i="78" s="1"/>
  <c r="B26" i="78" s="1"/>
  <c r="B28" i="78" s="1"/>
  <c r="B29" i="78" s="1"/>
  <c r="B30" i="78" s="1"/>
  <c r="B31" i="78" s="1"/>
  <c r="B33" i="78" s="1"/>
  <c r="B34" i="78" s="1"/>
  <c r="AA12" i="78"/>
  <c r="AA26" i="78" s="1"/>
  <c r="U12" i="78"/>
  <c r="U26" i="78" s="1"/>
  <c r="D49" i="77"/>
  <c r="J52" i="1" s="1"/>
  <c r="D48" i="77"/>
  <c r="J51" i="1" s="1"/>
  <c r="D47" i="77"/>
  <c r="J50" i="1" s="1"/>
  <c r="D46" i="77"/>
  <c r="J49" i="1" s="1"/>
  <c r="D37" i="77"/>
  <c r="J37" i="1" s="1"/>
  <c r="D33" i="77"/>
  <c r="J33" i="1" s="1"/>
  <c r="D32" i="77"/>
  <c r="J32" i="1" s="1"/>
  <c r="D31" i="77"/>
  <c r="J31" i="1" s="1"/>
  <c r="D24" i="77"/>
  <c r="D23" i="77"/>
  <c r="D22" i="77"/>
  <c r="D21" i="77"/>
  <c r="D20" i="77"/>
  <c r="D19" i="77"/>
  <c r="D17" i="77"/>
  <c r="D15" i="77"/>
  <c r="D14" i="77"/>
  <c r="A14" i="77"/>
  <c r="A15" i="77" s="1"/>
  <c r="A16" i="77" s="1"/>
  <c r="A17" i="77" s="1"/>
  <c r="A18" i="77" s="1"/>
  <c r="A19" i="77" s="1"/>
  <c r="A20" i="77" s="1"/>
  <c r="A21" i="77" s="1"/>
  <c r="A22" i="77" s="1"/>
  <c r="A23" i="77" s="1"/>
  <c r="A24" i="77" s="1"/>
  <c r="A25" i="77" s="1"/>
  <c r="A26" i="77" s="1"/>
  <c r="A27" i="77" s="1"/>
  <c r="A28" i="77" s="1"/>
  <c r="A29" i="77" s="1"/>
  <c r="A30" i="77" s="1"/>
  <c r="A31" i="77" s="1"/>
  <c r="A32" i="77" s="1"/>
  <c r="A33" i="77" s="1"/>
  <c r="A34" i="77" s="1"/>
  <c r="A35" i="77" s="1"/>
  <c r="A36" i="77" s="1"/>
  <c r="A37" i="77" s="1"/>
  <c r="A38" i="77" s="1"/>
  <c r="A39" i="77" s="1"/>
  <c r="A40" i="77" s="1"/>
  <c r="A41" i="77" s="1"/>
  <c r="A42" i="77" s="1"/>
  <c r="A43" i="77" s="1"/>
  <c r="A44" i="77" s="1"/>
  <c r="A45" i="77" s="1"/>
  <c r="A46" i="77" s="1"/>
  <c r="A47" i="77" s="1"/>
  <c r="A48" i="77" s="1"/>
  <c r="A49" i="77" s="1"/>
  <c r="A50" i="77" s="1"/>
  <c r="A51" i="77" s="1"/>
  <c r="A52" i="77" s="1"/>
  <c r="A53" i="77" s="1"/>
  <c r="A54" i="77" s="1"/>
  <c r="A55" i="77" s="1"/>
  <c r="A56" i="77" s="1"/>
  <c r="A57" i="77" s="1"/>
  <c r="A58" i="77" s="1"/>
  <c r="A59" i="77" s="1"/>
  <c r="A60" i="77" s="1"/>
  <c r="A61" i="77" s="1"/>
  <c r="A62" i="77" s="1"/>
  <c r="A63" i="77" s="1"/>
  <c r="C32" i="75"/>
  <c r="C34" i="75" s="1"/>
  <c r="D34" i="75" s="1"/>
  <c r="B32" i="75"/>
  <c r="B34" i="75" s="1"/>
  <c r="D30" i="75"/>
  <c r="B23" i="75"/>
  <c r="B25" i="75" s="1"/>
  <c r="B27" i="75" s="1"/>
  <c r="C20" i="75"/>
  <c r="D20" i="75" s="1"/>
  <c r="B20" i="75"/>
  <c r="D18" i="75"/>
  <c r="D16" i="75"/>
  <c r="C11" i="75"/>
  <c r="C13" i="75" s="1"/>
  <c r="C9" i="75"/>
  <c r="B13" i="75"/>
  <c r="B36" i="75" s="1"/>
  <c r="D8" i="75"/>
  <c r="D7" i="75"/>
  <c r="D9" i="75" s="1"/>
  <c r="A13" i="74"/>
  <c r="A14" i="74" s="1"/>
  <c r="A15" i="74" s="1"/>
  <c r="A16" i="74" s="1"/>
  <c r="A17" i="74" s="1"/>
  <c r="A18" i="74" s="1"/>
  <c r="A19" i="74" s="1"/>
  <c r="A20" i="74" s="1"/>
  <c r="A21" i="74" s="1"/>
  <c r="A22" i="74" s="1"/>
  <c r="A23" i="74" s="1"/>
  <c r="D18" i="70"/>
  <c r="G15" i="72"/>
  <c r="F15" i="72"/>
  <c r="D11" i="71"/>
  <c r="D10" i="71"/>
  <c r="C14" i="70" s="1"/>
  <c r="M14" i="21" s="1"/>
  <c r="A14" i="70"/>
  <c r="A15" i="70" s="1"/>
  <c r="A16" i="70" s="1"/>
  <c r="A17" i="70" s="1"/>
  <c r="A18" i="70" s="1"/>
  <c r="A19" i="70" s="1"/>
  <c r="A20" i="70" s="1"/>
  <c r="C24" i="27"/>
  <c r="F46" i="78" l="1"/>
  <c r="F29" i="78"/>
  <c r="AE12" i="78"/>
  <c r="AE15" i="78"/>
  <c r="AE21" i="78"/>
  <c r="AE23" i="78"/>
  <c r="AE19" i="78"/>
  <c r="T31" i="78"/>
  <c r="CN1" i="1"/>
  <c r="E51" i="77"/>
  <c r="D25" i="77"/>
  <c r="E27" i="77" s="1"/>
  <c r="AE26" i="78"/>
  <c r="U46" i="78"/>
  <c r="AD12" i="78"/>
  <c r="AF12" i="78"/>
  <c r="AD13" i="78"/>
  <c r="AD16" i="78"/>
  <c r="AD18" i="78"/>
  <c r="AF26" i="78"/>
  <c r="AD22" i="78"/>
  <c r="AD26" i="78"/>
  <c r="AD28" i="78"/>
  <c r="E31" i="78"/>
  <c r="H31" i="78"/>
  <c r="J31" i="78"/>
  <c r="R31" i="78"/>
  <c r="R47" i="78" s="1"/>
  <c r="E46" i="78"/>
  <c r="G46" i="78"/>
  <c r="M46" i="78"/>
  <c r="S46" i="78"/>
  <c r="V46" i="78"/>
  <c r="F47" i="78"/>
  <c r="O16" i="86"/>
  <c r="S16" i="86"/>
  <c r="O22" i="86"/>
  <c r="Q22" i="86" s="1"/>
  <c r="O30" i="86"/>
  <c r="Q30" i="86" s="1"/>
  <c r="O48" i="86"/>
  <c r="O54" i="86"/>
  <c r="Q54" i="86" s="1"/>
  <c r="O62" i="86"/>
  <c r="Q62" i="86" s="1"/>
  <c r="O28" i="1"/>
  <c r="D31" i="78"/>
  <c r="D47" i="78" s="1"/>
  <c r="K31" i="78"/>
  <c r="K47" i="78" s="1"/>
  <c r="W16" i="86"/>
  <c r="C15" i="70"/>
  <c r="M36" i="86"/>
  <c r="W32" i="86"/>
  <c r="W24" i="86"/>
  <c r="E36" i="86"/>
  <c r="S32" i="86"/>
  <c r="O32" i="86"/>
  <c r="S24" i="86"/>
  <c r="AD33" i="78"/>
  <c r="C13" i="74"/>
  <c r="D13" i="75"/>
  <c r="D32" i="75"/>
  <c r="C23" i="75"/>
  <c r="D14" i="71"/>
  <c r="D14" i="70" s="1"/>
  <c r="N14" i="21" s="1"/>
  <c r="O14" i="21" s="1"/>
  <c r="D12" i="71"/>
  <c r="F30" i="78" l="1"/>
  <c r="V29" i="78"/>
  <c r="V30" i="78" s="1"/>
  <c r="CS1" i="1"/>
  <c r="E24" i="81"/>
  <c r="H47" i="78"/>
  <c r="E14" i="71"/>
  <c r="O56" i="86"/>
  <c r="Q48" i="86"/>
  <c r="O24" i="86"/>
  <c r="Q24" i="86" s="1"/>
  <c r="Q16" i="86"/>
  <c r="J47" i="78"/>
  <c r="E15" i="80"/>
  <c r="O16" i="1" s="1"/>
  <c r="C14" i="74"/>
  <c r="H14" i="21"/>
  <c r="O36" i="86"/>
  <c r="Q36" i="86" s="1"/>
  <c r="Q32" i="86"/>
  <c r="C25" i="75"/>
  <c r="D23" i="75"/>
  <c r="D15" i="70"/>
  <c r="E14" i="70"/>
  <c r="E15" i="70" s="1"/>
  <c r="E17" i="70" s="1"/>
  <c r="D42" i="57"/>
  <c r="B42" i="58"/>
  <c r="G17" i="67"/>
  <c r="F17" i="67"/>
  <c r="E17" i="67"/>
  <c r="D17" i="67"/>
  <c r="C17" i="67"/>
  <c r="I14" i="67"/>
  <c r="J14" i="67" s="1"/>
  <c r="B14" i="67"/>
  <c r="J13" i="67"/>
  <c r="I13" i="67"/>
  <c r="B13" i="67"/>
  <c r="I12" i="67"/>
  <c r="J12" i="67" s="1"/>
  <c r="B12" i="67"/>
  <c r="J11" i="67"/>
  <c r="I11" i="67"/>
  <c r="B11" i="67"/>
  <c r="I10" i="67"/>
  <c r="J10" i="67" s="1"/>
  <c r="B10" i="67"/>
  <c r="J9" i="67"/>
  <c r="I9" i="67"/>
  <c r="B9" i="67"/>
  <c r="I8" i="67"/>
  <c r="J8" i="67" s="1"/>
  <c r="B8" i="67"/>
  <c r="J7" i="67"/>
  <c r="I7" i="67"/>
  <c r="B7" i="67"/>
  <c r="I6" i="67"/>
  <c r="J6" i="67" s="1"/>
  <c r="B6" i="67"/>
  <c r="J5" i="67"/>
  <c r="I5" i="67"/>
  <c r="B5" i="67"/>
  <c r="I4" i="67"/>
  <c r="J4" i="67" s="1"/>
  <c r="E101" i="66" s="1"/>
  <c r="E103" i="66" s="1"/>
  <c r="B4" i="67"/>
  <c r="J3" i="67"/>
  <c r="I3" i="67"/>
  <c r="B3" i="67"/>
  <c r="J2" i="67"/>
  <c r="K103" i="66"/>
  <c r="C103" i="66"/>
  <c r="N101" i="66"/>
  <c r="L101" i="66"/>
  <c r="F101" i="66"/>
  <c r="D101" i="66"/>
  <c r="C101" i="66"/>
  <c r="P99" i="66"/>
  <c r="O99" i="66"/>
  <c r="N99" i="66"/>
  <c r="M99" i="66"/>
  <c r="L99" i="66"/>
  <c r="K99" i="66"/>
  <c r="J99" i="66"/>
  <c r="J103" i="66" s="1"/>
  <c r="I99" i="66"/>
  <c r="H99" i="66"/>
  <c r="G99" i="66"/>
  <c r="F99" i="66"/>
  <c r="E99" i="66"/>
  <c r="D99" i="66"/>
  <c r="C99" i="66"/>
  <c r="P60" i="66"/>
  <c r="O60" i="66"/>
  <c r="N60" i="66"/>
  <c r="M60" i="66"/>
  <c r="L60" i="66"/>
  <c r="K60" i="66"/>
  <c r="J60" i="66"/>
  <c r="I60" i="66"/>
  <c r="H60" i="66"/>
  <c r="G60" i="66"/>
  <c r="F60" i="66"/>
  <c r="E60" i="66"/>
  <c r="D60" i="66"/>
  <c r="C60" i="66"/>
  <c r="G16" i="65"/>
  <c r="F16" i="65"/>
  <c r="E16" i="65"/>
  <c r="D16" i="65"/>
  <c r="C16" i="65"/>
  <c r="B4" i="65"/>
  <c r="I3" i="65"/>
  <c r="J3" i="65" s="1"/>
  <c r="D382" i="64" s="1"/>
  <c r="D385" i="64" s="1"/>
  <c r="H3" i="65"/>
  <c r="H4" i="65" s="1"/>
  <c r="B5" i="65" s="1"/>
  <c r="B3" i="65"/>
  <c r="J2" i="65"/>
  <c r="O385" i="64"/>
  <c r="M385" i="64"/>
  <c r="K385" i="64"/>
  <c r="O382" i="64"/>
  <c r="N382" i="64"/>
  <c r="M382" i="64"/>
  <c r="L382" i="64"/>
  <c r="K382" i="64"/>
  <c r="J382" i="64"/>
  <c r="C382" i="64"/>
  <c r="C385" i="64" s="1"/>
  <c r="P379" i="64"/>
  <c r="O379" i="64"/>
  <c r="N379" i="64"/>
  <c r="N385" i="64" s="1"/>
  <c r="M379" i="64"/>
  <c r="L379" i="64"/>
  <c r="L385" i="64" s="1"/>
  <c r="K379" i="64"/>
  <c r="J379" i="64"/>
  <c r="J385" i="64" s="1"/>
  <c r="I379" i="64"/>
  <c r="H379" i="64"/>
  <c r="G379" i="64"/>
  <c r="F379" i="64"/>
  <c r="E379" i="64"/>
  <c r="D379" i="64"/>
  <c r="C379" i="64"/>
  <c r="Q379" i="64" s="1"/>
  <c r="P272" i="64"/>
  <c r="O272" i="64"/>
  <c r="N272" i="64"/>
  <c r="M272" i="64"/>
  <c r="L272" i="64"/>
  <c r="K272" i="64"/>
  <c r="J272" i="64"/>
  <c r="I272" i="64"/>
  <c r="H272" i="64"/>
  <c r="G272" i="64"/>
  <c r="F272" i="64"/>
  <c r="E272" i="64"/>
  <c r="D272" i="64"/>
  <c r="C272" i="64"/>
  <c r="Q272" i="64" s="1"/>
  <c r="P103" i="64"/>
  <c r="O103" i="64"/>
  <c r="N103" i="64"/>
  <c r="M103" i="64"/>
  <c r="L103" i="64"/>
  <c r="K103" i="64"/>
  <c r="J103" i="64"/>
  <c r="I103" i="64"/>
  <c r="H103" i="64"/>
  <c r="G103" i="64"/>
  <c r="F103" i="64"/>
  <c r="E103" i="64"/>
  <c r="D103" i="64"/>
  <c r="C103" i="64"/>
  <c r="AY38" i="63"/>
  <c r="AY34" i="63"/>
  <c r="AY30" i="63"/>
  <c r="AY29" i="63"/>
  <c r="BC28" i="63"/>
  <c r="BC32" i="63" s="1"/>
  <c r="AU28" i="63"/>
  <c r="AU32" i="63" s="1"/>
  <c r="AQ28" i="63"/>
  <c r="AQ32" i="63" s="1"/>
  <c r="AM28" i="63"/>
  <c r="AM32" i="63" s="1"/>
  <c r="AI28" i="63"/>
  <c r="AI32" i="63" s="1"/>
  <c r="AE28" i="63"/>
  <c r="AE32" i="63" s="1"/>
  <c r="AA28" i="63"/>
  <c r="AA32" i="63" s="1"/>
  <c r="W28" i="63"/>
  <c r="W32" i="63" s="1"/>
  <c r="S28" i="63"/>
  <c r="S32" i="63" s="1"/>
  <c r="O28" i="63"/>
  <c r="O32" i="63" s="1"/>
  <c r="K28" i="63"/>
  <c r="K32" i="63" s="1"/>
  <c r="G28" i="63"/>
  <c r="G32" i="63" s="1"/>
  <c r="C28" i="63"/>
  <c r="C32" i="63" s="1"/>
  <c r="AY27" i="63"/>
  <c r="AY26" i="63"/>
  <c r="AY25" i="63"/>
  <c r="AY18" i="63"/>
  <c r="AY17" i="63"/>
  <c r="AY16" i="63"/>
  <c r="AY15" i="63"/>
  <c r="AY14" i="63"/>
  <c r="BC12" i="63"/>
  <c r="BC20" i="63" s="1"/>
  <c r="AU12" i="63"/>
  <c r="AU20" i="63" s="1"/>
  <c r="AQ12" i="63"/>
  <c r="AQ20" i="63" s="1"/>
  <c r="AM12" i="63"/>
  <c r="AM20" i="63" s="1"/>
  <c r="AI12" i="63"/>
  <c r="AI20" i="63" s="1"/>
  <c r="AE12" i="63"/>
  <c r="AE20" i="63" s="1"/>
  <c r="AA12" i="63"/>
  <c r="AA20" i="63" s="1"/>
  <c r="W12" i="63"/>
  <c r="W20" i="63" s="1"/>
  <c r="S12" i="63"/>
  <c r="S20" i="63" s="1"/>
  <c r="O12" i="63"/>
  <c r="O20" i="63" s="1"/>
  <c r="K12" i="63"/>
  <c r="K20" i="63" s="1"/>
  <c r="G12" i="63"/>
  <c r="G20" i="63" s="1"/>
  <c r="C12" i="63"/>
  <c r="AY12" i="63" s="1"/>
  <c r="AY10" i="63"/>
  <c r="AY9" i="63"/>
  <c r="B7" i="61" s="1"/>
  <c r="B10" i="61" s="1"/>
  <c r="B80" i="62"/>
  <c r="B79" i="62"/>
  <c r="B78" i="62"/>
  <c r="B77" i="62"/>
  <c r="B76" i="62"/>
  <c r="B75" i="62"/>
  <c r="B74" i="62"/>
  <c r="B73" i="62"/>
  <c r="B72" i="62"/>
  <c r="B71" i="62"/>
  <c r="B70" i="62"/>
  <c r="B69" i="62"/>
  <c r="B68" i="62"/>
  <c r="B67" i="62"/>
  <c r="B66" i="62"/>
  <c r="B65" i="62"/>
  <c r="B64" i="62"/>
  <c r="B63" i="62"/>
  <c r="B62" i="62"/>
  <c r="B61" i="62"/>
  <c r="B60" i="62"/>
  <c r="B59" i="62"/>
  <c r="B58" i="62"/>
  <c r="B57" i="62"/>
  <c r="B56" i="62"/>
  <c r="B55" i="62"/>
  <c r="B54" i="62"/>
  <c r="B53" i="62"/>
  <c r="B52" i="62"/>
  <c r="B51" i="62"/>
  <c r="B50" i="62"/>
  <c r="B49" i="62"/>
  <c r="B48" i="62"/>
  <c r="B47" i="62"/>
  <c r="B46" i="62"/>
  <c r="B45" i="62"/>
  <c r="B44" i="62"/>
  <c r="H43" i="62"/>
  <c r="B43" i="62"/>
  <c r="H42" i="62"/>
  <c r="B42" i="62"/>
  <c r="H41" i="62"/>
  <c r="B41" i="62"/>
  <c r="H40" i="62"/>
  <c r="B40" i="62"/>
  <c r="H39" i="62"/>
  <c r="B39" i="62"/>
  <c r="H38" i="62"/>
  <c r="B38" i="62"/>
  <c r="H37" i="62"/>
  <c r="B37" i="62"/>
  <c r="H36" i="62"/>
  <c r="B36" i="62"/>
  <c r="H35" i="62"/>
  <c r="B35" i="62"/>
  <c r="H34" i="62"/>
  <c r="B34" i="62"/>
  <c r="H33" i="62"/>
  <c r="B33" i="62"/>
  <c r="H32" i="62"/>
  <c r="B32" i="62"/>
  <c r="H31" i="62"/>
  <c r="B31" i="62"/>
  <c r="H30" i="62"/>
  <c r="B30" i="62"/>
  <c r="H29" i="62"/>
  <c r="B29" i="62"/>
  <c r="H28" i="62"/>
  <c r="B28" i="62"/>
  <c r="H27" i="62"/>
  <c r="B27" i="62"/>
  <c r="H26" i="62"/>
  <c r="B26" i="62"/>
  <c r="H25" i="62"/>
  <c r="B25" i="62"/>
  <c r="H24" i="62"/>
  <c r="B24" i="62"/>
  <c r="H23" i="62"/>
  <c r="B23" i="62"/>
  <c r="H22" i="62"/>
  <c r="B22" i="62"/>
  <c r="H21" i="62"/>
  <c r="B21" i="62"/>
  <c r="H20" i="62"/>
  <c r="B20" i="62"/>
  <c r="H19" i="62"/>
  <c r="B19" i="62"/>
  <c r="H18" i="62"/>
  <c r="B18" i="62"/>
  <c r="H17" i="62"/>
  <c r="B17" i="62"/>
  <c r="H16" i="62"/>
  <c r="B16" i="62"/>
  <c r="H15" i="62"/>
  <c r="B15" i="62"/>
  <c r="H14" i="62"/>
  <c r="B14" i="62"/>
  <c r="H13" i="62"/>
  <c r="B13" i="62"/>
  <c r="H12" i="62"/>
  <c r="B12" i="62"/>
  <c r="H11" i="62"/>
  <c r="B11" i="62"/>
  <c r="H10" i="62"/>
  <c r="B10" i="62"/>
  <c r="H9" i="62"/>
  <c r="B9" i="62"/>
  <c r="H8" i="62"/>
  <c r="B8" i="62"/>
  <c r="H7" i="62"/>
  <c r="B7" i="62"/>
  <c r="H6" i="62"/>
  <c r="B6" i="62"/>
  <c r="B62" i="61"/>
  <c r="G56" i="61"/>
  <c r="G52" i="61"/>
  <c r="G53" i="61" s="1"/>
  <c r="B33" i="61"/>
  <c r="B29" i="61"/>
  <c r="B25" i="61"/>
  <c r="B24" i="61"/>
  <c r="B16" i="61"/>
  <c r="B15" i="61"/>
  <c r="I15" i="61" s="1"/>
  <c r="B14" i="61"/>
  <c r="B13" i="61"/>
  <c r="B12" i="61"/>
  <c r="B8" i="61"/>
  <c r="D130" i="60"/>
  <c r="D129" i="60"/>
  <c r="D128" i="60"/>
  <c r="D127" i="60"/>
  <c r="D126" i="60"/>
  <c r="D125" i="60"/>
  <c r="D124" i="60"/>
  <c r="D123" i="60"/>
  <c r="D122" i="60"/>
  <c r="D121" i="60"/>
  <c r="D120" i="60"/>
  <c r="D119" i="60"/>
  <c r="D118" i="60"/>
  <c r="D117" i="60"/>
  <c r="D116" i="60"/>
  <c r="C132" i="60" s="1"/>
  <c r="D114" i="60"/>
  <c r="D110" i="60"/>
  <c r="D107" i="60"/>
  <c r="D106" i="60"/>
  <c r="D108" i="60" s="1"/>
  <c r="D105" i="60"/>
  <c r="D100" i="60"/>
  <c r="D99" i="60"/>
  <c r="D98" i="60"/>
  <c r="D103" i="59" s="1"/>
  <c r="F103" i="59" s="1"/>
  <c r="H103" i="59" s="1"/>
  <c r="I47" i="59" s="1"/>
  <c r="I69" i="59" s="1"/>
  <c r="D97" i="60"/>
  <c r="D96" i="60"/>
  <c r="D101" i="60" s="1"/>
  <c r="D93" i="60"/>
  <c r="D92" i="60"/>
  <c r="D91" i="60"/>
  <c r="D138" i="60" s="1"/>
  <c r="D90" i="60"/>
  <c r="D142" i="60" s="1"/>
  <c r="D89" i="60"/>
  <c r="D88" i="60"/>
  <c r="D141" i="60" s="1"/>
  <c r="D143" i="60" s="1"/>
  <c r="D87" i="60"/>
  <c r="D86" i="60"/>
  <c r="D94" i="60" s="1"/>
  <c r="D83" i="60"/>
  <c r="D82" i="60"/>
  <c r="D84" i="60" s="1"/>
  <c r="D89" i="59" s="1"/>
  <c r="D79" i="60"/>
  <c r="D78" i="60"/>
  <c r="D77" i="60"/>
  <c r="D74" i="60"/>
  <c r="D73" i="60"/>
  <c r="D72" i="60"/>
  <c r="D71" i="60"/>
  <c r="D68" i="60"/>
  <c r="D66" i="60"/>
  <c r="D65" i="60"/>
  <c r="D67" i="60" s="1"/>
  <c r="D69" i="60" s="1"/>
  <c r="D64" i="60"/>
  <c r="D61" i="60"/>
  <c r="D109" i="59" s="1"/>
  <c r="F109" i="59" s="1"/>
  <c r="D60" i="60"/>
  <c r="D57" i="60"/>
  <c r="D79" i="59" s="1"/>
  <c r="F79" i="59" s="1"/>
  <c r="D56" i="60"/>
  <c r="D55" i="60"/>
  <c r="D58" i="60" s="1"/>
  <c r="D50" i="60"/>
  <c r="D48" i="60"/>
  <c r="D56" i="59" s="1"/>
  <c r="F56" i="59" s="1"/>
  <c r="H56" i="59" s="1"/>
  <c r="J56" i="59" s="1"/>
  <c r="D47" i="60"/>
  <c r="D46" i="60"/>
  <c r="D54" i="59" s="1"/>
  <c r="F54" i="59" s="1"/>
  <c r="H54" i="59" s="1"/>
  <c r="J54" i="59" s="1"/>
  <c r="C46" i="60"/>
  <c r="D45" i="60"/>
  <c r="D51" i="59" s="1"/>
  <c r="D58" i="59" s="1"/>
  <c r="D44" i="60"/>
  <c r="D43" i="60"/>
  <c r="D96" i="59" s="1"/>
  <c r="F96" i="59" s="1"/>
  <c r="H96" i="59" s="1"/>
  <c r="J96" i="59" s="1"/>
  <c r="D39" i="60"/>
  <c r="H39" i="60" s="1"/>
  <c r="D38" i="60"/>
  <c r="H38" i="60" s="1"/>
  <c r="D37" i="60"/>
  <c r="H37" i="60" s="1"/>
  <c r="D36" i="60"/>
  <c r="D40" i="60" s="1"/>
  <c r="H40" i="60" s="1"/>
  <c r="D33" i="60"/>
  <c r="H33" i="60" s="1"/>
  <c r="D32" i="60"/>
  <c r="H32" i="60" s="1"/>
  <c r="D31" i="60"/>
  <c r="H31" i="60" s="1"/>
  <c r="D30" i="60"/>
  <c r="H30" i="60" s="1"/>
  <c r="D29" i="60"/>
  <c r="D34" i="60" s="1"/>
  <c r="D24" i="60"/>
  <c r="H24" i="60" s="1"/>
  <c r="D22" i="60"/>
  <c r="H22" i="60" s="1"/>
  <c r="D21" i="60"/>
  <c r="H21" i="60" s="1"/>
  <c r="D20" i="60"/>
  <c r="D23" i="60" s="1"/>
  <c r="H19" i="60"/>
  <c r="D17" i="60"/>
  <c r="H17" i="60" s="1"/>
  <c r="D16" i="60"/>
  <c r="H16" i="60" s="1"/>
  <c r="D15" i="60"/>
  <c r="H15" i="60" s="1"/>
  <c r="D14" i="60"/>
  <c r="H14" i="60" s="1"/>
  <c r="D11" i="60"/>
  <c r="H11" i="60" s="1"/>
  <c r="D10" i="60"/>
  <c r="H10" i="60" s="1"/>
  <c r="D9" i="60"/>
  <c r="H9" i="60" s="1"/>
  <c r="B3" i="60"/>
  <c r="D125" i="59"/>
  <c r="E118" i="59"/>
  <c r="E117" i="59"/>
  <c r="E116" i="59"/>
  <c r="I112" i="59"/>
  <c r="D108" i="59"/>
  <c r="D33" i="61" s="1"/>
  <c r="K106" i="59"/>
  <c r="D105" i="59"/>
  <c r="F105" i="59" s="1"/>
  <c r="H105" i="59" s="1"/>
  <c r="I57" i="59" s="1"/>
  <c r="I58" i="59" s="1"/>
  <c r="D104" i="59"/>
  <c r="D102" i="59"/>
  <c r="F102" i="59" s="1"/>
  <c r="H102" i="59" s="1"/>
  <c r="I46" i="59" s="1"/>
  <c r="I68" i="59" s="1"/>
  <c r="D101" i="59"/>
  <c r="F101" i="59" s="1"/>
  <c r="F95" i="59"/>
  <c r="H95" i="59" s="1"/>
  <c r="J95" i="59" s="1"/>
  <c r="D95" i="59"/>
  <c r="D94" i="59"/>
  <c r="F94" i="59" s="1"/>
  <c r="H94" i="59" s="1"/>
  <c r="J94" i="59" s="1"/>
  <c r="F92" i="59"/>
  <c r="D92" i="59"/>
  <c r="D29" i="61" s="1"/>
  <c r="D91" i="59"/>
  <c r="F91" i="59" s="1"/>
  <c r="H91" i="59" s="1"/>
  <c r="J91" i="59" s="1"/>
  <c r="D90" i="59"/>
  <c r="F90" i="59" s="1"/>
  <c r="H90" i="59" s="1"/>
  <c r="D87" i="59"/>
  <c r="I85" i="59"/>
  <c r="G85" i="59"/>
  <c r="F84" i="59"/>
  <c r="H84" i="59" s="1"/>
  <c r="J84" i="59" s="1"/>
  <c r="D84" i="59"/>
  <c r="D83" i="59"/>
  <c r="D82" i="59"/>
  <c r="F82" i="59" s="1"/>
  <c r="I80" i="59"/>
  <c r="F78" i="59"/>
  <c r="D78" i="59"/>
  <c r="P74" i="59"/>
  <c r="E74" i="59"/>
  <c r="F73" i="59"/>
  <c r="H73" i="59" s="1"/>
  <c r="J73" i="59" s="1"/>
  <c r="G70" i="59"/>
  <c r="G69" i="59"/>
  <c r="G68" i="59"/>
  <c r="G67" i="59"/>
  <c r="I66" i="59"/>
  <c r="G66" i="59"/>
  <c r="I65" i="59"/>
  <c r="G65" i="59"/>
  <c r="I64" i="59"/>
  <c r="G64" i="59"/>
  <c r="I63" i="59"/>
  <c r="G63" i="59"/>
  <c r="I62" i="59"/>
  <c r="G62" i="59"/>
  <c r="D62" i="59"/>
  <c r="I61" i="59"/>
  <c r="G61" i="59"/>
  <c r="G58" i="59"/>
  <c r="D57" i="59"/>
  <c r="F57" i="59" s="1"/>
  <c r="H57" i="59" s="1"/>
  <c r="D55" i="59"/>
  <c r="F55" i="59" s="1"/>
  <c r="H55" i="59" s="1"/>
  <c r="J55" i="59" s="1"/>
  <c r="H53" i="59"/>
  <c r="J53" i="59" s="1"/>
  <c r="F53" i="59"/>
  <c r="F52" i="59"/>
  <c r="H52" i="59" s="1"/>
  <c r="J52" i="59" s="1"/>
  <c r="G49" i="59"/>
  <c r="D48" i="59"/>
  <c r="D70" i="59" s="1"/>
  <c r="D47" i="59"/>
  <c r="D69" i="59" s="1"/>
  <c r="D45" i="59"/>
  <c r="D67" i="59" s="1"/>
  <c r="D43" i="59"/>
  <c r="D65" i="59" s="1"/>
  <c r="D41" i="59"/>
  <c r="D63" i="59" s="1"/>
  <c r="F40" i="59"/>
  <c r="F62" i="59" s="1"/>
  <c r="D39" i="59"/>
  <c r="F39" i="59" s="1"/>
  <c r="G35" i="59"/>
  <c r="G34" i="59"/>
  <c r="G33" i="59"/>
  <c r="G32" i="59"/>
  <c r="I31" i="59"/>
  <c r="G31" i="59"/>
  <c r="I30" i="59"/>
  <c r="G30" i="59"/>
  <c r="I29" i="59"/>
  <c r="G29" i="59"/>
  <c r="G36" i="59" s="1"/>
  <c r="G27" i="59"/>
  <c r="D26" i="59"/>
  <c r="F26" i="59" s="1"/>
  <c r="H26" i="59" s="1"/>
  <c r="D24" i="59"/>
  <c r="F24" i="59" s="1"/>
  <c r="H24" i="59" s="1"/>
  <c r="J24" i="59" s="1"/>
  <c r="G21" i="59"/>
  <c r="D20" i="59"/>
  <c r="D35" i="59" s="1"/>
  <c r="D19" i="59"/>
  <c r="D34" i="59" s="1"/>
  <c r="D17" i="59"/>
  <c r="D32" i="59" s="1"/>
  <c r="D15" i="59"/>
  <c r="D30" i="59" s="1"/>
  <c r="C42" i="58"/>
  <c r="C37" i="58"/>
  <c r="H36" i="58"/>
  <c r="G36" i="58"/>
  <c r="H35" i="58"/>
  <c r="G35" i="58"/>
  <c r="H34" i="58"/>
  <c r="G34" i="58"/>
  <c r="H33" i="58"/>
  <c r="G33" i="58"/>
  <c r="H32" i="58"/>
  <c r="G32" i="58"/>
  <c r="H31" i="58"/>
  <c r="G31" i="58"/>
  <c r="H30" i="58"/>
  <c r="G30" i="58"/>
  <c r="H29" i="58"/>
  <c r="G29" i="58"/>
  <c r="H28" i="58"/>
  <c r="G28" i="58"/>
  <c r="H27" i="58"/>
  <c r="G27" i="58"/>
  <c r="H26" i="58"/>
  <c r="G26" i="58"/>
  <c r="H25" i="58"/>
  <c r="G25" i="58"/>
  <c r="L24" i="58"/>
  <c r="K24" i="58"/>
  <c r="H24" i="58"/>
  <c r="G24" i="58"/>
  <c r="L23" i="58"/>
  <c r="K23" i="58"/>
  <c r="H23" i="58"/>
  <c r="G23" i="58"/>
  <c r="H22" i="58"/>
  <c r="G22" i="58"/>
  <c r="F20" i="58"/>
  <c r="F37" i="58" s="1"/>
  <c r="E20" i="58"/>
  <c r="E37" i="58" s="1"/>
  <c r="D20" i="58"/>
  <c r="D37" i="58" s="1"/>
  <c r="C20" i="58"/>
  <c r="B20" i="58"/>
  <c r="B37" i="58" s="1"/>
  <c r="H19" i="58"/>
  <c r="G19" i="58"/>
  <c r="H18" i="58"/>
  <c r="G18" i="58"/>
  <c r="H17" i="58"/>
  <c r="G17" i="58"/>
  <c r="H16" i="58"/>
  <c r="H20" i="58" s="1"/>
  <c r="H37" i="58" s="1"/>
  <c r="G16" i="58"/>
  <c r="G20" i="58" s="1"/>
  <c r="G37" i="58" s="1"/>
  <c r="F11" i="58"/>
  <c r="E11" i="58"/>
  <c r="D11" i="58"/>
  <c r="C11" i="58"/>
  <c r="B11" i="58"/>
  <c r="H10" i="58"/>
  <c r="G10" i="58"/>
  <c r="H9" i="58"/>
  <c r="G9" i="58"/>
  <c r="H8" i="58"/>
  <c r="G8" i="58"/>
  <c r="H7" i="58"/>
  <c r="H11" i="58" s="1"/>
  <c r="G7" i="58"/>
  <c r="G11" i="58" s="1"/>
  <c r="G39" i="58" s="1"/>
  <c r="D25" i="57"/>
  <c r="D45" i="57" s="1"/>
  <c r="F23" i="57"/>
  <c r="F19" i="57"/>
  <c r="D1698" i="56"/>
  <c r="C1698" i="56"/>
  <c r="E1696" i="56"/>
  <c r="E1695" i="56"/>
  <c r="E1694" i="56"/>
  <c r="E1693" i="56"/>
  <c r="E1692" i="56"/>
  <c r="E1691" i="56"/>
  <c r="E1690" i="56"/>
  <c r="E1689" i="56"/>
  <c r="E1688" i="56"/>
  <c r="E1687" i="56"/>
  <c r="E1686" i="56"/>
  <c r="E1685" i="56"/>
  <c r="E1684" i="56"/>
  <c r="E1683" i="56"/>
  <c r="E1682" i="56"/>
  <c r="E1681" i="56"/>
  <c r="E1680" i="56"/>
  <c r="E1679" i="56"/>
  <c r="E1678" i="56"/>
  <c r="E1677" i="56"/>
  <c r="E1676" i="56"/>
  <c r="E1675" i="56"/>
  <c r="E1674" i="56"/>
  <c r="E1673" i="56"/>
  <c r="E1672" i="56"/>
  <c r="E1671" i="56"/>
  <c r="E1670" i="56"/>
  <c r="E1669" i="56"/>
  <c r="E1668" i="56"/>
  <c r="E1667" i="56"/>
  <c r="E1666" i="56"/>
  <c r="E1665" i="56"/>
  <c r="E1664" i="56"/>
  <c r="E1663" i="56"/>
  <c r="E1662" i="56"/>
  <c r="E1661" i="56"/>
  <c r="E1660" i="56"/>
  <c r="E1659" i="56"/>
  <c r="E1658" i="56"/>
  <c r="E1657" i="56"/>
  <c r="E1656" i="56"/>
  <c r="E1655" i="56"/>
  <c r="E1654" i="56"/>
  <c r="E1653" i="56"/>
  <c r="E1652" i="56"/>
  <c r="E1651" i="56"/>
  <c r="E1650" i="56"/>
  <c r="E1649" i="56"/>
  <c r="E1648" i="56"/>
  <c r="E1647" i="56"/>
  <c r="E1646" i="56"/>
  <c r="E1645" i="56"/>
  <c r="E1644" i="56"/>
  <c r="E1643" i="56"/>
  <c r="E1642" i="56"/>
  <c r="E1641" i="56"/>
  <c r="E1640" i="56"/>
  <c r="E1639" i="56"/>
  <c r="E1638" i="56"/>
  <c r="E1637" i="56"/>
  <c r="E1636" i="56"/>
  <c r="E1635" i="56"/>
  <c r="E1634" i="56"/>
  <c r="E1633" i="56"/>
  <c r="E1632" i="56"/>
  <c r="E1631" i="56"/>
  <c r="E1630" i="56"/>
  <c r="E1629" i="56"/>
  <c r="E1628" i="56"/>
  <c r="E1627" i="56"/>
  <c r="E1626" i="56"/>
  <c r="E1625" i="56"/>
  <c r="E1624" i="56"/>
  <c r="E1623" i="56"/>
  <c r="E1622" i="56"/>
  <c r="E1621" i="56"/>
  <c r="E1620" i="56"/>
  <c r="E1619" i="56"/>
  <c r="E1618" i="56"/>
  <c r="E1617" i="56"/>
  <c r="E1616" i="56"/>
  <c r="E1615" i="56"/>
  <c r="E1614" i="56"/>
  <c r="E1613" i="56"/>
  <c r="E1612" i="56"/>
  <c r="E1611" i="56"/>
  <c r="E1610" i="56"/>
  <c r="E1609" i="56"/>
  <c r="E1608" i="56"/>
  <c r="E1607" i="56"/>
  <c r="E1606" i="56"/>
  <c r="E1605" i="56"/>
  <c r="E1604" i="56"/>
  <c r="E1603" i="56"/>
  <c r="E1602" i="56"/>
  <c r="E1601" i="56"/>
  <c r="E1600" i="56"/>
  <c r="E1599" i="56"/>
  <c r="E1598" i="56"/>
  <c r="E1597" i="56"/>
  <c r="E1596" i="56"/>
  <c r="E1595" i="56"/>
  <c r="E1594" i="56"/>
  <c r="E1593" i="56"/>
  <c r="E1592" i="56"/>
  <c r="E1591" i="56"/>
  <c r="E1590" i="56"/>
  <c r="E1589" i="56"/>
  <c r="E1588" i="56"/>
  <c r="E1587" i="56"/>
  <c r="E1586" i="56"/>
  <c r="E1585" i="56"/>
  <c r="E1584" i="56"/>
  <c r="E1583" i="56"/>
  <c r="E1582" i="56"/>
  <c r="E1581" i="56"/>
  <c r="E1580" i="56"/>
  <c r="E1579" i="56"/>
  <c r="E1578" i="56"/>
  <c r="E1577" i="56"/>
  <c r="E1576" i="56"/>
  <c r="E1575" i="56"/>
  <c r="E1574" i="56"/>
  <c r="E1573" i="56"/>
  <c r="E1572" i="56"/>
  <c r="E1571" i="56"/>
  <c r="E1570" i="56"/>
  <c r="E1569" i="56"/>
  <c r="E1568" i="56"/>
  <c r="E1567" i="56"/>
  <c r="E1566" i="56"/>
  <c r="E1565" i="56"/>
  <c r="E1564" i="56"/>
  <c r="E1563" i="56"/>
  <c r="E1562" i="56"/>
  <c r="E1561" i="56"/>
  <c r="E1560" i="56"/>
  <c r="E1559" i="56"/>
  <c r="E1558" i="56"/>
  <c r="E1557" i="56"/>
  <c r="E1556" i="56"/>
  <c r="E1555" i="56"/>
  <c r="E1554" i="56"/>
  <c r="E1553" i="56"/>
  <c r="E1552" i="56"/>
  <c r="E1551" i="56"/>
  <c r="E1550" i="56"/>
  <c r="E1549" i="56"/>
  <c r="E1548" i="56"/>
  <c r="E1547" i="56"/>
  <c r="E1546" i="56"/>
  <c r="E1545" i="56"/>
  <c r="E1544" i="56"/>
  <c r="E1543" i="56"/>
  <c r="E1542" i="56"/>
  <c r="E1541" i="56"/>
  <c r="E1540" i="56"/>
  <c r="E1539" i="56"/>
  <c r="E1538" i="56"/>
  <c r="E1537" i="56"/>
  <c r="E1536" i="56"/>
  <c r="E1535" i="56"/>
  <c r="E1534" i="56"/>
  <c r="E1533" i="56"/>
  <c r="E1532" i="56"/>
  <c r="E1531" i="56"/>
  <c r="E1530" i="56"/>
  <c r="E1529" i="56"/>
  <c r="E1528" i="56"/>
  <c r="E1527" i="56"/>
  <c r="E1526" i="56"/>
  <c r="E1525" i="56"/>
  <c r="E1524" i="56"/>
  <c r="E1523" i="56"/>
  <c r="E1522" i="56"/>
  <c r="E1521" i="56"/>
  <c r="E1520" i="56"/>
  <c r="E1519" i="56"/>
  <c r="E1518" i="56"/>
  <c r="E1517" i="56"/>
  <c r="E1516" i="56"/>
  <c r="E1515" i="56"/>
  <c r="E1514" i="56"/>
  <c r="E1513" i="56"/>
  <c r="E1512" i="56"/>
  <c r="E1511" i="56"/>
  <c r="E1510" i="56"/>
  <c r="E1509" i="56"/>
  <c r="E1508" i="56"/>
  <c r="E1507" i="56"/>
  <c r="E1506" i="56"/>
  <c r="E1505" i="56"/>
  <c r="E1504" i="56"/>
  <c r="E1503" i="56"/>
  <c r="E1502" i="56"/>
  <c r="E1501" i="56"/>
  <c r="E1500" i="56"/>
  <c r="E1499" i="56"/>
  <c r="E1498" i="56"/>
  <c r="E1497" i="56"/>
  <c r="E1496" i="56"/>
  <c r="E1495" i="56"/>
  <c r="E1494" i="56"/>
  <c r="E1493" i="56"/>
  <c r="E1492" i="56"/>
  <c r="E1491" i="56"/>
  <c r="E1490" i="56"/>
  <c r="E1489" i="56"/>
  <c r="E1488" i="56"/>
  <c r="E1487" i="56"/>
  <c r="E1486" i="56"/>
  <c r="E1485" i="56"/>
  <c r="E1484" i="56"/>
  <c r="E1483" i="56"/>
  <c r="E1482" i="56"/>
  <c r="E1481" i="56"/>
  <c r="E1480" i="56"/>
  <c r="E1479" i="56"/>
  <c r="E1478" i="56"/>
  <c r="E1477" i="56"/>
  <c r="E1476" i="56"/>
  <c r="E1475" i="56"/>
  <c r="E1474" i="56"/>
  <c r="E1473" i="56"/>
  <c r="E1472" i="56"/>
  <c r="E1471" i="56"/>
  <c r="E1470" i="56"/>
  <c r="E1469" i="56"/>
  <c r="E1468" i="56"/>
  <c r="E1467" i="56"/>
  <c r="E1466" i="56"/>
  <c r="E1465" i="56"/>
  <c r="E1464" i="56"/>
  <c r="E1463" i="56"/>
  <c r="E1462" i="56"/>
  <c r="E1461" i="56"/>
  <c r="E1460" i="56"/>
  <c r="E1459" i="56"/>
  <c r="E1458" i="56"/>
  <c r="E1457" i="56"/>
  <c r="E1456" i="56"/>
  <c r="E1455" i="56"/>
  <c r="E1454" i="56"/>
  <c r="E1453" i="56"/>
  <c r="E1452" i="56"/>
  <c r="E1451" i="56"/>
  <c r="E1450" i="56"/>
  <c r="E1449" i="56"/>
  <c r="E1448" i="56"/>
  <c r="E1447" i="56"/>
  <c r="E1446" i="56"/>
  <c r="E1445" i="56"/>
  <c r="E1444" i="56"/>
  <c r="E1443" i="56"/>
  <c r="E1442" i="56"/>
  <c r="E1441" i="56"/>
  <c r="E1440" i="56"/>
  <c r="E1439" i="56"/>
  <c r="E1438" i="56"/>
  <c r="E1437" i="56"/>
  <c r="E1436" i="56"/>
  <c r="E1435" i="56"/>
  <c r="E1434" i="56"/>
  <c r="E1433" i="56"/>
  <c r="E1432" i="56"/>
  <c r="E1431" i="56"/>
  <c r="E1430" i="56"/>
  <c r="E1429" i="56"/>
  <c r="E1428" i="56"/>
  <c r="E1427" i="56"/>
  <c r="E1426" i="56"/>
  <c r="E1425" i="56"/>
  <c r="E1424" i="56"/>
  <c r="E1423" i="56"/>
  <c r="E1422" i="56"/>
  <c r="E1421" i="56"/>
  <c r="E1420" i="56"/>
  <c r="E1419" i="56"/>
  <c r="E1418" i="56"/>
  <c r="E1417" i="56"/>
  <c r="E1416" i="56"/>
  <c r="E1415" i="56"/>
  <c r="E1414" i="56"/>
  <c r="E1413" i="56"/>
  <c r="E1412" i="56"/>
  <c r="E1411" i="56"/>
  <c r="E1410" i="56"/>
  <c r="E1409" i="56"/>
  <c r="E1408" i="56"/>
  <c r="E1407" i="56"/>
  <c r="E1406" i="56"/>
  <c r="E1405" i="56"/>
  <c r="E1404" i="56"/>
  <c r="E1403" i="56"/>
  <c r="E1402" i="56"/>
  <c r="E1401" i="56"/>
  <c r="E1400" i="56"/>
  <c r="E1399" i="56"/>
  <c r="E1398" i="56"/>
  <c r="E1397" i="56"/>
  <c r="E1396" i="56"/>
  <c r="E1395" i="56"/>
  <c r="E1394" i="56"/>
  <c r="E1393" i="56"/>
  <c r="E1392" i="56"/>
  <c r="E1391" i="56"/>
  <c r="E1390" i="56"/>
  <c r="E1389" i="56"/>
  <c r="E1388" i="56"/>
  <c r="E1387" i="56"/>
  <c r="E1386" i="56"/>
  <c r="E1385" i="56"/>
  <c r="E1384" i="56"/>
  <c r="E1383" i="56"/>
  <c r="E1382" i="56"/>
  <c r="E1381" i="56"/>
  <c r="E1380" i="56"/>
  <c r="E1379" i="56"/>
  <c r="E1378" i="56"/>
  <c r="E1377" i="56"/>
  <c r="E1376" i="56"/>
  <c r="E1375" i="56"/>
  <c r="E1374" i="56"/>
  <c r="E1373" i="56"/>
  <c r="E1372" i="56"/>
  <c r="E1371" i="56"/>
  <c r="E1370" i="56"/>
  <c r="E1369" i="56"/>
  <c r="E1368" i="56"/>
  <c r="E1367" i="56"/>
  <c r="E1366" i="56"/>
  <c r="E1365" i="56"/>
  <c r="E1364" i="56"/>
  <c r="E1363" i="56"/>
  <c r="E1362" i="56"/>
  <c r="E1361" i="56"/>
  <c r="E1360" i="56"/>
  <c r="E1359" i="56"/>
  <c r="E1358" i="56"/>
  <c r="E1357" i="56"/>
  <c r="E1356" i="56"/>
  <c r="E1355" i="56"/>
  <c r="E1354" i="56"/>
  <c r="E1353" i="56"/>
  <c r="E1352" i="56"/>
  <c r="E1351" i="56"/>
  <c r="E1350" i="56"/>
  <c r="E1349" i="56"/>
  <c r="E1348" i="56"/>
  <c r="E1347" i="56"/>
  <c r="E1346" i="56"/>
  <c r="E1345" i="56"/>
  <c r="E1344" i="56"/>
  <c r="E1343" i="56"/>
  <c r="E1342" i="56"/>
  <c r="E1341" i="56"/>
  <c r="E1340" i="56"/>
  <c r="E1339" i="56"/>
  <c r="E1338" i="56"/>
  <c r="E1337" i="56"/>
  <c r="E1336" i="56"/>
  <c r="E1335" i="56"/>
  <c r="E1334" i="56"/>
  <c r="E1333" i="56"/>
  <c r="E1332" i="56"/>
  <c r="E1331" i="56"/>
  <c r="E1330" i="56"/>
  <c r="E1329" i="56"/>
  <c r="E1328" i="56"/>
  <c r="E1327" i="56"/>
  <c r="E1326" i="56"/>
  <c r="E1325" i="56"/>
  <c r="E1324" i="56"/>
  <c r="E1323" i="56"/>
  <c r="E1322" i="56"/>
  <c r="E1321" i="56"/>
  <c r="E1320" i="56"/>
  <c r="E1319" i="56"/>
  <c r="E1318" i="56"/>
  <c r="E1317" i="56"/>
  <c r="E1316" i="56"/>
  <c r="E1315" i="56"/>
  <c r="E1314" i="56"/>
  <c r="E1313" i="56"/>
  <c r="E1312" i="56"/>
  <c r="E1311" i="56"/>
  <c r="E1310" i="56"/>
  <c r="E1309" i="56"/>
  <c r="E1308" i="56"/>
  <c r="E1307" i="56"/>
  <c r="E1306" i="56"/>
  <c r="E1305" i="56"/>
  <c r="E1304" i="56"/>
  <c r="E1303" i="56"/>
  <c r="E1302" i="56"/>
  <c r="E1301" i="56"/>
  <c r="E1300" i="56"/>
  <c r="E1299" i="56"/>
  <c r="E1298" i="56"/>
  <c r="E1297" i="56"/>
  <c r="E1296" i="56"/>
  <c r="E1295" i="56"/>
  <c r="E1294" i="56"/>
  <c r="E1293" i="56"/>
  <c r="E1292" i="56"/>
  <c r="E1291" i="56"/>
  <c r="E1290" i="56"/>
  <c r="E1289" i="56"/>
  <c r="E1288" i="56"/>
  <c r="E1287" i="56"/>
  <c r="E1286" i="56"/>
  <c r="E1285" i="56"/>
  <c r="E1284" i="56"/>
  <c r="E1283" i="56"/>
  <c r="E1282" i="56"/>
  <c r="E1281" i="56"/>
  <c r="E1280" i="56"/>
  <c r="E1279" i="56"/>
  <c r="E1278" i="56"/>
  <c r="E1277" i="56"/>
  <c r="E1276" i="56"/>
  <c r="E1275" i="56"/>
  <c r="E1274" i="56"/>
  <c r="E1273" i="56"/>
  <c r="E1272" i="56"/>
  <c r="E1271" i="56"/>
  <c r="E1270" i="56"/>
  <c r="E1269" i="56"/>
  <c r="E1268" i="56"/>
  <c r="E1267" i="56"/>
  <c r="E1266" i="56"/>
  <c r="E1265" i="56"/>
  <c r="E1264" i="56"/>
  <c r="E1263" i="56"/>
  <c r="E1262" i="56"/>
  <c r="E1261" i="56"/>
  <c r="E1260" i="56"/>
  <c r="E1259" i="56"/>
  <c r="E1258" i="56"/>
  <c r="E1257" i="56"/>
  <c r="E1256" i="56"/>
  <c r="E1255" i="56"/>
  <c r="E1254" i="56"/>
  <c r="E1253" i="56"/>
  <c r="E1252" i="56"/>
  <c r="E1251" i="56"/>
  <c r="E1250" i="56"/>
  <c r="E1249" i="56"/>
  <c r="E1248" i="56"/>
  <c r="E1247" i="56"/>
  <c r="E1246" i="56"/>
  <c r="E1245" i="56"/>
  <c r="E1244" i="56"/>
  <c r="E1243" i="56"/>
  <c r="E1242" i="56"/>
  <c r="E1241" i="56"/>
  <c r="E1240" i="56"/>
  <c r="E1239" i="56"/>
  <c r="E1238" i="56"/>
  <c r="E1237" i="56"/>
  <c r="E1236" i="56"/>
  <c r="E1235" i="56"/>
  <c r="E1234" i="56"/>
  <c r="E1233" i="56"/>
  <c r="E1232" i="56"/>
  <c r="E1231" i="56"/>
  <c r="E1230" i="56"/>
  <c r="E1229" i="56"/>
  <c r="E1228" i="56"/>
  <c r="E1227" i="56"/>
  <c r="E1226" i="56"/>
  <c r="E1225" i="56"/>
  <c r="E1224" i="56"/>
  <c r="E1223" i="56"/>
  <c r="E1222" i="56"/>
  <c r="E1221" i="56"/>
  <c r="E1220" i="56"/>
  <c r="E1219" i="56"/>
  <c r="E1218" i="56"/>
  <c r="E1217" i="56"/>
  <c r="E1216" i="56"/>
  <c r="E1215" i="56"/>
  <c r="E1214" i="56"/>
  <c r="E1213" i="56"/>
  <c r="E1212" i="56"/>
  <c r="E1211" i="56"/>
  <c r="E1210" i="56"/>
  <c r="E1209" i="56"/>
  <c r="E1208" i="56"/>
  <c r="E1207" i="56"/>
  <c r="E1206" i="56"/>
  <c r="E1205" i="56"/>
  <c r="E1204" i="56"/>
  <c r="E1203" i="56"/>
  <c r="E1202" i="56"/>
  <c r="E1201" i="56"/>
  <c r="E1200" i="56"/>
  <c r="E1199" i="56"/>
  <c r="E1198" i="56"/>
  <c r="E1197" i="56"/>
  <c r="E1196" i="56"/>
  <c r="E1195" i="56"/>
  <c r="E1194" i="56"/>
  <c r="E1193" i="56"/>
  <c r="E1192" i="56"/>
  <c r="E1191" i="56"/>
  <c r="E1190" i="56"/>
  <c r="E1189" i="56"/>
  <c r="E1188" i="56"/>
  <c r="E1187" i="56"/>
  <c r="E1186" i="56"/>
  <c r="E1185" i="56"/>
  <c r="E1184" i="56"/>
  <c r="E1183" i="56"/>
  <c r="E1182" i="56"/>
  <c r="E1181" i="56"/>
  <c r="E1180" i="56"/>
  <c r="E1179" i="56"/>
  <c r="E1178" i="56"/>
  <c r="E1177" i="56"/>
  <c r="E1176" i="56"/>
  <c r="E1175" i="56"/>
  <c r="E1174" i="56"/>
  <c r="E1173" i="56"/>
  <c r="E1172" i="56"/>
  <c r="E1171" i="56"/>
  <c r="E1170" i="56"/>
  <c r="E1169" i="56"/>
  <c r="E1168" i="56"/>
  <c r="E1167" i="56"/>
  <c r="E1166" i="56"/>
  <c r="E1165" i="56"/>
  <c r="E1164" i="56"/>
  <c r="E1163" i="56"/>
  <c r="E1162" i="56"/>
  <c r="E1161" i="56"/>
  <c r="E1160" i="56"/>
  <c r="E1159" i="56"/>
  <c r="E1158" i="56"/>
  <c r="E1157" i="56"/>
  <c r="E1156" i="56"/>
  <c r="E1155" i="56"/>
  <c r="E1154" i="56"/>
  <c r="E1153" i="56"/>
  <c r="E1152" i="56"/>
  <c r="E1151" i="56"/>
  <c r="E1150" i="56"/>
  <c r="E1149" i="56"/>
  <c r="E1148" i="56"/>
  <c r="E1147" i="56"/>
  <c r="E1146" i="56"/>
  <c r="E1145" i="56"/>
  <c r="E1144" i="56"/>
  <c r="E1143" i="56"/>
  <c r="E1142" i="56"/>
  <c r="E1141" i="56"/>
  <c r="E1140" i="56"/>
  <c r="E1139" i="56"/>
  <c r="E1138" i="56"/>
  <c r="E1137" i="56"/>
  <c r="E1136" i="56"/>
  <c r="E1135" i="56"/>
  <c r="E1134" i="56"/>
  <c r="E1133" i="56"/>
  <c r="E1132" i="56"/>
  <c r="E1131" i="56"/>
  <c r="E1130" i="56"/>
  <c r="E1129" i="56"/>
  <c r="E1128" i="56"/>
  <c r="E1127" i="56"/>
  <c r="E1126" i="56"/>
  <c r="E1125" i="56"/>
  <c r="E1124" i="56"/>
  <c r="E1123" i="56"/>
  <c r="E1122" i="56"/>
  <c r="E1121" i="56"/>
  <c r="E1120" i="56"/>
  <c r="E1119" i="56"/>
  <c r="E1118" i="56"/>
  <c r="E1117" i="56"/>
  <c r="E1116" i="56"/>
  <c r="E1115" i="56"/>
  <c r="E1114" i="56"/>
  <c r="E1113" i="56"/>
  <c r="E1112" i="56"/>
  <c r="E1111" i="56"/>
  <c r="E1110" i="56"/>
  <c r="E1109" i="56"/>
  <c r="E1108" i="56"/>
  <c r="E1107" i="56"/>
  <c r="E1106" i="56"/>
  <c r="E1105" i="56"/>
  <c r="E1104" i="56"/>
  <c r="E1103" i="56"/>
  <c r="E1102" i="56"/>
  <c r="E1101" i="56"/>
  <c r="E1100" i="56"/>
  <c r="E1099" i="56"/>
  <c r="E1098" i="56"/>
  <c r="E1097" i="56"/>
  <c r="E1096" i="56"/>
  <c r="E1095" i="56"/>
  <c r="E1094" i="56"/>
  <c r="E1093" i="56"/>
  <c r="E1092" i="56"/>
  <c r="E1091" i="56"/>
  <c r="E1090" i="56"/>
  <c r="E1089" i="56"/>
  <c r="E1088" i="56"/>
  <c r="E1087" i="56"/>
  <c r="E1086" i="56"/>
  <c r="E1085" i="56"/>
  <c r="E1084" i="56"/>
  <c r="E1083" i="56"/>
  <c r="E1082" i="56"/>
  <c r="E1081" i="56"/>
  <c r="E1080" i="56"/>
  <c r="E1079" i="56"/>
  <c r="E1078" i="56"/>
  <c r="E1077" i="56"/>
  <c r="E1076" i="56"/>
  <c r="E1075" i="56"/>
  <c r="E1074" i="56"/>
  <c r="E1073" i="56"/>
  <c r="E1072" i="56"/>
  <c r="E1071" i="56"/>
  <c r="E1070" i="56"/>
  <c r="E1069" i="56"/>
  <c r="E1068" i="56"/>
  <c r="E1067" i="56"/>
  <c r="E1066" i="56"/>
  <c r="E1065" i="56"/>
  <c r="E1064" i="56"/>
  <c r="E1063" i="56"/>
  <c r="E1062" i="56"/>
  <c r="E1061" i="56"/>
  <c r="E1060" i="56"/>
  <c r="E1059" i="56"/>
  <c r="E1058" i="56"/>
  <c r="E1057" i="56"/>
  <c r="E1056" i="56"/>
  <c r="E1055" i="56"/>
  <c r="E1054" i="56"/>
  <c r="E1053" i="56"/>
  <c r="E1052" i="56"/>
  <c r="E1051" i="56"/>
  <c r="E1050" i="56"/>
  <c r="E1049" i="56"/>
  <c r="E1048" i="56"/>
  <c r="E1047" i="56"/>
  <c r="E1046" i="56"/>
  <c r="E1045" i="56"/>
  <c r="E1044" i="56"/>
  <c r="E1043" i="56"/>
  <c r="E1042" i="56"/>
  <c r="E1041" i="56"/>
  <c r="E1040" i="56"/>
  <c r="E1039" i="56"/>
  <c r="E1038" i="56"/>
  <c r="E1037" i="56"/>
  <c r="E1036" i="56"/>
  <c r="E1035" i="56"/>
  <c r="E1034" i="56"/>
  <c r="E1033" i="56"/>
  <c r="E1032" i="56"/>
  <c r="E1031" i="56"/>
  <c r="E1030" i="56"/>
  <c r="E1029" i="56"/>
  <c r="E1028" i="56"/>
  <c r="E1027" i="56"/>
  <c r="E1026" i="56"/>
  <c r="E1025" i="56"/>
  <c r="E1024" i="56"/>
  <c r="E1023" i="56"/>
  <c r="E1022" i="56"/>
  <c r="E1021" i="56"/>
  <c r="E1020" i="56"/>
  <c r="E1019" i="56"/>
  <c r="E1018" i="56"/>
  <c r="E1017" i="56"/>
  <c r="E1016" i="56"/>
  <c r="E1015" i="56"/>
  <c r="E1014" i="56"/>
  <c r="E1013" i="56"/>
  <c r="E1012" i="56"/>
  <c r="E1011" i="56"/>
  <c r="E1010" i="56"/>
  <c r="E1009" i="56"/>
  <c r="E1008" i="56"/>
  <c r="E1007" i="56"/>
  <c r="E1006" i="56"/>
  <c r="E1005" i="56"/>
  <c r="E1004" i="56"/>
  <c r="E1003" i="56"/>
  <c r="E1002" i="56"/>
  <c r="E1001" i="56"/>
  <c r="E1000" i="56"/>
  <c r="E999" i="56"/>
  <c r="E998" i="56"/>
  <c r="E997" i="56"/>
  <c r="E996" i="56"/>
  <c r="E995" i="56"/>
  <c r="E994" i="56"/>
  <c r="E993" i="56"/>
  <c r="E992" i="56"/>
  <c r="E991" i="56"/>
  <c r="E990" i="56"/>
  <c r="E989" i="56"/>
  <c r="E988" i="56"/>
  <c r="E987" i="56"/>
  <c r="E986" i="56"/>
  <c r="E985" i="56"/>
  <c r="E984" i="56"/>
  <c r="E983" i="56"/>
  <c r="E982" i="56"/>
  <c r="E981" i="56"/>
  <c r="E980" i="56"/>
  <c r="E979" i="56"/>
  <c r="E978" i="56"/>
  <c r="E977" i="56"/>
  <c r="E976" i="56"/>
  <c r="E975" i="56"/>
  <c r="E974" i="56"/>
  <c r="E973" i="56"/>
  <c r="E972" i="56"/>
  <c r="E971" i="56"/>
  <c r="E970" i="56"/>
  <c r="E969" i="56"/>
  <c r="E968" i="56"/>
  <c r="E967" i="56"/>
  <c r="E966" i="56"/>
  <c r="E965" i="56"/>
  <c r="E964" i="56"/>
  <c r="E963" i="56"/>
  <c r="E962" i="56"/>
  <c r="E961" i="56"/>
  <c r="E960" i="56"/>
  <c r="E959" i="56"/>
  <c r="E958" i="56"/>
  <c r="E957" i="56"/>
  <c r="E956" i="56"/>
  <c r="E955" i="56"/>
  <c r="E954" i="56"/>
  <c r="E953" i="56"/>
  <c r="E952" i="56"/>
  <c r="E951" i="56"/>
  <c r="E950" i="56"/>
  <c r="E949" i="56"/>
  <c r="E948" i="56"/>
  <c r="E947" i="56"/>
  <c r="E946" i="56"/>
  <c r="E945" i="56"/>
  <c r="E944" i="56"/>
  <c r="E943" i="56"/>
  <c r="E942" i="56"/>
  <c r="E941" i="56"/>
  <c r="E940" i="56"/>
  <c r="E939" i="56"/>
  <c r="E938" i="56"/>
  <c r="E937" i="56"/>
  <c r="E936" i="56"/>
  <c r="E935" i="56"/>
  <c r="E934" i="56"/>
  <c r="E933" i="56"/>
  <c r="E932" i="56"/>
  <c r="E931" i="56"/>
  <c r="E930" i="56"/>
  <c r="E929" i="56"/>
  <c r="E928" i="56"/>
  <c r="E927" i="56"/>
  <c r="E926" i="56"/>
  <c r="E925" i="56"/>
  <c r="E924" i="56"/>
  <c r="E923" i="56"/>
  <c r="E922" i="56"/>
  <c r="E921" i="56"/>
  <c r="E920" i="56"/>
  <c r="E919" i="56"/>
  <c r="E918" i="56"/>
  <c r="E917" i="56"/>
  <c r="E916" i="56"/>
  <c r="E915" i="56"/>
  <c r="E914" i="56"/>
  <c r="E913" i="56"/>
  <c r="E912" i="56"/>
  <c r="E911" i="56"/>
  <c r="E910" i="56"/>
  <c r="E909" i="56"/>
  <c r="E908" i="56"/>
  <c r="E907" i="56"/>
  <c r="E906" i="56"/>
  <c r="E905" i="56"/>
  <c r="E904" i="56"/>
  <c r="E903" i="56"/>
  <c r="E902" i="56"/>
  <c r="E901" i="56"/>
  <c r="E900" i="56"/>
  <c r="E899" i="56"/>
  <c r="E898" i="56"/>
  <c r="E897" i="56"/>
  <c r="E896" i="56"/>
  <c r="E895" i="56"/>
  <c r="E894" i="56"/>
  <c r="E893" i="56"/>
  <c r="E892" i="56"/>
  <c r="E891" i="56"/>
  <c r="E890" i="56"/>
  <c r="E889" i="56"/>
  <c r="E888" i="56"/>
  <c r="E887" i="56"/>
  <c r="E886" i="56"/>
  <c r="E885" i="56"/>
  <c r="E884" i="56"/>
  <c r="E883" i="56"/>
  <c r="E882" i="56"/>
  <c r="E881" i="56"/>
  <c r="E880" i="56"/>
  <c r="E879" i="56"/>
  <c r="E878" i="56"/>
  <c r="E877" i="56"/>
  <c r="E876" i="56"/>
  <c r="E875" i="56"/>
  <c r="E874" i="56"/>
  <c r="E873" i="56"/>
  <c r="E872" i="56"/>
  <c r="E871" i="56"/>
  <c r="E870" i="56"/>
  <c r="E869" i="56"/>
  <c r="E868" i="56"/>
  <c r="E867" i="56"/>
  <c r="E866" i="56"/>
  <c r="E865" i="56"/>
  <c r="E864" i="56"/>
  <c r="E863" i="56"/>
  <c r="E862" i="56"/>
  <c r="E861" i="56"/>
  <c r="E860" i="56"/>
  <c r="E859" i="56"/>
  <c r="E858" i="56"/>
  <c r="E857" i="56"/>
  <c r="E856" i="56"/>
  <c r="E855" i="56"/>
  <c r="E854" i="56"/>
  <c r="E853" i="56"/>
  <c r="E852" i="56"/>
  <c r="E851" i="56"/>
  <c r="E850" i="56"/>
  <c r="E849" i="56"/>
  <c r="E848" i="56"/>
  <c r="E847" i="56"/>
  <c r="E846" i="56"/>
  <c r="E845" i="56"/>
  <c r="E844" i="56"/>
  <c r="E843" i="56"/>
  <c r="E842" i="56"/>
  <c r="E841" i="56"/>
  <c r="E840" i="56"/>
  <c r="E839" i="56"/>
  <c r="E838" i="56"/>
  <c r="E837" i="56"/>
  <c r="E836" i="56"/>
  <c r="E835" i="56"/>
  <c r="E834" i="56"/>
  <c r="E833" i="56"/>
  <c r="E832" i="56"/>
  <c r="E831" i="56"/>
  <c r="E830" i="56"/>
  <c r="E829" i="56"/>
  <c r="E828" i="56"/>
  <c r="E827" i="56"/>
  <c r="E826" i="56"/>
  <c r="E825" i="56"/>
  <c r="E824" i="56"/>
  <c r="E823" i="56"/>
  <c r="E822" i="56"/>
  <c r="E821" i="56"/>
  <c r="E820" i="56"/>
  <c r="E819" i="56"/>
  <c r="E818" i="56"/>
  <c r="E817" i="56"/>
  <c r="E816" i="56"/>
  <c r="E815" i="56"/>
  <c r="E814" i="56"/>
  <c r="E813" i="56"/>
  <c r="E812" i="56"/>
  <c r="E811" i="56"/>
  <c r="E810" i="56"/>
  <c r="E809" i="56"/>
  <c r="E808" i="56"/>
  <c r="E807" i="56"/>
  <c r="E806" i="56"/>
  <c r="E805" i="56"/>
  <c r="E804" i="56"/>
  <c r="E803" i="56"/>
  <c r="E802" i="56"/>
  <c r="E801" i="56"/>
  <c r="E800" i="56"/>
  <c r="E799" i="56"/>
  <c r="E798" i="56"/>
  <c r="E797" i="56"/>
  <c r="E796" i="56"/>
  <c r="E795" i="56"/>
  <c r="E794" i="56"/>
  <c r="E793" i="56"/>
  <c r="E792" i="56"/>
  <c r="E791" i="56"/>
  <c r="E790" i="56"/>
  <c r="E789" i="56"/>
  <c r="E788" i="56"/>
  <c r="E787" i="56"/>
  <c r="E786" i="56"/>
  <c r="E785" i="56"/>
  <c r="E784" i="56"/>
  <c r="E783" i="56"/>
  <c r="E782" i="56"/>
  <c r="E781" i="56"/>
  <c r="E780" i="56"/>
  <c r="E779" i="56"/>
  <c r="E778" i="56"/>
  <c r="E777" i="56"/>
  <c r="E776" i="56"/>
  <c r="E775" i="56"/>
  <c r="E774" i="56"/>
  <c r="E773" i="56"/>
  <c r="E772" i="56"/>
  <c r="E771" i="56"/>
  <c r="E770" i="56"/>
  <c r="E769" i="56"/>
  <c r="E768" i="56"/>
  <c r="E767" i="56"/>
  <c r="E766" i="56"/>
  <c r="E765" i="56"/>
  <c r="E764" i="56"/>
  <c r="E763" i="56"/>
  <c r="E762" i="56"/>
  <c r="E761" i="56"/>
  <c r="E760" i="56"/>
  <c r="E759" i="56"/>
  <c r="E758" i="56"/>
  <c r="E757" i="56"/>
  <c r="E756" i="56"/>
  <c r="E755" i="56"/>
  <c r="E754" i="56"/>
  <c r="E753" i="56"/>
  <c r="E752" i="56"/>
  <c r="E751" i="56"/>
  <c r="E750" i="56"/>
  <c r="E749" i="56"/>
  <c r="E748" i="56"/>
  <c r="E747" i="56"/>
  <c r="E746" i="56"/>
  <c r="E745" i="56"/>
  <c r="E744" i="56"/>
  <c r="E743" i="56"/>
  <c r="E742" i="56"/>
  <c r="E741" i="56"/>
  <c r="E740" i="56"/>
  <c r="E739" i="56"/>
  <c r="E738" i="56"/>
  <c r="E737" i="56"/>
  <c r="E736" i="56"/>
  <c r="E735" i="56"/>
  <c r="E734" i="56"/>
  <c r="E733" i="56"/>
  <c r="E732" i="56"/>
  <c r="E731" i="56"/>
  <c r="E730" i="56"/>
  <c r="E729" i="56"/>
  <c r="E728" i="56"/>
  <c r="E727" i="56"/>
  <c r="E726" i="56"/>
  <c r="E725" i="56"/>
  <c r="E724" i="56"/>
  <c r="E723" i="56"/>
  <c r="E722" i="56"/>
  <c r="E721" i="56"/>
  <c r="E720" i="56"/>
  <c r="E719" i="56"/>
  <c r="E718" i="56"/>
  <c r="E717" i="56"/>
  <c r="E716" i="56"/>
  <c r="E715" i="56"/>
  <c r="E714" i="56"/>
  <c r="E713" i="56"/>
  <c r="E712" i="56"/>
  <c r="E711" i="56"/>
  <c r="E710" i="56"/>
  <c r="E709" i="56"/>
  <c r="E708" i="56"/>
  <c r="E707" i="56"/>
  <c r="E706" i="56"/>
  <c r="E705" i="56"/>
  <c r="E704" i="56"/>
  <c r="E703" i="56"/>
  <c r="E702" i="56"/>
  <c r="E701" i="56"/>
  <c r="E700" i="56"/>
  <c r="E699" i="56"/>
  <c r="E698" i="56"/>
  <c r="E697" i="56"/>
  <c r="E696" i="56"/>
  <c r="E695" i="56"/>
  <c r="E694" i="56"/>
  <c r="E693" i="56"/>
  <c r="E692" i="56"/>
  <c r="E691" i="56"/>
  <c r="E690" i="56"/>
  <c r="E689" i="56"/>
  <c r="E688" i="56"/>
  <c r="E687" i="56"/>
  <c r="E686" i="56"/>
  <c r="E685" i="56"/>
  <c r="E684" i="56"/>
  <c r="E683" i="56"/>
  <c r="E682" i="56"/>
  <c r="E681" i="56"/>
  <c r="E680" i="56"/>
  <c r="E679" i="56"/>
  <c r="E678" i="56"/>
  <c r="E677" i="56"/>
  <c r="E676" i="56"/>
  <c r="E675" i="56"/>
  <c r="E674" i="56"/>
  <c r="E673" i="56"/>
  <c r="E672" i="56"/>
  <c r="E671" i="56"/>
  <c r="E670" i="56"/>
  <c r="E669" i="56"/>
  <c r="E668" i="56"/>
  <c r="E667" i="56"/>
  <c r="E666" i="56"/>
  <c r="E665" i="56"/>
  <c r="E664" i="56"/>
  <c r="E663" i="56"/>
  <c r="E662" i="56"/>
  <c r="E661" i="56"/>
  <c r="E660" i="56"/>
  <c r="E659" i="56"/>
  <c r="E658" i="56"/>
  <c r="E657" i="56"/>
  <c r="E656" i="56"/>
  <c r="E655" i="56"/>
  <c r="E654" i="56"/>
  <c r="E653" i="56"/>
  <c r="E652" i="56"/>
  <c r="E651" i="56"/>
  <c r="E650" i="56"/>
  <c r="E649" i="56"/>
  <c r="E648" i="56"/>
  <c r="E647" i="56"/>
  <c r="E646" i="56"/>
  <c r="E645" i="56"/>
  <c r="E644" i="56"/>
  <c r="E643" i="56"/>
  <c r="E642" i="56"/>
  <c r="E641" i="56"/>
  <c r="E640" i="56"/>
  <c r="E639" i="56"/>
  <c r="E638" i="56"/>
  <c r="E637" i="56"/>
  <c r="E636" i="56"/>
  <c r="E635" i="56"/>
  <c r="E634" i="56"/>
  <c r="E633" i="56"/>
  <c r="E632" i="56"/>
  <c r="E631" i="56"/>
  <c r="E630" i="56"/>
  <c r="E629" i="56"/>
  <c r="E628" i="56"/>
  <c r="E627" i="56"/>
  <c r="E626" i="56"/>
  <c r="E625" i="56"/>
  <c r="E624" i="56"/>
  <c r="E623" i="56"/>
  <c r="E622" i="56"/>
  <c r="E621" i="56"/>
  <c r="E620" i="56"/>
  <c r="E619" i="56"/>
  <c r="E618" i="56"/>
  <c r="E617" i="56"/>
  <c r="E616" i="56"/>
  <c r="E615" i="56"/>
  <c r="E614" i="56"/>
  <c r="E613" i="56"/>
  <c r="E612" i="56"/>
  <c r="E611" i="56"/>
  <c r="E610" i="56"/>
  <c r="E609" i="56"/>
  <c r="E608" i="56"/>
  <c r="E607" i="56"/>
  <c r="E606" i="56"/>
  <c r="E605" i="56"/>
  <c r="E604" i="56"/>
  <c r="E603" i="56"/>
  <c r="E602" i="56"/>
  <c r="E601" i="56"/>
  <c r="E600" i="56"/>
  <c r="E599" i="56"/>
  <c r="E598" i="56"/>
  <c r="E597" i="56"/>
  <c r="E596" i="56"/>
  <c r="E595" i="56"/>
  <c r="E594" i="56"/>
  <c r="E593" i="56"/>
  <c r="E592" i="56"/>
  <c r="E591" i="56"/>
  <c r="E590" i="56"/>
  <c r="E589" i="56"/>
  <c r="E588" i="56"/>
  <c r="E587" i="56"/>
  <c r="E586" i="56"/>
  <c r="E585" i="56"/>
  <c r="E584" i="56"/>
  <c r="E583" i="56"/>
  <c r="E582" i="56"/>
  <c r="E581" i="56"/>
  <c r="E580" i="56"/>
  <c r="E579" i="56"/>
  <c r="E578" i="56"/>
  <c r="E577" i="56"/>
  <c r="E576" i="56"/>
  <c r="E575" i="56"/>
  <c r="E574" i="56"/>
  <c r="E573" i="56"/>
  <c r="E572" i="56"/>
  <c r="E571" i="56"/>
  <c r="E570" i="56"/>
  <c r="E569" i="56"/>
  <c r="E568" i="56"/>
  <c r="E567" i="56"/>
  <c r="E566" i="56"/>
  <c r="E565" i="56"/>
  <c r="E564" i="56"/>
  <c r="E563" i="56"/>
  <c r="E562" i="56"/>
  <c r="E561" i="56"/>
  <c r="E560" i="56"/>
  <c r="E559" i="56"/>
  <c r="E558" i="56"/>
  <c r="E557" i="56"/>
  <c r="E556" i="56"/>
  <c r="E555" i="56"/>
  <c r="E554" i="56"/>
  <c r="E553" i="56"/>
  <c r="E552" i="56"/>
  <c r="E551" i="56"/>
  <c r="E550" i="56"/>
  <c r="E549" i="56"/>
  <c r="E548" i="56"/>
  <c r="E547" i="56"/>
  <c r="E546" i="56"/>
  <c r="E545" i="56"/>
  <c r="E544" i="56"/>
  <c r="E543" i="56"/>
  <c r="E542" i="56"/>
  <c r="E541" i="56"/>
  <c r="E540" i="56"/>
  <c r="E539" i="56"/>
  <c r="E538" i="56"/>
  <c r="E537" i="56"/>
  <c r="E536" i="56"/>
  <c r="E535" i="56"/>
  <c r="E534" i="56"/>
  <c r="E533" i="56"/>
  <c r="E532" i="56"/>
  <c r="E531" i="56"/>
  <c r="E530" i="56"/>
  <c r="E529" i="56"/>
  <c r="E528" i="56"/>
  <c r="E527" i="56"/>
  <c r="E526" i="56"/>
  <c r="E525" i="56"/>
  <c r="E524" i="56"/>
  <c r="E523" i="56"/>
  <c r="E522" i="56"/>
  <c r="E521" i="56"/>
  <c r="E520" i="56"/>
  <c r="E519" i="56"/>
  <c r="E518" i="56"/>
  <c r="E517" i="56"/>
  <c r="E516" i="56"/>
  <c r="E515" i="56"/>
  <c r="E514" i="56"/>
  <c r="E513" i="56"/>
  <c r="E512" i="56"/>
  <c r="E511" i="56"/>
  <c r="E510" i="56"/>
  <c r="E509" i="56"/>
  <c r="E508" i="56"/>
  <c r="E507" i="56"/>
  <c r="E506" i="56"/>
  <c r="E505" i="56"/>
  <c r="E504" i="56"/>
  <c r="E503" i="56"/>
  <c r="E502" i="56"/>
  <c r="E501" i="56"/>
  <c r="E500" i="56"/>
  <c r="E499" i="56"/>
  <c r="E498" i="56"/>
  <c r="E497" i="56"/>
  <c r="E496" i="56"/>
  <c r="E495" i="56"/>
  <c r="E494" i="56"/>
  <c r="E493" i="56"/>
  <c r="E492" i="56"/>
  <c r="E491" i="56"/>
  <c r="E490" i="56"/>
  <c r="E489" i="56"/>
  <c r="E488" i="56"/>
  <c r="E487" i="56"/>
  <c r="E486" i="56"/>
  <c r="E485" i="56"/>
  <c r="E484" i="56"/>
  <c r="E483" i="56"/>
  <c r="E482" i="56"/>
  <c r="E481" i="56"/>
  <c r="E480" i="56"/>
  <c r="E479" i="56"/>
  <c r="E478" i="56"/>
  <c r="E477" i="56"/>
  <c r="E476" i="56"/>
  <c r="E475" i="56"/>
  <c r="E474" i="56"/>
  <c r="E473" i="56"/>
  <c r="E472" i="56"/>
  <c r="E471" i="56"/>
  <c r="E470" i="56"/>
  <c r="E469" i="56"/>
  <c r="E468" i="56"/>
  <c r="E467" i="56"/>
  <c r="E466" i="56"/>
  <c r="E465" i="56"/>
  <c r="E464" i="56"/>
  <c r="E463" i="56"/>
  <c r="E462" i="56"/>
  <c r="E461" i="56"/>
  <c r="E460" i="56"/>
  <c r="E459" i="56"/>
  <c r="E458" i="56"/>
  <c r="E457" i="56"/>
  <c r="E456" i="56"/>
  <c r="E455" i="56"/>
  <c r="E454" i="56"/>
  <c r="E453" i="56"/>
  <c r="E452" i="56"/>
  <c r="E451" i="56"/>
  <c r="E450" i="56"/>
  <c r="E449" i="56"/>
  <c r="E448" i="56"/>
  <c r="E447" i="56"/>
  <c r="E446" i="56"/>
  <c r="E445" i="56"/>
  <c r="E444" i="56"/>
  <c r="E443" i="56"/>
  <c r="E442" i="56"/>
  <c r="E441" i="56"/>
  <c r="E440" i="56"/>
  <c r="E439" i="56"/>
  <c r="E438" i="56"/>
  <c r="E437" i="56"/>
  <c r="E436" i="56"/>
  <c r="E435" i="56"/>
  <c r="E434" i="56"/>
  <c r="E433" i="56"/>
  <c r="E432" i="56"/>
  <c r="E431" i="56"/>
  <c r="E430" i="56"/>
  <c r="E429" i="56"/>
  <c r="E428" i="56"/>
  <c r="E427" i="56"/>
  <c r="E426" i="56"/>
  <c r="E425" i="56"/>
  <c r="E424" i="56"/>
  <c r="E423" i="56"/>
  <c r="E422" i="56"/>
  <c r="E421" i="56"/>
  <c r="E420" i="56"/>
  <c r="E419" i="56"/>
  <c r="E418" i="56"/>
  <c r="E417" i="56"/>
  <c r="E416" i="56"/>
  <c r="E415" i="56"/>
  <c r="E414" i="56"/>
  <c r="E413" i="56"/>
  <c r="E412" i="56"/>
  <c r="E411" i="56"/>
  <c r="E410" i="56"/>
  <c r="E409" i="56"/>
  <c r="E408" i="56"/>
  <c r="E407" i="56"/>
  <c r="E406" i="56"/>
  <c r="E405" i="56"/>
  <c r="E404" i="56"/>
  <c r="E403" i="56"/>
  <c r="E402" i="56"/>
  <c r="E401" i="56"/>
  <c r="E400" i="56"/>
  <c r="E399" i="56"/>
  <c r="E398" i="56"/>
  <c r="E397" i="56"/>
  <c r="E396" i="56"/>
  <c r="E395" i="56"/>
  <c r="E394" i="56"/>
  <c r="E393" i="56"/>
  <c r="E392" i="56"/>
  <c r="E391" i="56"/>
  <c r="E390" i="56"/>
  <c r="E389" i="56"/>
  <c r="E388" i="56"/>
  <c r="E387" i="56"/>
  <c r="E386" i="56"/>
  <c r="E385" i="56"/>
  <c r="E384" i="56"/>
  <c r="E383" i="56"/>
  <c r="E382" i="56"/>
  <c r="E381" i="56"/>
  <c r="E380" i="56"/>
  <c r="E379" i="56"/>
  <c r="E378" i="56"/>
  <c r="E377" i="56"/>
  <c r="E376" i="56"/>
  <c r="E375" i="56"/>
  <c r="E374" i="56"/>
  <c r="E373" i="56"/>
  <c r="E372" i="56"/>
  <c r="E371" i="56"/>
  <c r="E370" i="56"/>
  <c r="E369" i="56"/>
  <c r="E368" i="56"/>
  <c r="E367" i="56"/>
  <c r="E366" i="56"/>
  <c r="E365" i="56"/>
  <c r="E364" i="56"/>
  <c r="E363" i="56"/>
  <c r="E362" i="56"/>
  <c r="E361" i="56"/>
  <c r="E360" i="56"/>
  <c r="E359" i="56"/>
  <c r="E358" i="56"/>
  <c r="E357" i="56"/>
  <c r="E356" i="56"/>
  <c r="E355" i="56"/>
  <c r="E354" i="56"/>
  <c r="E353" i="56"/>
  <c r="E352" i="56"/>
  <c r="E351" i="56"/>
  <c r="E350" i="56"/>
  <c r="E349" i="56"/>
  <c r="E348" i="56"/>
  <c r="E347" i="56"/>
  <c r="E346" i="56"/>
  <c r="E345" i="56"/>
  <c r="E344" i="56"/>
  <c r="E343" i="56"/>
  <c r="E342" i="56"/>
  <c r="E341" i="56"/>
  <c r="E340" i="56"/>
  <c r="E339" i="56"/>
  <c r="E338" i="56"/>
  <c r="E337" i="56"/>
  <c r="E336" i="56"/>
  <c r="E335" i="56"/>
  <c r="E334" i="56"/>
  <c r="E333" i="56"/>
  <c r="E332" i="56"/>
  <c r="E331" i="56"/>
  <c r="E330" i="56"/>
  <c r="E329" i="56"/>
  <c r="E328" i="56"/>
  <c r="E327" i="56"/>
  <c r="E326" i="56"/>
  <c r="E325" i="56"/>
  <c r="E324" i="56"/>
  <c r="E323" i="56"/>
  <c r="E322" i="56"/>
  <c r="E321" i="56"/>
  <c r="E320" i="56"/>
  <c r="E319" i="56"/>
  <c r="E318" i="56"/>
  <c r="E317" i="56"/>
  <c r="E316" i="56"/>
  <c r="E315" i="56"/>
  <c r="E314" i="56"/>
  <c r="E313" i="56"/>
  <c r="E312" i="56"/>
  <c r="E311" i="56"/>
  <c r="E310" i="56"/>
  <c r="E309" i="56"/>
  <c r="E308" i="56"/>
  <c r="E307" i="56"/>
  <c r="E306" i="56"/>
  <c r="E305" i="56"/>
  <c r="E304" i="56"/>
  <c r="E303" i="56"/>
  <c r="E302" i="56"/>
  <c r="E301" i="56"/>
  <c r="E300" i="56"/>
  <c r="E299" i="56"/>
  <c r="E298" i="56"/>
  <c r="E297" i="56"/>
  <c r="E296" i="56"/>
  <c r="E295" i="56"/>
  <c r="E294" i="56"/>
  <c r="E293" i="56"/>
  <c r="E292" i="56"/>
  <c r="E291" i="56"/>
  <c r="E290" i="56"/>
  <c r="E289" i="56"/>
  <c r="E288" i="56"/>
  <c r="E287" i="56"/>
  <c r="E286" i="56"/>
  <c r="E285" i="56"/>
  <c r="E284" i="56"/>
  <c r="E283" i="56"/>
  <c r="E282" i="56"/>
  <c r="E281" i="56"/>
  <c r="E280" i="56"/>
  <c r="E279" i="56"/>
  <c r="E278" i="56"/>
  <c r="E277" i="56"/>
  <c r="E276" i="56"/>
  <c r="E275" i="56"/>
  <c r="E274" i="56"/>
  <c r="E273" i="56"/>
  <c r="E272" i="56"/>
  <c r="E271" i="56"/>
  <c r="E270" i="56"/>
  <c r="E269" i="56"/>
  <c r="E268" i="56"/>
  <c r="E267" i="56"/>
  <c r="E266" i="56"/>
  <c r="E265" i="56"/>
  <c r="E264" i="56"/>
  <c r="E263" i="56"/>
  <c r="E262" i="56"/>
  <c r="E261" i="56"/>
  <c r="E260" i="56"/>
  <c r="E259" i="56"/>
  <c r="E258" i="56"/>
  <c r="E257" i="56"/>
  <c r="E256" i="56"/>
  <c r="E255" i="56"/>
  <c r="E254" i="56"/>
  <c r="E253" i="56"/>
  <c r="E252" i="56"/>
  <c r="E251" i="56"/>
  <c r="E250" i="56"/>
  <c r="E249" i="56"/>
  <c r="E248" i="56"/>
  <c r="E247" i="56"/>
  <c r="E246" i="56"/>
  <c r="E245" i="56"/>
  <c r="E244" i="56"/>
  <c r="E243" i="56"/>
  <c r="E242" i="56"/>
  <c r="E241" i="56"/>
  <c r="E240" i="56"/>
  <c r="E239" i="56"/>
  <c r="E238" i="56"/>
  <c r="E237" i="56"/>
  <c r="E236" i="56"/>
  <c r="E235" i="56"/>
  <c r="E234" i="56"/>
  <c r="E233" i="56"/>
  <c r="E232" i="56"/>
  <c r="E231" i="56"/>
  <c r="E230" i="56"/>
  <c r="E229" i="56"/>
  <c r="E228" i="56"/>
  <c r="E227" i="56"/>
  <c r="E226" i="56"/>
  <c r="E225" i="56"/>
  <c r="E224" i="56"/>
  <c r="E223" i="56"/>
  <c r="E222" i="56"/>
  <c r="E221" i="56"/>
  <c r="E220" i="56"/>
  <c r="E219" i="56"/>
  <c r="E218" i="56"/>
  <c r="E217" i="56"/>
  <c r="E216" i="56"/>
  <c r="E215" i="56"/>
  <c r="E214" i="56"/>
  <c r="E213" i="56"/>
  <c r="E212" i="56"/>
  <c r="E211" i="56"/>
  <c r="E210" i="56"/>
  <c r="E209" i="56"/>
  <c r="E208" i="56"/>
  <c r="E207" i="56"/>
  <c r="E206" i="56"/>
  <c r="E205" i="56"/>
  <c r="E204" i="56"/>
  <c r="E203" i="56"/>
  <c r="E202" i="56"/>
  <c r="E201" i="56"/>
  <c r="E200" i="56"/>
  <c r="E199" i="56"/>
  <c r="E198" i="56"/>
  <c r="E197" i="56"/>
  <c r="E196" i="56"/>
  <c r="E195" i="56"/>
  <c r="E194" i="56"/>
  <c r="E193" i="56"/>
  <c r="E192" i="56"/>
  <c r="E191" i="56"/>
  <c r="E190" i="56"/>
  <c r="E189" i="56"/>
  <c r="E188" i="56"/>
  <c r="E187" i="56"/>
  <c r="E186" i="56"/>
  <c r="E185" i="56"/>
  <c r="E184" i="56"/>
  <c r="E183" i="56"/>
  <c r="E182" i="56"/>
  <c r="E181" i="56"/>
  <c r="E180" i="56"/>
  <c r="E179" i="56"/>
  <c r="E178" i="56"/>
  <c r="E177" i="56"/>
  <c r="E176" i="56"/>
  <c r="E175" i="56"/>
  <c r="E174" i="56"/>
  <c r="E173" i="56"/>
  <c r="E172" i="56"/>
  <c r="E171" i="56"/>
  <c r="E170" i="56"/>
  <c r="E169" i="56"/>
  <c r="E168" i="56"/>
  <c r="E167" i="56"/>
  <c r="E166" i="56"/>
  <c r="E165" i="56"/>
  <c r="E164" i="56"/>
  <c r="E163" i="56"/>
  <c r="E162" i="56"/>
  <c r="E161" i="56"/>
  <c r="E160" i="56"/>
  <c r="E159" i="56"/>
  <c r="E158" i="56"/>
  <c r="E157" i="56"/>
  <c r="E156" i="56"/>
  <c r="E155" i="56"/>
  <c r="E154" i="56"/>
  <c r="E153" i="56"/>
  <c r="E152" i="56"/>
  <c r="E151" i="56"/>
  <c r="E150" i="56"/>
  <c r="E149" i="56"/>
  <c r="E148" i="56"/>
  <c r="E147" i="56"/>
  <c r="E146" i="56"/>
  <c r="E145" i="56"/>
  <c r="E144" i="56"/>
  <c r="E143" i="56"/>
  <c r="E142" i="56"/>
  <c r="E141" i="56"/>
  <c r="E140" i="56"/>
  <c r="E139" i="56"/>
  <c r="E138" i="56"/>
  <c r="E137" i="56"/>
  <c r="E136" i="56"/>
  <c r="E135" i="56"/>
  <c r="E134" i="56"/>
  <c r="E133" i="56"/>
  <c r="E132" i="56"/>
  <c r="E131" i="56"/>
  <c r="E130" i="56"/>
  <c r="E129" i="56"/>
  <c r="E128" i="56"/>
  <c r="E127" i="56"/>
  <c r="E126" i="56"/>
  <c r="E125" i="56"/>
  <c r="E124" i="56"/>
  <c r="E123" i="56"/>
  <c r="E122" i="56"/>
  <c r="E121" i="56"/>
  <c r="E120" i="56"/>
  <c r="E119" i="56"/>
  <c r="E118" i="56"/>
  <c r="E117" i="56"/>
  <c r="E116" i="56"/>
  <c r="E115" i="56"/>
  <c r="E114" i="56"/>
  <c r="E113" i="56"/>
  <c r="E112" i="56"/>
  <c r="E111" i="56"/>
  <c r="E110" i="56"/>
  <c r="E109" i="56"/>
  <c r="E108" i="56"/>
  <c r="E107" i="56"/>
  <c r="E106" i="56"/>
  <c r="E105" i="56"/>
  <c r="E104" i="56"/>
  <c r="E103" i="56"/>
  <c r="E102" i="56"/>
  <c r="E101" i="56"/>
  <c r="E100" i="56"/>
  <c r="E99" i="56"/>
  <c r="E98" i="56"/>
  <c r="E97" i="56"/>
  <c r="E96" i="56"/>
  <c r="E95" i="56"/>
  <c r="E94" i="56"/>
  <c r="E93" i="56"/>
  <c r="E92" i="56"/>
  <c r="E91" i="56"/>
  <c r="E90" i="56"/>
  <c r="E89" i="56"/>
  <c r="E88" i="56"/>
  <c r="E87" i="56"/>
  <c r="E86" i="56"/>
  <c r="E85" i="56"/>
  <c r="E84" i="56"/>
  <c r="E83" i="56"/>
  <c r="E82" i="56"/>
  <c r="E81" i="56"/>
  <c r="E80" i="56"/>
  <c r="E79" i="56"/>
  <c r="E78" i="56"/>
  <c r="E77" i="56"/>
  <c r="E76" i="56"/>
  <c r="E75" i="56"/>
  <c r="E74" i="56"/>
  <c r="E73" i="56"/>
  <c r="E72" i="56"/>
  <c r="E71" i="56"/>
  <c r="E70" i="56"/>
  <c r="E69" i="56"/>
  <c r="E68" i="56"/>
  <c r="E67" i="56"/>
  <c r="E66" i="56"/>
  <c r="E65" i="56"/>
  <c r="E64" i="56"/>
  <c r="E63" i="56"/>
  <c r="E62" i="56"/>
  <c r="E61" i="56"/>
  <c r="E60" i="56"/>
  <c r="E59" i="56"/>
  <c r="E58" i="56"/>
  <c r="E57" i="56"/>
  <c r="E56" i="56"/>
  <c r="E55" i="56"/>
  <c r="E54" i="56"/>
  <c r="E53" i="56"/>
  <c r="E52" i="56"/>
  <c r="E51" i="56"/>
  <c r="E50" i="56"/>
  <c r="E49" i="56"/>
  <c r="E48" i="56"/>
  <c r="E47" i="56"/>
  <c r="E46" i="56"/>
  <c r="E45" i="56"/>
  <c r="E44" i="56"/>
  <c r="E43" i="56"/>
  <c r="E42" i="56"/>
  <c r="E41" i="56"/>
  <c r="E40" i="56"/>
  <c r="E39" i="56"/>
  <c r="E38" i="56"/>
  <c r="E37" i="56"/>
  <c r="E36" i="56"/>
  <c r="E35" i="56"/>
  <c r="E34" i="56"/>
  <c r="E33" i="56"/>
  <c r="E32" i="56"/>
  <c r="E31" i="56"/>
  <c r="E30" i="56"/>
  <c r="E29" i="56"/>
  <c r="E28" i="56"/>
  <c r="E27" i="56"/>
  <c r="E26" i="56"/>
  <c r="E25" i="56"/>
  <c r="E24" i="56"/>
  <c r="E23" i="56"/>
  <c r="E22" i="56"/>
  <c r="E21" i="56"/>
  <c r="E20" i="56"/>
  <c r="E19" i="56"/>
  <c r="E18" i="56"/>
  <c r="E17" i="56"/>
  <c r="E16" i="56"/>
  <c r="E15" i="56"/>
  <c r="E14" i="56"/>
  <c r="E13" i="56"/>
  <c r="E12" i="56"/>
  <c r="E11" i="56"/>
  <c r="E10" i="56"/>
  <c r="E9" i="56"/>
  <c r="E8" i="56"/>
  <c r="E7" i="56"/>
  <c r="E6" i="56"/>
  <c r="E5" i="56"/>
  <c r="E4" i="56"/>
  <c r="E3" i="56"/>
  <c r="E2" i="56"/>
  <c r="E1698" i="56" s="1"/>
  <c r="F31" i="55"/>
  <c r="E31" i="55"/>
  <c r="E16" i="55"/>
  <c r="G16" i="55" s="1"/>
  <c r="F15" i="55"/>
  <c r="E15" i="55"/>
  <c r="F11" i="55"/>
  <c r="E11" i="55"/>
  <c r="F8" i="55"/>
  <c r="F22" i="55" s="1"/>
  <c r="E8" i="55"/>
  <c r="D36" i="77" l="1"/>
  <c r="F31" i="78"/>
  <c r="U29" i="78"/>
  <c r="AD29" i="78" s="1"/>
  <c r="CW1" i="1"/>
  <c r="M101" i="66"/>
  <c r="M103" i="66" s="1"/>
  <c r="G101" i="66"/>
  <c r="G103" i="66" s="1"/>
  <c r="J17" i="67"/>
  <c r="H101" i="66"/>
  <c r="H103" i="66" s="1"/>
  <c r="O101" i="66"/>
  <c r="O103" i="66" s="1"/>
  <c r="I101" i="66"/>
  <c r="I103" i="66" s="1"/>
  <c r="H39" i="58"/>
  <c r="C39" i="58"/>
  <c r="E39" i="58"/>
  <c r="D16" i="59"/>
  <c r="D18" i="59"/>
  <c r="F20" i="59"/>
  <c r="H20" i="59" s="1"/>
  <c r="D23" i="59"/>
  <c r="D25" i="59"/>
  <c r="F25" i="59" s="1"/>
  <c r="H25" i="59" s="1"/>
  <c r="J25" i="59" s="1"/>
  <c r="H40" i="59"/>
  <c r="J40" i="59" s="1"/>
  <c r="D42" i="59"/>
  <c r="D64" i="59" s="1"/>
  <c r="D44" i="59"/>
  <c r="D66" i="59" s="1"/>
  <c r="D46" i="59"/>
  <c r="F48" i="59"/>
  <c r="H48" i="59" s="1"/>
  <c r="G71" i="59"/>
  <c r="D77" i="59"/>
  <c r="D93" i="59"/>
  <c r="D110" i="59"/>
  <c r="H20" i="60"/>
  <c r="H29" i="60"/>
  <c r="H36" i="60"/>
  <c r="D49" i="60"/>
  <c r="D51" i="60" s="1"/>
  <c r="D62" i="60"/>
  <c r="D75" i="60"/>
  <c r="D88" i="59" s="1"/>
  <c r="D97" i="59" s="1"/>
  <c r="D80" i="60"/>
  <c r="Q56" i="86"/>
  <c r="O64" i="86"/>
  <c r="Q64" i="86" s="1"/>
  <c r="B39" i="58"/>
  <c r="D39" i="58"/>
  <c r="F39" i="58"/>
  <c r="G74" i="59"/>
  <c r="D61" i="59"/>
  <c r="D85" i="59"/>
  <c r="D8" i="61" s="1"/>
  <c r="D106" i="59"/>
  <c r="D103" i="66"/>
  <c r="F103" i="66"/>
  <c r="L103" i="66"/>
  <c r="N103" i="66"/>
  <c r="D14" i="59"/>
  <c r="D29" i="59" s="1"/>
  <c r="E25" i="81"/>
  <c r="E13" i="80"/>
  <c r="E18" i="70"/>
  <c r="E20" i="70" s="1"/>
  <c r="AE29" i="78"/>
  <c r="U30" i="78"/>
  <c r="V31" i="78"/>
  <c r="AD30" i="78"/>
  <c r="C27" i="75"/>
  <c r="C36" i="75" s="1"/>
  <c r="D25" i="75"/>
  <c r="H35" i="59"/>
  <c r="D24" i="61"/>
  <c r="J57" i="59"/>
  <c r="K73" i="59"/>
  <c r="M73" i="59" s="1"/>
  <c r="D46" i="57"/>
  <c r="D43" i="57"/>
  <c r="D26" i="57"/>
  <c r="J62" i="59"/>
  <c r="H70" i="59"/>
  <c r="G8" i="55"/>
  <c r="F9" i="55" s="1"/>
  <c r="G11" i="55"/>
  <c r="F12" i="55" s="1"/>
  <c r="G15" i="55"/>
  <c r="E22" i="55"/>
  <c r="G31" i="55"/>
  <c r="F32" i="55" s="1"/>
  <c r="D21" i="59"/>
  <c r="F35" i="59"/>
  <c r="D49" i="59"/>
  <c r="H62" i="59"/>
  <c r="F70" i="59"/>
  <c r="I102" i="59"/>
  <c r="J102" i="59" s="1"/>
  <c r="M102" i="59" s="1"/>
  <c r="I103" i="59"/>
  <c r="J103" i="59"/>
  <c r="M103" i="59" s="1"/>
  <c r="I105" i="59"/>
  <c r="J105" i="59" s="1"/>
  <c r="M105" i="59" s="1"/>
  <c r="D12" i="61"/>
  <c r="F88" i="59"/>
  <c r="H88" i="59" s="1"/>
  <c r="B18" i="61"/>
  <c r="F14" i="59"/>
  <c r="F15" i="59"/>
  <c r="F16" i="59"/>
  <c r="F17" i="59"/>
  <c r="F19" i="59"/>
  <c r="F23" i="59"/>
  <c r="H39" i="59"/>
  <c r="F41" i="59"/>
  <c r="F42" i="59"/>
  <c r="F43" i="59"/>
  <c r="F44" i="59"/>
  <c r="F45" i="59"/>
  <c r="F47" i="59"/>
  <c r="F51" i="59"/>
  <c r="G16" i="61"/>
  <c r="J90" i="59"/>
  <c r="D25" i="60"/>
  <c r="H25" i="60" s="1"/>
  <c r="H23" i="60"/>
  <c r="D53" i="60"/>
  <c r="F38" i="55" s="1"/>
  <c r="F39" i="55" s="1"/>
  <c r="D41" i="60"/>
  <c r="H41" i="60" s="1"/>
  <c r="H34" i="60"/>
  <c r="D13" i="61"/>
  <c r="F89" i="59"/>
  <c r="H89" i="59" s="1"/>
  <c r="H82" i="59"/>
  <c r="F83" i="59"/>
  <c r="H83" i="59" s="1"/>
  <c r="J83" i="59" s="1"/>
  <c r="F87" i="59"/>
  <c r="F117" i="59" s="1"/>
  <c r="D16" i="61"/>
  <c r="H92" i="59"/>
  <c r="H101" i="59"/>
  <c r="F108" i="59"/>
  <c r="G109" i="59"/>
  <c r="G112" i="59" s="1"/>
  <c r="E110" i="59"/>
  <c r="F110" i="59" s="1"/>
  <c r="H110" i="59" s="1"/>
  <c r="J110" i="59" s="1"/>
  <c r="D112" i="59"/>
  <c r="D12" i="60"/>
  <c r="D18" i="60"/>
  <c r="C134" i="60"/>
  <c r="C140" i="60" s="1"/>
  <c r="F8" i="61"/>
  <c r="F12" i="61"/>
  <c r="I16" i="61"/>
  <c r="G36" i="63"/>
  <c r="G43" i="63" s="1"/>
  <c r="G44" i="63" s="1"/>
  <c r="O43" i="63"/>
  <c r="O44" i="63" s="1"/>
  <c r="O36" i="63"/>
  <c r="W36" i="63"/>
  <c r="W43" i="63" s="1"/>
  <c r="W44" i="63" s="1"/>
  <c r="AE36" i="63"/>
  <c r="AE43" i="63" s="1"/>
  <c r="AE44" i="63" s="1"/>
  <c r="AM36" i="63"/>
  <c r="AM43" i="63" s="1"/>
  <c r="AM44" i="63" s="1"/>
  <c r="AU43" i="63"/>
  <c r="AU44" i="63" s="1"/>
  <c r="AU36" i="63"/>
  <c r="AY32" i="63"/>
  <c r="F13" i="61"/>
  <c r="C62" i="61"/>
  <c r="G58" i="61"/>
  <c r="C63" i="61" s="1"/>
  <c r="G59" i="61"/>
  <c r="K43" i="63"/>
  <c r="K44" i="63" s="1"/>
  <c r="K36" i="63"/>
  <c r="S36" i="63"/>
  <c r="S43" i="63" s="1"/>
  <c r="S44" i="63" s="1"/>
  <c r="AA36" i="63"/>
  <c r="AA43" i="63" s="1"/>
  <c r="AA44" i="63" s="1"/>
  <c r="AI36" i="63"/>
  <c r="AI43" i="63" s="1"/>
  <c r="AI44" i="63" s="1"/>
  <c r="AQ43" i="63"/>
  <c r="AQ44" i="63" s="1"/>
  <c r="AQ36" i="63"/>
  <c r="BC36" i="63"/>
  <c r="BC43" i="63" s="1"/>
  <c r="BC44" i="63" s="1"/>
  <c r="F15" i="61"/>
  <c r="F16" i="61"/>
  <c r="F29" i="61"/>
  <c r="F33" i="61"/>
  <c r="C20" i="63"/>
  <c r="F24" i="61"/>
  <c r="AY28" i="63"/>
  <c r="H5" i="65"/>
  <c r="P101" i="66"/>
  <c r="P103" i="66" s="1"/>
  <c r="F17" i="55" s="1"/>
  <c r="F18" i="55" s="1"/>
  <c r="I4" i="65"/>
  <c r="J4" i="65" s="1"/>
  <c r="E382" i="64" s="1"/>
  <c r="E385" i="64" s="1"/>
  <c r="G3" i="44"/>
  <c r="G2" i="44"/>
  <c r="G61" i="54"/>
  <c r="E61" i="54"/>
  <c r="I61" i="54" s="1"/>
  <c r="K61" i="54" s="1"/>
  <c r="C61" i="54"/>
  <c r="K59" i="54"/>
  <c r="I59" i="54"/>
  <c r="C59" i="54"/>
  <c r="I58" i="54"/>
  <c r="K58" i="54" s="1"/>
  <c r="C58" i="54"/>
  <c r="G53" i="54"/>
  <c r="E53" i="54"/>
  <c r="I53" i="54" s="1"/>
  <c r="K53" i="54" s="1"/>
  <c r="C53" i="54"/>
  <c r="I51" i="54"/>
  <c r="K51" i="54" s="1"/>
  <c r="C51" i="54"/>
  <c r="I50" i="54"/>
  <c r="K50" i="54" s="1"/>
  <c r="C50" i="54"/>
  <c r="G47" i="54"/>
  <c r="G55" i="54" s="1"/>
  <c r="G63" i="54" s="1"/>
  <c r="E47" i="54"/>
  <c r="E55" i="54" s="1"/>
  <c r="C47" i="54"/>
  <c r="I45" i="54"/>
  <c r="K45" i="54" s="1"/>
  <c r="C45" i="54"/>
  <c r="K44" i="54"/>
  <c r="I44" i="54"/>
  <c r="C44" i="54"/>
  <c r="I43" i="54"/>
  <c r="K43" i="54" s="1"/>
  <c r="C43" i="54"/>
  <c r="I34" i="54"/>
  <c r="K34" i="54" s="1"/>
  <c r="G30" i="54"/>
  <c r="O30" i="54" s="1"/>
  <c r="E30" i="54"/>
  <c r="I30" i="54" s="1"/>
  <c r="K30" i="54" s="1"/>
  <c r="O28" i="54"/>
  <c r="M28" i="54"/>
  <c r="I28" i="54"/>
  <c r="K28" i="54" s="1"/>
  <c r="O27" i="54"/>
  <c r="M27" i="54"/>
  <c r="I27" i="54"/>
  <c r="K27" i="54" s="1"/>
  <c r="G22" i="54"/>
  <c r="O22" i="54" s="1"/>
  <c r="E22" i="54"/>
  <c r="M22" i="54" s="1"/>
  <c r="O20" i="54"/>
  <c r="M20" i="54"/>
  <c r="I20" i="54"/>
  <c r="K20" i="54" s="1"/>
  <c r="O19" i="54"/>
  <c r="M19" i="54"/>
  <c r="I19" i="54"/>
  <c r="K19" i="54" s="1"/>
  <c r="G16" i="54"/>
  <c r="O16" i="54" s="1"/>
  <c r="E16" i="54"/>
  <c r="E24" i="54" s="1"/>
  <c r="E32" i="54" s="1"/>
  <c r="O14" i="54"/>
  <c r="M14" i="54"/>
  <c r="I14" i="54"/>
  <c r="K14" i="54" s="1"/>
  <c r="O13" i="54"/>
  <c r="M13" i="54"/>
  <c r="I13" i="54"/>
  <c r="K13" i="54" s="1"/>
  <c r="O12" i="54"/>
  <c r="M12" i="54"/>
  <c r="I12" i="54"/>
  <c r="K12" i="54" s="1"/>
  <c r="G61" i="53"/>
  <c r="E61" i="53"/>
  <c r="I61" i="53" s="1"/>
  <c r="K61" i="53" s="1"/>
  <c r="C61" i="53"/>
  <c r="I59" i="53"/>
  <c r="K59" i="53" s="1"/>
  <c r="C59" i="53"/>
  <c r="K58" i="53"/>
  <c r="I58" i="53"/>
  <c r="C58" i="53"/>
  <c r="G53" i="53"/>
  <c r="E53" i="53"/>
  <c r="I53" i="53" s="1"/>
  <c r="K53" i="53" s="1"/>
  <c r="C53" i="53"/>
  <c r="I51" i="53"/>
  <c r="K51" i="53" s="1"/>
  <c r="C51" i="53"/>
  <c r="I50" i="53"/>
  <c r="K50" i="53" s="1"/>
  <c r="C50" i="53"/>
  <c r="G47" i="53"/>
  <c r="G55" i="53" s="1"/>
  <c r="G63" i="53" s="1"/>
  <c r="E47" i="53"/>
  <c r="E55" i="53" s="1"/>
  <c r="C47" i="53"/>
  <c r="I45" i="53"/>
  <c r="K45" i="53" s="1"/>
  <c r="C45" i="53"/>
  <c r="I44" i="53"/>
  <c r="K44" i="53" s="1"/>
  <c r="C44" i="53"/>
  <c r="I43" i="53"/>
  <c r="K43" i="53" s="1"/>
  <c r="C43" i="53"/>
  <c r="K34" i="53"/>
  <c r="I34" i="53"/>
  <c r="G30" i="53"/>
  <c r="O30" i="53" s="1"/>
  <c r="E30" i="53"/>
  <c r="I30" i="53" s="1"/>
  <c r="K30" i="53" s="1"/>
  <c r="O28" i="53"/>
  <c r="M28" i="53"/>
  <c r="I28" i="53"/>
  <c r="K28" i="53" s="1"/>
  <c r="O27" i="53"/>
  <c r="M27" i="53"/>
  <c r="I27" i="53"/>
  <c r="K27" i="53" s="1"/>
  <c r="G22" i="53"/>
  <c r="O22" i="53" s="1"/>
  <c r="E22" i="53"/>
  <c r="M22" i="53" s="1"/>
  <c r="O20" i="53"/>
  <c r="M20" i="53"/>
  <c r="I20" i="53"/>
  <c r="K20" i="53" s="1"/>
  <c r="O19" i="53"/>
  <c r="M19" i="53"/>
  <c r="I19" i="53"/>
  <c r="K19" i="53" s="1"/>
  <c r="G16" i="53"/>
  <c r="O16" i="53" s="1"/>
  <c r="E16" i="53"/>
  <c r="E24" i="53" s="1"/>
  <c r="E32" i="53" s="1"/>
  <c r="O14" i="53"/>
  <c r="M14" i="53"/>
  <c r="K14" i="53"/>
  <c r="I14" i="53"/>
  <c r="O13" i="53"/>
  <c r="M13" i="53"/>
  <c r="K13" i="53"/>
  <c r="I13" i="53"/>
  <c r="O12" i="53"/>
  <c r="M12" i="53"/>
  <c r="K12" i="53"/>
  <c r="I12" i="53"/>
  <c r="G61" i="52"/>
  <c r="E61" i="52"/>
  <c r="I61" i="52" s="1"/>
  <c r="K61" i="52" s="1"/>
  <c r="C61" i="52"/>
  <c r="I59" i="52"/>
  <c r="K59" i="52" s="1"/>
  <c r="C59" i="52"/>
  <c r="K58" i="52"/>
  <c r="I58" i="52"/>
  <c r="C58" i="52"/>
  <c r="G53" i="52"/>
  <c r="E53" i="52"/>
  <c r="I53" i="52" s="1"/>
  <c r="K53" i="52" s="1"/>
  <c r="C53" i="52"/>
  <c r="I51" i="52"/>
  <c r="K51" i="52" s="1"/>
  <c r="C51" i="52"/>
  <c r="I50" i="52"/>
  <c r="K50" i="52" s="1"/>
  <c r="C50" i="52"/>
  <c r="G47" i="52"/>
  <c r="G55" i="52" s="1"/>
  <c r="G63" i="52" s="1"/>
  <c r="E47" i="52"/>
  <c r="E55" i="52" s="1"/>
  <c r="C47" i="52"/>
  <c r="I45" i="52"/>
  <c r="K45" i="52" s="1"/>
  <c r="C45" i="52"/>
  <c r="K44" i="52"/>
  <c r="I44" i="52"/>
  <c r="C44" i="52"/>
  <c r="I43" i="52"/>
  <c r="K43" i="52" s="1"/>
  <c r="C43" i="52"/>
  <c r="K34" i="52"/>
  <c r="I34" i="52"/>
  <c r="G30" i="52"/>
  <c r="O30" i="52" s="1"/>
  <c r="E30" i="52"/>
  <c r="I30" i="52" s="1"/>
  <c r="K30" i="52" s="1"/>
  <c r="O28" i="52"/>
  <c r="M28" i="52"/>
  <c r="I28" i="52"/>
  <c r="K28" i="52" s="1"/>
  <c r="O27" i="52"/>
  <c r="M27" i="52"/>
  <c r="I27" i="52"/>
  <c r="K27" i="52" s="1"/>
  <c r="G22" i="52"/>
  <c r="O22" i="52" s="1"/>
  <c r="E22" i="52"/>
  <c r="M22" i="52" s="1"/>
  <c r="O20" i="52"/>
  <c r="M20" i="52"/>
  <c r="I20" i="52"/>
  <c r="K20" i="52" s="1"/>
  <c r="O19" i="52"/>
  <c r="M19" i="52"/>
  <c r="I19" i="52"/>
  <c r="K19" i="52" s="1"/>
  <c r="G16" i="52"/>
  <c r="G24" i="52" s="1"/>
  <c r="E16" i="52"/>
  <c r="E24" i="52" s="1"/>
  <c r="O14" i="52"/>
  <c r="M14" i="52"/>
  <c r="I14" i="52"/>
  <c r="K14" i="52" s="1"/>
  <c r="O13" i="52"/>
  <c r="M13" i="52"/>
  <c r="I13" i="52"/>
  <c r="K13" i="52" s="1"/>
  <c r="O12" i="52"/>
  <c r="M12" i="52"/>
  <c r="I12" i="52"/>
  <c r="K12" i="52" s="1"/>
  <c r="D26" i="48"/>
  <c r="D43" i="48" s="1"/>
  <c r="C26" i="48"/>
  <c r="C43" i="48" s="1"/>
  <c r="D17" i="48"/>
  <c r="D20" i="44" s="1"/>
  <c r="AP19" i="1" s="1"/>
  <c r="C17" i="48"/>
  <c r="C45" i="48" s="1"/>
  <c r="C50" i="48" s="1"/>
  <c r="F15" i="48"/>
  <c r="F18" i="47"/>
  <c r="E18" i="47"/>
  <c r="B53" i="46" s="1"/>
  <c r="D18" i="47"/>
  <c r="C18" i="47"/>
  <c r="B27" i="46" s="1"/>
  <c r="B18" i="47"/>
  <c r="A7" i="47"/>
  <c r="A8" i="47" s="1"/>
  <c r="A9" i="47" s="1"/>
  <c r="A10" i="47" s="1"/>
  <c r="A11" i="47" s="1"/>
  <c r="A12" i="47" s="1"/>
  <c r="A13" i="47" s="1"/>
  <c r="A14" i="47" s="1"/>
  <c r="A15" i="47" s="1"/>
  <c r="A16" i="47" s="1"/>
  <c r="A17" i="47" s="1"/>
  <c r="B66" i="46"/>
  <c r="B61" i="46"/>
  <c r="B65" i="46" s="1"/>
  <c r="B67" i="46" s="1"/>
  <c r="B59" i="46"/>
  <c r="B52" i="46"/>
  <c r="B54" i="46" s="1"/>
  <c r="B20" i="45" s="1"/>
  <c r="B48" i="46"/>
  <c r="B46" i="46"/>
  <c r="B49" i="46" s="1"/>
  <c r="B50" i="46" s="1"/>
  <c r="B40" i="46"/>
  <c r="B35" i="46"/>
  <c r="B39" i="46" s="1"/>
  <c r="B41" i="46" s="1"/>
  <c r="B21" i="45" s="1"/>
  <c r="B33" i="46"/>
  <c r="B26" i="46"/>
  <c r="B28" i="46" s="1"/>
  <c r="B22" i="45" s="1"/>
  <c r="B22" i="46"/>
  <c r="B20" i="46"/>
  <c r="B23" i="46" s="1"/>
  <c r="B24" i="46" s="1"/>
  <c r="B14" i="46"/>
  <c r="B9" i="46"/>
  <c r="B13" i="46" s="1"/>
  <c r="B7" i="46"/>
  <c r="D23" i="45"/>
  <c r="C23" i="45"/>
  <c r="D22" i="45"/>
  <c r="C22" i="45"/>
  <c r="C14" i="45" s="1"/>
  <c r="D21" i="45"/>
  <c r="D13" i="45" s="1"/>
  <c r="E15" i="44" s="1"/>
  <c r="AQ15" i="1" s="1"/>
  <c r="D20" i="45"/>
  <c r="D19" i="45"/>
  <c r="B19" i="45"/>
  <c r="D14" i="45"/>
  <c r="E16" i="44" s="1"/>
  <c r="AQ16" i="1" s="1"/>
  <c r="B14" i="45"/>
  <c r="D12" i="45"/>
  <c r="E14" i="44" s="1"/>
  <c r="AQ14" i="1" s="1"/>
  <c r="B12" i="45"/>
  <c r="C16" i="44"/>
  <c r="AO16" i="1" s="1"/>
  <c r="A15" i="44"/>
  <c r="A16" i="44" s="1"/>
  <c r="A17" i="44" s="1"/>
  <c r="A18" i="44" s="1"/>
  <c r="A19" i="44" s="1"/>
  <c r="A20" i="44" s="1"/>
  <c r="A21" i="44" s="1"/>
  <c r="A22" i="44" s="1"/>
  <c r="A23" i="44" s="1"/>
  <c r="A24" i="44" s="1"/>
  <c r="A25" i="44" s="1"/>
  <c r="A26" i="44" s="1"/>
  <c r="A27" i="44" s="1"/>
  <c r="A28" i="44" s="1"/>
  <c r="A29" i="44" s="1"/>
  <c r="A30" i="44" s="1"/>
  <c r="C14" i="44"/>
  <c r="H29" i="41"/>
  <c r="C13" i="39"/>
  <c r="BG18" i="1" s="1"/>
  <c r="H15" i="41"/>
  <c r="B5" i="39"/>
  <c r="B6" i="39"/>
  <c r="B4" i="39"/>
  <c r="E2" i="39"/>
  <c r="E1" i="39"/>
  <c r="D17" i="39"/>
  <c r="C1" i="98" l="1"/>
  <c r="J36" i="1"/>
  <c r="K39" i="1" s="1"/>
  <c r="E39" i="77"/>
  <c r="E41" i="77" s="1"/>
  <c r="I55" i="54"/>
  <c r="K55" i="54" s="1"/>
  <c r="E63" i="54"/>
  <c r="I55" i="52"/>
  <c r="K55" i="52" s="1"/>
  <c r="E63" i="52"/>
  <c r="I55" i="53"/>
  <c r="K55" i="53" s="1"/>
  <c r="E63" i="53"/>
  <c r="E23" i="45"/>
  <c r="B10" i="46"/>
  <c r="B11" i="46" s="1"/>
  <c r="B36" i="46"/>
  <c r="B37" i="46" s="1"/>
  <c r="B62" i="46"/>
  <c r="B63" i="46" s="1"/>
  <c r="M30" i="52"/>
  <c r="I47" i="52"/>
  <c r="K47" i="52" s="1"/>
  <c r="M16" i="53"/>
  <c r="I22" i="53"/>
  <c r="K22" i="53" s="1"/>
  <c r="G24" i="53"/>
  <c r="G32" i="53" s="1"/>
  <c r="M30" i="53"/>
  <c r="I47" i="53"/>
  <c r="K47" i="53" s="1"/>
  <c r="M16" i="54"/>
  <c r="I22" i="54"/>
  <c r="K22" i="54" s="1"/>
  <c r="G24" i="54"/>
  <c r="G32" i="54" s="1"/>
  <c r="M30" i="54"/>
  <c r="I47" i="54"/>
  <c r="K47" i="54" s="1"/>
  <c r="E17" i="80"/>
  <c r="O14" i="1"/>
  <c r="O19" i="1" s="1"/>
  <c r="D14" i="61"/>
  <c r="F14" i="61" s="1"/>
  <c r="D80" i="59"/>
  <c r="D7" i="61" s="1"/>
  <c r="F77" i="59"/>
  <c r="D27" i="59"/>
  <c r="D33" i="59"/>
  <c r="F18" i="59"/>
  <c r="B15" i="46"/>
  <c r="B23" i="45" s="1"/>
  <c r="F25" i="44"/>
  <c r="AR24" i="1" s="1"/>
  <c r="F21" i="48"/>
  <c r="F22" i="48" s="1"/>
  <c r="H15" i="48"/>
  <c r="D45" i="48"/>
  <c r="D50" i="48" s="1"/>
  <c r="I16" i="53"/>
  <c r="K16" i="53" s="1"/>
  <c r="I16" i="54"/>
  <c r="K16" i="54" s="1"/>
  <c r="D68" i="59"/>
  <c r="D71" i="59" s="1"/>
  <c r="F46" i="59"/>
  <c r="D31" i="59"/>
  <c r="AO14" i="1"/>
  <c r="AE30" i="78"/>
  <c r="U31" i="78"/>
  <c r="V47" i="78"/>
  <c r="AD31" i="78"/>
  <c r="D27" i="75"/>
  <c r="D36" i="75" s="1"/>
  <c r="K110" i="59"/>
  <c r="M110" i="59" s="1"/>
  <c r="AQ41" i="63"/>
  <c r="AA41" i="63"/>
  <c r="K41" i="63"/>
  <c r="G60" i="61"/>
  <c r="C65" i="61" s="1"/>
  <c r="AU41" i="63"/>
  <c r="AW36" i="63"/>
  <c r="AE41" i="63"/>
  <c r="AG36" i="63"/>
  <c r="O41" i="63"/>
  <c r="Q36" i="63"/>
  <c r="H18" i="60"/>
  <c r="D103" i="60"/>
  <c r="I101" i="59"/>
  <c r="J101" i="59"/>
  <c r="I45" i="59"/>
  <c r="F58" i="59"/>
  <c r="H51" i="59"/>
  <c r="F67" i="59"/>
  <c r="H45" i="59"/>
  <c r="F65" i="59"/>
  <c r="H43" i="59"/>
  <c r="F63" i="59"/>
  <c r="H41" i="59"/>
  <c r="F27" i="59"/>
  <c r="H23" i="59"/>
  <c r="F32" i="59"/>
  <c r="H17" i="59"/>
  <c r="F30" i="59"/>
  <c r="H15" i="59"/>
  <c r="G12" i="61"/>
  <c r="I12" i="61" s="1"/>
  <c r="J88" i="59"/>
  <c r="H109" i="59"/>
  <c r="J109" i="59" s="1"/>
  <c r="M109" i="59" s="1"/>
  <c r="F61" i="59"/>
  <c r="G22" i="55"/>
  <c r="F23" i="55" s="1"/>
  <c r="E32" i="55"/>
  <c r="E12" i="55"/>
  <c r="G12" i="55" s="1"/>
  <c r="B6" i="65"/>
  <c r="I5" i="65"/>
  <c r="J5" i="65" s="1"/>
  <c r="H6" i="65"/>
  <c r="B23" i="61"/>
  <c r="C43" i="63"/>
  <c r="C44" i="63" s="1"/>
  <c r="C36" i="63"/>
  <c r="AY20" i="63"/>
  <c r="BC41" i="63"/>
  <c r="AI41" i="63"/>
  <c r="S41" i="63"/>
  <c r="AM41" i="63"/>
  <c r="AO36" i="63" s="1"/>
  <c r="W41" i="63"/>
  <c r="Y36" i="63" s="1"/>
  <c r="G41" i="63"/>
  <c r="I36" i="63" s="1"/>
  <c r="D27" i="60"/>
  <c r="H12" i="60"/>
  <c r="E112" i="59"/>
  <c r="F120" i="59"/>
  <c r="H108" i="59"/>
  <c r="F112" i="59"/>
  <c r="G29" i="61"/>
  <c r="I29" i="61" s="1"/>
  <c r="J92" i="59"/>
  <c r="H117" i="59"/>
  <c r="H87" i="59"/>
  <c r="J82" i="59"/>
  <c r="H85" i="59"/>
  <c r="G8" i="61" s="1"/>
  <c r="I8" i="61" s="1"/>
  <c r="G13" i="61"/>
  <c r="I13" i="61" s="1"/>
  <c r="J89" i="59"/>
  <c r="F85" i="59"/>
  <c r="F69" i="59"/>
  <c r="H47" i="59"/>
  <c r="F66" i="59"/>
  <c r="H44" i="59"/>
  <c r="F64" i="59"/>
  <c r="H42" i="59"/>
  <c r="H61" i="59"/>
  <c r="J39" i="59"/>
  <c r="F34" i="59"/>
  <c r="H19" i="59"/>
  <c r="F31" i="59"/>
  <c r="H16" i="59"/>
  <c r="F21" i="59"/>
  <c r="F29" i="59"/>
  <c r="H14" i="59"/>
  <c r="F49" i="59"/>
  <c r="E9" i="55"/>
  <c r="G9" i="55" s="1"/>
  <c r="E20" i="44"/>
  <c r="F20" i="44" s="1"/>
  <c r="E14" i="45"/>
  <c r="F14" i="45" s="1"/>
  <c r="D16" i="44"/>
  <c r="E32" i="52"/>
  <c r="M24" i="52"/>
  <c r="I24" i="52"/>
  <c r="K24" i="52" s="1"/>
  <c r="E36" i="53"/>
  <c r="M32" i="53"/>
  <c r="I32" i="53"/>
  <c r="K32" i="53" s="1"/>
  <c r="E36" i="54"/>
  <c r="M32" i="54"/>
  <c r="I32" i="54"/>
  <c r="K32" i="54" s="1"/>
  <c r="D16" i="45"/>
  <c r="F23" i="45"/>
  <c r="B13" i="45"/>
  <c r="G32" i="52"/>
  <c r="O24" i="52"/>
  <c r="I63" i="52"/>
  <c r="K63" i="52" s="1"/>
  <c r="G36" i="53"/>
  <c r="O32" i="53"/>
  <c r="I63" i="53"/>
  <c r="K63" i="53" s="1"/>
  <c r="G36" i="54"/>
  <c r="O32" i="54"/>
  <c r="I63" i="54"/>
  <c r="K63" i="54" s="1"/>
  <c r="E22" i="45"/>
  <c r="F22" i="45" s="1"/>
  <c r="I16" i="52"/>
  <c r="K16" i="52" s="1"/>
  <c r="M16" i="52"/>
  <c r="I22" i="52"/>
  <c r="K22" i="52" s="1"/>
  <c r="I24" i="53"/>
  <c r="K24" i="53" s="1"/>
  <c r="M24" i="53"/>
  <c r="I24" i="54"/>
  <c r="K24" i="54" s="1"/>
  <c r="M24" i="54"/>
  <c r="D52" i="48"/>
  <c r="O16" i="52"/>
  <c r="O24" i="53"/>
  <c r="O24" i="54"/>
  <c r="G97" i="42"/>
  <c r="K55" i="42"/>
  <c r="H55" i="42"/>
  <c r="G55" i="42"/>
  <c r="I54" i="42"/>
  <c r="M54" i="42" s="1"/>
  <c r="I53" i="42"/>
  <c r="M53" i="42" s="1"/>
  <c r="I52" i="42"/>
  <c r="M52" i="42" s="1"/>
  <c r="I51" i="42"/>
  <c r="M51" i="42" s="1"/>
  <c r="L50" i="42"/>
  <c r="I50" i="42"/>
  <c r="M50" i="42" s="1"/>
  <c r="J49" i="42"/>
  <c r="J55" i="42" s="1"/>
  <c r="I49" i="42"/>
  <c r="M49" i="42" s="1"/>
  <c r="L48" i="42"/>
  <c r="I48" i="42"/>
  <c r="M48" i="42" s="1"/>
  <c r="I47" i="42"/>
  <c r="M47" i="42" s="1"/>
  <c r="L46" i="42"/>
  <c r="I46" i="42"/>
  <c r="M46" i="42" s="1"/>
  <c r="L45" i="42"/>
  <c r="I45" i="42"/>
  <c r="M45" i="42" s="1"/>
  <c r="L44" i="42"/>
  <c r="I44" i="42"/>
  <c r="M44" i="42" s="1"/>
  <c r="L43" i="42"/>
  <c r="I43" i="42"/>
  <c r="M43" i="42" s="1"/>
  <c r="L42" i="42"/>
  <c r="I42" i="42"/>
  <c r="M42" i="42" s="1"/>
  <c r="L41" i="42"/>
  <c r="I41" i="42"/>
  <c r="M41" i="42" s="1"/>
  <c r="L40" i="42"/>
  <c r="I40" i="42"/>
  <c r="M40" i="42" s="1"/>
  <c r="L39" i="42"/>
  <c r="I39" i="42"/>
  <c r="M39" i="42" s="1"/>
  <c r="L38" i="42"/>
  <c r="I38" i="42"/>
  <c r="M38" i="42" s="1"/>
  <c r="L37" i="42"/>
  <c r="I37" i="42"/>
  <c r="M37" i="42" s="1"/>
  <c r="L36" i="42"/>
  <c r="I36" i="42"/>
  <c r="M36" i="42" s="1"/>
  <c r="L35" i="42"/>
  <c r="I35" i="42"/>
  <c r="M35" i="42" s="1"/>
  <c r="L34" i="42"/>
  <c r="I34" i="42"/>
  <c r="M34" i="42" s="1"/>
  <c r="L33" i="42"/>
  <c r="I33" i="42"/>
  <c r="M33" i="42" s="1"/>
  <c r="L32" i="42"/>
  <c r="I32" i="42"/>
  <c r="M32" i="42" s="1"/>
  <c r="L31" i="42"/>
  <c r="M31" i="42"/>
  <c r="I30" i="42"/>
  <c r="M30" i="42" s="1"/>
  <c r="K28" i="42"/>
  <c r="I28" i="42"/>
  <c r="G28" i="42"/>
  <c r="M27" i="42"/>
  <c r="L27" i="42"/>
  <c r="H27" i="42"/>
  <c r="M26" i="42"/>
  <c r="H26" i="42"/>
  <c r="L26" i="42" s="1"/>
  <c r="M25" i="42"/>
  <c r="H25" i="42"/>
  <c r="L25" i="42" s="1"/>
  <c r="M24" i="42"/>
  <c r="H24" i="42"/>
  <c r="L24" i="42" s="1"/>
  <c r="M23" i="42"/>
  <c r="H23" i="42"/>
  <c r="L23" i="42" s="1"/>
  <c r="M22" i="42"/>
  <c r="H22" i="42"/>
  <c r="L22" i="42" s="1"/>
  <c r="M21" i="42"/>
  <c r="H21" i="42"/>
  <c r="L21" i="42" s="1"/>
  <c r="M20" i="42"/>
  <c r="H20" i="42"/>
  <c r="L20" i="42" s="1"/>
  <c r="M19" i="42"/>
  <c r="H19" i="42"/>
  <c r="L19" i="42" s="1"/>
  <c r="M18" i="42"/>
  <c r="H18" i="42"/>
  <c r="L18" i="42" s="1"/>
  <c r="M17" i="42"/>
  <c r="H17" i="42"/>
  <c r="J17" i="42" s="1"/>
  <c r="M16" i="42"/>
  <c r="H16" i="42"/>
  <c r="L16" i="42" s="1"/>
  <c r="M15" i="42"/>
  <c r="H15" i="42"/>
  <c r="L15" i="42" s="1"/>
  <c r="M14" i="42"/>
  <c r="H14" i="42"/>
  <c r="L14" i="42" s="1"/>
  <c r="M13" i="42"/>
  <c r="H13" i="42"/>
  <c r="L13" i="42" s="1"/>
  <c r="M12" i="42"/>
  <c r="H12" i="42"/>
  <c r="L12" i="42" s="1"/>
  <c r="M11" i="42"/>
  <c r="H11" i="42"/>
  <c r="L11" i="42" s="1"/>
  <c r="M10" i="42"/>
  <c r="L10" i="42"/>
  <c r="H10" i="42"/>
  <c r="M9" i="42"/>
  <c r="H9" i="42"/>
  <c r="L9" i="42" s="1"/>
  <c r="M8" i="42"/>
  <c r="M28" i="42" s="1"/>
  <c r="H8" i="42"/>
  <c r="L8" i="42" s="1"/>
  <c r="H7" i="42"/>
  <c r="L7" i="42" s="1"/>
  <c r="H6" i="42"/>
  <c r="L6" i="42" s="1"/>
  <c r="H5" i="42"/>
  <c r="J5" i="42" s="1"/>
  <c r="E24" i="40"/>
  <c r="E26" i="40" s="1"/>
  <c r="C24" i="40"/>
  <c r="C26" i="40" s="1"/>
  <c r="E10" i="40"/>
  <c r="E17" i="40" s="1"/>
  <c r="E20" i="40" s="1"/>
  <c r="E22" i="40" s="1"/>
  <c r="E28" i="40" s="1"/>
  <c r="D13" i="39" s="1"/>
  <c r="BG17" i="1" s="1"/>
  <c r="C10" i="40"/>
  <c r="C17" i="40" s="1"/>
  <c r="C20" i="40" s="1"/>
  <c r="C22" i="40" s="1"/>
  <c r="C28" i="40" s="1"/>
  <c r="E1" i="22" l="1"/>
  <c r="J1" i="22" s="1"/>
  <c r="D23" i="61"/>
  <c r="D36" i="59"/>
  <c r="D74" i="59" s="1"/>
  <c r="D98" i="59" s="1"/>
  <c r="D113" i="59" s="1"/>
  <c r="H18" i="59"/>
  <c r="H33" i="59" s="1"/>
  <c r="F33" i="59"/>
  <c r="D10" i="61"/>
  <c r="F7" i="61"/>
  <c r="E13" i="39"/>
  <c r="F16" i="44"/>
  <c r="G16" i="44" s="1"/>
  <c r="AP16" i="1"/>
  <c r="F36" i="59"/>
  <c r="H46" i="59"/>
  <c r="F68" i="59"/>
  <c r="D25" i="61"/>
  <c r="F25" i="61" s="1"/>
  <c r="D137" i="60" s="1"/>
  <c r="F80" i="59"/>
  <c r="G77" i="59"/>
  <c r="H77" i="59" s="1"/>
  <c r="J77" i="59" s="1"/>
  <c r="AQ19" i="1"/>
  <c r="AE31" i="78"/>
  <c r="U47" i="78"/>
  <c r="D13" i="74"/>
  <c r="I14" i="21" s="1"/>
  <c r="J16" i="59"/>
  <c r="H31" i="59"/>
  <c r="H34" i="59"/>
  <c r="G33" i="61"/>
  <c r="I33" i="61" s="1"/>
  <c r="H120" i="59"/>
  <c r="H112" i="59"/>
  <c r="J108" i="59"/>
  <c r="U41" i="63"/>
  <c r="U38" i="63"/>
  <c r="U34" i="63"/>
  <c r="U29" i="63"/>
  <c r="U26" i="63"/>
  <c r="U18" i="63"/>
  <c r="U16" i="63"/>
  <c r="U14" i="63"/>
  <c r="U9" i="63"/>
  <c r="U30" i="63"/>
  <c r="U27" i="63"/>
  <c r="U25" i="63"/>
  <c r="U17" i="63"/>
  <c r="U15" i="63"/>
  <c r="U10" i="63"/>
  <c r="U12" i="63"/>
  <c r="U32" i="63"/>
  <c r="U20" i="63"/>
  <c r="U28" i="63"/>
  <c r="AK41" i="63"/>
  <c r="AK38" i="63"/>
  <c r="AK34" i="63"/>
  <c r="AK29" i="63"/>
  <c r="AK26" i="63"/>
  <c r="AK18" i="63"/>
  <c r="AK16" i="63"/>
  <c r="AK14" i="63"/>
  <c r="AK9" i="63"/>
  <c r="AK30" i="63"/>
  <c r="AK27" i="63"/>
  <c r="AK25" i="63"/>
  <c r="AK17" i="63"/>
  <c r="AK15" i="63"/>
  <c r="AK10" i="63"/>
  <c r="AK12" i="63"/>
  <c r="AK32" i="63"/>
  <c r="AK20" i="63"/>
  <c r="AK28" i="63"/>
  <c r="BE34" i="63"/>
  <c r="BE38" i="63"/>
  <c r="BE29" i="63"/>
  <c r="BE26" i="63"/>
  <c r="BE18" i="63"/>
  <c r="BE16" i="63"/>
  <c r="BE14" i="63"/>
  <c r="BE9" i="63"/>
  <c r="BE12" i="63" s="1"/>
  <c r="BE30" i="63"/>
  <c r="BE28" i="63"/>
  <c r="BE27" i="63"/>
  <c r="BE25" i="63"/>
  <c r="BE17" i="63"/>
  <c r="BE15" i="63"/>
  <c r="BE10" i="63"/>
  <c r="BE32" i="63"/>
  <c r="F382" i="64"/>
  <c r="F71" i="59"/>
  <c r="F74" i="59" s="1"/>
  <c r="J15" i="59"/>
  <c r="H30" i="59"/>
  <c r="H32" i="59"/>
  <c r="I129" i="59"/>
  <c r="I131" i="59" s="1"/>
  <c r="J23" i="59"/>
  <c r="H27" i="59"/>
  <c r="J41" i="59"/>
  <c r="H63" i="59"/>
  <c r="J43" i="59"/>
  <c r="H65" i="59"/>
  <c r="H67" i="59"/>
  <c r="J45" i="59"/>
  <c r="I130" i="59"/>
  <c r="J51" i="59"/>
  <c r="J61" i="59" s="1"/>
  <c r="H58" i="59"/>
  <c r="I67" i="59"/>
  <c r="D112" i="60"/>
  <c r="M41" i="63"/>
  <c r="M38" i="63"/>
  <c r="M34" i="63"/>
  <c r="M29" i="63"/>
  <c r="M26" i="63"/>
  <c r="M18" i="63"/>
  <c r="M16" i="63"/>
  <c r="M14" i="63"/>
  <c r="M9" i="63"/>
  <c r="M30" i="63"/>
  <c r="M27" i="63"/>
  <c r="M25" i="63"/>
  <c r="M17" i="63"/>
  <c r="M15" i="63"/>
  <c r="M10" i="63"/>
  <c r="M32" i="63"/>
  <c r="M20" i="63"/>
  <c r="M12" i="63"/>
  <c r="M28" i="63"/>
  <c r="AC41" i="63"/>
  <c r="AC38" i="63"/>
  <c r="AC29" i="63"/>
  <c r="AC26" i="63"/>
  <c r="AC18" i="63"/>
  <c r="AC16" i="63"/>
  <c r="AC14" i="63"/>
  <c r="AC9" i="63"/>
  <c r="AC34" i="63"/>
  <c r="AC30" i="63"/>
  <c r="AC27" i="63"/>
  <c r="AC25" i="63"/>
  <c r="AC17" i="63"/>
  <c r="AC15" i="63"/>
  <c r="AC10" i="63"/>
  <c r="AC32" i="63"/>
  <c r="AC20" i="63"/>
  <c r="AC12" i="63"/>
  <c r="AC28" i="63"/>
  <c r="AS41" i="63"/>
  <c r="AS38" i="63"/>
  <c r="AS29" i="63"/>
  <c r="AS26" i="63"/>
  <c r="AS18" i="63"/>
  <c r="AS16" i="63"/>
  <c r="AS14" i="63"/>
  <c r="AS9" i="63"/>
  <c r="AS34" i="63"/>
  <c r="AS30" i="63"/>
  <c r="AS27" i="63"/>
  <c r="AS25" i="63"/>
  <c r="AS17" i="63"/>
  <c r="AS15" i="63"/>
  <c r="AS10" i="63"/>
  <c r="AS32" i="63"/>
  <c r="AS20" i="63"/>
  <c r="AS12" i="63"/>
  <c r="AS28" i="63"/>
  <c r="H21" i="59"/>
  <c r="J14" i="59"/>
  <c r="H29" i="59"/>
  <c r="J42" i="59"/>
  <c r="H64" i="59"/>
  <c r="J44" i="59"/>
  <c r="H66" i="59"/>
  <c r="H69" i="59"/>
  <c r="J47" i="59"/>
  <c r="J85" i="59"/>
  <c r="J87" i="59"/>
  <c r="J117" i="59" s="1"/>
  <c r="H27" i="60"/>
  <c r="E38" i="55"/>
  <c r="I38" i="63"/>
  <c r="I41" i="63"/>
  <c r="I30" i="63"/>
  <c r="I27" i="63"/>
  <c r="I25" i="63"/>
  <c r="I17" i="63"/>
  <c r="I15" i="63"/>
  <c r="I10" i="63"/>
  <c r="I34" i="63"/>
  <c r="I29" i="63"/>
  <c r="I26" i="63"/>
  <c r="I18" i="63"/>
  <c r="I16" i="63"/>
  <c r="I14" i="63"/>
  <c r="I9" i="63"/>
  <c r="I28" i="63"/>
  <c r="I20" i="63"/>
  <c r="I32" i="63"/>
  <c r="I12" i="63"/>
  <c r="Y38" i="63"/>
  <c r="Y41" i="63"/>
  <c r="Y34" i="63"/>
  <c r="Y30" i="63"/>
  <c r="Y27" i="63"/>
  <c r="Y25" i="63"/>
  <c r="Y17" i="63"/>
  <c r="Y15" i="63"/>
  <c r="Y10" i="63"/>
  <c r="Y29" i="63"/>
  <c r="Y26" i="63"/>
  <c r="Y18" i="63"/>
  <c r="Y16" i="63"/>
  <c r="Y14" i="63"/>
  <c r="Y9" i="63"/>
  <c r="Y28" i="63"/>
  <c r="Y20" i="63"/>
  <c r="Y32" i="63"/>
  <c r="Y12" i="63"/>
  <c r="AO38" i="63"/>
  <c r="AO41" i="63"/>
  <c r="AO34" i="63"/>
  <c r="AO30" i="63"/>
  <c r="AO27" i="63"/>
  <c r="AO25" i="63"/>
  <c r="AO17" i="63"/>
  <c r="AO15" i="63"/>
  <c r="AO10" i="63"/>
  <c r="AO29" i="63"/>
  <c r="AO26" i="63"/>
  <c r="AO18" i="63"/>
  <c r="AO16" i="63"/>
  <c r="AO14" i="63"/>
  <c r="AO9" i="63"/>
  <c r="AO28" i="63"/>
  <c r="AO20" i="63"/>
  <c r="AO32" i="63"/>
  <c r="AO12" i="63"/>
  <c r="U36" i="63"/>
  <c r="AK36" i="63"/>
  <c r="BE36" i="63"/>
  <c r="C41" i="63"/>
  <c r="E36" i="63" s="1"/>
  <c r="AY36" i="63"/>
  <c r="B27" i="61"/>
  <c r="F23" i="61"/>
  <c r="B7" i="65"/>
  <c r="I6" i="65"/>
  <c r="J6" i="65" s="1"/>
  <c r="G382" i="64" s="1"/>
  <c r="G385" i="64" s="1"/>
  <c r="H7" i="65"/>
  <c r="G32" i="55"/>
  <c r="E23" i="55"/>
  <c r="G23" i="55" s="1"/>
  <c r="M101" i="59"/>
  <c r="Q38" i="63"/>
  <c r="Q41" i="63"/>
  <c r="Q30" i="63"/>
  <c r="Q27" i="63"/>
  <c r="Q25" i="63"/>
  <c r="Q17" i="63"/>
  <c r="Q15" i="63"/>
  <c r="Q10" i="63"/>
  <c r="Q34" i="63"/>
  <c r="Q29" i="63"/>
  <c r="Q26" i="63"/>
  <c r="Q18" i="63"/>
  <c r="Q16" i="63"/>
  <c r="Q14" i="63"/>
  <c r="Q9" i="63"/>
  <c r="Q20" i="63"/>
  <c r="Q32" i="63"/>
  <c r="Q28" i="63"/>
  <c r="Q12" i="63"/>
  <c r="AG38" i="63"/>
  <c r="AG41" i="63"/>
  <c r="AG34" i="63"/>
  <c r="AG30" i="63"/>
  <c r="AG27" i="63"/>
  <c r="AG25" i="63"/>
  <c r="AG17" i="63"/>
  <c r="AG15" i="63"/>
  <c r="AG10" i="63"/>
  <c r="AG29" i="63"/>
  <c r="AG26" i="63"/>
  <c r="AG18" i="63"/>
  <c r="AG16" i="63"/>
  <c r="AG14" i="63"/>
  <c r="AG9" i="63"/>
  <c r="AG20" i="63"/>
  <c r="AG32" i="63"/>
  <c r="AG28" i="63"/>
  <c r="AG12" i="63"/>
  <c r="AW38" i="63"/>
  <c r="AW41" i="63"/>
  <c r="AW34" i="63"/>
  <c r="AW30" i="63"/>
  <c r="AW27" i="63"/>
  <c r="AW25" i="63"/>
  <c r="AW17" i="63"/>
  <c r="AW15" i="63"/>
  <c r="AW10" i="63"/>
  <c r="AW29" i="63"/>
  <c r="AW28" i="63"/>
  <c r="AW26" i="63"/>
  <c r="AW18" i="63"/>
  <c r="AW16" i="63"/>
  <c r="AW14" i="63"/>
  <c r="AW9" i="63"/>
  <c r="AW20" i="63"/>
  <c r="AW32" i="63"/>
  <c r="AW12" i="63"/>
  <c r="M36" i="63"/>
  <c r="AC36" i="63"/>
  <c r="AS36" i="63"/>
  <c r="C15" i="44"/>
  <c r="AO15" i="1" s="1"/>
  <c r="C19" i="45"/>
  <c r="E19" i="45" s="1"/>
  <c r="F19" i="45" s="1"/>
  <c r="I36" i="54"/>
  <c r="K36" i="54" s="1"/>
  <c r="E36" i="52"/>
  <c r="M32" i="52"/>
  <c r="I32" i="52"/>
  <c r="K32" i="52" s="1"/>
  <c r="B16" i="45"/>
  <c r="G36" i="52"/>
  <c r="O32" i="52"/>
  <c r="I36" i="53"/>
  <c r="K36" i="53" s="1"/>
  <c r="C20" i="45"/>
  <c r="M55" i="42"/>
  <c r="J28" i="42"/>
  <c r="L17" i="42"/>
  <c r="H28" i="42"/>
  <c r="I55" i="42"/>
  <c r="L49" i="42"/>
  <c r="L55" i="42" s="1"/>
  <c r="D54" i="1"/>
  <c r="N1" i="22" l="1"/>
  <c r="F4" i="98" s="1"/>
  <c r="G79" i="59"/>
  <c r="H79" i="59" s="1"/>
  <c r="J79" i="59" s="1"/>
  <c r="G78" i="59"/>
  <c r="F10" i="61"/>
  <c r="D18" i="61"/>
  <c r="F18" i="61" s="1"/>
  <c r="D27" i="61"/>
  <c r="D31" i="61" s="1"/>
  <c r="D36" i="61" s="1"/>
  <c r="D37" i="80"/>
  <c r="C62" i="77"/>
  <c r="D147" i="60"/>
  <c r="E104" i="59" s="1"/>
  <c r="F104" i="59" s="1"/>
  <c r="D136" i="60"/>
  <c r="D146" i="60" s="1"/>
  <c r="H68" i="59"/>
  <c r="H71" i="59" s="1"/>
  <c r="J46" i="59"/>
  <c r="J68" i="59" s="1"/>
  <c r="H49" i="59"/>
  <c r="AR19" i="1"/>
  <c r="AI6" i="76"/>
  <c r="AG6" i="76"/>
  <c r="AE6" i="76"/>
  <c r="AC6" i="76"/>
  <c r="AA6" i="76"/>
  <c r="Y6" i="76"/>
  <c r="W6" i="76"/>
  <c r="U6" i="76"/>
  <c r="S6" i="76"/>
  <c r="Q6" i="76"/>
  <c r="O6" i="76"/>
  <c r="M6" i="76"/>
  <c r="K6" i="76"/>
  <c r="I6" i="76"/>
  <c r="G6" i="76"/>
  <c r="E6" i="76"/>
  <c r="C6" i="76"/>
  <c r="AH6" i="76"/>
  <c r="AF6" i="76"/>
  <c r="AD6" i="76"/>
  <c r="AB6" i="76"/>
  <c r="Z6" i="76"/>
  <c r="X6" i="76"/>
  <c r="V6" i="76"/>
  <c r="T6" i="76"/>
  <c r="R6" i="76"/>
  <c r="P6" i="76"/>
  <c r="N6" i="76"/>
  <c r="L6" i="76"/>
  <c r="J6" i="76"/>
  <c r="H6" i="76"/>
  <c r="F6" i="76"/>
  <c r="D6" i="76"/>
  <c r="B6" i="76"/>
  <c r="E13" i="74"/>
  <c r="D14" i="74"/>
  <c r="E14" i="74" s="1"/>
  <c r="F27" i="61"/>
  <c r="B31" i="61"/>
  <c r="E39" i="55"/>
  <c r="G38" i="55"/>
  <c r="G39" i="55" s="1"/>
  <c r="F40" i="55" s="1"/>
  <c r="J66" i="59"/>
  <c r="J64" i="59"/>
  <c r="G24" i="61"/>
  <c r="I24" i="61" s="1"/>
  <c r="J29" i="59"/>
  <c r="J65" i="59"/>
  <c r="J63" i="59"/>
  <c r="F385" i="64"/>
  <c r="J31" i="59"/>
  <c r="B8" i="65"/>
  <c r="I7" i="65"/>
  <c r="J7" i="65" s="1"/>
  <c r="H382" i="64" s="1"/>
  <c r="H385" i="64" s="1"/>
  <c r="H8" i="65"/>
  <c r="AY41" i="63"/>
  <c r="E41" i="63"/>
  <c r="E38" i="63"/>
  <c r="E34" i="63"/>
  <c r="E29" i="63"/>
  <c r="E26" i="63"/>
  <c r="E18" i="63"/>
  <c r="E16" i="63"/>
  <c r="E14" i="63"/>
  <c r="E9" i="63"/>
  <c r="E30" i="63"/>
  <c r="E27" i="63"/>
  <c r="E25" i="63"/>
  <c r="E17" i="63"/>
  <c r="E15" i="63"/>
  <c r="E10" i="63"/>
  <c r="E12" i="63"/>
  <c r="E32" i="63"/>
  <c r="E28" i="63"/>
  <c r="E20" i="63"/>
  <c r="AY43" i="63"/>
  <c r="AY44" i="63" s="1"/>
  <c r="J69" i="59"/>
  <c r="G23" i="61"/>
  <c r="H36" i="59"/>
  <c r="J58" i="59"/>
  <c r="J67" i="59"/>
  <c r="J30" i="59"/>
  <c r="BE20" i="63"/>
  <c r="J120" i="59"/>
  <c r="K108" i="59"/>
  <c r="K112" i="59" s="1"/>
  <c r="J112" i="59"/>
  <c r="M108" i="59"/>
  <c r="C12" i="45"/>
  <c r="E20" i="45"/>
  <c r="F20" i="45" s="1"/>
  <c r="C21" i="45"/>
  <c r="I36" i="52"/>
  <c r="K36" i="52" s="1"/>
  <c r="L5" i="42"/>
  <c r="L28" i="42" s="1"/>
  <c r="BW23" i="1"/>
  <c r="A7" i="27"/>
  <c r="A8" i="27"/>
  <c r="A6" i="27"/>
  <c r="G24" i="34"/>
  <c r="H24" i="34" s="1"/>
  <c r="G35" i="34"/>
  <c r="H35" i="34" s="1"/>
  <c r="D35" i="34"/>
  <c r="E35" i="34" s="1"/>
  <c r="G34" i="34"/>
  <c r="H34" i="34" s="1"/>
  <c r="D34" i="34"/>
  <c r="E34" i="34" s="1"/>
  <c r="G33" i="34"/>
  <c r="H33" i="34" s="1"/>
  <c r="D33" i="34"/>
  <c r="E33" i="34" s="1"/>
  <c r="G32" i="34"/>
  <c r="H32" i="34" s="1"/>
  <c r="D32" i="34"/>
  <c r="E32" i="34" s="1"/>
  <c r="G31" i="34"/>
  <c r="H31" i="34" s="1"/>
  <c r="D31" i="34"/>
  <c r="E31" i="34" s="1"/>
  <c r="G30" i="34"/>
  <c r="H30" i="34" s="1"/>
  <c r="D30" i="34"/>
  <c r="E30" i="34" s="1"/>
  <c r="G29" i="34"/>
  <c r="H29" i="34" s="1"/>
  <c r="D29" i="34"/>
  <c r="E29" i="34" s="1"/>
  <c r="G28" i="34"/>
  <c r="H28" i="34" s="1"/>
  <c r="D28" i="34"/>
  <c r="E28" i="34" s="1"/>
  <c r="G27" i="34"/>
  <c r="H27" i="34" s="1"/>
  <c r="D27" i="34"/>
  <c r="E27" i="34" s="1"/>
  <c r="G26" i="34"/>
  <c r="H26" i="34" s="1"/>
  <c r="E26" i="34"/>
  <c r="D26" i="34"/>
  <c r="H25" i="34"/>
  <c r="G25" i="34"/>
  <c r="D25" i="34"/>
  <c r="E25" i="34" s="1"/>
  <c r="E24" i="34"/>
  <c r="D24" i="34"/>
  <c r="A7" i="33"/>
  <c r="A6" i="33"/>
  <c r="A5" i="33"/>
  <c r="D3" i="27"/>
  <c r="D2" i="27"/>
  <c r="D2" i="33"/>
  <c r="D1" i="33"/>
  <c r="D46" i="1"/>
  <c r="I18" i="21"/>
  <c r="H38" i="7"/>
  <c r="V22" i="1"/>
  <c r="AA23" i="1" s="1"/>
  <c r="I65" i="1"/>
  <c r="N36" i="1" s="1"/>
  <c r="E21" i="38"/>
  <c r="D21" i="38"/>
  <c r="C21" i="38"/>
  <c r="B21" i="38"/>
  <c r="E5" i="38"/>
  <c r="E6" i="38" s="1"/>
  <c r="H21" i="37"/>
  <c r="G19" i="34"/>
  <c r="H19" i="34" s="1"/>
  <c r="D19" i="34"/>
  <c r="E19" i="34" s="1"/>
  <c r="C19" i="34"/>
  <c r="G18" i="34"/>
  <c r="H18" i="34" s="1"/>
  <c r="D18" i="34"/>
  <c r="E18" i="34" s="1"/>
  <c r="C18" i="34"/>
  <c r="G17" i="34"/>
  <c r="H17" i="34" s="1"/>
  <c r="E17" i="34"/>
  <c r="D17" i="34"/>
  <c r="C17" i="34"/>
  <c r="G16" i="34"/>
  <c r="H16" i="34" s="1"/>
  <c r="D16" i="34"/>
  <c r="E16" i="34" s="1"/>
  <c r="C16" i="34"/>
  <c r="G15" i="34"/>
  <c r="H15" i="34" s="1"/>
  <c r="D15" i="34"/>
  <c r="E15" i="34" s="1"/>
  <c r="C15" i="34"/>
  <c r="G14" i="34"/>
  <c r="H14" i="34" s="1"/>
  <c r="D14" i="34"/>
  <c r="E14" i="34" s="1"/>
  <c r="C14" i="34"/>
  <c r="G13" i="34"/>
  <c r="H13" i="34" s="1"/>
  <c r="E13" i="34"/>
  <c r="D13" i="34"/>
  <c r="C13" i="34"/>
  <c r="G12" i="34"/>
  <c r="H12" i="34" s="1"/>
  <c r="D12" i="34"/>
  <c r="E12" i="34" s="1"/>
  <c r="C12" i="34"/>
  <c r="G11" i="34"/>
  <c r="H11" i="34" s="1"/>
  <c r="D11" i="34"/>
  <c r="E11" i="34" s="1"/>
  <c r="C11" i="34"/>
  <c r="G10" i="34"/>
  <c r="H10" i="34" s="1"/>
  <c r="D10" i="34"/>
  <c r="E10" i="34" s="1"/>
  <c r="C10" i="34"/>
  <c r="G9" i="34"/>
  <c r="H9" i="34" s="1"/>
  <c r="E9" i="34"/>
  <c r="D9" i="34"/>
  <c r="C9" i="34"/>
  <c r="G8" i="34"/>
  <c r="H8" i="34" s="1"/>
  <c r="D8" i="34"/>
  <c r="E8" i="34" s="1"/>
  <c r="C8" i="34"/>
  <c r="D12" i="28"/>
  <c r="D11" i="28"/>
  <c r="D13" i="28"/>
  <c r="D14" i="28" s="1"/>
  <c r="D15" i="28" s="1"/>
  <c r="D16" i="28" s="1"/>
  <c r="D17" i="28" s="1"/>
  <c r="D18" i="28" s="1"/>
  <c r="D19" i="28" s="1"/>
  <c r="D20" i="28" s="1"/>
  <c r="D21" i="28" s="1"/>
  <c r="D22" i="28" s="1"/>
  <c r="D23" i="28" s="1"/>
  <c r="D24" i="28" s="1"/>
  <c r="D25" i="28" s="1"/>
  <c r="D26" i="28" s="1"/>
  <c r="D27" i="28" s="1"/>
  <c r="D28" i="28" s="1"/>
  <c r="D29" i="28" s="1"/>
  <c r="D30" i="28" s="1"/>
  <c r="D31" i="28" s="1"/>
  <c r="D32" i="28" s="1"/>
  <c r="D33" i="28" s="1"/>
  <c r="D34" i="28" s="1"/>
  <c r="D35" i="28" s="1"/>
  <c r="D36" i="28" s="1"/>
  <c r="B13" i="28"/>
  <c r="B12" i="28"/>
  <c r="B11" i="28"/>
  <c r="E37" i="29"/>
  <c r="E41" i="29" s="1"/>
  <c r="E19" i="29"/>
  <c r="E40" i="29" s="1"/>
  <c r="E37" i="28"/>
  <c r="C37" i="28"/>
  <c r="B14" i="28"/>
  <c r="B15" i="28" s="1"/>
  <c r="B16" i="28" s="1"/>
  <c r="B17" i="28" s="1"/>
  <c r="B18" i="28" s="1"/>
  <c r="B19" i="28" s="1"/>
  <c r="B20" i="28" s="1"/>
  <c r="B21" i="28" s="1"/>
  <c r="B22" i="28" s="1"/>
  <c r="B23" i="28" s="1"/>
  <c r="B24" i="28" s="1"/>
  <c r="B25" i="28" s="1"/>
  <c r="B26" i="28" s="1"/>
  <c r="B27" i="28" s="1"/>
  <c r="B28" i="28" s="1"/>
  <c r="B29" i="28" s="1"/>
  <c r="B30" i="28" s="1"/>
  <c r="B31" i="28" s="1"/>
  <c r="B32" i="28" s="1"/>
  <c r="B33" i="28" s="1"/>
  <c r="B34" i="28" s="1"/>
  <c r="B35" i="28" s="1"/>
  <c r="B36" i="28" s="1"/>
  <c r="A15" i="27"/>
  <c r="A16" i="27" s="1"/>
  <c r="A17" i="27" s="1"/>
  <c r="A18" i="27" s="1"/>
  <c r="A19" i="27" s="1"/>
  <c r="A20" i="27" s="1"/>
  <c r="A21" i="27" s="1"/>
  <c r="A22" i="27" s="1"/>
  <c r="A23" i="27" s="1"/>
  <c r="A24" i="27" s="1"/>
  <c r="A25" i="27" s="1"/>
  <c r="A26" i="27" s="1"/>
  <c r="M4" i="94" l="1"/>
  <c r="L4" i="20"/>
  <c r="E4" i="22"/>
  <c r="CW4" i="1"/>
  <c r="J4" i="22"/>
  <c r="N4" i="22"/>
  <c r="R4" i="20"/>
  <c r="AN4" i="20"/>
  <c r="X4" i="20"/>
  <c r="O4" i="21"/>
  <c r="AF4" i="20"/>
  <c r="J4" i="21"/>
  <c r="E4" i="21"/>
  <c r="F4" i="1"/>
  <c r="K4" i="1"/>
  <c r="O4" i="1"/>
  <c r="S4" i="1"/>
  <c r="W4" i="1"/>
  <c r="AB4" i="1"/>
  <c r="AG4" i="1"/>
  <c r="AL4" i="1"/>
  <c r="AS4" i="1"/>
  <c r="AX4" i="1"/>
  <c r="BC4" i="1"/>
  <c r="BG4" i="1"/>
  <c r="BL4" i="1"/>
  <c r="BP4" i="1"/>
  <c r="BT4" i="1"/>
  <c r="BX4" i="1"/>
  <c r="CC4" i="1"/>
  <c r="CH4" i="1"/>
  <c r="CN4" i="1"/>
  <c r="CS4" i="1"/>
  <c r="C21" i="34"/>
  <c r="N18" i="21"/>
  <c r="I24" i="21"/>
  <c r="H74" i="59"/>
  <c r="H104" i="59"/>
  <c r="F106" i="59"/>
  <c r="F116" i="59" s="1"/>
  <c r="C21" i="80"/>
  <c r="E21" i="80" s="1"/>
  <c r="C54" i="77"/>
  <c r="D54" i="77" s="1"/>
  <c r="D148" i="60"/>
  <c r="E93" i="59"/>
  <c r="H78" i="59"/>
  <c r="G80" i="59"/>
  <c r="G98" i="59" s="1"/>
  <c r="G113" i="59" s="1"/>
  <c r="E42" i="29"/>
  <c r="D20" i="27"/>
  <c r="E21" i="74"/>
  <c r="E16" i="74"/>
  <c r="E18" i="74" s="1"/>
  <c r="AI8" i="76"/>
  <c r="AG8" i="76"/>
  <c r="AE8" i="76"/>
  <c r="AC8" i="76"/>
  <c r="AA8" i="76"/>
  <c r="Y8" i="76"/>
  <c r="W8" i="76"/>
  <c r="U8" i="76"/>
  <c r="S8" i="76"/>
  <c r="Q8" i="76"/>
  <c r="O8" i="76"/>
  <c r="M8" i="76"/>
  <c r="K8" i="76"/>
  <c r="I8" i="76"/>
  <c r="G8" i="76"/>
  <c r="E8" i="76"/>
  <c r="C8" i="76"/>
  <c r="AH8" i="76"/>
  <c r="AF8" i="76"/>
  <c r="AD8" i="76"/>
  <c r="AB8" i="76"/>
  <c r="Z8" i="76"/>
  <c r="X8" i="76"/>
  <c r="V8" i="76"/>
  <c r="T8" i="76"/>
  <c r="R8" i="76"/>
  <c r="P8" i="76"/>
  <c r="N8" i="76"/>
  <c r="L8" i="76"/>
  <c r="J8" i="76"/>
  <c r="H8" i="76"/>
  <c r="F8" i="76"/>
  <c r="D8" i="76"/>
  <c r="B8" i="76"/>
  <c r="E40" i="55"/>
  <c r="G40" i="55" s="1"/>
  <c r="I23" i="61"/>
  <c r="BA38" i="63"/>
  <c r="BA41" i="63"/>
  <c r="BA29" i="63"/>
  <c r="BA18" i="63"/>
  <c r="BA10" i="63"/>
  <c r="BA16" i="63"/>
  <c r="BA30" i="63"/>
  <c r="BA9" i="63"/>
  <c r="BA17" i="63"/>
  <c r="BA27" i="63"/>
  <c r="BA14" i="63"/>
  <c r="BA26" i="63"/>
  <c r="BA12" i="63"/>
  <c r="BA15" i="63"/>
  <c r="BA25" i="63"/>
  <c r="BA34" i="63"/>
  <c r="BA28" i="63"/>
  <c r="BA32" i="63"/>
  <c r="BA20" i="63"/>
  <c r="B9" i="65"/>
  <c r="I8" i="65"/>
  <c r="J8" i="65" s="1"/>
  <c r="H9" i="65"/>
  <c r="B36" i="61"/>
  <c r="F36" i="61" s="1"/>
  <c r="F31" i="61"/>
  <c r="M120" i="59"/>
  <c r="M112" i="59"/>
  <c r="BA36" i="63"/>
  <c r="E21" i="45"/>
  <c r="F21" i="45" s="1"/>
  <c r="C13" i="45"/>
  <c r="E12" i="45"/>
  <c r="D14" i="44"/>
  <c r="E7" i="38"/>
  <c r="G7" i="38" s="1"/>
  <c r="F10" i="34" s="1"/>
  <c r="G5" i="38"/>
  <c r="F8" i="34" s="1"/>
  <c r="G6" i="38"/>
  <c r="F9" i="34" s="1"/>
  <c r="D37" i="28"/>
  <c r="E51" i="28" s="1"/>
  <c r="B37" i="28"/>
  <c r="E50" i="28" s="1"/>
  <c r="E53" i="28" s="1"/>
  <c r="D15" i="27" l="1"/>
  <c r="BX14" i="1" s="1"/>
  <c r="I8" i="34"/>
  <c r="F24" i="34"/>
  <c r="AB10" i="76"/>
  <c r="AF10" i="76"/>
  <c r="J78" i="59"/>
  <c r="J80" i="59" s="1"/>
  <c r="H80" i="59"/>
  <c r="G7" i="61" s="1"/>
  <c r="H106" i="59"/>
  <c r="I104" i="59"/>
  <c r="I106" i="59" s="1"/>
  <c r="I48" i="59"/>
  <c r="I9" i="34"/>
  <c r="F25" i="34"/>
  <c r="I10" i="34"/>
  <c r="F26" i="34"/>
  <c r="F14" i="44"/>
  <c r="G14" i="44" s="1"/>
  <c r="AP14" i="1"/>
  <c r="AR14" i="1" s="1"/>
  <c r="F93" i="59"/>
  <c r="E97" i="59"/>
  <c r="E98" i="59" s="1"/>
  <c r="E113" i="59" s="1"/>
  <c r="BX19" i="1"/>
  <c r="P10" i="76"/>
  <c r="D10" i="76"/>
  <c r="T10" i="76"/>
  <c r="H10" i="76"/>
  <c r="X10" i="76"/>
  <c r="L10" i="76"/>
  <c r="O10" i="76"/>
  <c r="C10" i="76"/>
  <c r="S10" i="76"/>
  <c r="G10" i="76"/>
  <c r="W10" i="76"/>
  <c r="K10" i="76"/>
  <c r="AA10" i="76"/>
  <c r="AE10" i="76"/>
  <c r="AI10" i="76"/>
  <c r="N10" i="76"/>
  <c r="B10" i="76"/>
  <c r="R10" i="76"/>
  <c r="F10" i="76"/>
  <c r="V10" i="76"/>
  <c r="J10" i="76"/>
  <c r="Z10" i="76"/>
  <c r="AD10" i="76"/>
  <c r="AH10" i="76"/>
  <c r="Q10" i="76"/>
  <c r="E10" i="76"/>
  <c r="U10" i="76"/>
  <c r="I10" i="76"/>
  <c r="Y10" i="76"/>
  <c r="M10" i="76"/>
  <c r="AC10" i="76"/>
  <c r="AG10" i="76"/>
  <c r="E22" i="74"/>
  <c r="E23" i="74" s="1"/>
  <c r="I382" i="64"/>
  <c r="J16" i="65"/>
  <c r="H10" i="65"/>
  <c r="I9" i="65"/>
  <c r="B10" i="65"/>
  <c r="D15" i="44"/>
  <c r="E13" i="45"/>
  <c r="F13" i="45" s="1"/>
  <c r="C16" i="45"/>
  <c r="E16" i="45"/>
  <c r="F12" i="45"/>
  <c r="F16" i="45" s="1"/>
  <c r="E8" i="38"/>
  <c r="G8" i="38"/>
  <c r="F11" i="34" s="1"/>
  <c r="D14" i="27"/>
  <c r="J5" i="24"/>
  <c r="F25" i="24"/>
  <c r="F29" i="24"/>
  <c r="F30" i="24"/>
  <c r="F31" i="24"/>
  <c r="F33" i="24"/>
  <c r="F34" i="24"/>
  <c r="F36" i="24"/>
  <c r="F37" i="24"/>
  <c r="F38" i="24"/>
  <c r="F39" i="24"/>
  <c r="F40" i="24"/>
  <c r="F48" i="24"/>
  <c r="F16" i="24"/>
  <c r="K58" i="24"/>
  <c r="K59" i="24" s="1"/>
  <c r="K48" i="24" s="1"/>
  <c r="K57" i="24"/>
  <c r="J57" i="24"/>
  <c r="J59" i="24" s="1"/>
  <c r="L56" i="24"/>
  <c r="L55" i="24"/>
  <c r="L54" i="24"/>
  <c r="L53" i="24"/>
  <c r="L57" i="24" s="1"/>
  <c r="N27" i="24"/>
  <c r="N44" i="24" s="1"/>
  <c r="N46" i="24" s="1"/>
  <c r="M27" i="24"/>
  <c r="M44" i="24" s="1"/>
  <c r="M46" i="24" s="1"/>
  <c r="L27" i="24"/>
  <c r="L44" i="24" s="1"/>
  <c r="L46" i="24" s="1"/>
  <c r="K27" i="24"/>
  <c r="K44" i="24" s="1"/>
  <c r="K46" i="24" s="1"/>
  <c r="J27" i="24"/>
  <c r="J44" i="24" s="1"/>
  <c r="P18" i="24"/>
  <c r="P17" i="24"/>
  <c r="P15" i="24"/>
  <c r="A15" i="24"/>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A44" i="24" s="1"/>
  <c r="A45" i="24" s="1"/>
  <c r="A46" i="24" s="1"/>
  <c r="A47" i="24" s="1"/>
  <c r="A48" i="24" s="1"/>
  <c r="A49" i="24" s="1"/>
  <c r="A50" i="24" s="1"/>
  <c r="A51" i="24" s="1"/>
  <c r="A52" i="24" s="1"/>
  <c r="A53" i="24" s="1"/>
  <c r="A54" i="24" s="1"/>
  <c r="A55" i="24" s="1"/>
  <c r="A56" i="24" s="1"/>
  <c r="A57" i="24" s="1"/>
  <c r="A58" i="24" s="1"/>
  <c r="J48" i="24" l="1"/>
  <c r="L58" i="24"/>
  <c r="L59" i="24" s="1"/>
  <c r="L48" i="24" s="1"/>
  <c r="D16" i="27"/>
  <c r="D18" i="27" s="1"/>
  <c r="D22" i="27" s="1"/>
  <c r="BX13" i="1"/>
  <c r="F97" i="59"/>
  <c r="F98" i="59" s="1"/>
  <c r="F113" i="59" s="1"/>
  <c r="H93" i="59"/>
  <c r="F118" i="59"/>
  <c r="C26" i="34"/>
  <c r="I26" i="34"/>
  <c r="I25" i="34"/>
  <c r="C25" i="34"/>
  <c r="I70" i="59"/>
  <c r="I71" i="59" s="1"/>
  <c r="J48" i="59"/>
  <c r="I49" i="59"/>
  <c r="J104" i="59"/>
  <c r="I7" i="61"/>
  <c r="I10" i="61" s="1"/>
  <c r="G10" i="61"/>
  <c r="I11" i="34"/>
  <c r="F27" i="34"/>
  <c r="F15" i="44"/>
  <c r="G15" i="44" s="1"/>
  <c r="G18" i="44" s="1"/>
  <c r="F22" i="44" s="1"/>
  <c r="F23" i="44" s="1"/>
  <c r="AP15" i="1"/>
  <c r="I126" i="59"/>
  <c r="G25" i="61"/>
  <c r="H116" i="59"/>
  <c r="C24" i="34"/>
  <c r="I24" i="34"/>
  <c r="G26" i="44"/>
  <c r="B11" i="65"/>
  <c r="H11" i="65"/>
  <c r="I10" i="65"/>
  <c r="I385" i="64"/>
  <c r="P382" i="64"/>
  <c r="P385" i="64" s="1"/>
  <c r="E17" i="55" s="1"/>
  <c r="E9" i="38"/>
  <c r="D24" i="27"/>
  <c r="D26" i="27" s="1"/>
  <c r="J46" i="24"/>
  <c r="E13" i="19"/>
  <c r="L13" i="19"/>
  <c r="M13" i="19"/>
  <c r="N13" i="19"/>
  <c r="O13" i="19"/>
  <c r="E14" i="19"/>
  <c r="N14" i="19"/>
  <c r="O14" i="19" s="1"/>
  <c r="L14" i="19"/>
  <c r="M14" i="19"/>
  <c r="E15" i="19"/>
  <c r="N15" i="19"/>
  <c r="O15" i="19" s="1"/>
  <c r="L15" i="19"/>
  <c r="M15" i="19" s="1"/>
  <c r="E16" i="19"/>
  <c r="N16" i="19" s="1"/>
  <c r="O16" i="19" s="1"/>
  <c r="L16" i="19"/>
  <c r="M16" i="19" s="1"/>
  <c r="E17" i="19"/>
  <c r="N17" i="19" s="1"/>
  <c r="L17" i="19"/>
  <c r="M17" i="19" s="1"/>
  <c r="E18" i="19"/>
  <c r="N18" i="19" s="1"/>
  <c r="O18" i="19" s="1"/>
  <c r="L18" i="19"/>
  <c r="M18" i="19" s="1"/>
  <c r="G19" i="19"/>
  <c r="L19" i="19"/>
  <c r="M19" i="19"/>
  <c r="N19" i="19"/>
  <c r="O19" i="19" s="1"/>
  <c r="E20" i="19"/>
  <c r="J20" i="19" s="1"/>
  <c r="L20" i="19"/>
  <c r="C21" i="19"/>
  <c r="C24" i="19" s="1"/>
  <c r="D21" i="19"/>
  <c r="E21" i="19"/>
  <c r="F21" i="19"/>
  <c r="L21" i="19"/>
  <c r="E23" i="19"/>
  <c r="K23" i="19"/>
  <c r="O23" i="19"/>
  <c r="D24" i="19"/>
  <c r="F24" i="19"/>
  <c r="L24" i="19"/>
  <c r="J27" i="19"/>
  <c r="J28" i="19"/>
  <c r="O12" i="18"/>
  <c r="B13" i="18"/>
  <c r="O13" i="18"/>
  <c r="B14" i="18"/>
  <c r="O14" i="18"/>
  <c r="B15" i="18"/>
  <c r="O15" i="18"/>
  <c r="B16" i="18"/>
  <c r="O16" i="18"/>
  <c r="B17" i="18"/>
  <c r="O17" i="18"/>
  <c r="B18" i="18"/>
  <c r="O18" i="18"/>
  <c r="B19" i="18"/>
  <c r="O19" i="18"/>
  <c r="B20" i="18"/>
  <c r="O20" i="18"/>
  <c r="B21" i="18"/>
  <c r="O21" i="18"/>
  <c r="B22" i="18"/>
  <c r="D22" i="18"/>
  <c r="E22" i="18"/>
  <c r="F22" i="18"/>
  <c r="G22" i="18"/>
  <c r="H22" i="18"/>
  <c r="I22" i="18"/>
  <c r="J22" i="18"/>
  <c r="K22" i="18"/>
  <c r="L22" i="18"/>
  <c r="M22" i="18"/>
  <c r="O22" i="18"/>
  <c r="P22" i="18"/>
  <c r="Q23" i="18"/>
  <c r="B24" i="18"/>
  <c r="O24" i="18"/>
  <c r="B25" i="18"/>
  <c r="O25" i="18"/>
  <c r="B26" i="18"/>
  <c r="B27" i="18" s="1"/>
  <c r="B29" i="18" s="1"/>
  <c r="B30" i="18" s="1"/>
  <c r="B38" i="18" s="1"/>
  <c r="B39" i="18" s="1"/>
  <c r="B40" i="18" s="1"/>
  <c r="B41" i="18" s="1"/>
  <c r="B42" i="18" s="1"/>
  <c r="B43" i="18" s="1"/>
  <c r="B44" i="18" s="1"/>
  <c r="B45" i="18" s="1"/>
  <c r="B46" i="18" s="1"/>
  <c r="B47" i="18" s="1"/>
  <c r="B48" i="18" s="1"/>
  <c r="D26" i="18"/>
  <c r="D27" i="18"/>
  <c r="E26" i="18"/>
  <c r="F26" i="18"/>
  <c r="F27" i="18" s="1"/>
  <c r="G26" i="18"/>
  <c r="H26" i="18"/>
  <c r="H27" i="18" s="1"/>
  <c r="I26" i="18"/>
  <c r="J26" i="18"/>
  <c r="J27" i="18" s="1"/>
  <c r="K26" i="18"/>
  <c r="K27" i="18" s="1"/>
  <c r="L26" i="18"/>
  <c r="L27" i="18" s="1"/>
  <c r="M26" i="18"/>
  <c r="N26" i="18"/>
  <c r="N27" i="18" s="1"/>
  <c r="P26" i="18"/>
  <c r="E27" i="18"/>
  <c r="G27" i="18"/>
  <c r="I27" i="18"/>
  <c r="M27" i="18"/>
  <c r="G38" i="18"/>
  <c r="G39" i="18"/>
  <c r="G40" i="18"/>
  <c r="G41" i="18"/>
  <c r="G42" i="18"/>
  <c r="G43" i="18"/>
  <c r="G44" i="18"/>
  <c r="G45" i="18"/>
  <c r="G46" i="18"/>
  <c r="G47" i="18"/>
  <c r="E48" i="18"/>
  <c r="F48" i="18"/>
  <c r="B15" i="7"/>
  <c r="H15" i="7"/>
  <c r="B16" i="7"/>
  <c r="H16" i="7"/>
  <c r="B17" i="7"/>
  <c r="H17" i="7"/>
  <c r="B18" i="7"/>
  <c r="B19" i="7" s="1"/>
  <c r="B20" i="7" s="1"/>
  <c r="B21" i="7" s="1"/>
  <c r="B22" i="7" s="1"/>
  <c r="B23" i="7" s="1"/>
  <c r="B24" i="7" s="1"/>
  <c r="B25" i="7" s="1"/>
  <c r="B26" i="7" s="1"/>
  <c r="B27" i="7" s="1"/>
  <c r="B28" i="7" s="1"/>
  <c r="B29" i="7" s="1"/>
  <c r="B30" i="7" s="1"/>
  <c r="B31" i="7" s="1"/>
  <c r="B32" i="7" s="1"/>
  <c r="B33" i="7" s="1"/>
  <c r="B34" i="7" s="1"/>
  <c r="B35" i="7" s="1"/>
  <c r="B36" i="7" s="1"/>
  <c r="B37" i="7" s="1"/>
  <c r="B38" i="7" s="1"/>
  <c r="B39" i="7" s="1"/>
  <c r="G18" i="7"/>
  <c r="H18" i="7"/>
  <c r="H23" i="7"/>
  <c r="H24" i="7"/>
  <c r="H25" i="7"/>
  <c r="H26" i="7"/>
  <c r="G27" i="7"/>
  <c r="H27" i="7" s="1"/>
  <c r="H29" i="7"/>
  <c r="H30" i="7"/>
  <c r="H31" i="7"/>
  <c r="H32" i="7"/>
  <c r="H33" i="7"/>
  <c r="H34" i="7"/>
  <c r="H35" i="7"/>
  <c r="H36" i="7"/>
  <c r="H37" i="7"/>
  <c r="G39" i="7"/>
  <c r="H39" i="7" s="1"/>
  <c r="H40" i="7"/>
  <c r="H41" i="7"/>
  <c r="H42" i="7"/>
  <c r="H43" i="7"/>
  <c r="H44" i="7"/>
  <c r="H49" i="7"/>
  <c r="G51" i="7"/>
  <c r="H51" i="7" s="1"/>
  <c r="J14" i="22"/>
  <c r="J20" i="22" s="1"/>
  <c r="A14" i="22"/>
  <c r="A15" i="22" s="1"/>
  <c r="A16" i="22" s="1"/>
  <c r="A17" i="22" s="1"/>
  <c r="A18" i="22" s="1"/>
  <c r="A19" i="22" s="1"/>
  <c r="A20" i="22" s="1"/>
  <c r="A21" i="22" s="1"/>
  <c r="A22" i="22" s="1"/>
  <c r="K14" i="22"/>
  <c r="K15" i="22" s="1"/>
  <c r="K16" i="22" s="1"/>
  <c r="K17" i="22" s="1"/>
  <c r="K18" i="22" s="1"/>
  <c r="K19" i="22" s="1"/>
  <c r="K20" i="22" s="1"/>
  <c r="K21" i="22" s="1"/>
  <c r="K22" i="22" s="1"/>
  <c r="J16" i="22"/>
  <c r="L15" i="22"/>
  <c r="H20" i="22"/>
  <c r="I20" i="22"/>
  <c r="I21" i="22"/>
  <c r="H22" i="22"/>
  <c r="I22" i="22"/>
  <c r="E25" i="22"/>
  <c r="X14" i="1"/>
  <c r="AL13" i="1"/>
  <c r="BL13" i="1"/>
  <c r="BL15" i="1" s="1"/>
  <c r="BL17" i="1" s="1"/>
  <c r="CC13" i="1"/>
  <c r="CH13" i="1"/>
  <c r="A14" i="1"/>
  <c r="G14" i="1"/>
  <c r="L14" i="1"/>
  <c r="P14" i="1"/>
  <c r="T14" i="1"/>
  <c r="X15" i="1"/>
  <c r="AB15" i="1"/>
  <c r="AH14" i="1"/>
  <c r="AH15" i="1" s="1"/>
  <c r="AH16" i="1" s="1"/>
  <c r="AH17" i="1" s="1"/>
  <c r="AH18" i="1" s="1"/>
  <c r="AH19" i="1" s="1"/>
  <c r="AH20" i="1" s="1"/>
  <c r="AH21" i="1" s="1"/>
  <c r="AH22" i="1" s="1"/>
  <c r="AH23" i="1" s="1"/>
  <c r="AH24" i="1" s="1"/>
  <c r="AH25" i="1" s="1"/>
  <c r="AH26" i="1" s="1"/>
  <c r="AH27" i="1" s="1"/>
  <c r="AL14" i="1"/>
  <c r="AL16" i="1" s="1"/>
  <c r="AL21" i="1" s="1"/>
  <c r="AM14" i="1"/>
  <c r="AM15" i="1" s="1"/>
  <c r="AM16" i="1" s="1"/>
  <c r="AM17" i="1" s="1"/>
  <c r="AM18" i="1" s="1"/>
  <c r="AM19" i="1" s="1"/>
  <c r="AM20" i="1" s="1"/>
  <c r="AM21" i="1" s="1"/>
  <c r="AM22" i="1" s="1"/>
  <c r="AM23" i="1" s="1"/>
  <c r="AM24" i="1" s="1"/>
  <c r="AM25" i="1" s="1"/>
  <c r="AM26" i="1" s="1"/>
  <c r="AM27" i="1" s="1"/>
  <c r="AM28" i="1" s="1"/>
  <c r="AS14" i="1"/>
  <c r="AT14" i="1"/>
  <c r="AY14" i="1"/>
  <c r="BD14" i="1"/>
  <c r="BD15" i="1" s="1"/>
  <c r="BD16" i="1" s="1"/>
  <c r="BD17" i="1" s="1"/>
  <c r="BD18" i="1" s="1"/>
  <c r="BD19" i="1" s="1"/>
  <c r="BD20" i="1" s="1"/>
  <c r="BD21" i="1" s="1"/>
  <c r="BD23" i="1" s="1"/>
  <c r="BD24" i="1" s="1"/>
  <c r="BD25" i="1" s="1"/>
  <c r="BH14" i="1"/>
  <c r="BM14" i="1"/>
  <c r="BM15" i="1" s="1"/>
  <c r="BQ14" i="1"/>
  <c r="BU14" i="1"/>
  <c r="BU15" i="1" s="1"/>
  <c r="BU16" i="1" s="1"/>
  <c r="BU17" i="1" s="1"/>
  <c r="BU18" i="1" s="1"/>
  <c r="BU19" i="1" s="1"/>
  <c r="BU20" i="1" s="1"/>
  <c r="BU21" i="1" s="1"/>
  <c r="BU22" i="1" s="1"/>
  <c r="BU23" i="1" s="1"/>
  <c r="BU24" i="1" s="1"/>
  <c r="BU25" i="1" s="1"/>
  <c r="BY14" i="1"/>
  <c r="CC14" i="1"/>
  <c r="CH14" i="1"/>
  <c r="CI14" i="1"/>
  <c r="CI15" i="1" s="1"/>
  <c r="CI16" i="1" s="1"/>
  <c r="CI17" i="1" s="1"/>
  <c r="CI18" i="1" s="1"/>
  <c r="CI19" i="1" s="1"/>
  <c r="CI20" i="1" s="1"/>
  <c r="CI21" i="1" s="1"/>
  <c r="CI22" i="1" s="1"/>
  <c r="CI23" i="1" s="1"/>
  <c r="CI24" i="1" s="1"/>
  <c r="CI25" i="1" s="1"/>
  <c r="CI26" i="1" s="1"/>
  <c r="CI27" i="1" s="1"/>
  <c r="CI28" i="1" s="1"/>
  <c r="CI29" i="1" s="1"/>
  <c r="CI30" i="1" s="1"/>
  <c r="CN14" i="1"/>
  <c r="CO14" i="1"/>
  <c r="CO15" i="1" s="1"/>
  <c r="CO16" i="1" s="1"/>
  <c r="CO17" i="1" s="1"/>
  <c r="CO18" i="1" s="1"/>
  <c r="CO19" i="1" s="1"/>
  <c r="CO20" i="1" s="1"/>
  <c r="CO21" i="1" s="1"/>
  <c r="CO22" i="1" s="1"/>
  <c r="CO23" i="1" s="1"/>
  <c r="CO24" i="1" s="1"/>
  <c r="CO25" i="1" s="1"/>
  <c r="CO26" i="1" s="1"/>
  <c r="CO27" i="1" s="1"/>
  <c r="CO28" i="1" s="1"/>
  <c r="CO29" i="1" s="1"/>
  <c r="CO30" i="1" s="1"/>
  <c r="CO31" i="1" s="1"/>
  <c r="CO32" i="1" s="1"/>
  <c r="CO33" i="1" s="1"/>
  <c r="CO34" i="1" s="1"/>
  <c r="CO35" i="1" s="1"/>
  <c r="CO36" i="1" s="1"/>
  <c r="CO37" i="1" s="1"/>
  <c r="CO38" i="1" s="1"/>
  <c r="CO39" i="1" s="1"/>
  <c r="CO40" i="1" s="1"/>
  <c r="CT14" i="1"/>
  <c r="A15" i="1"/>
  <c r="A16" i="1" s="1"/>
  <c r="A17" i="1" s="1"/>
  <c r="A18" i="1" s="1"/>
  <c r="A19" i="1" s="1"/>
  <c r="A20" i="1" s="1"/>
  <c r="A21" i="1" s="1"/>
  <c r="A22" i="1" s="1"/>
  <c r="A23" i="1" s="1"/>
  <c r="A24" i="1" s="1"/>
  <c r="A25" i="1" s="1"/>
  <c r="A26" i="1" s="1"/>
  <c r="A27" i="1" s="1"/>
  <c r="A28" i="1" s="1"/>
  <c r="G15" i="1"/>
  <c r="G16" i="1" s="1"/>
  <c r="G17" i="1" s="1"/>
  <c r="G18" i="1" s="1"/>
  <c r="G19" i="1" s="1"/>
  <c r="G20" i="1" s="1"/>
  <c r="G21" i="1" s="1"/>
  <c r="G22" i="1" s="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G62" i="1" s="1"/>
  <c r="G63" i="1" s="1"/>
  <c r="G64" i="1" s="1"/>
  <c r="G65" i="1" s="1"/>
  <c r="G66" i="1" s="1"/>
  <c r="L15" i="1"/>
  <c r="L16" i="1" s="1"/>
  <c r="L17" i="1" s="1"/>
  <c r="L18" i="1" s="1"/>
  <c r="L19" i="1" s="1"/>
  <c r="L20" i="1" s="1"/>
  <c r="L21" i="1" s="1"/>
  <c r="L22" i="1" s="1"/>
  <c r="L23" i="1" s="1"/>
  <c r="L24" i="1" s="1"/>
  <c r="L25" i="1" s="1"/>
  <c r="L26" i="1" s="1"/>
  <c r="L27" i="1" s="1"/>
  <c r="L28" i="1" s="1"/>
  <c r="L29" i="1" s="1"/>
  <c r="L30" i="1" s="1"/>
  <c r="L31" i="1" s="1"/>
  <c r="L32" i="1" s="1"/>
  <c r="L33" i="1" s="1"/>
  <c r="L34" i="1" s="1"/>
  <c r="L35" i="1" s="1"/>
  <c r="L36" i="1" s="1"/>
  <c r="L37" i="1" s="1"/>
  <c r="P15" i="1"/>
  <c r="P16" i="1" s="1"/>
  <c r="P17" i="1" s="1"/>
  <c r="P18" i="1" s="1"/>
  <c r="P19" i="1" s="1"/>
  <c r="P20" i="1" s="1"/>
  <c r="P21" i="1" s="1"/>
  <c r="P22" i="1" s="1"/>
  <c r="P23" i="1" s="1"/>
  <c r="P24" i="1" s="1"/>
  <c r="P25" i="1" s="1"/>
  <c r="P26" i="1" s="1"/>
  <c r="P27" i="1" s="1"/>
  <c r="P28" i="1" s="1"/>
  <c r="P29" i="1" s="1"/>
  <c r="P30" i="1" s="1"/>
  <c r="P31" i="1" s="1"/>
  <c r="P32" i="1" s="1"/>
  <c r="P33" i="1" s="1"/>
  <c r="P34" i="1" s="1"/>
  <c r="P35" i="1" s="1"/>
  <c r="P36" i="1" s="1"/>
  <c r="P37" i="1" s="1"/>
  <c r="P38" i="1" s="1"/>
  <c r="P39" i="1" s="1"/>
  <c r="P40" i="1" s="1"/>
  <c r="P41" i="1" s="1"/>
  <c r="P42" i="1" s="1"/>
  <c r="T15" i="1"/>
  <c r="T16" i="1" s="1"/>
  <c r="T17" i="1" s="1"/>
  <c r="T18" i="1" s="1"/>
  <c r="T19" i="1" s="1"/>
  <c r="T20" i="1" s="1"/>
  <c r="T21" i="1" s="1"/>
  <c r="T22" i="1" s="1"/>
  <c r="T23" i="1" s="1"/>
  <c r="X16" i="1"/>
  <c r="AB16" i="1"/>
  <c r="AG26" i="1"/>
  <c r="AR15" i="1"/>
  <c r="AS15" i="1" s="1"/>
  <c r="AT15" i="1"/>
  <c r="AT16" i="1" s="1"/>
  <c r="AT17" i="1" s="1"/>
  <c r="AT18" i="1" s="1"/>
  <c r="AT19" i="1" s="1"/>
  <c r="AT20" i="1" s="1"/>
  <c r="AT21" i="1" s="1"/>
  <c r="AT22" i="1" s="1"/>
  <c r="AT23" i="1" s="1"/>
  <c r="AT24" i="1" s="1"/>
  <c r="AT25" i="1" s="1"/>
  <c r="AT26" i="1" s="1"/>
  <c r="AT27" i="1" s="1"/>
  <c r="AT28" i="1" s="1"/>
  <c r="AT29" i="1" s="1"/>
  <c r="AT30" i="1" s="1"/>
  <c r="AT31" i="1" s="1"/>
  <c r="AX15" i="1"/>
  <c r="AY15" i="1"/>
  <c r="AY16" i="1" s="1"/>
  <c r="AY17" i="1" s="1"/>
  <c r="AY18" i="1" s="1"/>
  <c r="BC15" i="1"/>
  <c r="BH15" i="1"/>
  <c r="BQ15" i="1"/>
  <c r="BQ16" i="1" s="1"/>
  <c r="BQ17" i="1" s="1"/>
  <c r="BQ18" i="1" s="1"/>
  <c r="BQ19" i="1" s="1"/>
  <c r="BQ20" i="1" s="1"/>
  <c r="BQ21" i="1" s="1"/>
  <c r="BQ22" i="1" s="1"/>
  <c r="BQ23" i="1" s="1"/>
  <c r="BQ24" i="1" s="1"/>
  <c r="BQ25" i="1" s="1"/>
  <c r="BQ26" i="1" s="1"/>
  <c r="BX15" i="1"/>
  <c r="BX17" i="1" s="1"/>
  <c r="BX21" i="1" s="1"/>
  <c r="BX23" i="1" s="1"/>
  <c r="BY15" i="1"/>
  <c r="BY16" i="1" s="1"/>
  <c r="BY17" i="1" s="1"/>
  <c r="BY18" i="1" s="1"/>
  <c r="BY19" i="1" s="1"/>
  <c r="CA15" i="1"/>
  <c r="CN15" i="1"/>
  <c r="CR15" i="1"/>
  <c r="CT15" i="1"/>
  <c r="CT16" i="1" s="1"/>
  <c r="CT17" i="1" s="1"/>
  <c r="CT18" i="1" s="1"/>
  <c r="CT19" i="1" s="1"/>
  <c r="CT20" i="1" s="1"/>
  <c r="CT21" i="1" s="1"/>
  <c r="CT22" i="1" s="1"/>
  <c r="CT23" i="1" s="1"/>
  <c r="CT24" i="1" s="1"/>
  <c r="E16" i="1"/>
  <c r="W16" i="1"/>
  <c r="X17" i="1"/>
  <c r="X18" i="1" s="1"/>
  <c r="X19" i="1" s="1"/>
  <c r="X20" i="1" s="1"/>
  <c r="X21" i="1" s="1"/>
  <c r="X22" i="1" s="1"/>
  <c r="X23" i="1" s="1"/>
  <c r="X24" i="1" s="1"/>
  <c r="X25" i="1" s="1"/>
  <c r="AB17" i="1"/>
  <c r="AF27" i="1"/>
  <c r="AJ16" i="1"/>
  <c r="AK16" i="1"/>
  <c r="AR16" i="1"/>
  <c r="AS16" i="1" s="1"/>
  <c r="AS17" i="1" s="1"/>
  <c r="AX16" i="1"/>
  <c r="BH16" i="1"/>
  <c r="BH17" i="1" s="1"/>
  <c r="BH18" i="1" s="1"/>
  <c r="BH19" i="1" s="1"/>
  <c r="BH20" i="1" s="1"/>
  <c r="CF16" i="1"/>
  <c r="CG16" i="1"/>
  <c r="CH16" i="1"/>
  <c r="CH19" i="1" s="1"/>
  <c r="CN16" i="1"/>
  <c r="AI30" i="20" s="1"/>
  <c r="CS16" i="1"/>
  <c r="CW16" i="1"/>
  <c r="CW20" i="1" s="1"/>
  <c r="E17" i="1"/>
  <c r="AB18" i="1"/>
  <c r="AE28" i="1"/>
  <c r="AX17" i="1"/>
  <c r="Z31" i="20" s="1"/>
  <c r="CN17" i="1"/>
  <c r="E18" i="1"/>
  <c r="AB19" i="1"/>
  <c r="AX18" i="1"/>
  <c r="Z32" i="20" s="1"/>
  <c r="CN18" i="1"/>
  <c r="AI32" i="20" s="1"/>
  <c r="E19" i="1"/>
  <c r="AB20" i="1"/>
  <c r="AX19" i="1"/>
  <c r="Z33" i="20" s="1"/>
  <c r="BG19" i="1"/>
  <c r="CN19" i="1"/>
  <c r="AI33" i="20" s="1"/>
  <c r="E20" i="1"/>
  <c r="Z21" i="1"/>
  <c r="AA21" i="1"/>
  <c r="AG14" i="1"/>
  <c r="AX20" i="1"/>
  <c r="BT20" i="1"/>
  <c r="BT23" i="1" s="1"/>
  <c r="CN20" i="1"/>
  <c r="CR20" i="1"/>
  <c r="CS21" i="1" s="1"/>
  <c r="E21" i="1"/>
  <c r="AE15" i="1"/>
  <c r="AF15" i="1"/>
  <c r="AX21" i="1"/>
  <c r="CN21" i="1"/>
  <c r="E22" i="1"/>
  <c r="AX22" i="1"/>
  <c r="Z36" i="20" s="1"/>
  <c r="CN22" i="1"/>
  <c r="AI36" i="20" s="1"/>
  <c r="E23" i="1"/>
  <c r="AV23" i="1"/>
  <c r="AW23" i="1"/>
  <c r="CL23" i="1"/>
  <c r="CL26" i="1" s="1"/>
  <c r="CM23" i="1"/>
  <c r="CM26" i="1" s="1"/>
  <c r="E24" i="1"/>
  <c r="E25" i="1"/>
  <c r="K27" i="1"/>
  <c r="CN25" i="1"/>
  <c r="E26" i="1"/>
  <c r="E27" i="1"/>
  <c r="C28" i="1"/>
  <c r="D28" i="1"/>
  <c r="F12" i="7" s="1"/>
  <c r="S28" i="1"/>
  <c r="A29" i="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CR30" i="1"/>
  <c r="CS31" i="1" s="1"/>
  <c r="S31" i="1"/>
  <c r="S32" i="1"/>
  <c r="O33" i="1"/>
  <c r="CS36" i="1"/>
  <c r="F43" i="1"/>
  <c r="Q26" i="20" s="1"/>
  <c r="I57" i="1"/>
  <c r="N23" i="1" s="1"/>
  <c r="O23" i="1" s="1"/>
  <c r="S36" i="20" s="1"/>
  <c r="J54" i="1"/>
  <c r="R26" i="20" s="1"/>
  <c r="E14" i="21"/>
  <c r="E15" i="21" s="1"/>
  <c r="E17" i="21" s="1"/>
  <c r="F14" i="21"/>
  <c r="F15" i="21" s="1"/>
  <c r="F16" i="21" s="1"/>
  <c r="F17" i="21" s="1"/>
  <c r="F18" i="21" s="1"/>
  <c r="F19" i="21" s="1"/>
  <c r="F20" i="21" s="1"/>
  <c r="F21" i="21" s="1"/>
  <c r="F22" i="21" s="1"/>
  <c r="F23" i="21" s="1"/>
  <c r="F24" i="21" s="1"/>
  <c r="F25" i="21" s="1"/>
  <c r="J14" i="21"/>
  <c r="K14" i="21"/>
  <c r="K15" i="21" s="1"/>
  <c r="K16" i="21" s="1"/>
  <c r="K17" i="21" s="1"/>
  <c r="K18" i="21" s="1"/>
  <c r="K19" i="21" s="1"/>
  <c r="K20" i="21" s="1"/>
  <c r="O15" i="21"/>
  <c r="O17" i="21" s="1"/>
  <c r="C15" i="21"/>
  <c r="D15" i="21"/>
  <c r="M15" i="21"/>
  <c r="N15" i="21"/>
  <c r="E27" i="21"/>
  <c r="G1" i="24"/>
  <c r="A4" i="24"/>
  <c r="A6" i="24"/>
  <c r="A7" i="94" s="1"/>
  <c r="O13" i="20"/>
  <c r="R13" i="20"/>
  <c r="A16" i="20"/>
  <c r="A17" i="20" s="1"/>
  <c r="A18" i="20" s="1"/>
  <c r="A19" i="20" s="1"/>
  <c r="A20" i="20" s="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D16" i="20"/>
  <c r="S16" i="20"/>
  <c r="D17" i="20"/>
  <c r="S17" i="20"/>
  <c r="D18" i="20"/>
  <c r="F17" i="24"/>
  <c r="M19" i="20"/>
  <c r="N19" i="20"/>
  <c r="O19" i="20"/>
  <c r="P19" i="20"/>
  <c r="T19" i="20"/>
  <c r="U19" i="20"/>
  <c r="V19" i="20"/>
  <c r="W19" i="20"/>
  <c r="X19" i="20"/>
  <c r="Y19" i="20"/>
  <c r="Z19" i="20"/>
  <c r="AA19" i="20"/>
  <c r="AB19" i="20"/>
  <c r="AC19" i="20"/>
  <c r="AD19" i="20"/>
  <c r="AE19" i="20"/>
  <c r="AF19" i="20"/>
  <c r="AG19" i="20"/>
  <c r="AH19" i="20"/>
  <c r="AI19" i="20"/>
  <c r="AJ19" i="20"/>
  <c r="AK19" i="20"/>
  <c r="D26" i="20"/>
  <c r="S26" i="20"/>
  <c r="S28" i="20" s="1"/>
  <c r="I28" i="20"/>
  <c r="F27" i="24" s="1"/>
  <c r="M28" i="20"/>
  <c r="M45" i="20" s="1"/>
  <c r="N28" i="20"/>
  <c r="O28" i="20"/>
  <c r="P28" i="20"/>
  <c r="T28" i="20"/>
  <c r="U28" i="20"/>
  <c r="V28" i="20"/>
  <c r="W28" i="20"/>
  <c r="X28" i="20"/>
  <c r="Y28" i="20"/>
  <c r="Z28" i="20"/>
  <c r="AA28" i="20"/>
  <c r="AB28" i="20"/>
  <c r="AC28" i="20"/>
  <c r="AD28" i="20"/>
  <c r="AE28" i="20"/>
  <c r="AF28" i="20"/>
  <c r="AG28" i="20"/>
  <c r="AH28" i="20"/>
  <c r="AI28" i="20"/>
  <c r="AJ28" i="20"/>
  <c r="AK28" i="20"/>
  <c r="D30" i="20"/>
  <c r="D31" i="20"/>
  <c r="AI31" i="20"/>
  <c r="D32" i="20"/>
  <c r="P32" i="20"/>
  <c r="V32" i="20"/>
  <c r="D33" i="20"/>
  <c r="D34" i="20"/>
  <c r="S34" i="20"/>
  <c r="Z34" i="20"/>
  <c r="D35" i="20"/>
  <c r="S35" i="20"/>
  <c r="AM35" i="20" s="1"/>
  <c r="D36" i="20"/>
  <c r="AB36" i="20"/>
  <c r="AH36" i="20"/>
  <c r="D37" i="20"/>
  <c r="N37" i="20"/>
  <c r="W37" i="20"/>
  <c r="D38" i="20"/>
  <c r="E38" i="20"/>
  <c r="D39" i="20"/>
  <c r="AN39" i="20"/>
  <c r="D40" i="20"/>
  <c r="D41" i="20"/>
  <c r="E41" i="20"/>
  <c r="D42" i="20"/>
  <c r="V42" i="20"/>
  <c r="AA42" i="20"/>
  <c r="AI42" i="20"/>
  <c r="D43" i="20"/>
  <c r="D44" i="20"/>
  <c r="M54" i="20"/>
  <c r="D54" i="20" s="1"/>
  <c r="V54" i="20"/>
  <c r="AD54" i="20"/>
  <c r="M55" i="20"/>
  <c r="D55" i="20" s="1"/>
  <c r="N55" i="20"/>
  <c r="V55" i="20"/>
  <c r="X55" i="20"/>
  <c r="AD55" i="20"/>
  <c r="D56" i="20"/>
  <c r="N56" i="20"/>
  <c r="X56" i="20"/>
  <c r="AD56" i="20"/>
  <c r="D57" i="20"/>
  <c r="AD57" i="20"/>
  <c r="P58" i="20"/>
  <c r="P60" i="20" s="1"/>
  <c r="Q58" i="20"/>
  <c r="Q60" i="20" s="1"/>
  <c r="R58" i="20"/>
  <c r="R60" i="20" s="1"/>
  <c r="S58" i="20"/>
  <c r="S60" i="20" s="1"/>
  <c r="T58" i="20"/>
  <c r="T60" i="20" s="1"/>
  <c r="U58" i="20"/>
  <c r="U60" i="20" s="1"/>
  <c r="Y58" i="20"/>
  <c r="Y60" i="20" s="1"/>
  <c r="Z58" i="20"/>
  <c r="Z60" i="20" s="1"/>
  <c r="AA58" i="20"/>
  <c r="AA60" i="20" s="1"/>
  <c r="AB58" i="20"/>
  <c r="AC58" i="20"/>
  <c r="AC60" i="20" s="1"/>
  <c r="AE58" i="20"/>
  <c r="AE60" i="20" s="1"/>
  <c r="AF58" i="20"/>
  <c r="AF60" i="20" s="1"/>
  <c r="AG58" i="20"/>
  <c r="AG60" i="20" s="1"/>
  <c r="AH58" i="20"/>
  <c r="AH60" i="20" s="1"/>
  <c r="AI58" i="20"/>
  <c r="AI60" i="20" s="1"/>
  <c r="AJ58" i="20"/>
  <c r="AJ60" i="20" s="1"/>
  <c r="AK58" i="20"/>
  <c r="AK60" i="20" s="1"/>
  <c r="C58" i="24"/>
  <c r="R58" i="24" s="1"/>
  <c r="AD59" i="20"/>
  <c r="AB60" i="20"/>
  <c r="S20" i="1"/>
  <c r="S30" i="1"/>
  <c r="T43" i="20" s="1"/>
  <c r="Q16" i="20"/>
  <c r="D19" i="20"/>
  <c r="C18" i="24" s="1"/>
  <c r="R18" i="24" s="1"/>
  <c r="AI34" i="20"/>
  <c r="E39" i="20"/>
  <c r="J16" i="21"/>
  <c r="O37" i="20"/>
  <c r="AG27" i="1"/>
  <c r="W56" i="20" s="1"/>
  <c r="AF28" i="1"/>
  <c r="W55" i="20"/>
  <c r="AX23" i="1"/>
  <c r="Z30" i="20"/>
  <c r="AM30" i="20" s="1"/>
  <c r="V36" i="20"/>
  <c r="CC15" i="1"/>
  <c r="CC18" i="1" s="1"/>
  <c r="AG43" i="20" s="1"/>
  <c r="BC17" i="1"/>
  <c r="AA43" i="20" s="1"/>
  <c r="G17" i="19"/>
  <c r="G15" i="19"/>
  <c r="G45" i="7"/>
  <c r="G47" i="7" s="1"/>
  <c r="O26" i="18"/>
  <c r="O27" i="18"/>
  <c r="M23" i="19"/>
  <c r="G14" i="19"/>
  <c r="P27" i="18"/>
  <c r="CN23" i="1"/>
  <c r="I23" i="22"/>
  <c r="G18" i="19"/>
  <c r="AV26" i="1"/>
  <c r="H23" i="22"/>
  <c r="G16" i="19"/>
  <c r="J23" i="22" l="1"/>
  <c r="F38" i="20"/>
  <c r="H38" i="20" s="1"/>
  <c r="J38" i="20" s="1"/>
  <c r="AR21" i="1"/>
  <c r="AR22" i="1" s="1"/>
  <c r="AS25" i="1" s="1"/>
  <c r="T44" i="20"/>
  <c r="AM44" i="20" s="1"/>
  <c r="F39" i="20"/>
  <c r="H39" i="20" s="1"/>
  <c r="J39" i="20" s="1"/>
  <c r="F41" i="20"/>
  <c r="H41" i="20" s="1"/>
  <c r="J41" i="20" s="1"/>
  <c r="C56" i="24"/>
  <c r="R56" i="24" s="1"/>
  <c r="C55" i="24"/>
  <c r="R55" i="24" s="1"/>
  <c r="C53" i="24"/>
  <c r="R53" i="24" s="1"/>
  <c r="C39" i="24"/>
  <c r="R39" i="24" s="1"/>
  <c r="C38" i="24"/>
  <c r="R38" i="24" s="1"/>
  <c r="C37" i="24"/>
  <c r="R37" i="24" s="1"/>
  <c r="C35" i="24"/>
  <c r="R35" i="24" s="1"/>
  <c r="C34" i="24"/>
  <c r="R34" i="24" s="1"/>
  <c r="AM34" i="20"/>
  <c r="C29" i="24"/>
  <c r="R29" i="24" s="1"/>
  <c r="AM59" i="20"/>
  <c r="AN59" i="20" s="1"/>
  <c r="C54" i="24"/>
  <c r="R54" i="24" s="1"/>
  <c r="C43" i="24"/>
  <c r="R43" i="24" s="1"/>
  <c r="C42" i="24"/>
  <c r="R42" i="24" s="1"/>
  <c r="C41" i="24"/>
  <c r="R41" i="24" s="1"/>
  <c r="C40" i="24"/>
  <c r="R40" i="24" s="1"/>
  <c r="AM37" i="20"/>
  <c r="C36" i="24"/>
  <c r="R36" i="24" s="1"/>
  <c r="C33" i="24"/>
  <c r="R33" i="24" s="1"/>
  <c r="C32" i="24"/>
  <c r="R32" i="24" s="1"/>
  <c r="C31" i="24"/>
  <c r="R31" i="24" s="1"/>
  <c r="C30" i="24"/>
  <c r="R30" i="24" s="1"/>
  <c r="C17" i="24"/>
  <c r="R17" i="24" s="1"/>
  <c r="C16" i="24"/>
  <c r="R16" i="24" s="1"/>
  <c r="C15" i="24"/>
  <c r="R15" i="24" s="1"/>
  <c r="AM17" i="20"/>
  <c r="E17" i="20" s="1"/>
  <c r="D16" i="24" s="1"/>
  <c r="Q28" i="20"/>
  <c r="AM26" i="20"/>
  <c r="AM28" i="20" s="1"/>
  <c r="AM31" i="20"/>
  <c r="Q19" i="20"/>
  <c r="AM57" i="20"/>
  <c r="E57" i="20" s="1"/>
  <c r="F57" i="20" s="1"/>
  <c r="AM54" i="20"/>
  <c r="AM32" i="20"/>
  <c r="AB49" i="20"/>
  <c r="J29" i="94" s="1"/>
  <c r="K23" i="95" s="1"/>
  <c r="AJ49" i="20"/>
  <c r="J37" i="94" s="1"/>
  <c r="K31" i="95" s="1"/>
  <c r="AF49" i="20"/>
  <c r="J33" i="94" s="1"/>
  <c r="K27" i="95" s="1"/>
  <c r="AA49" i="20"/>
  <c r="J28" i="94" s="1"/>
  <c r="K22" i="95" s="1"/>
  <c r="R49" i="20"/>
  <c r="J19" i="94" s="1"/>
  <c r="K13" i="95" s="1"/>
  <c r="AH49" i="20"/>
  <c r="J35" i="94" s="1"/>
  <c r="K29" i="95" s="1"/>
  <c r="AC49" i="20"/>
  <c r="J30" i="94" s="1"/>
  <c r="K24" i="95" s="1"/>
  <c r="Y49" i="20"/>
  <c r="J26" i="94" s="1"/>
  <c r="K20" i="95" s="1"/>
  <c r="P49" i="20"/>
  <c r="J17" i="94" s="1"/>
  <c r="K11" i="95" s="1"/>
  <c r="AK49" i="20"/>
  <c r="AI49" i="20"/>
  <c r="J36" i="94" s="1"/>
  <c r="K30" i="95" s="1"/>
  <c r="AG49" i="20"/>
  <c r="J34" i="94" s="1"/>
  <c r="K28" i="95" s="1"/>
  <c r="AE49" i="20"/>
  <c r="J32" i="94" s="1"/>
  <c r="K26" i="95" s="1"/>
  <c r="Z49" i="20"/>
  <c r="J27" i="94" s="1"/>
  <c r="K21" i="95" s="1"/>
  <c r="U49" i="20"/>
  <c r="J22" i="94" s="1"/>
  <c r="K16" i="95" s="1"/>
  <c r="S49" i="20"/>
  <c r="J20" i="94" s="1"/>
  <c r="K14" i="95" s="1"/>
  <c r="Q49" i="20"/>
  <c r="J18" i="94" s="1"/>
  <c r="K12" i="95" s="1"/>
  <c r="E30" i="20"/>
  <c r="F30" i="20" s="1"/>
  <c r="H30" i="20" s="1"/>
  <c r="J30" i="20" s="1"/>
  <c r="T49" i="20"/>
  <c r="E31" i="20"/>
  <c r="D30" i="24" s="1"/>
  <c r="AG28" i="1"/>
  <c r="CH20" i="1"/>
  <c r="AH43" i="20"/>
  <c r="AC36" i="20"/>
  <c r="BL19" i="1"/>
  <c r="AC43" i="20" s="1"/>
  <c r="AN31" i="20"/>
  <c r="E37" i="20"/>
  <c r="F37" i="20" s="1"/>
  <c r="H37" i="20" s="1"/>
  <c r="J37" i="20" s="1"/>
  <c r="X58" i="20"/>
  <c r="X60" i="20" s="1"/>
  <c r="V58" i="20"/>
  <c r="V60" i="20" s="1"/>
  <c r="P13" i="20"/>
  <c r="K8" i="21" s="1"/>
  <c r="F8" i="21"/>
  <c r="M58" i="20"/>
  <c r="N58" i="20"/>
  <c r="N60" i="20" s="1"/>
  <c r="AD58" i="20"/>
  <c r="AD60" i="20" s="1"/>
  <c r="E54" i="20"/>
  <c r="F54" i="20" s="1"/>
  <c r="S13" i="20"/>
  <c r="G8" i="1"/>
  <c r="B40" i="7"/>
  <c r="BC18" i="1"/>
  <c r="E44" i="20"/>
  <c r="D43" i="24" s="1"/>
  <c r="AN44" i="20"/>
  <c r="CW22" i="1"/>
  <c r="CW24" i="1" s="1"/>
  <c r="AK36" i="20"/>
  <c r="S33" i="1"/>
  <c r="AN37" i="20"/>
  <c r="CN26" i="1"/>
  <c r="CN28" i="1" s="1"/>
  <c r="CN29" i="1" s="1"/>
  <c r="AI43" i="20" s="1"/>
  <c r="AI45" i="20" s="1"/>
  <c r="AI47" i="20" s="1"/>
  <c r="AB21" i="1"/>
  <c r="E19" i="21"/>
  <c r="N43" i="20" s="1"/>
  <c r="AN30" i="20"/>
  <c r="F23" i="7"/>
  <c r="I23" i="7" s="1"/>
  <c r="F25" i="7"/>
  <c r="I25" i="7" s="1"/>
  <c r="O17" i="19"/>
  <c r="AN38" i="20"/>
  <c r="AC45" i="20"/>
  <c r="AC47" i="20" s="1"/>
  <c r="I30" i="94" s="1"/>
  <c r="J24" i="95" s="1"/>
  <c r="AA45" i="20"/>
  <c r="AA47" i="20" s="1"/>
  <c r="I28" i="94" s="1"/>
  <c r="N45" i="20"/>
  <c r="D28" i="20"/>
  <c r="C27" i="24" s="1"/>
  <c r="R27" i="24" s="1"/>
  <c r="C25" i="24"/>
  <c r="R25" i="24" s="1"/>
  <c r="M47" i="20"/>
  <c r="R16" i="20"/>
  <c r="K41" i="1"/>
  <c r="AW25" i="1"/>
  <c r="AX25" i="1" s="1"/>
  <c r="G48" i="18"/>
  <c r="I25" i="61"/>
  <c r="I27" i="61" s="1"/>
  <c r="G27" i="61"/>
  <c r="C27" i="34"/>
  <c r="I27" i="34"/>
  <c r="M104" i="59"/>
  <c r="M106" i="59" s="1"/>
  <c r="J106" i="59"/>
  <c r="J49" i="59"/>
  <c r="J70" i="59"/>
  <c r="J71" i="59" s="1"/>
  <c r="F119" i="59"/>
  <c r="BL20" i="1"/>
  <c r="D38" i="24"/>
  <c r="D40" i="24"/>
  <c r="D37" i="24"/>
  <c r="AH45" i="20"/>
  <c r="AH47" i="20" s="1"/>
  <c r="T45" i="20"/>
  <c r="T47" i="20" s="1"/>
  <c r="N47" i="20"/>
  <c r="I15" i="94" s="1"/>
  <c r="J9" i="95" s="1"/>
  <c r="J4" i="24"/>
  <c r="A5" i="94"/>
  <c r="A1" i="95" s="1"/>
  <c r="K20" i="19"/>
  <c r="G14" i="61"/>
  <c r="I14" i="61" s="1"/>
  <c r="I18" i="61" s="1"/>
  <c r="I31" i="61" s="1"/>
  <c r="I36" i="61" s="1"/>
  <c r="H97" i="59"/>
  <c r="H98" i="59" s="1"/>
  <c r="H113" i="59" s="1"/>
  <c r="J93" i="59"/>
  <c r="H118" i="59"/>
  <c r="G28" i="44"/>
  <c r="G29" i="44"/>
  <c r="G30" i="44" s="1"/>
  <c r="J23" i="21"/>
  <c r="J18" i="21"/>
  <c r="O43" i="20" s="1"/>
  <c r="O45" i="20" s="1"/>
  <c r="O47" i="20" s="1"/>
  <c r="I16" i="94" s="1"/>
  <c r="J10" i="95" s="1"/>
  <c r="O18" i="21"/>
  <c r="O20" i="21" s="1"/>
  <c r="D29" i="24"/>
  <c r="S19" i="20"/>
  <c r="R28" i="20"/>
  <c r="D36" i="24"/>
  <c r="G17" i="55"/>
  <c r="E18" i="55"/>
  <c r="H12" i="65"/>
  <c r="I11" i="65"/>
  <c r="B12" i="65"/>
  <c r="N13" i="22"/>
  <c r="N15" i="22" s="1"/>
  <c r="K25" i="7"/>
  <c r="F26" i="7"/>
  <c r="E10" i="38"/>
  <c r="G10" i="38" s="1"/>
  <c r="F13" i="34" s="1"/>
  <c r="G9" i="38"/>
  <c r="F12" i="34" s="1"/>
  <c r="N48" i="24"/>
  <c r="N50" i="24" s="1"/>
  <c r="L50" i="24"/>
  <c r="CN30" i="1"/>
  <c r="CB15" i="1"/>
  <c r="CC19" i="1"/>
  <c r="AF40" i="20"/>
  <c r="AM40" i="20" s="1"/>
  <c r="H45" i="7"/>
  <c r="AG36" i="20"/>
  <c r="X36" i="20"/>
  <c r="AL22" i="1"/>
  <c r="CS34" i="1"/>
  <c r="CS35" i="1" s="1"/>
  <c r="CS37" i="1" s="1"/>
  <c r="W58" i="20"/>
  <c r="W60" i="20" s="1"/>
  <c r="W49" i="20" s="1"/>
  <c r="AN41" i="20"/>
  <c r="E38" i="7" s="1"/>
  <c r="F38" i="7" s="1"/>
  <c r="D45" i="20"/>
  <c r="E46" i="1"/>
  <c r="Q36" i="20" s="1"/>
  <c r="E28" i="1"/>
  <c r="AG15" i="1"/>
  <c r="AG17" i="1" s="1"/>
  <c r="AG19" i="1" s="1"/>
  <c r="W43" i="20" s="1"/>
  <c r="W45" i="20" s="1"/>
  <c r="W47" i="20" s="1"/>
  <c r="I24" i="94" s="1"/>
  <c r="J18" i="95" s="1"/>
  <c r="J22" i="22"/>
  <c r="E24" i="19"/>
  <c r="G13" i="19"/>
  <c r="J30" i="19" s="1"/>
  <c r="H47" i="7"/>
  <c r="G52" i="7"/>
  <c r="Y33" i="20"/>
  <c r="AS27" i="1"/>
  <c r="D58" i="20"/>
  <c r="R18" i="20"/>
  <c r="AM18" i="20" s="1"/>
  <c r="AW26" i="1"/>
  <c r="BT25" i="1"/>
  <c r="AE43" i="20" s="1"/>
  <c r="AE36" i="20"/>
  <c r="E35" i="20"/>
  <c r="F35" i="20" s="1"/>
  <c r="H35" i="20" s="1"/>
  <c r="J35" i="20" s="1"/>
  <c r="AN35" i="20"/>
  <c r="AF43" i="20"/>
  <c r="BX25" i="1"/>
  <c r="AK43" i="20" l="1"/>
  <c r="AK45" i="20" s="1"/>
  <c r="AK47" i="20" s="1"/>
  <c r="AB23" i="1"/>
  <c r="V43" i="20" s="1"/>
  <c r="V45" i="20" s="1"/>
  <c r="V47" i="20" s="1"/>
  <c r="F17" i="20"/>
  <c r="H17" i="20" s="1"/>
  <c r="J17" i="20" s="1"/>
  <c r="F44" i="20"/>
  <c r="F31" i="20"/>
  <c r="H31" i="20" s="1"/>
  <c r="J31" i="20" s="1"/>
  <c r="G30" i="24" s="1"/>
  <c r="E30" i="7"/>
  <c r="F30" i="7" s="1"/>
  <c r="D53" i="24"/>
  <c r="K32" i="95"/>
  <c r="J38" i="94"/>
  <c r="D56" i="24"/>
  <c r="E56" i="24"/>
  <c r="T56" i="24" s="1"/>
  <c r="E59" i="20"/>
  <c r="F59" i="20" s="1"/>
  <c r="J21" i="94"/>
  <c r="K15" i="95" s="1"/>
  <c r="AM16" i="20"/>
  <c r="AM19" i="20" s="1"/>
  <c r="AN19" i="20" s="1"/>
  <c r="AN57" i="20"/>
  <c r="AN17" i="20"/>
  <c r="E36" i="24"/>
  <c r="T36" i="24" s="1"/>
  <c r="E40" i="7"/>
  <c r="F40" i="7" s="1"/>
  <c r="K40" i="7" s="1"/>
  <c r="E30" i="24"/>
  <c r="T30" i="24" s="1"/>
  <c r="M60" i="20"/>
  <c r="M49" i="20" s="1"/>
  <c r="Q62" i="20"/>
  <c r="S62" i="20"/>
  <c r="U62" i="20"/>
  <c r="Z62" i="20"/>
  <c r="AE62" i="20"/>
  <c r="AG62" i="20"/>
  <c r="AI62" i="20"/>
  <c r="AK62" i="20"/>
  <c r="P62" i="20"/>
  <c r="Y62" i="20"/>
  <c r="AC62" i="20"/>
  <c r="AH62" i="20"/>
  <c r="R62" i="20"/>
  <c r="AA62" i="20"/>
  <c r="AF62" i="20"/>
  <c r="AJ62" i="20"/>
  <c r="AB62" i="20"/>
  <c r="AN54" i="20"/>
  <c r="AD49" i="20"/>
  <c r="J31" i="94" s="1"/>
  <c r="K25" i="95" s="1"/>
  <c r="X49" i="20"/>
  <c r="X62" i="20" s="1"/>
  <c r="N49" i="20"/>
  <c r="J15" i="94" s="1"/>
  <c r="K9" i="95" s="1"/>
  <c r="V49" i="20"/>
  <c r="J23" i="94" s="1"/>
  <c r="K17" i="95" s="1"/>
  <c r="T62" i="20"/>
  <c r="G36" i="24"/>
  <c r="E16" i="24"/>
  <c r="T16" i="24" s="1"/>
  <c r="E53" i="24"/>
  <c r="T53" i="24" s="1"/>
  <c r="T13" i="20"/>
  <c r="L8" i="1"/>
  <c r="AN34" i="20"/>
  <c r="E34" i="20"/>
  <c r="F34" i="20" s="1"/>
  <c r="H34" i="20" s="1"/>
  <c r="J34" i="20" s="1"/>
  <c r="E21" i="21"/>
  <c r="AE45" i="20"/>
  <c r="AE47" i="20" s="1"/>
  <c r="I32" i="94" s="1"/>
  <c r="J26" i="95" s="1"/>
  <c r="J22" i="95"/>
  <c r="I36" i="94"/>
  <c r="J30" i="95" s="1"/>
  <c r="I23" i="94"/>
  <c r="J17" i="95" s="1"/>
  <c r="I13" i="34"/>
  <c r="F29" i="34"/>
  <c r="I21" i="94"/>
  <c r="J15" i="95" s="1"/>
  <c r="I35" i="94"/>
  <c r="J29" i="95" s="1"/>
  <c r="D60" i="20"/>
  <c r="C57" i="24"/>
  <c r="R57" i="24" s="1"/>
  <c r="I12" i="34"/>
  <c r="F28" i="34"/>
  <c r="H119" i="59"/>
  <c r="E37" i="24"/>
  <c r="T37" i="24" s="1"/>
  <c r="E41" i="7"/>
  <c r="F41" i="7" s="1"/>
  <c r="G37" i="24"/>
  <c r="G40" i="24"/>
  <c r="E40" i="24"/>
  <c r="T40" i="24" s="1"/>
  <c r="G116" i="59"/>
  <c r="G119" i="59"/>
  <c r="F121" i="59"/>
  <c r="G117" i="59"/>
  <c r="D47" i="20"/>
  <c r="I14" i="94" s="1"/>
  <c r="C44" i="24"/>
  <c r="R44" i="24" s="1"/>
  <c r="J97" i="59"/>
  <c r="J118" i="59"/>
  <c r="N20" i="19"/>
  <c r="K21" i="19"/>
  <c r="K24" i="19" s="1"/>
  <c r="M20" i="19"/>
  <c r="M21" i="19" s="1"/>
  <c r="M24" i="19" s="1"/>
  <c r="E38" i="24"/>
  <c r="T38" i="24" s="1"/>
  <c r="E36" i="7"/>
  <c r="F36" i="7" s="1"/>
  <c r="G38" i="24"/>
  <c r="G118" i="59"/>
  <c r="G18" i="61"/>
  <c r="G31" i="61" s="1"/>
  <c r="G36" i="61" s="1"/>
  <c r="AG45" i="20"/>
  <c r="AG47" i="20" s="1"/>
  <c r="I34" i="94" s="1"/>
  <c r="J28" i="95" s="1"/>
  <c r="E40" i="20"/>
  <c r="F40" i="20" s="1"/>
  <c r="H40" i="20" s="1"/>
  <c r="J40" i="20" s="1"/>
  <c r="AF45" i="20"/>
  <c r="AF47" i="20" s="1"/>
  <c r="I33" i="94" s="1"/>
  <c r="J24" i="21"/>
  <c r="O56" i="20" s="1"/>
  <c r="AM56" i="20" s="1"/>
  <c r="O55" i="20"/>
  <c r="AM55" i="20" s="1"/>
  <c r="J20" i="21"/>
  <c r="E16" i="20"/>
  <c r="F16" i="20" s="1"/>
  <c r="E29" i="24"/>
  <c r="T29" i="24" s="1"/>
  <c r="G29" i="24"/>
  <c r="E29" i="7"/>
  <c r="F29" i="7" s="1"/>
  <c r="E34" i="24"/>
  <c r="T34" i="24" s="1"/>
  <c r="D34" i="24"/>
  <c r="AN28" i="20"/>
  <c r="E26" i="20"/>
  <c r="F26" i="20" s="1"/>
  <c r="H26" i="20" s="1"/>
  <c r="AN26" i="20"/>
  <c r="P43" i="20"/>
  <c r="E32" i="20"/>
  <c r="F32" i="20" s="1"/>
  <c r="H32" i="20" s="1"/>
  <c r="J32" i="20" s="1"/>
  <c r="AN32" i="20"/>
  <c r="G18" i="55"/>
  <c r="F19" i="55" s="1"/>
  <c r="B13" i="65"/>
  <c r="H13" i="65"/>
  <c r="I12" i="65"/>
  <c r="D45" i="1"/>
  <c r="I38" i="7"/>
  <c r="K38" i="7"/>
  <c r="I40" i="7"/>
  <c r="I26" i="7"/>
  <c r="K26" i="7"/>
  <c r="I30" i="7"/>
  <c r="K30" i="7"/>
  <c r="E11" i="38"/>
  <c r="G11" i="38" s="1"/>
  <c r="F14" i="34" s="1"/>
  <c r="BT26" i="1"/>
  <c r="G21" i="19"/>
  <c r="AN40" i="20"/>
  <c r="AJ36" i="20"/>
  <c r="CS39" i="1"/>
  <c r="X43" i="20"/>
  <c r="X45" i="20" s="1"/>
  <c r="X47" i="20" s="1"/>
  <c r="I25" i="94" s="1"/>
  <c r="J19" i="95" s="1"/>
  <c r="AL27" i="1"/>
  <c r="AG21" i="1"/>
  <c r="R19" i="20"/>
  <c r="AX26" i="1"/>
  <c r="AX28" i="1" s="1"/>
  <c r="Z42" i="20"/>
  <c r="J57" i="1"/>
  <c r="R36" i="20" s="1"/>
  <c r="AM36" i="20" s="1"/>
  <c r="Y43" i="20"/>
  <c r="Y45" i="20" s="1"/>
  <c r="Y47" i="20" s="1"/>
  <c r="I26" i="94" s="1"/>
  <c r="AS28" i="1"/>
  <c r="AB25" i="1" l="1"/>
  <c r="H16" i="20"/>
  <c r="H28" i="20"/>
  <c r="J26" i="20"/>
  <c r="F28" i="20"/>
  <c r="E16" i="7"/>
  <c r="F16" i="7" s="1"/>
  <c r="G16" i="24"/>
  <c r="E58" i="24"/>
  <c r="T58" i="24" s="1"/>
  <c r="D58" i="24"/>
  <c r="J32" i="95"/>
  <c r="I38" i="94"/>
  <c r="AN16" i="20"/>
  <c r="G34" i="24"/>
  <c r="N62" i="20"/>
  <c r="M62" i="20"/>
  <c r="D49" i="20"/>
  <c r="M51" i="20"/>
  <c r="D51" i="20" s="1"/>
  <c r="C50" i="24" s="1"/>
  <c r="R50" i="24" s="1"/>
  <c r="V62" i="20"/>
  <c r="J25" i="94"/>
  <c r="K19" i="95" s="1"/>
  <c r="AD62" i="20"/>
  <c r="C46" i="24"/>
  <c r="R46" i="24" s="1"/>
  <c r="U13" i="20"/>
  <c r="P8" i="1"/>
  <c r="D15" i="24"/>
  <c r="D33" i="24"/>
  <c r="E36" i="20"/>
  <c r="F36" i="20" s="1"/>
  <c r="H36" i="20" s="1"/>
  <c r="O58" i="20"/>
  <c r="O60" i="20" s="1"/>
  <c r="O49" i="20" s="1"/>
  <c r="AM49" i="20" s="1"/>
  <c r="E49" i="20" s="1"/>
  <c r="E34" i="7"/>
  <c r="F34" i="7" s="1"/>
  <c r="K34" i="7" s="1"/>
  <c r="J25" i="21"/>
  <c r="J16" i="94" s="1"/>
  <c r="I14" i="34"/>
  <c r="F30" i="34"/>
  <c r="I36" i="7"/>
  <c r="K36" i="7"/>
  <c r="O20" i="19"/>
  <c r="J29" i="19"/>
  <c r="N21" i="19"/>
  <c r="I41" i="7"/>
  <c r="K41" i="7"/>
  <c r="H121" i="59"/>
  <c r="I117" i="59"/>
  <c r="I119" i="59"/>
  <c r="I116" i="59"/>
  <c r="C28" i="34"/>
  <c r="I28" i="34"/>
  <c r="J14" i="94"/>
  <c r="K8" i="95" s="1"/>
  <c r="C59" i="24"/>
  <c r="R59" i="24" s="1"/>
  <c r="J24" i="94"/>
  <c r="K18" i="95" s="1"/>
  <c r="P45" i="20"/>
  <c r="P47" i="20" s="1"/>
  <c r="I17" i="94" s="1"/>
  <c r="J11" i="95" s="1"/>
  <c r="I118" i="59"/>
  <c r="C29" i="34"/>
  <c r="I29" i="34"/>
  <c r="J20" i="95"/>
  <c r="J27" i="95"/>
  <c r="J8" i="95"/>
  <c r="AN55" i="20"/>
  <c r="E55" i="20"/>
  <c r="F55" i="20" s="1"/>
  <c r="I56" i="1"/>
  <c r="C53" i="77"/>
  <c r="D53" i="77" s="1"/>
  <c r="E55" i="77" s="1"/>
  <c r="C20" i="80"/>
  <c r="E20" i="80" s="1"/>
  <c r="I29" i="7"/>
  <c r="K29" i="7"/>
  <c r="D25" i="24"/>
  <c r="E28" i="20"/>
  <c r="D27" i="24" s="1"/>
  <c r="E15" i="7"/>
  <c r="F15" i="7" s="1"/>
  <c r="E15" i="24"/>
  <c r="T15" i="24" s="1"/>
  <c r="D31" i="24"/>
  <c r="H14" i="65"/>
  <c r="I14" i="65" s="1"/>
  <c r="I13" i="65"/>
  <c r="B14" i="65"/>
  <c r="E19" i="55"/>
  <c r="G19" i="55" s="1"/>
  <c r="D49" i="1"/>
  <c r="N17" i="22"/>
  <c r="N19" i="22" s="1"/>
  <c r="N20" i="22" s="1"/>
  <c r="E45" i="1"/>
  <c r="E39" i="24"/>
  <c r="T39" i="24" s="1"/>
  <c r="D39" i="24"/>
  <c r="I34" i="7"/>
  <c r="E12" i="38"/>
  <c r="G12" i="38" s="1"/>
  <c r="F15" i="34" s="1"/>
  <c r="W62" i="20"/>
  <c r="CS40" i="1"/>
  <c r="AJ43" i="20"/>
  <c r="AJ45" i="20" s="1"/>
  <c r="AJ47" i="20" s="1"/>
  <c r="I37" i="94" s="1"/>
  <c r="AX30" i="1"/>
  <c r="Z43" i="20" s="1"/>
  <c r="Z45" i="20" s="1"/>
  <c r="Z47" i="20" s="1"/>
  <c r="I27" i="94" s="1"/>
  <c r="AN18" i="20"/>
  <c r="E18" i="20"/>
  <c r="O62" i="20"/>
  <c r="AM58" i="20"/>
  <c r="AM60" i="20" s="1"/>
  <c r="AN56" i="20"/>
  <c r="AN58" i="20" s="1"/>
  <c r="AN60" i="20" s="1"/>
  <c r="E56" i="20"/>
  <c r="F56" i="20" s="1"/>
  <c r="F18" i="20" l="1"/>
  <c r="F19" i="20" s="1"/>
  <c r="F58" i="20"/>
  <c r="F60" i="20" s="1"/>
  <c r="F49" i="20"/>
  <c r="H49" i="20" s="1"/>
  <c r="J49" i="20" s="1"/>
  <c r="L18" i="20"/>
  <c r="D17" i="24"/>
  <c r="I16" i="7"/>
  <c r="K16" i="7"/>
  <c r="D55" i="24"/>
  <c r="C48" i="24"/>
  <c r="R48" i="24" s="1"/>
  <c r="AN49" i="20"/>
  <c r="E49" i="7" s="1"/>
  <c r="AM62" i="20"/>
  <c r="V13" i="20"/>
  <c r="T8" i="1"/>
  <c r="AN36" i="20"/>
  <c r="E33" i="24"/>
  <c r="T33" i="24" s="1"/>
  <c r="G33" i="24"/>
  <c r="E33" i="7"/>
  <c r="F33" i="7" s="1"/>
  <c r="L14" i="94"/>
  <c r="L15" i="94" s="1"/>
  <c r="M9" i="95" s="1"/>
  <c r="N22" i="22"/>
  <c r="F39" i="94" s="1"/>
  <c r="L34" i="94"/>
  <c r="M28" i="95" s="1"/>
  <c r="J21" i="95"/>
  <c r="L27" i="94"/>
  <c r="M21" i="95" s="1"/>
  <c r="J31" i="95"/>
  <c r="L37" i="94"/>
  <c r="M31" i="95" s="1"/>
  <c r="I15" i="34"/>
  <c r="F31" i="34"/>
  <c r="I19" i="19"/>
  <c r="J19" i="19" s="1"/>
  <c r="P19" i="19" s="1"/>
  <c r="N31" i="19" s="1"/>
  <c r="I15" i="19"/>
  <c r="J15" i="19" s="1"/>
  <c r="P15" i="19" s="1"/>
  <c r="I17" i="19"/>
  <c r="J17" i="19" s="1"/>
  <c r="P17" i="19" s="1"/>
  <c r="I13" i="19"/>
  <c r="J13" i="19" s="1"/>
  <c r="I16" i="19"/>
  <c r="J16" i="19" s="1"/>
  <c r="P16" i="19" s="1"/>
  <c r="I18" i="19"/>
  <c r="J18" i="19" s="1"/>
  <c r="P18" i="19" s="1"/>
  <c r="I14" i="19"/>
  <c r="J14" i="19" s="1"/>
  <c r="P14" i="19" s="1"/>
  <c r="C30" i="34"/>
  <c r="I30" i="34"/>
  <c r="K10" i="95"/>
  <c r="J40" i="94"/>
  <c r="J41" i="94" s="1"/>
  <c r="O21" i="19"/>
  <c r="N24" i="19"/>
  <c r="O24" i="19" s="1"/>
  <c r="E21" i="22"/>
  <c r="F17" i="94"/>
  <c r="G11" i="95" s="1"/>
  <c r="F19" i="94"/>
  <c r="G13" i="95" s="1"/>
  <c r="F21" i="94"/>
  <c r="G15" i="95" s="1"/>
  <c r="F23" i="94"/>
  <c r="G17" i="95" s="1"/>
  <c r="F25" i="94"/>
  <c r="G19" i="95" s="1"/>
  <c r="F27" i="94"/>
  <c r="G21" i="95" s="1"/>
  <c r="F29" i="94"/>
  <c r="G23" i="95" s="1"/>
  <c r="F31" i="94"/>
  <c r="G25" i="95" s="1"/>
  <c r="F33" i="94"/>
  <c r="G27" i="95" s="1"/>
  <c r="F35" i="94"/>
  <c r="G29" i="95" s="1"/>
  <c r="F37" i="94"/>
  <c r="G31" i="95" s="1"/>
  <c r="F16" i="94"/>
  <c r="G10" i="95" s="1"/>
  <c r="F18" i="94"/>
  <c r="G12" i="95" s="1"/>
  <c r="F20" i="94"/>
  <c r="G14" i="95" s="1"/>
  <c r="F22" i="94"/>
  <c r="G16" i="95" s="1"/>
  <c r="F24" i="94"/>
  <c r="G18" i="95" s="1"/>
  <c r="F26" i="94"/>
  <c r="G20" i="95" s="1"/>
  <c r="F28" i="94"/>
  <c r="G22" i="95" s="1"/>
  <c r="F30" i="94"/>
  <c r="G24" i="95" s="1"/>
  <c r="F32" i="94"/>
  <c r="G26" i="95" s="1"/>
  <c r="F34" i="94"/>
  <c r="G28" i="95" s="1"/>
  <c r="F36" i="94"/>
  <c r="G30" i="95" s="1"/>
  <c r="G32" i="95"/>
  <c r="E37" i="7"/>
  <c r="F37" i="7" s="1"/>
  <c r="I37" i="7" s="1"/>
  <c r="L39" i="94"/>
  <c r="M32" i="95" s="1"/>
  <c r="E54" i="24"/>
  <c r="T54" i="24" s="1"/>
  <c r="D54" i="24"/>
  <c r="G39" i="24"/>
  <c r="C57" i="77"/>
  <c r="D57" i="77" s="1"/>
  <c r="E59" i="77" s="1"/>
  <c r="E61" i="77" s="1"/>
  <c r="C22" i="80"/>
  <c r="E22" i="80" s="1"/>
  <c r="E23" i="80" s="1"/>
  <c r="E36" i="80" s="1"/>
  <c r="N22" i="1"/>
  <c r="O22" i="1" s="1"/>
  <c r="S33" i="20" s="1"/>
  <c r="J56" i="1"/>
  <c r="G28" i="20"/>
  <c r="E24" i="7"/>
  <c r="E25" i="24"/>
  <c r="T25" i="24" s="1"/>
  <c r="K15" i="7"/>
  <c r="I15" i="7"/>
  <c r="D48" i="24"/>
  <c r="E31" i="24"/>
  <c r="T31" i="24" s="1"/>
  <c r="G31" i="24"/>
  <c r="E31" i="7"/>
  <c r="F31" i="7" s="1"/>
  <c r="Q33" i="20"/>
  <c r="F47" i="1"/>
  <c r="E49" i="1"/>
  <c r="I60" i="1"/>
  <c r="E35" i="24"/>
  <c r="T35" i="24" s="1"/>
  <c r="D35" i="24"/>
  <c r="E13" i="38"/>
  <c r="G13" i="38" s="1"/>
  <c r="F16" i="34" s="1"/>
  <c r="E58" i="20"/>
  <c r="F49" i="7"/>
  <c r="K49" i="7" s="1"/>
  <c r="E17" i="24"/>
  <c r="E19" i="20"/>
  <c r="D18" i="24" s="1"/>
  <c r="AX31" i="1"/>
  <c r="E13" i="22" l="1"/>
  <c r="H18" i="20"/>
  <c r="F14" i="94"/>
  <c r="G8" i="95" s="1"/>
  <c r="F38" i="94"/>
  <c r="L38" i="94"/>
  <c r="K33" i="95"/>
  <c r="M8" i="95"/>
  <c r="E27" i="24"/>
  <c r="T27" i="24" s="1"/>
  <c r="L21" i="94"/>
  <c r="M15" i="95" s="1"/>
  <c r="L33" i="94"/>
  <c r="M27" i="95" s="1"/>
  <c r="AN62" i="20"/>
  <c r="W13" i="20"/>
  <c r="X8" i="1"/>
  <c r="F15" i="94"/>
  <c r="F40" i="94" s="1"/>
  <c r="F41" i="94" s="1"/>
  <c r="K37" i="7"/>
  <c r="I33" i="7"/>
  <c r="K33" i="7"/>
  <c r="L25" i="94"/>
  <c r="M19" i="95" s="1"/>
  <c r="L35" i="94"/>
  <c r="M29" i="95" s="1"/>
  <c r="L24" i="94"/>
  <c r="M18" i="95" s="1"/>
  <c r="L32" i="94"/>
  <c r="M26" i="95" s="1"/>
  <c r="L30" i="94"/>
  <c r="M24" i="95" s="1"/>
  <c r="L36" i="94"/>
  <c r="M30" i="95" s="1"/>
  <c r="L26" i="94"/>
  <c r="M20" i="95" s="1"/>
  <c r="L23" i="94"/>
  <c r="M17" i="95" s="1"/>
  <c r="L17" i="94"/>
  <c r="M11" i="95" s="1"/>
  <c r="L28" i="94"/>
  <c r="M22" i="95" s="1"/>
  <c r="L16" i="94"/>
  <c r="M10" i="95" s="1"/>
  <c r="C31" i="34"/>
  <c r="I31" i="34"/>
  <c r="I16" i="34"/>
  <c r="F32" i="34"/>
  <c r="J21" i="19"/>
  <c r="J24" i="19" s="1"/>
  <c r="P13" i="19"/>
  <c r="P21" i="19" s="1"/>
  <c r="P24" i="19" s="1"/>
  <c r="N32" i="19" s="1"/>
  <c r="E62" i="77"/>
  <c r="E63" i="77" s="1"/>
  <c r="G9" i="95"/>
  <c r="E37" i="80"/>
  <c r="E38" i="80" s="1"/>
  <c r="K58" i="1"/>
  <c r="R33" i="20"/>
  <c r="G25" i="24"/>
  <c r="J28" i="20"/>
  <c r="G27" i="24" s="1"/>
  <c r="F24" i="7"/>
  <c r="E27" i="7"/>
  <c r="F27" i="7" s="1"/>
  <c r="K27" i="7" s="1"/>
  <c r="T17" i="24"/>
  <c r="I17" i="24"/>
  <c r="E35" i="7"/>
  <c r="F35" i="7" s="1"/>
  <c r="K35" i="7" s="1"/>
  <c r="E55" i="24"/>
  <c r="T55" i="24" s="1"/>
  <c r="E60" i="20"/>
  <c r="D59" i="24" s="1"/>
  <c r="D57" i="24"/>
  <c r="E48" i="24"/>
  <c r="T48" i="24" s="1"/>
  <c r="I31" i="7"/>
  <c r="K31" i="7"/>
  <c r="F50" i="1"/>
  <c r="Q42" i="20"/>
  <c r="N24" i="1"/>
  <c r="J60" i="1"/>
  <c r="K62" i="1" s="1"/>
  <c r="F52" i="1"/>
  <c r="E14" i="38"/>
  <c r="G14" i="38" s="1"/>
  <c r="F17" i="34" s="1"/>
  <c r="E17" i="7"/>
  <c r="G19" i="20"/>
  <c r="E18" i="24" s="1"/>
  <c r="T18" i="24" s="1"/>
  <c r="J18" i="20" l="1"/>
  <c r="G17" i="24" s="1"/>
  <c r="H19" i="20"/>
  <c r="X13" i="20"/>
  <c r="AC8" i="1"/>
  <c r="I35" i="7"/>
  <c r="I17" i="34"/>
  <c r="F33" i="34"/>
  <c r="C32" i="34"/>
  <c r="I32" i="34"/>
  <c r="G33" i="95"/>
  <c r="K24" i="7"/>
  <c r="I24" i="7"/>
  <c r="I27" i="7" s="1"/>
  <c r="V13" i="1"/>
  <c r="G48" i="24"/>
  <c r="E57" i="24"/>
  <c r="T57" i="24" s="1"/>
  <c r="R42" i="20"/>
  <c r="K64" i="1"/>
  <c r="F54" i="1"/>
  <c r="Q43" i="20" s="1"/>
  <c r="Q45" i="20" s="1"/>
  <c r="Q47" i="20" s="1"/>
  <c r="I18" i="94" s="1"/>
  <c r="O24" i="1"/>
  <c r="N25" i="1"/>
  <c r="E15" i="38"/>
  <c r="F17" i="7"/>
  <c r="E18" i="7"/>
  <c r="Y13" i="20" l="1"/>
  <c r="AH8" i="1"/>
  <c r="G15" i="38"/>
  <c r="F18" i="34" s="1"/>
  <c r="C33" i="34"/>
  <c r="I33" i="34"/>
  <c r="J12" i="95"/>
  <c r="L18" i="94"/>
  <c r="E59" i="24"/>
  <c r="T59" i="24" s="1"/>
  <c r="W13" i="1"/>
  <c r="V15" i="1"/>
  <c r="S42" i="20"/>
  <c r="O25" i="1"/>
  <c r="O35" i="1" s="1"/>
  <c r="F55" i="1"/>
  <c r="K65" i="1"/>
  <c r="R43" i="20" s="1"/>
  <c r="R45" i="20" s="1"/>
  <c r="R47" i="20" s="1"/>
  <c r="I17" i="7"/>
  <c r="I18" i="7" s="1"/>
  <c r="K17" i="7"/>
  <c r="E16" i="38"/>
  <c r="E17" i="38" s="1"/>
  <c r="F18" i="7"/>
  <c r="K18" i="7" s="1"/>
  <c r="I19" i="94" l="1"/>
  <c r="Z13" i="20"/>
  <c r="AA13" i="20" s="1"/>
  <c r="AM8" i="1"/>
  <c r="G16" i="38"/>
  <c r="F19" i="34" s="1"/>
  <c r="I18" i="34"/>
  <c r="F34" i="34"/>
  <c r="J13" i="95"/>
  <c r="L19" i="94"/>
  <c r="M13" i="95" s="1"/>
  <c r="M12" i="95"/>
  <c r="O36" i="1"/>
  <c r="S43" i="20" s="1"/>
  <c r="S45" i="20" s="1"/>
  <c r="S47" i="20" s="1"/>
  <c r="I20" i="94" s="1"/>
  <c r="K66" i="1"/>
  <c r="AB13" i="20" l="1"/>
  <c r="AY8" i="1"/>
  <c r="C34" i="34"/>
  <c r="I34" i="34"/>
  <c r="I19" i="34"/>
  <c r="I21" i="34" s="1"/>
  <c r="D13" i="33" s="1"/>
  <c r="F35" i="34"/>
  <c r="J14" i="95"/>
  <c r="L20" i="94"/>
  <c r="O37" i="1"/>
  <c r="AC13" i="20" l="1"/>
  <c r="BD8" i="1"/>
  <c r="B7" i="39" s="1"/>
  <c r="BP13" i="1"/>
  <c r="D15" i="33"/>
  <c r="C35" i="34"/>
  <c r="C37" i="34" s="1"/>
  <c r="I35" i="34"/>
  <c r="I37" i="34" s="1"/>
  <c r="M14" i="95"/>
  <c r="AD13" i="20" l="1"/>
  <c r="BH8" i="1"/>
  <c r="BP15" i="1"/>
  <c r="AD33" i="20"/>
  <c r="AM33" i="20" s="1"/>
  <c r="AE13" i="20" l="1"/>
  <c r="BM8" i="1"/>
  <c r="A8" i="33" s="1"/>
  <c r="AD45" i="20"/>
  <c r="AD47" i="20" s="1"/>
  <c r="I31" i="94" s="1"/>
  <c r="AF13" i="20" l="1"/>
  <c r="BQ8" i="1"/>
  <c r="J25" i="95"/>
  <c r="L31" i="94"/>
  <c r="M25" i="95" s="1"/>
  <c r="E33" i="20"/>
  <c r="F33" i="20" s="1"/>
  <c r="H33" i="20" s="1"/>
  <c r="AN33" i="20"/>
  <c r="AG13" i="20" l="1"/>
  <c r="BU8" i="1"/>
  <c r="A9" i="27" s="1"/>
  <c r="D32" i="24"/>
  <c r="AH13" i="20" l="1"/>
  <c r="BY8" i="1"/>
  <c r="E32" i="24"/>
  <c r="T32" i="24" s="1"/>
  <c r="E32" i="7"/>
  <c r="AI13" i="20" l="1"/>
  <c r="CD8" i="1"/>
  <c r="F32" i="7"/>
  <c r="E39" i="7"/>
  <c r="AJ13" i="20" l="1"/>
  <c r="AK13" i="20" s="1"/>
  <c r="CT8" i="1" s="1"/>
  <c r="CI8" i="1"/>
  <c r="F39" i="7"/>
  <c r="I32" i="7"/>
  <c r="K32" i="7"/>
  <c r="AL13" i="20" l="1"/>
  <c r="A8" i="98" s="1"/>
  <c r="K39" i="7"/>
  <c r="I39" i="7"/>
  <c r="I17" i="59" l="1"/>
  <c r="I32" i="59" l="1"/>
  <c r="J17" i="59"/>
  <c r="B125" i="59"/>
  <c r="F5" i="59"/>
  <c r="I125" i="59"/>
  <c r="I127" i="59" s="1"/>
  <c r="I26" i="59"/>
  <c r="I19" i="59"/>
  <c r="I18" i="59"/>
  <c r="I20" i="59"/>
  <c r="I21" i="59" l="1"/>
  <c r="I35" i="59"/>
  <c r="J20" i="59"/>
  <c r="I34" i="59"/>
  <c r="J19" i="59"/>
  <c r="I33" i="59"/>
  <c r="J18" i="59"/>
  <c r="J21" i="59" s="1"/>
  <c r="J26" i="59"/>
  <c r="I27" i="59"/>
  <c r="J32" i="59"/>
  <c r="I36" i="59"/>
  <c r="I74" i="59" s="1"/>
  <c r="I98" i="59" s="1"/>
  <c r="I113" i="59" s="1"/>
  <c r="J27" i="59" l="1"/>
  <c r="J33" i="59"/>
  <c r="J34" i="59"/>
  <c r="J35" i="59"/>
  <c r="J36" i="59" l="1"/>
  <c r="J74" i="59" s="1"/>
  <c r="J98" i="59" s="1"/>
  <c r="J113" i="59" s="1"/>
  <c r="J116" i="59" l="1"/>
  <c r="J119" i="59" s="1"/>
  <c r="K119" i="59" l="1"/>
  <c r="J121" i="59"/>
  <c r="K117" i="59"/>
  <c r="F8" i="59" s="1"/>
  <c r="K118" i="59"/>
  <c r="E8" i="59" s="1"/>
  <c r="K116" i="59"/>
  <c r="D8" i="59" s="1"/>
  <c r="B127" i="59" l="1"/>
  <c r="N127" i="59"/>
  <c r="M127" i="59"/>
  <c r="G8" i="59"/>
  <c r="D127" i="59"/>
  <c r="M125" i="59"/>
  <c r="O125" i="59"/>
  <c r="M126" i="59"/>
  <c r="K87" i="59"/>
  <c r="N126" i="59"/>
  <c r="K92" i="59"/>
  <c r="M92" i="59" s="1"/>
  <c r="M128" i="59" l="1"/>
  <c r="K96" i="59"/>
  <c r="M96" i="59" s="1"/>
  <c r="K74" i="59"/>
  <c r="M87" i="59"/>
  <c r="N128" i="59"/>
  <c r="K95" i="59"/>
  <c r="M95" i="59" s="1"/>
  <c r="K85" i="59"/>
  <c r="K89" i="59"/>
  <c r="M89" i="59" s="1"/>
  <c r="K94" i="59"/>
  <c r="M94" i="59" s="1"/>
  <c r="K88" i="59"/>
  <c r="M88" i="59" s="1"/>
  <c r="K91" i="59"/>
  <c r="M91" i="59" s="1"/>
  <c r="K90" i="59"/>
  <c r="M90" i="59" s="1"/>
  <c r="K93" i="59"/>
  <c r="M93" i="59" s="1"/>
  <c r="K80" i="59"/>
  <c r="K82" i="59" l="1"/>
  <c r="M82" i="59" s="1"/>
  <c r="K84" i="59"/>
  <c r="M84" i="59" s="1"/>
  <c r="K83" i="59"/>
  <c r="M83" i="59" s="1"/>
  <c r="K97" i="59"/>
  <c r="K78" i="59"/>
  <c r="M78" i="59" s="1"/>
  <c r="K79" i="59"/>
  <c r="M79" i="59" s="1"/>
  <c r="K77" i="59"/>
  <c r="M77" i="59" s="1"/>
  <c r="M97" i="59"/>
  <c r="M117" i="59"/>
  <c r="K98" i="59"/>
  <c r="K113" i="59" s="1"/>
  <c r="K52" i="59"/>
  <c r="M52" i="59" s="1"/>
  <c r="K24" i="59"/>
  <c r="M24" i="59" s="1"/>
  <c r="K45" i="59"/>
  <c r="K57" i="59"/>
  <c r="M57" i="59" s="1"/>
  <c r="K55" i="59"/>
  <c r="M55" i="59" s="1"/>
  <c r="K44" i="59"/>
  <c r="K46" i="59"/>
  <c r="K23" i="59"/>
  <c r="K51" i="59"/>
  <c r="K48" i="59"/>
  <c r="K14" i="59"/>
  <c r="M74" i="59"/>
  <c r="K15" i="59"/>
  <c r="K26" i="59"/>
  <c r="M26" i="59" s="1"/>
  <c r="K19" i="59"/>
  <c r="K56" i="59"/>
  <c r="M56" i="59" s="1"/>
  <c r="K54" i="59"/>
  <c r="M54" i="59" s="1"/>
  <c r="K25" i="59"/>
  <c r="M25" i="59" s="1"/>
  <c r="K53" i="59"/>
  <c r="M53" i="59" s="1"/>
  <c r="K42" i="59"/>
  <c r="K41" i="59"/>
  <c r="K40" i="59"/>
  <c r="K16" i="59"/>
  <c r="K47" i="59"/>
  <c r="K43" i="59"/>
  <c r="K39" i="59"/>
  <c r="K17" i="59"/>
  <c r="K18" i="59"/>
  <c r="K20" i="59"/>
  <c r="K35" i="59" l="1"/>
  <c r="M20" i="59"/>
  <c r="K65" i="59"/>
  <c r="M43" i="59"/>
  <c r="K63" i="59"/>
  <c r="M41" i="59"/>
  <c r="O53" i="59"/>
  <c r="O54" i="59"/>
  <c r="K34" i="59"/>
  <c r="M19" i="59"/>
  <c r="K30" i="59"/>
  <c r="M15" i="59"/>
  <c r="K29" i="59"/>
  <c r="K21" i="59"/>
  <c r="M14" i="59"/>
  <c r="K58" i="59"/>
  <c r="M51" i="59"/>
  <c r="K68" i="59"/>
  <c r="M46" i="59"/>
  <c r="O55" i="59"/>
  <c r="M45" i="59"/>
  <c r="K67" i="59"/>
  <c r="O52" i="59"/>
  <c r="K32" i="59"/>
  <c r="M17" i="59"/>
  <c r="K31" i="59"/>
  <c r="M16" i="59"/>
  <c r="K33" i="59"/>
  <c r="M18" i="59"/>
  <c r="K49" i="59"/>
  <c r="K61" i="59"/>
  <c r="M39" i="59"/>
  <c r="K69" i="59"/>
  <c r="M47" i="59"/>
  <c r="K62" i="59"/>
  <c r="M40" i="59"/>
  <c r="K64" i="59"/>
  <c r="M42" i="59"/>
  <c r="O25" i="59"/>
  <c r="O56" i="59"/>
  <c r="O26" i="59"/>
  <c r="O74" i="59"/>
  <c r="O22" i="59"/>
  <c r="O73" i="59"/>
  <c r="O60" i="59"/>
  <c r="O72" i="59"/>
  <c r="O38" i="59"/>
  <c r="O59" i="59"/>
  <c r="O50" i="59"/>
  <c r="O28" i="59"/>
  <c r="O37" i="59"/>
  <c r="M116" i="59"/>
  <c r="K70" i="59"/>
  <c r="M48" i="59"/>
  <c r="K27" i="59"/>
  <c r="M23" i="59"/>
  <c r="K66" i="59"/>
  <c r="M44" i="59"/>
  <c r="O57" i="59"/>
  <c r="O24" i="59"/>
  <c r="M80" i="59"/>
  <c r="M85" i="59"/>
  <c r="M98" i="59" l="1"/>
  <c r="O42" i="59"/>
  <c r="M64" i="59"/>
  <c r="O40" i="59"/>
  <c r="M62" i="59"/>
  <c r="O47" i="59"/>
  <c r="M69" i="59"/>
  <c r="O39" i="59"/>
  <c r="M49" i="59"/>
  <c r="M61" i="59"/>
  <c r="O45" i="59"/>
  <c r="M67" i="59"/>
  <c r="O15" i="59"/>
  <c r="M30" i="59"/>
  <c r="O19" i="59"/>
  <c r="M34" i="59"/>
  <c r="O41" i="59"/>
  <c r="M63" i="59"/>
  <c r="O43" i="59"/>
  <c r="M65" i="59"/>
  <c r="O20" i="59"/>
  <c r="M35" i="59"/>
  <c r="M118" i="59"/>
  <c r="M119" i="59" s="1"/>
  <c r="O44" i="59"/>
  <c r="M66" i="59"/>
  <c r="O23" i="59"/>
  <c r="M27" i="59"/>
  <c r="O48" i="59"/>
  <c r="M70" i="59"/>
  <c r="K71" i="59"/>
  <c r="M71" i="59" s="1"/>
  <c r="O18" i="59"/>
  <c r="M33" i="59"/>
  <c r="O16" i="59"/>
  <c r="M31" i="59"/>
  <c r="O17" i="59"/>
  <c r="M32" i="59"/>
  <c r="O46" i="59"/>
  <c r="M68" i="59"/>
  <c r="O51" i="59"/>
  <c r="M58" i="59"/>
  <c r="O14" i="59"/>
  <c r="M21" i="59"/>
  <c r="M29" i="59"/>
  <c r="K36" i="59"/>
  <c r="O21" i="59" l="1"/>
  <c r="O29" i="59"/>
  <c r="M3" i="59"/>
  <c r="O58" i="59"/>
  <c r="O32" i="59"/>
  <c r="O33" i="59"/>
  <c r="M121" i="59"/>
  <c r="N119" i="59"/>
  <c r="O117" i="59"/>
  <c r="O70" i="59"/>
  <c r="O66" i="59"/>
  <c r="O65" i="59"/>
  <c r="M6" i="59"/>
  <c r="O34" i="59"/>
  <c r="O67" i="59"/>
  <c r="O49" i="59"/>
  <c r="O62" i="59"/>
  <c r="M113" i="59"/>
  <c r="N29" i="59" s="1"/>
  <c r="O68" i="59"/>
  <c r="O31" i="59"/>
  <c r="N31" i="59"/>
  <c r="O71" i="59"/>
  <c r="N71" i="59"/>
  <c r="O116" i="59"/>
  <c r="N27" i="59"/>
  <c r="O27" i="59"/>
  <c r="M36" i="59"/>
  <c r="O118" i="59"/>
  <c r="O35" i="59"/>
  <c r="N35" i="59"/>
  <c r="O63" i="59"/>
  <c r="N63" i="59"/>
  <c r="N30" i="59"/>
  <c r="O30" i="59"/>
  <c r="M5" i="59"/>
  <c r="N61" i="59"/>
  <c r="O61" i="59"/>
  <c r="M4" i="59"/>
  <c r="O69" i="59"/>
  <c r="N69" i="59"/>
  <c r="O64" i="59"/>
  <c r="N64" i="59"/>
  <c r="Q4" i="59" l="1"/>
  <c r="F25" i="55"/>
  <c r="Q5" i="59"/>
  <c r="B41" i="58"/>
  <c r="B43" i="58" s="1"/>
  <c r="E28" i="55" s="1"/>
  <c r="Q6" i="59"/>
  <c r="C41" i="58"/>
  <c r="C43" i="58" s="1"/>
  <c r="F28" i="55" s="1"/>
  <c r="Q3" i="59"/>
  <c r="E25" i="55"/>
  <c r="N68" i="59"/>
  <c r="N98" i="59"/>
  <c r="N62" i="59"/>
  <c r="N49" i="59"/>
  <c r="N33" i="59"/>
  <c r="N32" i="59"/>
  <c r="O36" i="59"/>
  <c r="N36" i="59"/>
  <c r="N86" i="59"/>
  <c r="N75" i="59"/>
  <c r="N110" i="59"/>
  <c r="N81" i="59"/>
  <c r="N38" i="59"/>
  <c r="N73" i="59"/>
  <c r="N112" i="59"/>
  <c r="N107" i="59"/>
  <c r="N37" i="59"/>
  <c r="N103" i="59"/>
  <c r="N111" i="59"/>
  <c r="N60" i="59"/>
  <c r="N105" i="59"/>
  <c r="N108" i="59"/>
  <c r="N100" i="59"/>
  <c r="N59" i="59"/>
  <c r="N102" i="59"/>
  <c r="N106" i="59"/>
  <c r="N76" i="59"/>
  <c r="N50" i="59"/>
  <c r="N104" i="59"/>
  <c r="N113" i="59"/>
  <c r="N72" i="59"/>
  <c r="N22" i="59"/>
  <c r="N101" i="59"/>
  <c r="N99" i="59"/>
  <c r="N28" i="59"/>
  <c r="N109" i="59"/>
  <c r="N92" i="59"/>
  <c r="N91" i="59"/>
  <c r="N96" i="59"/>
  <c r="N88" i="59"/>
  <c r="N95" i="59"/>
  <c r="N87" i="59"/>
  <c r="N94" i="59"/>
  <c r="N93" i="59"/>
  <c r="N90" i="59"/>
  <c r="N89" i="59"/>
  <c r="N55" i="59"/>
  <c r="N52" i="59"/>
  <c r="N97" i="59"/>
  <c r="N84" i="59"/>
  <c r="N25" i="59"/>
  <c r="N56" i="59"/>
  <c r="N57" i="59"/>
  <c r="N24" i="59"/>
  <c r="N83" i="59"/>
  <c r="N82" i="59"/>
  <c r="N78" i="59"/>
  <c r="N53" i="59"/>
  <c r="N54" i="59"/>
  <c r="N79" i="59"/>
  <c r="N26" i="59"/>
  <c r="N74" i="59"/>
  <c r="N77" i="59"/>
  <c r="N85" i="59"/>
  <c r="N40" i="59"/>
  <c r="N39" i="59"/>
  <c r="N45" i="59"/>
  <c r="N19" i="59"/>
  <c r="N43" i="59"/>
  <c r="N48" i="59"/>
  <c r="N18" i="59"/>
  <c r="N16" i="59"/>
  <c r="N17" i="59"/>
  <c r="N51" i="59"/>
  <c r="N42" i="59"/>
  <c r="N47" i="59"/>
  <c r="N15" i="59"/>
  <c r="N41" i="59"/>
  <c r="N20" i="59"/>
  <c r="N80" i="59"/>
  <c r="N44" i="59"/>
  <c r="N23" i="59"/>
  <c r="N46" i="59"/>
  <c r="N14" i="59"/>
  <c r="N67" i="59"/>
  <c r="N34" i="59"/>
  <c r="N65" i="59"/>
  <c r="N66" i="59"/>
  <c r="N70" i="59"/>
  <c r="N58" i="59"/>
  <c r="N21" i="59"/>
  <c r="G25" i="55" l="1"/>
  <c r="F26" i="55" s="1"/>
  <c r="G28" i="55"/>
  <c r="F29" i="55" s="1"/>
  <c r="F34" i="55" s="1"/>
  <c r="F35" i="55" s="1"/>
  <c r="I3" i="42" s="1"/>
  <c r="E29" i="55" l="1"/>
  <c r="E26" i="55"/>
  <c r="G26" i="55" s="1"/>
  <c r="I95" i="42"/>
  <c r="M95" i="42" s="1"/>
  <c r="I93" i="42"/>
  <c r="M93" i="42" s="1"/>
  <c r="I91" i="42"/>
  <c r="M91" i="42" s="1"/>
  <c r="I89" i="42"/>
  <c r="M89" i="42" s="1"/>
  <c r="I87" i="42"/>
  <c r="M87" i="42" s="1"/>
  <c r="I85" i="42"/>
  <c r="M85" i="42" s="1"/>
  <c r="I83" i="42"/>
  <c r="M83" i="42" s="1"/>
  <c r="I81" i="42"/>
  <c r="M81" i="42" s="1"/>
  <c r="I79" i="42"/>
  <c r="M79" i="42" s="1"/>
  <c r="I77" i="42"/>
  <c r="M77" i="42" s="1"/>
  <c r="I75" i="42"/>
  <c r="M75" i="42" s="1"/>
  <c r="I73" i="42"/>
  <c r="M73" i="42" s="1"/>
  <c r="I71" i="42"/>
  <c r="M71" i="42" s="1"/>
  <c r="I69" i="42"/>
  <c r="M69" i="42" s="1"/>
  <c r="I67" i="42"/>
  <c r="M67" i="42" s="1"/>
  <c r="I65" i="42"/>
  <c r="M65" i="42" s="1"/>
  <c r="I63" i="42"/>
  <c r="M63" i="42" s="1"/>
  <c r="I61" i="42"/>
  <c r="M61" i="42" s="1"/>
  <c r="I59" i="42"/>
  <c r="M59" i="42" s="1"/>
  <c r="K3" i="42"/>
  <c r="I57" i="42"/>
  <c r="I96" i="42"/>
  <c r="I94" i="42"/>
  <c r="M94" i="42" s="1"/>
  <c r="I92" i="42"/>
  <c r="M92" i="42" s="1"/>
  <c r="I90" i="42"/>
  <c r="M90" i="42" s="1"/>
  <c r="I88" i="42"/>
  <c r="M88" i="42" s="1"/>
  <c r="I86" i="42"/>
  <c r="M86" i="42" s="1"/>
  <c r="I84" i="42"/>
  <c r="M84" i="42" s="1"/>
  <c r="I82" i="42"/>
  <c r="M82" i="42" s="1"/>
  <c r="I80" i="42"/>
  <c r="M80" i="42" s="1"/>
  <c r="I78" i="42"/>
  <c r="M78" i="42" s="1"/>
  <c r="I76" i="42"/>
  <c r="K76" i="42" s="1"/>
  <c r="I74" i="42"/>
  <c r="M74" i="42" s="1"/>
  <c r="I72" i="42"/>
  <c r="M72" i="42" s="1"/>
  <c r="I70" i="42"/>
  <c r="M70" i="42" s="1"/>
  <c r="I68" i="42"/>
  <c r="M68" i="42" s="1"/>
  <c r="I66" i="42"/>
  <c r="M66" i="42" s="1"/>
  <c r="I64" i="42"/>
  <c r="M64" i="42" s="1"/>
  <c r="I62" i="42"/>
  <c r="M62" i="42" s="1"/>
  <c r="I60" i="42"/>
  <c r="M60" i="42" s="1"/>
  <c r="I58" i="42"/>
  <c r="M58" i="42" s="1"/>
  <c r="M3" i="42"/>
  <c r="G29" i="55"/>
  <c r="G34" i="55" s="1"/>
  <c r="G35" i="55" s="1"/>
  <c r="E34" i="55"/>
  <c r="E35" i="55" s="1"/>
  <c r="H3" i="42" s="1"/>
  <c r="M96" i="42" l="1"/>
  <c r="P100" i="42"/>
  <c r="P101" i="42" s="1"/>
  <c r="H93" i="42"/>
  <c r="L93" i="42" s="1"/>
  <c r="H89" i="42"/>
  <c r="L89" i="42" s="1"/>
  <c r="H85" i="42"/>
  <c r="L85" i="42" s="1"/>
  <c r="H81" i="42"/>
  <c r="L81" i="42" s="1"/>
  <c r="H77" i="42"/>
  <c r="L77" i="42" s="1"/>
  <c r="H73" i="42"/>
  <c r="L73" i="42" s="1"/>
  <c r="H69" i="42"/>
  <c r="L69" i="42" s="1"/>
  <c r="H65" i="42"/>
  <c r="L65" i="42" s="1"/>
  <c r="H61" i="42"/>
  <c r="L61" i="42" s="1"/>
  <c r="J3" i="42"/>
  <c r="H96" i="42"/>
  <c r="L96" i="42" s="1"/>
  <c r="H94" i="42"/>
  <c r="L94" i="42" s="1"/>
  <c r="H92" i="42"/>
  <c r="L92" i="42" s="1"/>
  <c r="H90" i="42"/>
  <c r="L90" i="42" s="1"/>
  <c r="H88" i="42"/>
  <c r="L88" i="42" s="1"/>
  <c r="H86" i="42"/>
  <c r="L86" i="42" s="1"/>
  <c r="H84" i="42"/>
  <c r="L84" i="42" s="1"/>
  <c r="H82" i="42"/>
  <c r="L82" i="42" s="1"/>
  <c r="H80" i="42"/>
  <c r="L80" i="42" s="1"/>
  <c r="H78" i="42"/>
  <c r="L78" i="42" s="1"/>
  <c r="H76" i="42"/>
  <c r="J76" i="42" s="1"/>
  <c r="H74" i="42"/>
  <c r="L74" i="42" s="1"/>
  <c r="H72" i="42"/>
  <c r="L72" i="42" s="1"/>
  <c r="H70" i="42"/>
  <c r="L70" i="42" s="1"/>
  <c r="H68" i="42"/>
  <c r="L68" i="42" s="1"/>
  <c r="H66" i="42"/>
  <c r="L66" i="42" s="1"/>
  <c r="H64" i="42"/>
  <c r="L64" i="42" s="1"/>
  <c r="H62" i="42"/>
  <c r="L62" i="42" s="1"/>
  <c r="H60" i="42"/>
  <c r="L60" i="42" s="1"/>
  <c r="H58" i="42"/>
  <c r="L58" i="42" s="1"/>
  <c r="L3" i="42"/>
  <c r="H57" i="42"/>
  <c r="H95" i="42"/>
  <c r="L95" i="42" s="1"/>
  <c r="H91" i="42"/>
  <c r="L91" i="42" s="1"/>
  <c r="H87" i="42"/>
  <c r="L87" i="42" s="1"/>
  <c r="H83" i="42"/>
  <c r="L83" i="42" s="1"/>
  <c r="H79" i="42"/>
  <c r="L79" i="42" s="1"/>
  <c r="H75" i="42"/>
  <c r="L75" i="42" s="1"/>
  <c r="H71" i="42"/>
  <c r="L71" i="42" s="1"/>
  <c r="H67" i="42"/>
  <c r="L67" i="42" s="1"/>
  <c r="H63" i="42"/>
  <c r="L63" i="42" s="1"/>
  <c r="H59" i="42"/>
  <c r="L59" i="42" s="1"/>
  <c r="K97" i="42"/>
  <c r="K98" i="42" s="1"/>
  <c r="M76" i="42"/>
  <c r="M57" i="42"/>
  <c r="I97" i="42"/>
  <c r="I98" i="42" s="1"/>
  <c r="C12" i="39" s="1"/>
  <c r="C14" i="39" l="1"/>
  <c r="BG14" i="1"/>
  <c r="M97" i="42"/>
  <c r="L57" i="42"/>
  <c r="H97" i="42"/>
  <c r="H98" i="42" s="1"/>
  <c r="J97" i="42"/>
  <c r="J98" i="42" s="1"/>
  <c r="L76" i="42"/>
  <c r="L97" i="42" s="1"/>
  <c r="L98" i="42" s="1"/>
  <c r="M98" i="42" l="1"/>
  <c r="D12" i="39" s="1"/>
  <c r="D14" i="39" l="1"/>
  <c r="E12" i="39"/>
  <c r="E14" i="39" s="1"/>
  <c r="E16" i="39" s="1"/>
  <c r="E17" i="39" s="1"/>
  <c r="E18" i="39" s="1"/>
  <c r="BG13" i="1"/>
  <c r="BG15" i="1" s="1"/>
  <c r="AB42" i="20" s="1"/>
  <c r="AM42" i="20" s="1"/>
  <c r="BG21" i="1" l="1"/>
  <c r="BG24" i="1" s="1"/>
  <c r="AB43" i="20" s="1"/>
  <c r="AB45" i="20" l="1"/>
  <c r="AB47" i="20" s="1"/>
  <c r="I29" i="94" s="1"/>
  <c r="J23" i="95" s="1"/>
  <c r="E42" i="20"/>
  <c r="F42" i="20" s="1"/>
  <c r="H42" i="20" s="1"/>
  <c r="AN42" i="20"/>
  <c r="BG25" i="1"/>
  <c r="L29" i="94" l="1"/>
  <c r="M23" i="95" s="1"/>
  <c r="D41" i="24"/>
  <c r="E42" i="7" l="1"/>
  <c r="E41" i="24"/>
  <c r="T41" i="24" s="1"/>
  <c r="F42" i="7" l="1"/>
  <c r="I42" i="7" l="1"/>
  <c r="K42" i="7"/>
  <c r="H21" i="22" l="1"/>
  <c r="H24" i="22" s="1"/>
  <c r="H18" i="22"/>
  <c r="J15" i="22"/>
  <c r="J18" i="22" s="1"/>
  <c r="K12" i="94" l="1"/>
  <c r="E50" i="7"/>
  <c r="E51" i="7" s="1"/>
  <c r="E14" i="22"/>
  <c r="E16" i="22" s="1"/>
  <c r="J21" i="22"/>
  <c r="J24" i="22" s="1"/>
  <c r="V17" i="1"/>
  <c r="W18" i="1" s="1"/>
  <c r="W20" i="1" s="1"/>
  <c r="W22" i="1" s="1"/>
  <c r="K38" i="94" l="1"/>
  <c r="M38" i="94" s="1"/>
  <c r="K39" i="94"/>
  <c r="K28" i="94"/>
  <c r="K24" i="94"/>
  <c r="K19" i="94"/>
  <c r="K32" i="94"/>
  <c r="K23" i="94"/>
  <c r="K25" i="94"/>
  <c r="K29" i="94"/>
  <c r="K14" i="94"/>
  <c r="K37" i="94"/>
  <c r="K27" i="94"/>
  <c r="K30" i="94"/>
  <c r="K34" i="94"/>
  <c r="K18" i="94"/>
  <c r="K20" i="94"/>
  <c r="K15" i="94"/>
  <c r="K33" i="94"/>
  <c r="K36" i="94"/>
  <c r="K35" i="94"/>
  <c r="K26" i="94"/>
  <c r="K17" i="94"/>
  <c r="K16" i="94"/>
  <c r="K21" i="94"/>
  <c r="K31" i="94"/>
  <c r="W23" i="1"/>
  <c r="U43" i="20"/>
  <c r="AM43" i="20" s="1"/>
  <c r="F51" i="7"/>
  <c r="M14" i="94" l="1"/>
  <c r="U45" i="20"/>
  <c r="U47" i="20" s="1"/>
  <c r="I22" i="94" s="1"/>
  <c r="L25" i="95"/>
  <c r="M31" i="94"/>
  <c r="M21" i="94"/>
  <c r="L15" i="95"/>
  <c r="L11" i="95"/>
  <c r="M17" i="94"/>
  <c r="L20" i="95"/>
  <c r="M26" i="94"/>
  <c r="M35" i="94"/>
  <c r="L29" i="95"/>
  <c r="L27" i="95"/>
  <c r="M33" i="94"/>
  <c r="L14" i="95"/>
  <c r="M20" i="94"/>
  <c r="M34" i="94"/>
  <c r="L28" i="95"/>
  <c r="L21" i="95"/>
  <c r="M27" i="94"/>
  <c r="L8" i="95"/>
  <c r="M25" i="94"/>
  <c r="L19" i="95"/>
  <c r="L17" i="95"/>
  <c r="M23" i="94"/>
  <c r="K51" i="7"/>
  <c r="I51" i="7"/>
  <c r="L13" i="95"/>
  <c r="M19" i="94"/>
  <c r="M16" i="94"/>
  <c r="L10" i="95"/>
  <c r="L22" i="95"/>
  <c r="M28" i="94"/>
  <c r="M39" i="94"/>
  <c r="L32" i="95"/>
  <c r="L30" i="95"/>
  <c r="M36" i="94"/>
  <c r="L9" i="95"/>
  <c r="M15" i="94"/>
  <c r="M18" i="94"/>
  <c r="L12" i="95"/>
  <c r="M30" i="94"/>
  <c r="L24" i="95"/>
  <c r="L31" i="95"/>
  <c r="M37" i="94"/>
  <c r="L23" i="95"/>
  <c r="M29" i="94"/>
  <c r="M24" i="94"/>
  <c r="L18" i="95"/>
  <c r="L26" i="95"/>
  <c r="M32" i="94"/>
  <c r="AN43" i="20" l="1"/>
  <c r="AN45" i="20" s="1"/>
  <c r="AN47" i="20" s="1"/>
  <c r="AN51" i="20" s="1"/>
  <c r="E43" i="20"/>
  <c r="AM45" i="20"/>
  <c r="AM47" i="20" s="1"/>
  <c r="J16" i="95"/>
  <c r="K22" i="94"/>
  <c r="K40" i="94" s="1"/>
  <c r="K41" i="94" s="1"/>
  <c r="L22" i="94"/>
  <c r="I40" i="94"/>
  <c r="I41" i="94" s="1"/>
  <c r="L41" i="94" s="1"/>
  <c r="F43" i="20" l="1"/>
  <c r="G43" i="20" s="1"/>
  <c r="F45" i="20"/>
  <c r="N40" i="94"/>
  <c r="N41" i="94"/>
  <c r="J33" i="95"/>
  <c r="M33" i="95"/>
  <c r="M16" i="95"/>
  <c r="L40" i="94"/>
  <c r="D42" i="24"/>
  <c r="E45" i="20"/>
  <c r="M22" i="94"/>
  <c r="M40" i="94" s="1"/>
  <c r="M41" i="94" s="1"/>
  <c r="L16" i="95"/>
  <c r="H43" i="20" l="1"/>
  <c r="F47" i="20"/>
  <c r="G44" i="20"/>
  <c r="F51" i="20"/>
  <c r="E43" i="24"/>
  <c r="T43" i="24" s="1"/>
  <c r="E44" i="7"/>
  <c r="F44" i="7" s="1"/>
  <c r="G45" i="20"/>
  <c r="D44" i="24"/>
  <c r="E47" i="20"/>
  <c r="E43" i="7"/>
  <c r="E42" i="24"/>
  <c r="T42" i="24" s="1"/>
  <c r="D46" i="24" l="1"/>
  <c r="G47" i="20"/>
  <c r="H44" i="20"/>
  <c r="J43" i="20"/>
  <c r="H45" i="20"/>
  <c r="K44" i="7"/>
  <c r="I44" i="7"/>
  <c r="L33" i="95"/>
  <c r="E44" i="24"/>
  <c r="T44" i="24" s="1"/>
  <c r="E45" i="7"/>
  <c r="F43" i="7"/>
  <c r="H47" i="20" l="1"/>
  <c r="H51" i="20"/>
  <c r="E18" i="22"/>
  <c r="E19" i="22" s="1"/>
  <c r="E24" i="22" s="1"/>
  <c r="I19" i="20" s="1"/>
  <c r="I43" i="7"/>
  <c r="I45" i="7" s="1"/>
  <c r="I47" i="7" s="1"/>
  <c r="I52" i="7" s="1"/>
  <c r="K43" i="7"/>
  <c r="F45" i="7"/>
  <c r="K45" i="7" s="1"/>
  <c r="E47" i="7"/>
  <c r="E50" i="24"/>
  <c r="T50" i="24" s="1"/>
  <c r="E46" i="24"/>
  <c r="T46" i="24" s="1"/>
  <c r="I16" i="20" l="1"/>
  <c r="F47" i="7"/>
  <c r="K47" i="7" s="1"/>
  <c r="E52" i="7"/>
  <c r="E27" i="22"/>
  <c r="I44" i="20"/>
  <c r="J16" i="20" l="1"/>
  <c r="J44" i="20"/>
  <c r="L19" i="20"/>
  <c r="I36" i="20"/>
  <c r="F18" i="24"/>
  <c r="I33" i="20"/>
  <c r="I42" i="20"/>
  <c r="J33" i="20" l="1"/>
  <c r="J36" i="20"/>
  <c r="J42" i="20"/>
  <c r="L16" i="20"/>
  <c r="F43" i="24"/>
  <c r="G43" i="24"/>
  <c r="F15" i="24"/>
  <c r="I15" i="24" s="1"/>
  <c r="I1" i="20"/>
  <c r="F32" i="24"/>
  <c r="I45" i="20"/>
  <c r="F35" i="24"/>
  <c r="F41" i="24"/>
  <c r="G41" i="24"/>
  <c r="F42" i="24"/>
  <c r="G42" i="24"/>
  <c r="I18" i="24"/>
  <c r="G35" i="24" l="1"/>
  <c r="G32" i="24"/>
  <c r="J45" i="20"/>
  <c r="F44" i="24"/>
  <c r="I47" i="20"/>
  <c r="G15" i="24"/>
  <c r="J19" i="20"/>
  <c r="F46" i="24" l="1"/>
  <c r="G44" i="24"/>
  <c r="G18" i="24"/>
  <c r="J47" i="20"/>
  <c r="G46" i="24" l="1"/>
  <c r="G50" i="24" l="1"/>
  <c r="U50" i="24" s="1"/>
  <c r="U59" i="24"/>
  <c r="U46" i="24" l="1"/>
  <c r="U61" i="24" s="1"/>
</calcChain>
</file>

<file path=xl/comments1.xml><?xml version="1.0" encoding="utf-8"?>
<comments xmlns="http://schemas.openxmlformats.org/spreadsheetml/2006/main">
  <authors>
    <author>Mickelson, Christopher (UTC)</author>
  </authors>
  <commentList>
    <comment ref="F15" authorId="0">
      <text>
        <r>
          <rPr>
            <b/>
            <sz val="9"/>
            <color indexed="81"/>
            <rFont val="Tahoma"/>
            <family val="2"/>
          </rPr>
          <t>Mickelson, Christopher (UTC):</t>
        </r>
        <r>
          <rPr>
            <sz val="9"/>
            <color indexed="81"/>
            <rFont val="Tahoma"/>
            <family val="2"/>
          </rPr>
          <t xml:space="preserve">
Company proposed $31,864,884</t>
        </r>
      </text>
    </comment>
  </commentList>
</comments>
</file>

<file path=xl/comments2.xml><?xml version="1.0" encoding="utf-8"?>
<comments xmlns="http://schemas.openxmlformats.org/spreadsheetml/2006/main">
  <authors>
    <author>Mickelson, Christopher (UTC)</author>
  </authors>
  <commentList>
    <comment ref="BK13" authorId="0">
      <text>
        <r>
          <rPr>
            <b/>
            <sz val="9"/>
            <color indexed="81"/>
            <rFont val="Tahoma"/>
            <family val="2"/>
          </rPr>
          <t>Mickelson, Christopher (UTC):</t>
        </r>
        <r>
          <rPr>
            <sz val="9"/>
            <color indexed="81"/>
            <rFont val="Tahoma"/>
            <family val="2"/>
          </rPr>
          <t xml:space="preserve">
Company proposed $188,505.835074288</t>
        </r>
      </text>
    </comment>
    <comment ref="BS15" authorId="0">
      <text>
        <r>
          <rPr>
            <b/>
            <sz val="9"/>
            <color indexed="81"/>
            <rFont val="Tahoma"/>
            <family val="2"/>
          </rPr>
          <t>Mickelson, Christopher (UTC):</t>
        </r>
        <r>
          <rPr>
            <sz val="9"/>
            <color indexed="81"/>
            <rFont val="Tahoma"/>
            <family val="2"/>
          </rPr>
          <t xml:space="preserve">
Company proposed 982,000.</t>
        </r>
      </text>
    </comment>
    <comment ref="CQ15" authorId="0">
      <text>
        <r>
          <rPr>
            <b/>
            <sz val="9"/>
            <color indexed="81"/>
            <rFont val="Tahoma"/>
            <family val="2"/>
          </rPr>
          <t>Mickelson, Christopher (UTC):</t>
        </r>
        <r>
          <rPr>
            <sz val="9"/>
            <color indexed="81"/>
            <rFont val="Tahoma"/>
            <family val="2"/>
          </rPr>
          <t xml:space="preserve">
2.31% or 2.97%?</t>
        </r>
      </text>
    </comment>
    <comment ref="AA17" authorId="0">
      <text>
        <r>
          <rPr>
            <b/>
            <sz val="9"/>
            <color indexed="81"/>
            <rFont val="Tahoma"/>
            <family val="2"/>
          </rPr>
          <t>Mickelson, Christopher (UTC):</t>
        </r>
        <r>
          <rPr>
            <sz val="9"/>
            <color indexed="81"/>
            <rFont val="Tahoma"/>
            <family val="2"/>
          </rPr>
          <t xml:space="preserve">
Company proposed 61,753.29</t>
        </r>
      </text>
    </comment>
    <comment ref="AA20" authorId="0">
      <text>
        <r>
          <rPr>
            <b/>
            <sz val="9"/>
            <color indexed="81"/>
            <rFont val="Tahoma"/>
            <family val="2"/>
          </rPr>
          <t>Mickelson, Christopher (UTC):</t>
        </r>
        <r>
          <rPr>
            <sz val="9"/>
            <color indexed="81"/>
            <rFont val="Tahoma"/>
            <family val="2"/>
          </rPr>
          <t xml:space="preserve">
Company proposed 23,721.28</t>
        </r>
      </text>
    </comment>
  </commentList>
</comments>
</file>

<file path=xl/comments3.xml><?xml version="1.0" encoding="utf-8"?>
<comments xmlns="http://schemas.openxmlformats.org/spreadsheetml/2006/main">
  <authors>
    <author>Mickelson, Christopher (UTC)</author>
  </authors>
  <commentList>
    <comment ref="I14" authorId="0">
      <text>
        <r>
          <rPr>
            <b/>
            <sz val="9"/>
            <color indexed="81"/>
            <rFont val="Tahoma"/>
            <family val="2"/>
          </rPr>
          <t>Mickelson, Christopher (UTC):</t>
        </r>
        <r>
          <rPr>
            <sz val="9"/>
            <color indexed="81"/>
            <rFont val="Tahoma"/>
            <family val="2"/>
          </rPr>
          <t xml:space="preserve">
Company proposed 4.62%</t>
        </r>
      </text>
    </comment>
    <comment ref="H15" authorId="0">
      <text>
        <r>
          <rPr>
            <b/>
            <sz val="9"/>
            <color indexed="81"/>
            <rFont val="Tahoma"/>
            <family val="2"/>
          </rPr>
          <t>Mickelson, Christopher (UTC):</t>
        </r>
        <r>
          <rPr>
            <sz val="9"/>
            <color indexed="81"/>
            <rFont val="Tahoma"/>
            <family val="2"/>
          </rPr>
          <t xml:space="preserve">
Company proposed 48%</t>
        </r>
      </text>
    </comment>
    <comment ref="I15" authorId="0">
      <text>
        <r>
          <rPr>
            <b/>
            <sz val="9"/>
            <color indexed="81"/>
            <rFont val="Tahoma"/>
            <family val="2"/>
          </rPr>
          <t>Mickelson, Christopher (UTC):</t>
        </r>
        <r>
          <rPr>
            <sz val="9"/>
            <color indexed="81"/>
            <rFont val="Tahoma"/>
            <family val="2"/>
          </rPr>
          <t xml:space="preserve">
Company proposed 6.37%</t>
        </r>
      </text>
    </comment>
    <comment ref="H17" authorId="0">
      <text>
        <r>
          <rPr>
            <b/>
            <sz val="9"/>
            <color indexed="81"/>
            <rFont val="Tahoma"/>
            <family val="2"/>
          </rPr>
          <t>Mickelson, Christopher (UTC):</t>
        </r>
        <r>
          <rPr>
            <sz val="9"/>
            <color indexed="81"/>
            <rFont val="Tahoma"/>
            <family val="2"/>
          </rPr>
          <t xml:space="preserve">
Company proposed 48%</t>
        </r>
      </text>
    </comment>
    <comment ref="I17" authorId="0">
      <text>
        <r>
          <rPr>
            <b/>
            <sz val="9"/>
            <color indexed="81"/>
            <rFont val="Tahoma"/>
            <family val="2"/>
          </rPr>
          <t>Mickelson, Christopher (UTC):</t>
        </r>
        <r>
          <rPr>
            <sz val="9"/>
            <color indexed="81"/>
            <rFont val="Tahoma"/>
            <family val="2"/>
          </rPr>
          <t xml:space="preserve">
Company proposed 10.80%</t>
        </r>
      </text>
    </comment>
  </commentList>
</comments>
</file>

<file path=xl/comments4.xml><?xml version="1.0" encoding="utf-8"?>
<comments xmlns="http://schemas.openxmlformats.org/spreadsheetml/2006/main">
  <authors>
    <author>jphelp</author>
  </authors>
  <commentList>
    <comment ref="D32" authorId="0">
      <text>
        <r>
          <rPr>
            <b/>
            <sz val="8"/>
            <color indexed="81"/>
            <rFont val="Tahoma"/>
            <family val="2"/>
          </rPr>
          <t>Kelly Xu:</t>
        </r>
        <r>
          <rPr>
            <sz val="8"/>
            <color indexed="81"/>
            <rFont val="Tahoma"/>
            <family val="2"/>
          </rPr>
          <t xml:space="preserve">
Cost of gas in income statement. This is 101 component = total - 106 portion
Data Source: J:\GrpRates\Public\Gas GRC 2010\Pro Forma Revenue\Gas Cost Line 12</t>
        </r>
      </text>
    </comment>
  </commentList>
</comments>
</file>

<file path=xl/comments5.xml><?xml version="1.0" encoding="utf-8"?>
<comments xmlns="http://schemas.openxmlformats.org/spreadsheetml/2006/main">
  <authors>
    <author>jphelp</author>
  </authors>
  <commentList>
    <comment ref="K20" authorId="0">
      <text>
        <r>
          <rPr>
            <b/>
            <sz val="8"/>
            <color indexed="81"/>
            <rFont val="Tahoma"/>
            <family val="2"/>
          </rPr>
          <t>jphelp:</t>
        </r>
        <r>
          <rPr>
            <sz val="8"/>
            <color indexed="81"/>
            <rFont val="Tahoma"/>
            <family val="2"/>
          </rPr>
          <t xml:space="preserve">
Estimated increase from contracts based on increase is included.</t>
        </r>
      </text>
    </comment>
  </commentList>
</comments>
</file>

<file path=xl/comments6.xml><?xml version="1.0" encoding="utf-8"?>
<comments xmlns="http://schemas.openxmlformats.org/spreadsheetml/2006/main">
  <authors>
    <author>Mickelson, Christopher (UTC)</author>
  </authors>
  <commentList>
    <comment ref="G12" authorId="0">
      <text>
        <r>
          <rPr>
            <b/>
            <sz val="9"/>
            <color indexed="81"/>
            <rFont val="Tahoma"/>
            <family val="2"/>
          </rPr>
          <t>Mickelson, Christopher (UTC):</t>
        </r>
        <r>
          <rPr>
            <sz val="9"/>
            <color indexed="81"/>
            <rFont val="Tahoma"/>
            <family val="2"/>
          </rPr>
          <t xml:space="preserve">
Company proposed 66,530,257.</t>
        </r>
      </text>
    </comment>
  </commentList>
</comments>
</file>

<file path=xl/comments7.xml><?xml version="1.0" encoding="utf-8"?>
<comments xmlns="http://schemas.openxmlformats.org/spreadsheetml/2006/main">
  <authors>
    <author>jphelp</author>
  </authors>
  <commentList>
    <comment ref="D33" authorId="0">
      <text>
        <r>
          <rPr>
            <b/>
            <sz val="8"/>
            <color indexed="81"/>
            <rFont val="Tahoma"/>
            <family val="2"/>
          </rPr>
          <t>Kelly Xu:</t>
        </r>
        <r>
          <rPr>
            <sz val="8"/>
            <color indexed="81"/>
            <rFont val="Tahoma"/>
            <family val="2"/>
          </rPr>
          <t xml:space="preserve">
Cost of gas in income statement. This is 101 component = total - 106 portion
Data Source:J:\GrpRates\Public\Gas GRC 2011\Pro Forma Revenue\Data\GasCostLine 12</t>
        </r>
      </text>
    </comment>
    <comment ref="C48" authorId="0">
      <text>
        <r>
          <rPr>
            <b/>
            <sz val="8"/>
            <color indexed="81"/>
            <rFont val="Tahoma"/>
            <family val="2"/>
          </rPr>
          <t>jphelp:</t>
        </r>
        <r>
          <rPr>
            <sz val="8"/>
            <color indexed="81"/>
            <rFont val="Tahoma"/>
            <family val="2"/>
          </rPr>
          <t xml:space="preserve">
RAF does not match the proposed RAF perfectly because the gas portion of Schedule 53 is included in gas revenue and gas cost, but the RAF does not apply to it. Also, the gas supply demand charge is rounded to the penny, so calculation of the RAF in reverse is not precise. And the balancing charge does not have an RAF. (08/10)</t>
        </r>
      </text>
    </comment>
  </commentList>
</comments>
</file>

<file path=xl/comments8.xml><?xml version="1.0" encoding="utf-8"?>
<comments xmlns="http://schemas.openxmlformats.org/spreadsheetml/2006/main">
  <authors>
    <author>Jasper Paulsen</author>
  </authors>
  <commentList>
    <comment ref="E40" authorId="0">
      <text>
        <r>
          <rPr>
            <b/>
            <sz val="8"/>
            <color indexed="81"/>
            <rFont val="Tahoma"/>
            <family val="2"/>
          </rPr>
          <t>Jasper Paulsen:</t>
        </r>
        <r>
          <rPr>
            <sz val="8"/>
            <color indexed="81"/>
            <rFont val="Tahoma"/>
            <family val="2"/>
          </rPr>
          <t xml:space="preserve">
Shows 0 instead of #REF!,
for compatibility with years
that do not have this line item.</t>
        </r>
      </text>
    </comment>
    <comment ref="G40" authorId="0">
      <text>
        <r>
          <rPr>
            <b/>
            <sz val="8"/>
            <color indexed="81"/>
            <rFont val="Tahoma"/>
            <family val="2"/>
          </rPr>
          <t>Jasper Paulsen:</t>
        </r>
        <r>
          <rPr>
            <sz val="8"/>
            <color indexed="81"/>
            <rFont val="Tahoma"/>
            <family val="2"/>
          </rPr>
          <t xml:space="preserve">
Shows 0 instead of #REF!,
for compatibility with years
that do not have this line item.</t>
        </r>
      </text>
    </comment>
    <comment ref="M40" authorId="0">
      <text>
        <r>
          <rPr>
            <b/>
            <sz val="8"/>
            <color indexed="81"/>
            <rFont val="Tahoma"/>
            <family val="2"/>
          </rPr>
          <t>Jasper Paulsen:</t>
        </r>
        <r>
          <rPr>
            <sz val="8"/>
            <color indexed="81"/>
            <rFont val="Tahoma"/>
            <family val="2"/>
          </rPr>
          <t xml:space="preserve">
Shows 0 instead of #REF!,
for compatibility with years
that do not have this line item.</t>
        </r>
      </text>
    </comment>
  </commentList>
</comments>
</file>

<file path=xl/comments9.xml><?xml version="1.0" encoding="utf-8"?>
<comments xmlns="http://schemas.openxmlformats.org/spreadsheetml/2006/main">
  <authors>
    <author>A satisfied Microsoft Office user</author>
    <author>pdelac</author>
  </authors>
  <commentList>
    <comment ref="C13" authorId="0">
      <text>
        <r>
          <rPr>
            <sz val="8"/>
            <color indexed="81"/>
            <rFont val="Tahoma"/>
            <family val="2"/>
          </rPr>
          <t>Account 17300001</t>
        </r>
      </text>
    </comment>
    <comment ref="E13" authorId="0">
      <text>
        <r>
          <rPr>
            <sz val="8"/>
            <color indexed="81"/>
            <rFont val="Tahoma"/>
            <family val="2"/>
          </rPr>
          <t xml:space="preserve">Account 17300002
</t>
        </r>
      </text>
    </comment>
    <comment ref="C14" authorId="1">
      <text>
        <r>
          <rPr>
            <b/>
            <sz val="8"/>
            <color indexed="81"/>
            <rFont val="Tahoma"/>
            <family val="2"/>
          </rPr>
          <t>pdelac:</t>
        </r>
        <r>
          <rPr>
            <sz val="8"/>
            <color indexed="81"/>
            <rFont val="Tahoma"/>
            <family val="2"/>
          </rPr>
          <t xml:space="preserve">
17300011
</t>
        </r>
      </text>
    </comment>
  </commentList>
</comments>
</file>

<file path=xl/sharedStrings.xml><?xml version="1.0" encoding="utf-8"?>
<sst xmlns="http://schemas.openxmlformats.org/spreadsheetml/2006/main" count="8912" uniqueCount="3022">
  <si>
    <t>OPERATING REVENUES:</t>
  </si>
  <si>
    <t>SALES TO CUSTOMERS</t>
  </si>
  <si>
    <t>OTHER OPERATING REVENUES</t>
  </si>
  <si>
    <t>TOTAL OPERATING REVENUES</t>
  </si>
  <si>
    <t>OPERATING REVENUE DEDUCTIONS:</t>
  </si>
  <si>
    <t>TOTAL PRODUCTION EXPENSES</t>
  </si>
  <si>
    <t>TRANSMISSION EXPENSE</t>
  </si>
  <si>
    <t>DISTRIBUTION EXPENSE</t>
  </si>
  <si>
    <t>CUSTOMER SERVICE EXPENSES</t>
  </si>
  <si>
    <t>CONSERVATION AMORTIZATION</t>
  </si>
  <si>
    <t>ADMIN &amp; GENERAL EXPENSE</t>
  </si>
  <si>
    <t>OTHER OPERATING EXPENSES</t>
  </si>
  <si>
    <t>DEFERRED INCOME TAXES</t>
  </si>
  <si>
    <t>TOTAL OPERATING REV. DEDUCT.</t>
  </si>
  <si>
    <t>NET OPERATING INCOME</t>
  </si>
  <si>
    <t xml:space="preserve">RATE BASE </t>
  </si>
  <si>
    <t>RATE OF RETURN</t>
  </si>
  <si>
    <t/>
  </si>
  <si>
    <t xml:space="preserve"> </t>
  </si>
  <si>
    <t>PUGET SOUND ENERGY-GAS</t>
  </si>
  <si>
    <t xml:space="preserve">PUGET SOUND ENERGY-GAS </t>
  </si>
  <si>
    <t>RESTATED PROPERTY TAX</t>
  </si>
  <si>
    <t>CONVERSION FACTOR</t>
  </si>
  <si>
    <t>RESULTS OF OPERATIONS</t>
  </si>
  <si>
    <t>LINE</t>
  </si>
  <si>
    <t>INCREASE</t>
  </si>
  <si>
    <t xml:space="preserve">LINE </t>
  </si>
  <si>
    <t>ACTUAL RESULTS OF</t>
  </si>
  <si>
    <t xml:space="preserve">FEDERAL </t>
  </si>
  <si>
    <t>TAX BENEFIT OF</t>
  </si>
  <si>
    <t xml:space="preserve">BAD </t>
  </si>
  <si>
    <t>MISCELLANEOUS</t>
  </si>
  <si>
    <t xml:space="preserve">PROPERTY </t>
  </si>
  <si>
    <t>EMPLOYEE</t>
  </si>
  <si>
    <t>INVESTMENT</t>
  </si>
  <si>
    <t>RATE CASE</t>
  </si>
  <si>
    <t>ACTUAL</t>
  </si>
  <si>
    <t>TOTAL</t>
  </si>
  <si>
    <t>NO.</t>
  </si>
  <si>
    <t>DESCRIPTION</t>
  </si>
  <si>
    <t>RESTATED</t>
  </si>
  <si>
    <t>AMOUNT</t>
  </si>
  <si>
    <t>ADJUSTMENT</t>
  </si>
  <si>
    <t>TEST YEAR</t>
  </si>
  <si>
    <t>RATE YEAR</t>
  </si>
  <si>
    <t>OPERATIONS</t>
  </si>
  <si>
    <t>AMORTIZATION</t>
  </si>
  <si>
    <t>INCOME TAX</t>
  </si>
  <si>
    <t>DEBTS</t>
  </si>
  <si>
    <t>ADJUSTMENTS</t>
  </si>
  <si>
    <t>TAXES</t>
  </si>
  <si>
    <t>SALES</t>
  </si>
  <si>
    <t>INSURANCE</t>
  </si>
  <si>
    <t>PLAN</t>
  </si>
  <si>
    <t>EXPENSES</t>
  </si>
  <si>
    <t>RESULTS OF</t>
  </si>
  <si>
    <t>RATE</t>
  </si>
  <si>
    <t>1</t>
  </si>
  <si>
    <t>-</t>
  </si>
  <si>
    <t>CHARGED TO EXPENSE IN TY</t>
  </si>
  <si>
    <t>OPERATING REVENUES</t>
  </si>
  <si>
    <t>INCREASE (DECREASE) EXPENSE</t>
  </si>
  <si>
    <t>INCREASE(DECREASE) EXPENSE</t>
  </si>
  <si>
    <t xml:space="preserve">FEDERAL INCOME TAX </t>
  </si>
  <si>
    <t>INCENTIVE/MERIT PAY</t>
  </si>
  <si>
    <t xml:space="preserve">   CURRENT FIT    @</t>
  </si>
  <si>
    <t>MUNICIPAL ADDITIONS</t>
  </si>
  <si>
    <t>INCREASE (DECREASE) FIT @</t>
  </si>
  <si>
    <t>PAYROLL TAXES ASSOC WITH MERIT PAY</t>
  </si>
  <si>
    <t>INCREASE(DECREASE) FIT @</t>
  </si>
  <si>
    <t xml:space="preserve">   DEFERRED FIT - DEBIT</t>
  </si>
  <si>
    <t xml:space="preserve">RATE YEAR MANAGEMENT WAGE INCREASE </t>
  </si>
  <si>
    <t>INCREASE(DECREASE) NOI</t>
  </si>
  <si>
    <t xml:space="preserve">   DEFERRED FIT - CREDIT</t>
  </si>
  <si>
    <t>INCREASE (DECREASE) NOI</t>
  </si>
  <si>
    <t xml:space="preserve">   DEFERRED FIT - INV TAX CREDIT, NET OF AMORTIZATION</t>
  </si>
  <si>
    <t>TRANSMISSION</t>
  </si>
  <si>
    <t>OPERATING EXPENSE</t>
  </si>
  <si>
    <t xml:space="preserve">                    TOTAL RESTATED FIT</t>
  </si>
  <si>
    <t>DISTRIBUTION</t>
  </si>
  <si>
    <t>INCREASE(DECREASE) FIT</t>
  </si>
  <si>
    <t>CUSTOMER ACCTS</t>
  </si>
  <si>
    <t>FIT PER BOOKS:</t>
  </si>
  <si>
    <t>CUSTOMER SERVICE</t>
  </si>
  <si>
    <t xml:space="preserve">   CURRENT FIT    </t>
  </si>
  <si>
    <t>ADMIN. &amp; GENERAL</t>
  </si>
  <si>
    <t>TOTAL WAGE INCREASE</t>
  </si>
  <si>
    <t>FEDERAL INCOME TAX</t>
  </si>
  <si>
    <t xml:space="preserve">                    TOTAL CHARGED TO EXPENSE</t>
  </si>
  <si>
    <t>INCREASE(DECREASE) DEFERRED FIT</t>
  </si>
  <si>
    <t>OTHER POWER SUPPLY EXPENSES</t>
  </si>
  <si>
    <t>INCREASE(DECREASE) ITC</t>
  </si>
  <si>
    <t xml:space="preserve">INCREASE(DECREASE) NOI </t>
  </si>
  <si>
    <t>COST OF</t>
  </si>
  <si>
    <t>COST %</t>
  </si>
  <si>
    <t>CAPITAL</t>
  </si>
  <si>
    <t>CUSTOMER ACCOUNT EXPENSES</t>
  </si>
  <si>
    <t xml:space="preserve">   </t>
  </si>
  <si>
    <t>AMORTIZATION OF PROPERTY LOSS</t>
  </si>
  <si>
    <t>CAPITAL %</t>
  </si>
  <si>
    <t>PREFERRED</t>
  </si>
  <si>
    <t>EQUITY</t>
  </si>
  <si>
    <t>RATE BASE</t>
  </si>
  <si>
    <t>QUALIFIED RETIREMENT FUND</t>
  </si>
  <si>
    <t>STATEMENT OF OPERATING INCOME AND ADJUSTMENTS</t>
  </si>
  <si>
    <t>INVESTMENT PLAN</t>
  </si>
  <si>
    <t>BENEFIT CONTRIBUTION:</t>
  </si>
  <si>
    <t>WAGES:</t>
  </si>
  <si>
    <t>TOTAL WAGES &amp; TAXES</t>
  </si>
  <si>
    <t>PRODUCTION MANUF. GAS</t>
  </si>
  <si>
    <t>OTHER GAS SUPPLY</t>
  </si>
  <si>
    <t>STORAGE, LNG T&amp;G</t>
  </si>
  <si>
    <t>INVESTMENT PLAN APPLICABLE TO MANAGEMENT</t>
  </si>
  <si>
    <t>TOTAL COMPANY CONTRIBUTION FOR MANAGEMENT</t>
  </si>
  <si>
    <t>PRO FORMA COSTS APPLICABLE TO OPERATIONS</t>
  </si>
  <si>
    <t>WEIGHTED COST OF DEBT</t>
  </si>
  <si>
    <t xml:space="preserve">INCREASE (DECREASE) FIT @ </t>
  </si>
  <si>
    <t>WAGE</t>
  </si>
  <si>
    <t>RATE BASE:</t>
  </si>
  <si>
    <t xml:space="preserve">  ACCUMULATED DEPRECIATION</t>
  </si>
  <si>
    <t xml:space="preserve">  ALLOWANCE FOR WORKING CAPITAL</t>
  </si>
  <si>
    <t>TOTAL RATE BASE</t>
  </si>
  <si>
    <t>TOTAL NET INVESTMENT</t>
  </si>
  <si>
    <t>ADJUSTED</t>
  </si>
  <si>
    <t>REVENUE</t>
  </si>
  <si>
    <t>AFTER</t>
  </si>
  <si>
    <t>REQUIREMENT</t>
  </si>
  <si>
    <t>DEFICIENCY</t>
  </si>
  <si>
    <t>PROPERTY INSURANCE EXPENSE</t>
  </si>
  <si>
    <t>LIABILITY INSURANCE EXPENSE</t>
  </si>
  <si>
    <t>PROPERTY&amp;</t>
  </si>
  <si>
    <t>LIABILITY INS</t>
  </si>
  <si>
    <t>INCREASE (DECREASE) FIT</t>
  </si>
  <si>
    <t>TAX BENEFIT OF PRO FORMA INTEREST</t>
  </si>
  <si>
    <t>BAD DEBTS</t>
  </si>
  <si>
    <t>MISCELLANEOUS OPERATING EXPENSE</t>
  </si>
  <si>
    <t>PROPERTY TAXES</t>
  </si>
  <si>
    <t>WAGE INCREASE</t>
  </si>
  <si>
    <t>EMPLOYEE INSURANCE</t>
  </si>
  <si>
    <t>RATE CASE EXPENSES</t>
  </si>
  <si>
    <t>PROPERTY &amp; LIABILITY INSURANCE</t>
  </si>
  <si>
    <t>REVENUE &amp;</t>
  </si>
  <si>
    <t>PRO FORMA INTEREST</t>
  </si>
  <si>
    <t>PENSION PLAN</t>
  </si>
  <si>
    <t>PENSION</t>
  </si>
  <si>
    <t>GAS COSTS:</t>
  </si>
  <si>
    <t xml:space="preserve"> PURCHASED GAS</t>
  </si>
  <si>
    <t>PRO FORMA</t>
  </si>
  <si>
    <t>PRO FORMA COST OF CAPITAL</t>
  </si>
  <si>
    <t>TOTAL AFTER TAX COST OF CAPITAL</t>
  </si>
  <si>
    <t>PAYROLL TAXES</t>
  </si>
  <si>
    <t>INCREASE (DECREASE) OPERATING EXPENSE</t>
  </si>
  <si>
    <t>SERP PLAN</t>
  </si>
  <si>
    <t>Rate Increase</t>
  </si>
  <si>
    <t>DEPRECIATION</t>
  </si>
  <si>
    <t>PROFORMA BAD DEBT RATE</t>
  </si>
  <si>
    <t>PROFORMA BAD DEBTS</t>
  </si>
  <si>
    <t>UNCOLLECTIBLES CHARGED TO EXPENSE IN TEST YEAR</t>
  </si>
  <si>
    <t>PREFERRED STOCK</t>
  </si>
  <si>
    <t>INCENTIVE PAY</t>
  </si>
  <si>
    <t>OPERATING INCOME REQUIREMENT</t>
  </si>
  <si>
    <t>PRO FORMA OPERATING INCOME</t>
  </si>
  <si>
    <t>OPERATING INCOME DEFICIENCY</t>
  </si>
  <si>
    <t>FAS 133</t>
  </si>
  <si>
    <t>NET</t>
  </si>
  <si>
    <t>GROSS</t>
  </si>
  <si>
    <t>WRITEOFFS</t>
  </si>
  <si>
    <t>REVENUES</t>
  </si>
  <si>
    <t>DEFERRED GAINS/</t>
  </si>
  <si>
    <t>LOSSES PROP SALES</t>
  </si>
  <si>
    <t>D&amp;O INSURANCE</t>
  </si>
  <si>
    <t>INCREASE (DECREASE) D&amp;O EXPENSE</t>
  </si>
  <si>
    <t>D&amp;O</t>
  </si>
  <si>
    <t xml:space="preserve">  OTHER</t>
  </si>
  <si>
    <t xml:space="preserve">  UTILITY PLANT IN SERVICE</t>
  </si>
  <si>
    <t>EXPENSES TO BE NORMALIZED:</t>
  </si>
  <si>
    <t>TOTAL INCREASE (DECREASE) EXPENSE</t>
  </si>
  <si>
    <t>INTEREST ON</t>
  </si>
  <si>
    <t>CUSTOMER DEPOSITS</t>
  </si>
  <si>
    <t>INTEREST ON CUSTOMER DEPOSITS</t>
  </si>
  <si>
    <t>DEFERRED GAINS/LOSSES ON PROPERTY SALES</t>
  </si>
  <si>
    <t>INCREASE (DECREASE) FIT @ 35%</t>
  </si>
  <si>
    <t>IBEW</t>
  </si>
  <si>
    <t>INVESTMENT PLAN APPLICABLE TO IBEW</t>
  </si>
  <si>
    <t xml:space="preserve">RATE YEAR IBEW WAGE INCREASE                   </t>
  </si>
  <si>
    <t>TOTAL COMPANY CONTRIBUTION FOR IBEW</t>
  </si>
  <si>
    <t>UA</t>
  </si>
  <si>
    <t>INVESTMENT PLAN APPLICABLE TO UA</t>
  </si>
  <si>
    <t xml:space="preserve">RATE YEAR UA WAGE INCREASE                   </t>
  </si>
  <si>
    <t>TOTAL COMPANY CONTRIBUTION FOR UA</t>
  </si>
  <si>
    <t>TOTAL INCENTIVE PAY</t>
  </si>
  <si>
    <t>NET RATE BASE</t>
  </si>
  <si>
    <t>PROFORMA INTEREST</t>
  </si>
  <si>
    <t>INCOME TAXES</t>
  </si>
  <si>
    <t>TAXES OTHER THAN INCOME TAXES</t>
  </si>
  <si>
    <t>INCREASE (DECREASE) INCOME</t>
  </si>
  <si>
    <t>UNIT COST</t>
  </si>
  <si>
    <t xml:space="preserve">RESTATED </t>
  </si>
  <si>
    <t>Dollars/Therm</t>
  </si>
  <si>
    <t xml:space="preserve"> VARIANCE</t>
  </si>
  <si>
    <t>FUEL COSTS</t>
  </si>
  <si>
    <t>FUEL</t>
  </si>
  <si>
    <t>PURCHASED AND INTERCHANGED</t>
  </si>
  <si>
    <t>WHEELING</t>
  </si>
  <si>
    <t>Subtotal</t>
  </si>
  <si>
    <t>TAXES OTHER INCOME TAXES</t>
  </si>
  <si>
    <t>Return on Rate Base</t>
  </si>
  <si>
    <t>Revenue Deficiency - Net of Tax</t>
  </si>
  <si>
    <t>Revenue</t>
  </si>
  <si>
    <t>TEMPERATURE NORMALIZATION</t>
  </si>
  <si>
    <t>TEMPERATURE</t>
  </si>
  <si>
    <t>NORMALIZATION</t>
  </si>
  <si>
    <t>TEMPERATURE NORMALIZATION ADJUSTMENT:</t>
  </si>
  <si>
    <t>TEMP ADJ</t>
  </si>
  <si>
    <t>CHANGE</t>
  </si>
  <si>
    <t>REVENUE ADJUSTMENT:</t>
  </si>
  <si>
    <t>INCREASE (DECREASE) SALES TO CUSTOMERS</t>
  </si>
  <si>
    <t>UNCOLLECTIBLES @</t>
  </si>
  <si>
    <t>ANNUAL FILING FEE @</t>
  </si>
  <si>
    <t>INCREASE (DECREASE) EXPENSES</t>
  </si>
  <si>
    <t>STATE UTILITY TAX @</t>
  </si>
  <si>
    <t>INCREASE (DECREASE) TAXES OTHER</t>
  </si>
  <si>
    <t>THERMS</t>
  </si>
  <si>
    <t>Residential (16)</t>
  </si>
  <si>
    <t>Interruptible (85)</t>
  </si>
  <si>
    <t>Large volume (41)</t>
  </si>
  <si>
    <t>Limited interruptible (86)</t>
  </si>
  <si>
    <t>Non exclusive interruptible (87)</t>
  </si>
  <si>
    <t>ADJUST REVENUE SENSITIVE ITEMS FOR REMOVAL OF REVENUE:</t>
  </si>
  <si>
    <t>PASS THROUGH REVENUE AND EXPENSE</t>
  </si>
  <si>
    <t>PASS THROUGH</t>
  </si>
  <si>
    <t>REVENUE &amp; EXPENSE</t>
  </si>
  <si>
    <t>REMOVE PGA DEFERRAL AMORTIZATION EXP - SCHEDULE 106</t>
  </si>
  <si>
    <t>SALES TO CUSTOMERS:</t>
  </si>
  <si>
    <t>TRUE UP CHANGE IN UNBILLED</t>
  </si>
  <si>
    <t>OTHER ADJUSTMENTS</t>
  </si>
  <si>
    <t>RESTATING ADJUSTMENTS SALES TO CUSTOMERS</t>
  </si>
  <si>
    <t>TOTAL INCREASE (DECREASE) SALES TO CUSTOMERS</t>
  </si>
  <si>
    <t>RENTALS:</t>
  </si>
  <si>
    <t>TOTAL INCREASE (DECREASE) OTHER OPERATING REVENUE</t>
  </si>
  <si>
    <t>TOTAL INCREASE (DECREASE) REVENUES</t>
  </si>
  <si>
    <t>RECLASS PENALTIES AND NEW CUSTOMER REVENUE TO</t>
  </si>
  <si>
    <t>OTHER OPERATING</t>
  </si>
  <si>
    <t>RECLASS PENALTIES AND NEW CUSTOMER REVENUE</t>
  </si>
  <si>
    <t>FROM SALES TO CUSTOMERS</t>
  </si>
  <si>
    <t>REVENUE AND EXPENSES</t>
  </si>
  <si>
    <t>OPERATING EXPENSES:</t>
  </si>
  <si>
    <t>PURCHASED GAS COSTS</t>
  </si>
  <si>
    <t>Amortization</t>
  </si>
  <si>
    <t>REMOVE REVENUES ASSOCIATED WITH RIDERS:</t>
  </si>
  <si>
    <t>TOTAL (INCREASE) DECREASE REVENUES</t>
  </si>
  <si>
    <t>ANNUAL FILING FEE</t>
  </si>
  <si>
    <t>STATE UTILITY TAX</t>
  </si>
  <si>
    <t>REMOVE EXPENSES ASSOCIATED WITH RIDERS</t>
  </si>
  <si>
    <t>REMOVE LOW INCOME - SCHEDULE 129</t>
  </si>
  <si>
    <t>REMOVE CONSERVATION - SCHEDULE 120</t>
  </si>
  <si>
    <t>REMOVE REVENUE ASSOC WITH PGA AMORTIZATION - SCHEDULE 106</t>
  </si>
  <si>
    <t>REMOVE LOW INCOME AMORTIZATION - SCHEDULE 129</t>
  </si>
  <si>
    <t>REMOVE CONSERVATION AMORTIZATION - SCHEDULE 120</t>
  </si>
  <si>
    <t>INCREASE (DECREASE) IN OPERATING INCOME BEFORE TAXES</t>
  </si>
  <si>
    <t>Other</t>
  </si>
  <si>
    <t>OPERATING EXPENSES</t>
  </si>
  <si>
    <t>12 MOS ENDED</t>
  </si>
  <si>
    <t>ACCUMULATED DEPRECIATION</t>
  </si>
  <si>
    <t>DEPRECIATION EXPENSE</t>
  </si>
  <si>
    <t xml:space="preserve">INCREASE (DECREASE) NOI </t>
  </si>
  <si>
    <t>Puget Sound Energy</t>
  </si>
  <si>
    <t>Transfer</t>
  </si>
  <si>
    <t>Income</t>
  </si>
  <si>
    <t>Remove</t>
  </si>
  <si>
    <t>Penalties &amp;</t>
  </si>
  <si>
    <t>October</t>
  </si>
  <si>
    <t>Weather</t>
  </si>
  <si>
    <t>Statement</t>
  </si>
  <si>
    <t>Municipal</t>
  </si>
  <si>
    <t>New Customer</t>
  </si>
  <si>
    <t>Restating</t>
  </si>
  <si>
    <t>Normalization</t>
  </si>
  <si>
    <t>Conservation</t>
  </si>
  <si>
    <t>Total</t>
  </si>
  <si>
    <t>Pro forma</t>
  </si>
  <si>
    <t>Line</t>
  </si>
  <si>
    <t>Rate Class</t>
  </si>
  <si>
    <t>Revenue (1)</t>
  </si>
  <si>
    <t>Taxes</t>
  </si>
  <si>
    <t>Trackers</t>
  </si>
  <si>
    <t>Adjustments</t>
  </si>
  <si>
    <t>Adjustment</t>
  </si>
  <si>
    <t>A</t>
  </si>
  <si>
    <t>B</t>
  </si>
  <si>
    <t>C</t>
  </si>
  <si>
    <t>D</t>
  </si>
  <si>
    <t>E</t>
  </si>
  <si>
    <t>F</t>
  </si>
  <si>
    <t>G</t>
  </si>
  <si>
    <t>I</t>
  </si>
  <si>
    <t>H</t>
  </si>
  <si>
    <t>J</t>
  </si>
  <si>
    <t>K</t>
  </si>
  <si>
    <t>L</t>
  </si>
  <si>
    <t>N</t>
  </si>
  <si>
    <t>O</t>
  </si>
  <si>
    <t>Residential (16,23,53)</t>
  </si>
  <si>
    <t xml:space="preserve">Contracts </t>
  </si>
  <si>
    <t>Total revenue from sales/transport</t>
  </si>
  <si>
    <t>Rentals</t>
  </si>
  <si>
    <t>Other operating revenue</t>
  </si>
  <si>
    <t>Total other operating revenue</t>
  </si>
  <si>
    <t>Total operating revenue</t>
  </si>
  <si>
    <t>Gas cost (Schedule 101)</t>
  </si>
  <si>
    <t>Gas revenue (Schedule 101)</t>
  </si>
  <si>
    <t>Pro forma Gas Costs and Revenue (Schedule 101) and Margin</t>
  </si>
  <si>
    <t>Sch. 101</t>
  </si>
  <si>
    <t>Gas Revenue</t>
  </si>
  <si>
    <t>Gas Cost</t>
  </si>
  <si>
    <t>Margin</t>
  </si>
  <si>
    <t xml:space="preserve">P </t>
  </si>
  <si>
    <t>Q</t>
  </si>
  <si>
    <t>R</t>
  </si>
  <si>
    <t>Contracts</t>
  </si>
  <si>
    <t>Low Income</t>
  </si>
  <si>
    <t>Pro forma Gas Costs and Revenue (Sched. 101) and Margin</t>
  </si>
  <si>
    <t>Deferral</t>
  </si>
  <si>
    <t>Sch. 120</t>
  </si>
  <si>
    <t>Sch. 129</t>
  </si>
  <si>
    <t>Sch. 106</t>
  </si>
  <si>
    <t>M</t>
  </si>
  <si>
    <t>P</t>
  </si>
  <si>
    <t>S</t>
  </si>
  <si>
    <t>Commercial &amp; industrial (31)</t>
  </si>
  <si>
    <t>Standby &amp; auxiliary heating (61)</t>
  </si>
  <si>
    <t>(1)</t>
  </si>
  <si>
    <t>(2)</t>
  </si>
  <si>
    <t>Penalty revenue and new customer revenue (Rule 7) is transferred from revenue from sales to other operating revenue.</t>
  </si>
  <si>
    <t>(3)</t>
  </si>
  <si>
    <t>(4)</t>
  </si>
  <si>
    <t>Adjustment from actual to proposed revenue adjustment factor (RAF).</t>
  </si>
  <si>
    <t>RECLASS PENALITIES AND NEW CUSTOMER REVENUE TO</t>
  </si>
  <si>
    <t>TOTAL PURCHASE GAS COSTS</t>
  </si>
  <si>
    <t>SUM OF TAXES OTHER</t>
  </si>
  <si>
    <t>CONVERSION FACTOR EXCLUDING FEDERAL INCOME TAX ( 1 - LINE 5)</t>
  </si>
  <si>
    <t>FEDERAL INCOME TAX ( LINE 7 * 35%)</t>
  </si>
  <si>
    <t>Transportation - large volume (41T)</t>
  </si>
  <si>
    <t>Transportation - interruptible (85T)</t>
  </si>
  <si>
    <t>Transportation - non exclusive interruptible (87T)</t>
  </si>
  <si>
    <t>NON-UNION (EXCLUDING EXECUTIVES)</t>
  </si>
  <si>
    <t>NON-UNION ( EXECUTIVES)</t>
  </si>
  <si>
    <t>TOTAL PROFORMA COSTS (LN 4 + LN 9 + LN 14 + LN 19)</t>
  </si>
  <si>
    <t>SHORT TERM DEBT</t>
  </si>
  <si>
    <t>LONG TERM DEBT</t>
  </si>
  <si>
    <t>AFTER TAX SHORT TERM DEBT ( LINE 1 * 65%)</t>
  </si>
  <si>
    <t>AFTER TAX LONG TERM DEBT ( LINE 2 * 65%)</t>
  </si>
  <si>
    <t>REVENUE REQUIREMENT DEFICIENCY</t>
  </si>
  <si>
    <t>Everett</t>
  </si>
  <si>
    <t>Delta</t>
  </si>
  <si>
    <t>CHARGED TO EXPENSE DURING TEST YEAR</t>
  </si>
  <si>
    <t>U</t>
  </si>
  <si>
    <t>Reconciliation of Revenue by Rate Schedule</t>
  </si>
  <si>
    <t>Reconciliation of Test Year Revenue</t>
  </si>
  <si>
    <t>April</t>
  </si>
  <si>
    <t>Merger Credit</t>
  </si>
  <si>
    <t>RAF (4)</t>
  </si>
  <si>
    <t>Storage Rental</t>
  </si>
  <si>
    <t>Sch. 132</t>
  </si>
  <si>
    <t>T</t>
  </si>
  <si>
    <t>Residential (23)</t>
  </si>
  <si>
    <t>Residential (53)</t>
  </si>
  <si>
    <t>October 2009 Purchased Gas Adjustment, Docket UG-091372.</t>
  </si>
  <si>
    <t>General Rate Case UG-090705.</t>
  </si>
  <si>
    <t xml:space="preserve">RAF (4) </t>
  </si>
  <si>
    <t>Commercial &amp; industrial (31,61)</t>
  </si>
  <si>
    <t>(1) Penalty revenue and new customer revenue (Rule 7) are transferred from revenue from sales to other operating revenue.</t>
  </si>
  <si>
    <t>(2) October 2009 Purchased Gas Adjustment, Docket UG-091372.</t>
  </si>
  <si>
    <t>(3) General Rate Case UG-090705. Rates implemented April 8, 2010.</t>
  </si>
  <si>
    <t>(4) Adjustment from actual to proposed revenue adjustment factor (RAF).</t>
  </si>
  <si>
    <t>GENERAL PLANT DEPRECIATION</t>
  </si>
  <si>
    <t>GENERAL PLANT</t>
  </si>
  <si>
    <t>PLANT BALANCE</t>
  </si>
  <si>
    <t>NET RATEBASE</t>
  </si>
  <si>
    <t>GENERAL PLANT RATEBASE</t>
  </si>
  <si>
    <t>GENERAL PLANT DEPRECIATION EXPENSES</t>
  </si>
  <si>
    <t xml:space="preserve">OTHER </t>
  </si>
  <si>
    <t>OPERATING</t>
  </si>
  <si>
    <t xml:space="preserve">NORMALIZE </t>
  </si>
  <si>
    <t>INJURIES &amp; DAMAGES</t>
  </si>
  <si>
    <t>NORMALIZE INJURIES AND DAMAGES</t>
  </si>
  <si>
    <t xml:space="preserve">Disconnected </t>
  </si>
  <si>
    <t>Meter Revenue</t>
  </si>
  <si>
    <t>REMOVE STORAGE RENTAL REVENUE</t>
  </si>
  <si>
    <t>WATER HEATER</t>
  </si>
  <si>
    <t>WATER HEATER DEPRECIATION</t>
  </si>
  <si>
    <t>ADJUSTMENT TO OPERATING EXPENSES</t>
  </si>
  <si>
    <t xml:space="preserve">TOTAL WATER HEATERS DEPRECIATION EXPENSE </t>
  </si>
  <si>
    <t>ADJUSTMENT TO RATE BASE</t>
  </si>
  <si>
    <t>TOTAL  ADJUSTMENT TO RATEBASE</t>
  </si>
  <si>
    <t>Transportation (87T)</t>
  </si>
  <si>
    <t>RESTATED INSURANCE COSTS</t>
  </si>
  <si>
    <t>Test Year Ended June 30, 2010</t>
  </si>
  <si>
    <t>Gas Tariff Revision</t>
  </si>
  <si>
    <t>INCREASE/(DECREASE) IN EXPENSE</t>
  </si>
  <si>
    <t>INCREASE/(DECREASE) IN OPERATING EXPENSE (LINE 4)</t>
  </si>
  <si>
    <t>2009 GRC (2)</t>
  </si>
  <si>
    <t>AMORTIZATION OF DEFERRED NET GAIN FOR TEST YEAR</t>
  </si>
  <si>
    <t xml:space="preserve">REMOVE MUNICIPAL TAXES </t>
  </si>
  <si>
    <t>April 2010</t>
  </si>
  <si>
    <t>2009 PGA (2)</t>
  </si>
  <si>
    <t>GRC (3)</t>
  </si>
  <si>
    <t>ADD GRC INCREASE DOCKET UG-090705</t>
  </si>
  <si>
    <t>2009 GRC INCREASE DOCKET UG-090705</t>
  </si>
  <si>
    <t>October 2010 Gas Tariff Increase</t>
  </si>
  <si>
    <t>Test Year Ended June 2010</t>
  </si>
  <si>
    <t>Allocation of Revenue Deficiency to Rate Classes</t>
  </si>
  <si>
    <t>Percent</t>
  </si>
  <si>
    <t>Proposed</t>
  </si>
  <si>
    <t>Revenue at</t>
  </si>
  <si>
    <t>of Total</t>
  </si>
  <si>
    <t>Percent of</t>
  </si>
  <si>
    <t>Calculated</t>
  </si>
  <si>
    <t>Over (Under)</t>
  </si>
  <si>
    <t>Existing</t>
  </si>
  <si>
    <t>at Existing</t>
  </si>
  <si>
    <t>Volume</t>
  </si>
  <si>
    <t>Margin Less</t>
  </si>
  <si>
    <t>Uniform</t>
  </si>
  <si>
    <t>Increase Less</t>
  </si>
  <si>
    <t>Change in</t>
  </si>
  <si>
    <t>Total (2)</t>
  </si>
  <si>
    <t>Target</t>
  </si>
  <si>
    <t>Rates</t>
  </si>
  <si>
    <t>Rates (1)</t>
  </si>
  <si>
    <t>(Therms)</t>
  </si>
  <si>
    <t>Increase</t>
  </si>
  <si>
    <t>Spread</t>
  </si>
  <si>
    <t>Large volume (41,41T)</t>
  </si>
  <si>
    <t>Interruptible (85, 85T)</t>
  </si>
  <si>
    <t>Non exclusive interruptible (87,87T)</t>
  </si>
  <si>
    <t>Subtotal revenue from rates</t>
  </si>
  <si>
    <t>Other revenue</t>
  </si>
  <si>
    <t>Proposed total increase</t>
  </si>
  <si>
    <t>Average increase on margin (includes rentals, excludes contracts)</t>
  </si>
  <si>
    <t>Average increase on total (includes rentals, excludes contracts)</t>
  </si>
  <si>
    <t>Average increase on margin after contracts</t>
  </si>
  <si>
    <t>Adjustment to increase for unequal allocation of increase</t>
  </si>
  <si>
    <t>Unallocated deficiency</t>
  </si>
  <si>
    <t>Rounding error</t>
  </si>
  <si>
    <t>(1) Pro forma gas revenue at existing (2009 PGA) rates.</t>
  </si>
  <si>
    <t>(2) Calculated margin increase (column M) divided by pro forma revenue at existing rates (column B).</t>
  </si>
  <si>
    <t>FOR THE TWELVE MONTHS ENDED DECEMBER 31, 2010</t>
  </si>
  <si>
    <t>WUTC Docket No. UG-11____</t>
  </si>
  <si>
    <t>12ME December 31, 2010</t>
  </si>
  <si>
    <t>ADJUSTMENT TO TIE TO SETTLEMENT</t>
  </si>
  <si>
    <t>RECLASSIFICATION OF BARE STEEL PIPE TO WRAPPED STEEL PIPE</t>
  </si>
  <si>
    <t>CONTRACT CHANGES</t>
  </si>
  <si>
    <t>EXCISE TAXES</t>
  </si>
  <si>
    <t>RECLASS BARE TO</t>
  </si>
  <si>
    <t>WRAPPED STEEL</t>
  </si>
  <si>
    <t>CONTRACT</t>
  </si>
  <si>
    <t>CHANGES</t>
  </si>
  <si>
    <t>PAY</t>
  </si>
  <si>
    <t>INCENTIVE</t>
  </si>
  <si>
    <t>EXCISE</t>
  </si>
  <si>
    <t>ESTIMATED 2007 AND 2009 GRC EXPENSES TO BE NORMALIZED</t>
  </si>
  <si>
    <t>LESS TEST YEAR EXPENSE</t>
  </si>
  <si>
    <t>Transportation -Large volume (41T)</t>
  </si>
  <si>
    <t>Contracts (99,199,299)</t>
  </si>
  <si>
    <t>MIGRATION ADJUSTMENT FOR SCHEDULES 41T AND 86T</t>
  </si>
  <si>
    <t>MIGRATION ADJUSTMENT FOR SCHEDULE 41</t>
  </si>
  <si>
    <t xml:space="preserve">OCTOBER 2010 PURCHASED GAS </t>
  </si>
  <si>
    <t>MERGER RATE CREDIT SCHEDULE 132</t>
  </si>
  <si>
    <t>(NOTE 1)</t>
  </si>
  <si>
    <t>RESTATED EXCISE TAXES</t>
  </si>
  <si>
    <t>CHARGED TO EXPENSE FOR TEST YEAR</t>
  </si>
  <si>
    <t>INCREASE (DECREASE) EXCISE TAX</t>
  </si>
  <si>
    <t>RESTATED WUTC FILING FEE</t>
  </si>
  <si>
    <t>INCREASE(DECREASE) WUTC FILING FEE</t>
  </si>
  <si>
    <t xml:space="preserve">NOVEMBER 2010 PURCHASED GAS </t>
  </si>
  <si>
    <t>DEFERRED GAIN RECORDED SINCE UG-090705, et al. at 04/30/2012</t>
  </si>
  <si>
    <t>DEFERRED LOSS RECORDED SINCE UG-090705, et al. at 04/30/2012</t>
  </si>
  <si>
    <t xml:space="preserve">TOTAL DEFERRED NET GAIN TO AMORTIZE </t>
  </si>
  <si>
    <t>AUGUST</t>
  </si>
  <si>
    <t>DECEMBER</t>
  </si>
  <si>
    <t>SALARIED EMPLOYEES</t>
  </si>
  <si>
    <t>UNION EMPLOYEES</t>
  </si>
  <si>
    <t>APPLICABLE TO OPERATIONS @</t>
  </si>
  <si>
    <t>ANNUAL AMORTIZATION (LINE 3 ÷ 36 MONTHS) x 12</t>
  </si>
  <si>
    <t>403 DEPRECIATION EXPENSE</t>
  </si>
  <si>
    <t xml:space="preserve">ADJUSTMENT TO ACCUM. DEPREC. </t>
  </si>
  <si>
    <t>INCREASE(DECREASE ) IN EXPENSE</t>
  </si>
  <si>
    <t>TOTAL INCREASE (DECREASE) IN INCOME</t>
  </si>
  <si>
    <t xml:space="preserve">INCREASE (DECREASE) FIT @ 35% </t>
  </si>
  <si>
    <t>INCREASE (DECREASE) FIT EXPENSE</t>
  </si>
  <si>
    <t>IMPACT ON ACCUMULATED DEPRECIATION</t>
  </si>
  <si>
    <t>DEFERRED FEDERAL INCOME TAX BENEFIT</t>
  </si>
  <si>
    <t>DEFERRED FEDERAL INCOME TAXES</t>
  </si>
  <si>
    <t>ACCUMULATED DEFERRED FIT</t>
  </si>
  <si>
    <t>LAID OFF EMPLOYEES:</t>
  </si>
  <si>
    <t xml:space="preserve">     DISTRIBUTION</t>
  </si>
  <si>
    <t xml:space="preserve">     ADMIN &amp; GENERAL</t>
  </si>
  <si>
    <t>BENEFITS  ON THE ABOVE WAGE ADJUSTMENTS</t>
  </si>
  <si>
    <t>PAYROLL TAXES ON ON THE ABOVE WAGE ADJUSTMENTS</t>
  </si>
  <si>
    <t>ADD GTIF INCREASE DOCKET UG-101644</t>
  </si>
  <si>
    <t>DECREASE IN SERVICE CONTRACT O&amp;M BASELINE CHARGES</t>
  </si>
  <si>
    <t>GENERAL RATE INCREASE</t>
  </si>
  <si>
    <t>3-YR AVERAGE OF NET WRITE OFF RATE</t>
  </si>
  <si>
    <t>TEST PERIOD REVENUES</t>
  </si>
  <si>
    <t>INTEREST EXPENSE AT MOST CURRENT INTEREST RATE</t>
  </si>
  <si>
    <t>REMOVE NON-BUSINESS OR NON-UTILITY RELATED EXPENSES</t>
  </si>
  <si>
    <t>ACCRUALS</t>
  </si>
  <si>
    <t>PAYMENTS IN EXCESS OF ACCRUALS</t>
  </si>
  <si>
    <t xml:space="preserve">  ACCUMULATED DEFERRED FIT</t>
  </si>
  <si>
    <t>6/30/2010 (UG-101644)</t>
  </si>
  <si>
    <t>CHARGED TO EXPENSE FOR YEAR ENDED 12/31/2010</t>
  </si>
  <si>
    <t>D &amp; O INS. EXPENSE</t>
  </si>
  <si>
    <t>INCREASE (DECREASE) OPERATING  EXPENSE</t>
  </si>
  <si>
    <t xml:space="preserve">DOES NOT INCLUDE A DEDUCTION FOR INTEREST AS THE TAX EFFECT FOR </t>
  </si>
  <si>
    <t>TOTAL PROFORMA INTEREST IS CALCULATED IN ADJUSTMENT 6.05</t>
  </si>
  <si>
    <t>EXECUTIVE SALARY</t>
  </si>
  <si>
    <t>ADJUSTMENT, DOCKET UG-101642 - REDUCE REVENUES FROM PGA</t>
  </si>
  <si>
    <t>ADJUSTMENT, DOCKET UG-101642 REDUCE GAS COSTS FROM PGA</t>
  </si>
  <si>
    <t>TRUE UP CHANGE IN UNBILLED - GAS COSTS</t>
  </si>
  <si>
    <t>2011 GRC Gas Electronic Workpaper List</t>
  </si>
  <si>
    <t>Exhibit</t>
  </si>
  <si>
    <t>Page</t>
  </si>
  <si>
    <t>Description</t>
  </si>
  <si>
    <t>Filename</t>
  </si>
  <si>
    <t>Tab Name</t>
  </si>
  <si>
    <t>Named Range</t>
  </si>
  <si>
    <t>MJS-3</t>
  </si>
  <si>
    <t>Income Statement</t>
  </si>
  <si>
    <t>3.01 Income Statement 2011 GRC.xls</t>
  </si>
  <si>
    <t>Balance Sheet With Reallocation of Tax Accounts</t>
  </si>
  <si>
    <t>3.02 BS 2011 GRC.xls</t>
  </si>
  <si>
    <t xml:space="preserve">Ratebase </t>
  </si>
  <si>
    <t>3.03G Ratebase.xls</t>
  </si>
  <si>
    <t>Working Capital With Reallocation of Tax Accounts</t>
  </si>
  <si>
    <t>3.04 E &amp; G Working Capital.xls</t>
  </si>
  <si>
    <t>Allocation Methods</t>
  </si>
  <si>
    <t>3.05 Allocation Method 2011 GRC.xls</t>
  </si>
  <si>
    <t xml:space="preserve">Reallocation to SAP </t>
  </si>
  <si>
    <t>3.06 Reallocations of SAP.xls</t>
  </si>
  <si>
    <t>Reallocation to Balance Sheet</t>
  </si>
  <si>
    <t>3.07 Reallocations to Balance Sheets.xls</t>
  </si>
  <si>
    <t>Reallocation to Ratebase</t>
  </si>
  <si>
    <t>3.08G Reallocations to Ratebase.xls</t>
  </si>
  <si>
    <t>Reallocation to Working Capital</t>
  </si>
  <si>
    <t>3.09 Reallocations to  Working Capital.xls</t>
  </si>
  <si>
    <t>MJS-4</t>
  </si>
  <si>
    <t>Results of Operations</t>
  </si>
  <si>
    <t>MJS-4 through MJS-9 Gas 2011 GRC.xls</t>
  </si>
  <si>
    <t>_4.01 Summary</t>
  </si>
  <si>
    <t>Summary</t>
  </si>
  <si>
    <t>_4.02Detail2</t>
  </si>
  <si>
    <t>_4.03Detail3</t>
  </si>
  <si>
    <t>_4.04Detail4</t>
  </si>
  <si>
    <t>_4.05Detail4</t>
  </si>
  <si>
    <t>MJS-5</t>
  </si>
  <si>
    <t>Water Heater Depreciation</t>
  </si>
  <si>
    <t>5.01G Gas Water Heater Depreciation 2011 GRC.xls</t>
  </si>
  <si>
    <t>Steel Pipe Reclassification</t>
  </si>
  <si>
    <t>5.02 G Steel Pipe Reclassification.xls</t>
  </si>
  <si>
    <t>Contract Changes</t>
  </si>
  <si>
    <t>5.03G Contract Price Changes.xls</t>
  </si>
  <si>
    <t>Temperature Normalization</t>
  </si>
  <si>
    <t>6.01G Temp Normalization.xls</t>
  </si>
  <si>
    <t>Revenue and Expense</t>
  </si>
  <si>
    <t>6.02G Revenues and Expenses.xls</t>
  </si>
  <si>
    <t>Pass through Revenue and Expense</t>
  </si>
  <si>
    <t>6.03G Pass-Through Revenue and Expenses 2011 GRC.xls</t>
  </si>
  <si>
    <t>Federal Income Tax</t>
  </si>
  <si>
    <t>6.04G Federal Income Tax Working File.xls</t>
  </si>
  <si>
    <t>Tax Benefit of Proforma Interest</t>
  </si>
  <si>
    <t>6.05G Tax Benefit of Proforma Interest.xls</t>
  </si>
  <si>
    <t>Operating Expenses</t>
  </si>
  <si>
    <t>6.06G Operating Expenses.xls</t>
  </si>
  <si>
    <t>General Plant Depreciation</t>
  </si>
  <si>
    <t>6.07G General Plant Depreciation.xls</t>
  </si>
  <si>
    <t>Normalize Injuries and Damages</t>
  </si>
  <si>
    <t>6.08 E &amp; G Normalize Injuries &amp; Damages 2011 GRC.xls</t>
  </si>
  <si>
    <t>Bad Debts</t>
  </si>
  <si>
    <t>6.09G Bad Debts - Gas 2011 GRC.xls</t>
  </si>
  <si>
    <t>Incentive Pay</t>
  </si>
  <si>
    <t>6.10G Incentive Pay 2011 GRC.xls</t>
  </si>
  <si>
    <t>Property Tax</t>
  </si>
  <si>
    <t>6.11G Property Taxes.xls</t>
  </si>
  <si>
    <t>Excise Tax &amp; Filing Fee</t>
  </si>
  <si>
    <t>6.12G WUTC Fee Excise Tax.xls</t>
  </si>
  <si>
    <t>D&amp;O Insurance</t>
  </si>
  <si>
    <t>6.13G D&amp;O Insurance.xls</t>
  </si>
  <si>
    <t>Interest on Customer Deposits</t>
  </si>
  <si>
    <t>6.14G Interest on Customer Deposits 2011 GRC.xls</t>
  </si>
  <si>
    <t>Rate Case Expenses</t>
  </si>
  <si>
    <t>6.15G Rate Case Expenses 2011 GRC.xls</t>
  </si>
  <si>
    <t>Deferred Gains/Losses on Property Sales</t>
  </si>
  <si>
    <t>6.16G Deferred Gains &amp; Losses-Gas 2011 GRC.xls</t>
  </si>
  <si>
    <t>Property &amp; Liability Ins</t>
  </si>
  <si>
    <t>6.17E &amp; 6.17G Property and Liability Insurance.xls</t>
  </si>
  <si>
    <t>Pension Plan</t>
  </si>
  <si>
    <t>6.18E &amp; G Pension Plan 2011 GRC.xls</t>
  </si>
  <si>
    <t>Wage Increase</t>
  </si>
  <si>
    <t>6.19E &amp; G Wage Increase.xls</t>
  </si>
  <si>
    <t>Investment Plan</t>
  </si>
  <si>
    <t>6.20E&amp;G  Investment Plan.xls</t>
  </si>
  <si>
    <t>Employee Insurance</t>
  </si>
  <si>
    <t>6.21E &amp; G Employee Insurance 2011 GRC.xls</t>
  </si>
  <si>
    <t>MJS-7</t>
  </si>
  <si>
    <t>General Rate Increase</t>
  </si>
  <si>
    <t>_7.01</t>
  </si>
  <si>
    <t>Cost of Capital</t>
  </si>
  <si>
    <t>_7.02</t>
  </si>
  <si>
    <t>Conversion Factor</t>
  </si>
  <si>
    <t>_7.03</t>
  </si>
  <si>
    <t>MJS-8</t>
  </si>
  <si>
    <t>Unit Cost</t>
  </si>
  <si>
    <t>MJS-8 Unit Cost</t>
  </si>
  <si>
    <t>MJS-9</t>
  </si>
  <si>
    <t>Corporate Aircraft Pictures and Statistics</t>
  </si>
  <si>
    <t>9.01 G Aircraft Costs.xls</t>
  </si>
  <si>
    <t>UG-111049</t>
  </si>
  <si>
    <t>UG-101644</t>
  </si>
  <si>
    <t>GRC '11 - GRC '10</t>
  </si>
  <si>
    <t>6 month period adjustment</t>
  </si>
  <si>
    <t>Difference in GRCs</t>
  </si>
  <si>
    <t>Actual Results</t>
  </si>
  <si>
    <t>Adjusted Results</t>
  </si>
  <si>
    <t>Expenese Related</t>
  </si>
  <si>
    <t>Wrong Direction?</t>
  </si>
  <si>
    <t>Net Return w/Gross-up</t>
  </si>
  <si>
    <t>Page 6.16</t>
  </si>
  <si>
    <r>
      <t>DEFERRED GAIN RECORDED FOR UG-090705,</t>
    </r>
    <r>
      <rPr>
        <i/>
        <sz val="10"/>
        <rFont val="Times New Roman"/>
        <family val="1"/>
      </rPr>
      <t xml:space="preserve"> et al.</t>
    </r>
    <r>
      <rPr>
        <sz val="10"/>
        <rFont val="Times New Roman"/>
        <family val="1"/>
      </rPr>
      <t xml:space="preserve"> at 04/30/2012</t>
    </r>
  </si>
  <si>
    <r>
      <t>DEFERRED LOSS RECORDED FOR UG-090705,</t>
    </r>
    <r>
      <rPr>
        <i/>
        <sz val="10"/>
        <rFont val="Times New Roman"/>
        <family val="1"/>
      </rPr>
      <t xml:space="preserve"> et al.</t>
    </r>
    <r>
      <rPr>
        <sz val="10"/>
        <rFont val="Times New Roman"/>
        <family val="1"/>
      </rPr>
      <t xml:space="preserve"> at 04/30/2012</t>
    </r>
  </si>
  <si>
    <t>INCREASE (DECREASE) EXPENSE  (LINE 5 - LINE 7)</t>
  </si>
  <si>
    <t>Note:</t>
  </si>
  <si>
    <t>There are no new Deferred Gains or Losses pending approval since the 2009 GRC</t>
  </si>
  <si>
    <t>Deferred Losses</t>
  </si>
  <si>
    <t>Deferred Gains</t>
  </si>
  <si>
    <t>on Property Sales Gas</t>
  </si>
  <si>
    <t xml:space="preserve"> Tariff Revision</t>
  </si>
  <si>
    <t>Approved in 2009 GRC</t>
  </si>
  <si>
    <t xml:space="preserve">Pending Approval </t>
  </si>
  <si>
    <t>Def Losses - Disp</t>
  </si>
  <si>
    <t>Def Gains - Disp</t>
  </si>
  <si>
    <t>Plant After 10/31/09</t>
  </si>
  <si>
    <t>Balance on April 1, 2010</t>
  </si>
  <si>
    <t>Activities through the beginning of rate year:</t>
  </si>
  <si>
    <t>4/2010 - Transfer Activity</t>
  </si>
  <si>
    <t>4/2010 - Monthly Activity</t>
  </si>
  <si>
    <t>Balance as of April, 2012</t>
  </si>
  <si>
    <t>Note 1:</t>
  </si>
  <si>
    <t>- In April 2010 balances in accounts 18700002, 18700012 and 18700022 were transferred to 18700052.</t>
  </si>
  <si>
    <t>- In April 2010 balances in accounts 25600052, 25600142and 25400152 were transferred to 25600092.</t>
  </si>
  <si>
    <t>- Activities in accounts 18700052 and 25600092 represent amortization of deferred gains and losses approved in the 2009 GRC.</t>
  </si>
  <si>
    <t>Note 2:</t>
  </si>
  <si>
    <t>The original amortization period for the Net Deferred Gain on Property Sales approved for natural</t>
  </si>
  <si>
    <t>gas operations in the 2009 GRC was 36 months from April 2010 through March 2013.  At May 1, 2012,</t>
  </si>
  <si>
    <t>the start of the rate year for the 2011 General Rate Case, the remaining amortization period is 11</t>
  </si>
  <si>
    <t>months ( May 1, 2012 through March 31, 2013).</t>
  </si>
  <si>
    <t>2009 GRC approved Deferred Losses - Account 18700052</t>
  </si>
  <si>
    <t>2009 GRC approved Deferred Gains - Account 25600092</t>
  </si>
  <si>
    <t>Net Deferred Gains - 2009 GRC</t>
  </si>
  <si>
    <t>Downloaded from SAP</t>
  </si>
  <si>
    <t>Gains from disposition of Utility Plant - Gas</t>
  </si>
  <si>
    <t>Order</t>
  </si>
  <si>
    <t>Cost Element</t>
  </si>
  <si>
    <t>Cost element name</t>
  </si>
  <si>
    <t>Name</t>
  </si>
  <si>
    <t>Val.in rep.cur.</t>
  </si>
  <si>
    <t>Posting Date</t>
  </si>
  <si>
    <t>Offsetting acct no.</t>
  </si>
  <si>
    <t>Name of offsetting account</t>
  </si>
  <si>
    <t>41160302</t>
  </si>
  <si>
    <t>64000100</t>
  </si>
  <si>
    <t>Depreciation Expense</t>
  </si>
  <si>
    <t>Amort of Plant Gains - Gas</t>
  </si>
  <si>
    <t>25400161</t>
  </si>
  <si>
    <t>Gain on Sale Skagit</t>
  </si>
  <si>
    <t>25600101</t>
  </si>
  <si>
    <t>E Prop Gain UE090704</t>
  </si>
  <si>
    <t>Losses from disposition of Utility Plant - Gas</t>
  </si>
  <si>
    <t>41170302</t>
  </si>
  <si>
    <t>Amort of Plant Losses - Gas</t>
  </si>
  <si>
    <t>SAP Download</t>
  </si>
  <si>
    <t>Account 18700052 -  Gas Def Property Losses UG-090705</t>
  </si>
  <si>
    <t>December 2010</t>
  </si>
  <si>
    <t>Period</t>
  </si>
  <si>
    <t>Debit</t>
  </si>
  <si>
    <t>Credit</t>
  </si>
  <si>
    <t>Balance</t>
  </si>
  <si>
    <t>Cumulative balance</t>
  </si>
  <si>
    <t>Balance Carryforward</t>
  </si>
  <si>
    <t>2</t>
  </si>
  <si>
    <t>3</t>
  </si>
  <si>
    <t>4</t>
  </si>
  <si>
    <t>5</t>
  </si>
  <si>
    <t>6</t>
  </si>
  <si>
    <t>7</t>
  </si>
  <si>
    <t>8</t>
  </si>
  <si>
    <t>9</t>
  </si>
  <si>
    <t>10</t>
  </si>
  <si>
    <t>11</t>
  </si>
  <si>
    <t>12</t>
  </si>
  <si>
    <t>13</t>
  </si>
  <si>
    <t>14</t>
  </si>
  <si>
    <t>15</t>
  </si>
  <si>
    <t>16</t>
  </si>
  <si>
    <t>Account 25600092 -  Gas Def Property Gains UG-090705</t>
  </si>
  <si>
    <t>INTEREST EXPENSE FOR THE RESTATED TEST YEAR</t>
  </si>
  <si>
    <t>Interest on Customer Deposits - Restating</t>
  </si>
  <si>
    <t xml:space="preserve">Time </t>
  </si>
  <si>
    <t xml:space="preserve">Test </t>
  </si>
  <si>
    <t>Calculated Average</t>
  </si>
  <si>
    <t>New</t>
  </si>
  <si>
    <t>Restated</t>
  </si>
  <si>
    <t>Year</t>
  </si>
  <si>
    <t>Annual</t>
  </si>
  <si>
    <t>Monthly</t>
  </si>
  <si>
    <t xml:space="preserve">Customer </t>
  </si>
  <si>
    <t>Test Year</t>
  </si>
  <si>
    <t>Interest</t>
  </si>
  <si>
    <t>Deposit</t>
  </si>
  <si>
    <t xml:space="preserve">Interest </t>
  </si>
  <si>
    <t xml:space="preserve">Expense, </t>
  </si>
  <si>
    <t>Rate</t>
  </si>
  <si>
    <t>Expense</t>
  </si>
  <si>
    <t>a</t>
  </si>
  <si>
    <t>b</t>
  </si>
  <si>
    <t>c</t>
  </si>
  <si>
    <t>d = c / 12</t>
  </si>
  <si>
    <t>d</t>
  </si>
  <si>
    <t>e</t>
  </si>
  <si>
    <t>f = e / 12</t>
  </si>
  <si>
    <t>g = f * d</t>
  </si>
  <si>
    <t>Gas Total</t>
  </si>
  <si>
    <t>H.15 (519) SELECTED INTEREST RATES</t>
  </si>
  <si>
    <t>For use at 2:30 p.m. Eastern Time</t>
  </si>
  <si>
    <t>Yields in percent per annum                  January 19, 2010</t>
  </si>
  <si>
    <t>2010   2010   2010   2010</t>
  </si>
  <si>
    <t>Week Ending   2009</t>
  </si>
  <si>
    <t>Instruments                 Jan    Jan    Jan    Jan</t>
  </si>
  <si>
    <t>Jan</t>
  </si>
  <si>
    <t>Jan    Jan    Dec</t>
  </si>
  <si>
    <t>11     12     13     14</t>
  </si>
  <si>
    <t>15     8</t>
  </si>
  <si>
    <t>Federal funds (effective) 1 2 3            0.11   0.11   0.11   0.11</t>
  </si>
  <si>
    <t>0.11   0.08   0.12</t>
  </si>
  <si>
    <t>Commercial Paper 3 4 5 6</t>
  </si>
  <si>
    <t>Nonfinancial</t>
  </si>
  <si>
    <t>1-month                              0.14   0.12   0.15   0.14</t>
  </si>
  <si>
    <t>0.13   0.14   0.14</t>
  </si>
  <si>
    <t>2-month                              0.15   0.16   0.15   0.12</t>
  </si>
  <si>
    <t>0.14   0.15   0.12</t>
  </si>
  <si>
    <t>3-month                              n.a.   n.a.   0.16   0.14</t>
  </si>
  <si>
    <t>0.15   n.a.   0.16</t>
  </si>
  <si>
    <t>Financial</t>
  </si>
  <si>
    <t>1-month                              0.10   0.10   0.10   0.10</t>
  </si>
  <si>
    <t>0.10   0.12   0.13</t>
  </si>
  <si>
    <t>2-month                              0.12   0.15   0.13   0.12</t>
  </si>
  <si>
    <t>0.13   0.14   0.16</t>
  </si>
  <si>
    <t>3-month                              0.16   0.15   0.17   0.16</t>
  </si>
  <si>
    <t>0.16   0.18   0.20</t>
  </si>
  <si>
    <t>3-month nonfinancial or financial</t>
  </si>
  <si>
    <t>posted by CPFF 7</t>
  </si>
  <si>
    <t>Without surcharge                 1.15   1.14   1.14   1.14</t>
  </si>
  <si>
    <t>1.14   1.16   1.16</t>
  </si>
  <si>
    <t>With surcharge                    2.15   2.14   2.14   2.14</t>
  </si>
  <si>
    <t>2.14   2.16   2.16</t>
  </si>
  <si>
    <t>CDs (secondary market) 3 8</t>
  </si>
  <si>
    <t>1-month                                 0.16   0.15   0.16   0.16</t>
  </si>
  <si>
    <t>0.16   0.15   0.18</t>
  </si>
  <si>
    <t>3-month                                 0.20   0.20   0.20   0.20</t>
  </si>
  <si>
    <t>0.20   0.21   0.22</t>
  </si>
  <si>
    <t>6-month                                 0.29   0.29   0.31   0.31</t>
  </si>
  <si>
    <t>0.30   0.30   0.30</t>
  </si>
  <si>
    <t>Eurodollar deposits (London) 3 9</t>
  </si>
  <si>
    <t>1-month                                 0.30   0.30   0.30   0.30</t>
  </si>
  <si>
    <t>0.30   0.31   0.32</t>
  </si>
  <si>
    <t>3-month                                 0.45   0.45   0.45   0.45</t>
  </si>
  <si>
    <t>0.45   0.45   0.45</t>
  </si>
  <si>
    <t>6-month                                 0.65   0.65   0.65   0.65</t>
  </si>
  <si>
    <t>0.65   0.65   0.65</t>
  </si>
  <si>
    <t>Bank prime loan 2 3 10                     3.25   3.25   3.25   3.25</t>
  </si>
  <si>
    <t>3.25   3.25   3.25</t>
  </si>
  <si>
    <t>Discount window primary credit 2 11        0.50   0.50   0.50   0.50</t>
  </si>
  <si>
    <t>0.50   0.50   0.50</t>
  </si>
  <si>
    <t>U.S. government securities</t>
  </si>
  <si>
    <t>Treasury bills (secondary market) 3 4</t>
  </si>
  <si>
    <t>4-week                               0.01   0.02   0.02   0.02</t>
  </si>
  <si>
    <t>0.02   0.03   0.03</t>
  </si>
  <si>
    <t>3-month                              0.04   0.05   0.06   0.05</t>
  </si>
  <si>
    <t>0.05   0.06   0.05</t>
  </si>
  <si>
    <t>6-month                              0.13   0.14   0.15   0.14</t>
  </si>
  <si>
    <t>0.14   0.16   0.17</t>
  </si>
  <si>
    <t>1-year                               0.30   0.34   0.36   0.33</t>
  </si>
  <si>
    <t>0.33   0.37   0.35</t>
  </si>
  <si>
    <t>Treasury constant maturities</t>
  </si>
  <si>
    <t>Nominal 12</t>
  </si>
  <si>
    <t>1-month                           0.01   0.02   0.02   0.02</t>
  </si>
  <si>
    <t>3-month                           0.04   0.05   0.06   0.05</t>
  </si>
  <si>
    <t>6-month                           0.13   0.14   0.15   0.14</t>
  </si>
  <si>
    <t>1-year                            0.35   0.34   0.37   0.34</t>
  </si>
  <si>
    <t>0.35   0.41   0.37</t>
  </si>
  <si>
    <t>2-year                            0.95   0.92   0.97   0.94</t>
  </si>
  <si>
    <t>0.93   1.02   0.87</t>
  </si>
  <si>
    <t>3-year                            1.55   1.50   1.54   1.49</t>
  </si>
  <si>
    <t>1.50   1.60   1.38</t>
  </si>
  <si>
    <t>5-year                            2.58   2.49   2.55   2.51</t>
  </si>
  <si>
    <t>2.51   2.60   2.34</t>
  </si>
  <si>
    <t>7-year                            3.32   3.22   3.28   3.23</t>
  </si>
  <si>
    <t>3.24   3.32   3.07</t>
  </si>
  <si>
    <t>10-year                           3.85   3.74   3.80   3.76</t>
  </si>
  <si>
    <t>3.77   3.83   3.59</t>
  </si>
  <si>
    <t>20-year                           4.64   4.52   4.60   4.52</t>
  </si>
  <si>
    <t>4.55   4.60   4.40</t>
  </si>
  <si>
    <t>30-year                           4.74   4.62   4.71   4.63</t>
  </si>
  <si>
    <t>4.66   4.67   4.49</t>
  </si>
  <si>
    <t>Inflation indexed 13</t>
  </si>
  <si>
    <t>5-year                            0.46   0.34   0.42   0.39</t>
  </si>
  <si>
    <t>0.39   0.44   0.43</t>
  </si>
  <si>
    <t>7-year                            0.88   0.78   0.86   0.84</t>
  </si>
  <si>
    <t>0.83   0.92   0.86</t>
  </si>
  <si>
    <t>10-year                           1.47   1.35   1.43   1.40</t>
  </si>
  <si>
    <t>1.40   1.45   1.36</t>
  </si>
  <si>
    <t>20-year                           2.04   1.96   2.05   2.01</t>
  </si>
  <si>
    <t>2.01   2.01   1.99</t>
  </si>
  <si>
    <t>Inflation-indexed long-term average 14  2.02   1.94   2.03   1.99</t>
  </si>
  <si>
    <t>1.99   1.99   1.97</t>
  </si>
  <si>
    <t>Interest rate swaps 15</t>
  </si>
  <si>
    <t>1-year                                  0.53   0.51   0.53   0.52</t>
  </si>
  <si>
    <t>0.52   0.60   0.57</t>
  </si>
  <si>
    <t>2-year                                  1.20   1.18   1.19   1.18</t>
  </si>
  <si>
    <t>1.18   1.31   1.20</t>
  </si>
  <si>
    <t>3-year                                  1.87   1.82   1.82   1.83</t>
  </si>
  <si>
    <t>1.82   1.95   1.80</t>
  </si>
  <si>
    <t>4-year                                  2.41   2.35   2.36   2.36</t>
  </si>
  <si>
    <t>2.35   2.48   2.30</t>
  </si>
  <si>
    <t>5-year                                  2.84   2.78   2.77   2.77</t>
  </si>
  <si>
    <t>2.77   2.89   2.69</t>
  </si>
  <si>
    <t>7-year                                  3.41   3.35   3.34   3.36</t>
  </si>
  <si>
    <t>3.35   3.45   3.24</t>
  </si>
  <si>
    <t>10-year                                 3.91   3.83   3.82   3.85</t>
  </si>
  <si>
    <t>3.83   3.92   3.71</t>
  </si>
  <si>
    <t>30-year                                 4.56   4.50   4.49   4.53</t>
  </si>
  <si>
    <t>4.50   4.52   4.35</t>
  </si>
  <si>
    <t>Corporate bonds</t>
  </si>
  <si>
    <t>Moody's seasoned</t>
  </si>
  <si>
    <t>Aaa 16                               5.35   5.25   5.32   5.17</t>
  </si>
  <si>
    <t>5.24   5.30   5.26</t>
  </si>
  <si>
    <t>Baa                                  6.32   6.22   6.30   6.22</t>
  </si>
  <si>
    <t>6.25   6.34   6.37</t>
  </si>
  <si>
    <t>State &amp; local bonds 17                                          4.31</t>
  </si>
  <si>
    <t>4.31   4.31   4.21</t>
  </si>
  <si>
    <t>Conventional mortgages 18                                       5.06</t>
  </si>
  <si>
    <t>5.06   5.09   4.93</t>
  </si>
  <si>
    <t>n.a. Not available.</t>
  </si>
  <si>
    <t>http://www.federalreserve.gov/releases/h15/20100119/</t>
  </si>
  <si>
    <t>Yields in percent per annum                  January</t>
  </si>
  <si>
    <t>24, 2</t>
  </si>
  <si>
    <t>2011   2011   2011   Week Ending</t>
  </si>
  <si>
    <t>Instruments                 Jan</t>
  </si>
  <si>
    <t>Jan    Jan    Jan    Jan     Jan</t>
  </si>
  <si>
    <t>Dec</t>
  </si>
  <si>
    <t>17*</t>
  </si>
  <si>
    <t>19     20     21     21     14</t>
  </si>
  <si>
    <t>Federal funds (effective) 1 2 3            0.16</t>
  </si>
  <si>
    <t>0.18   0.18   0.17   0.17    0.17</t>
  </si>
  <si>
    <t>1-month</t>
  </si>
  <si>
    <t>0.20   0.20   0.19   0.20    0.19</t>
  </si>
  <si>
    <t>2-month</t>
  </si>
  <si>
    <t>0.25   0.22   0.23   0.23    0.22</t>
  </si>
  <si>
    <t>3-month</t>
  </si>
  <si>
    <t>0.21   n.a.   0.25   0.24    0.24</t>
  </si>
  <si>
    <t>0.21   0.21   0.19   0.21    0.20</t>
  </si>
  <si>
    <t>0.24   0.22   0.23   0.23    0.23</t>
  </si>
  <si>
    <t>0.27   0.25   0.25   0.26    0.26</t>
  </si>
  <si>
    <t>CDs (secondary market) 3 7</t>
  </si>
  <si>
    <t>0.25   0.25   0.25   0.25    0.25</t>
  </si>
  <si>
    <t>0.29   0.29   0.29   0.29    0.29</t>
  </si>
  <si>
    <t>6-month</t>
  </si>
  <si>
    <t>0.39   0.39   0.39   0.39    0.38</t>
  </si>
  <si>
    <t>Eurodollar deposits (London) 3 8</t>
  </si>
  <si>
    <t>1-month                                 0.32</t>
  </si>
  <si>
    <t>0.32   0.32   0.32   0.32    0.32</t>
  </si>
  <si>
    <t>3-month                                 0.39</t>
  </si>
  <si>
    <t>0.39   0.39   0.39   0.39    0.39</t>
  </si>
  <si>
    <t>6-month                                 0.55</t>
  </si>
  <si>
    <t>0.52   0.52   0.52   0.53    0.55</t>
  </si>
  <si>
    <t>Bank prime loan 2 3 9                      3.25</t>
  </si>
  <si>
    <t>3.25   3.25   3.25   3.25    3.25</t>
  </si>
  <si>
    <t>Discount window primary credit 2 10        0.75</t>
  </si>
  <si>
    <t>0.75   0.75   0.75   0.75    0.75</t>
  </si>
  <si>
    <t>4-week</t>
  </si>
  <si>
    <t>0.16   0.15   0.15   0.15    0.15</t>
  </si>
  <si>
    <t>0.16   0.16   0.16   0.16    0.15</t>
  </si>
  <si>
    <t>0.19   0.19   0.19   0.19    0.18</t>
  </si>
  <si>
    <t>1-year</t>
  </si>
  <si>
    <t>0.26   0.26   0.26   0.26    0.27</t>
  </si>
  <si>
    <t>Nominal 11</t>
  </si>
  <si>
    <t>0.27   0.27   0.27   0.27    0.27</t>
  </si>
  <si>
    <t>2-year</t>
  </si>
  <si>
    <t>0.60   0.65   0.63   0.62    0.60</t>
  </si>
  <si>
    <t>3-year</t>
  </si>
  <si>
    <t>0.98   1.07   1.05   1.03    1.01</t>
  </si>
  <si>
    <t>5-year</t>
  </si>
  <si>
    <t>1.95   2.06   2.04   2.01    1.96</t>
  </si>
  <si>
    <t>7-year</t>
  </si>
  <si>
    <t>2.69   2.81   2.77   2.74    2.67</t>
  </si>
  <si>
    <t>10-year</t>
  </si>
  <si>
    <t>3.37   3.47   3.44   3.42    3.36</t>
  </si>
  <si>
    <t>20-year</t>
  </si>
  <si>
    <t>4.27   4.36   4.33   4.32    4.26</t>
  </si>
  <si>
    <t>30-year</t>
  </si>
  <si>
    <t>4.53   4.60   4.57   4.57    4.50</t>
  </si>
  <si>
    <t>Inflation indexed 12</t>
  </si>
  <si>
    <t>0.01   0.16   0.12   0.08   -0.00</t>
  </si>
  <si>
    <t>0.57   0.74   0.71   0.65    0.55</t>
  </si>
  <si>
    <t>0.99   1.22   1.20   1.10    0.98</t>
  </si>
  <si>
    <t>1.64   1.80   1.79   1.72    1.63</t>
  </si>
  <si>
    <t>1.92   2.04   2.02   1.98    1.91</t>
  </si>
  <si>
    <t>Inflation-indexed long-term average 13</t>
  </si>
  <si>
    <t>1.68   1.80   1.79   1.74    1.67</t>
  </si>
  <si>
    <t>Interest rate swaps 14</t>
  </si>
  <si>
    <t>0.45   0.45   0.46   0.46    0.47</t>
  </si>
  <si>
    <t>0.80   0.84   0.85   0.83    0.83</t>
  </si>
  <si>
    <t>1.26   1.31   1.34   1.30    1.29</t>
  </si>
  <si>
    <t>4-year</t>
  </si>
  <si>
    <t>1.72   1.79   1.82   1.77    1.75</t>
  </si>
  <si>
    <t>2.16   2.23   2.26   2.21    2.17</t>
  </si>
  <si>
    <t>2.82   2.90   2.92   2.88    2.83</t>
  </si>
  <si>
    <t>3.42   3.49   3.51   3.47    3.41</t>
  </si>
  <si>
    <t>4.27   4.33   4.31   4.30    4.21</t>
  </si>
  <si>
    <t>Aaa 15</t>
  </si>
  <si>
    <t>5.02   5.12   5.07   5.07    5.01</t>
  </si>
  <si>
    <t>Baa</t>
  </si>
  <si>
    <t>6.07   6.17   6.12   6.12    6.07</t>
  </si>
  <si>
    <t>State &amp; local bonds 16</t>
  </si>
  <si>
    <t>5.41          5.41    5.39</t>
  </si>
  <si>
    <t>Conventional mortgages 17</t>
  </si>
  <si>
    <t>4.74          4.74    4.71</t>
  </si>
  <si>
    <t>* Markets closed.</t>
  </si>
  <si>
    <t xml:space="preserve">     n.a. Not available.</t>
  </si>
  <si>
    <t>http://www.federalreserve.gov/releases/h15/20110124/</t>
  </si>
  <si>
    <t>GAS</t>
  </si>
  <si>
    <t>Cost Elem.</t>
  </si>
  <si>
    <t>Document Header Text</t>
  </si>
  <si>
    <t>Aux. acct assignment_1</t>
  </si>
  <si>
    <t>Postg Date</t>
  </si>
  <si>
    <t>43100311</t>
  </si>
  <si>
    <t>INT ACCR CUST DEP JUN 07</t>
  </si>
  <si>
    <t>63400500</t>
  </si>
  <si>
    <t>Interest Expense</t>
  </si>
  <si>
    <t>Accr Int Exp Cust Dpt CLX</t>
  </si>
  <si>
    <t>Electric - Accrued Interest Customer Deposits</t>
  </si>
  <si>
    <t>CTR 1110</t>
  </si>
  <si>
    <t>Int Accr - Cust Deposit on CLX - 2/10</t>
  </si>
  <si>
    <t>Int Accr - Cust Deposit on CLX -3/10</t>
  </si>
  <si>
    <t>Int Accr - Cust Deposit on CLX-4/10</t>
  </si>
  <si>
    <t>Accr Int on Cust Dept CLX</t>
  </si>
  <si>
    <t>Int Accr - Cust Deposit on CLX - 5/10</t>
  </si>
  <si>
    <t>Accr Int on Cust Dpt- CLx</t>
  </si>
  <si>
    <t>Int Accr - Cust Deposit on CLX -6/10</t>
  </si>
  <si>
    <t>Accr Int on Cust Dpt- CLX</t>
  </si>
  <si>
    <t>Int Accr - Cust Deposit on CLX - 7/10</t>
  </si>
  <si>
    <t>Int Accr - Cust Deposit on CLX - 8/10</t>
  </si>
  <si>
    <t>Int Accr - Cust Deposit on CLX-9/10</t>
  </si>
  <si>
    <t>True-up Gas 23700822 to order 43100311</t>
  </si>
  <si>
    <t>True-Up 23700821 &amp; 822</t>
  </si>
  <si>
    <t>Int Accr - Gas Cust Deposit on CLX 10/10</t>
  </si>
  <si>
    <t>Accr Int on Cust Dpt-CLX</t>
  </si>
  <si>
    <t>Int Accr - Gas Cust Deposit on CLX 11/10</t>
  </si>
  <si>
    <t>Int Accr - Gas Cust Deposit on CLX 12/10</t>
  </si>
  <si>
    <t>true-up Gas 23700822 to order 43100311</t>
  </si>
  <si>
    <t>Gas - Accrued Interest Customer Deposits</t>
  </si>
  <si>
    <t xml:space="preserve">23500112   Customer Dpsts - Gas </t>
  </si>
  <si>
    <t>Cum. balance</t>
  </si>
  <si>
    <t>Annual Interest Rate</t>
  </si>
  <si>
    <t>Average Balance</t>
  </si>
  <si>
    <t>Difference in Therms</t>
  </si>
  <si>
    <t>Puget Sound Energy - Gas</t>
  </si>
  <si>
    <t>General Rate Case</t>
  </si>
  <si>
    <t>For the Twelve Months Ended December 31, 2010</t>
  </si>
  <si>
    <t>REVENUE REQUIREMENT</t>
  </si>
  <si>
    <t>UTC Docket UG-111049</t>
  </si>
  <si>
    <t>For the Twelve Months Ended June 30, 2010</t>
  </si>
  <si>
    <t>Twelve Months Ended December 31, 2010 vs. June 30, 2010</t>
  </si>
  <si>
    <t>PAGE 6.14</t>
  </si>
  <si>
    <t>Staff</t>
  </si>
  <si>
    <t>PAGE 6.12</t>
  </si>
  <si>
    <t>2011 GENERAL RATE CASE</t>
  </si>
  <si>
    <t>WUTC FILING FEE</t>
  </si>
  <si>
    <t>Puget Sound Energy, Inc.</t>
  </si>
  <si>
    <t>WUTC Annual Filing Fee</t>
  </si>
  <si>
    <t>For the Year To Date 2010</t>
  </si>
  <si>
    <t>ELECTRIC</t>
  </si>
  <si>
    <t>Operating Revenue</t>
  </si>
  <si>
    <t>Reclass:</t>
  </si>
  <si>
    <t>Electric Sales for Resale- Purchases</t>
  </si>
  <si>
    <t xml:space="preserve">Unbilled Revenue </t>
  </si>
  <si>
    <t>Unbilled Revenue Transportation</t>
  </si>
  <si>
    <t>Sales for Resale - Firm</t>
  </si>
  <si>
    <t>Sales to Other Utilities</t>
  </si>
  <si>
    <t>Gross Intrastate Operating Revenues</t>
  </si>
  <si>
    <t>Less Revenue &lt; $50,000</t>
  </si>
  <si>
    <t>Revenue &gt; $50,000</t>
  </si>
  <si>
    <t>Fee Rate of 0.20% on Revenue &gt; $50,000</t>
  </si>
  <si>
    <t>Fee on Revenue &gt; $50,000</t>
  </si>
  <si>
    <t>(A)</t>
  </si>
  <si>
    <t>Revenue &lt; $50,000</t>
  </si>
  <si>
    <t>Fee Rate of 0.1% on Revenue &lt; $50,000</t>
  </si>
  <si>
    <t>Fee on Revenue &lt; $50,000</t>
  </si>
  <si>
    <t>(B)</t>
  </si>
  <si>
    <t>WUTC Fee</t>
  </si>
  <si>
    <t>(A) + (B)</t>
  </si>
  <si>
    <t>WUTC Electric Utility Fee</t>
  </si>
  <si>
    <t>92800010</t>
  </si>
  <si>
    <t xml:space="preserve"> Accrue Wutc Electric Utility Fee</t>
  </si>
  <si>
    <t>63000100</t>
  </si>
  <si>
    <t>Regulatory Fees</t>
  </si>
  <si>
    <t>24200511</t>
  </si>
  <si>
    <t>Wash St Annual Filin</t>
  </si>
  <si>
    <t>WUTC GAS Utility Fee</t>
  </si>
  <si>
    <t>92800310</t>
  </si>
  <si>
    <t>Accrue Wutc Gas Utility Fee</t>
  </si>
  <si>
    <t xml:space="preserve">Total </t>
  </si>
  <si>
    <t>Document type</t>
  </si>
  <si>
    <t>Fiscal Year</t>
  </si>
  <si>
    <t>Var.val.in rep.cur.</t>
  </si>
  <si>
    <t>Reason for</t>
  </si>
  <si>
    <t>40810002- State Excise Taxes - Electric</t>
  </si>
  <si>
    <t>Electric</t>
  </si>
  <si>
    <t>Gas</t>
  </si>
  <si>
    <t>SA</t>
  </si>
  <si>
    <t>40810002</t>
  </si>
  <si>
    <t>2010</t>
  </si>
  <si>
    <t>State Excise Tax True-up - Electric</t>
  </si>
  <si>
    <t>Z4</t>
  </si>
  <si>
    <t>Accrue Utility Tax on Unbilled Electric Revenue</t>
  </si>
  <si>
    <t>State Excise Tax Accrual - Electric</t>
  </si>
  <si>
    <t>Rev Tax expense accrued on REC Sales for Feb-10</t>
  </si>
  <si>
    <t>Rev Tax expense accrued on REC Sales for Mar-10</t>
  </si>
  <si>
    <t>Order correction for JE10-5280</t>
  </si>
  <si>
    <t>State Excise Tax Refund - Electric</t>
  </si>
  <si>
    <t>Z3</t>
  </si>
  <si>
    <t>Account 40810302 State Excise Taxes - Gas</t>
  </si>
  <si>
    <t>40810302</t>
  </si>
  <si>
    <t>Accrue Utility Tax on Unbilled Gas Revenue</t>
  </si>
  <si>
    <t>State Excise Tax Accrual - Gas</t>
  </si>
  <si>
    <t>State Excise Tax True-up - Gas</t>
  </si>
  <si>
    <t>State Excise Tax Refund - Gas</t>
  </si>
  <si>
    <t>Account 40810602 State Excise Taxes - Common</t>
  </si>
  <si>
    <t>40810602</t>
  </si>
  <si>
    <t>Rev tax expense accrued on REC Sales for Jan-10</t>
  </si>
  <si>
    <t>State Excise Tax True-up - Common</t>
  </si>
  <si>
    <t>State Excise Tax Accrual - Common</t>
  </si>
  <si>
    <t>Accrue City B&amp;O Taxes</t>
  </si>
  <si>
    <t>KC</t>
  </si>
  <si>
    <t>Rev Tax expense accrued on REC Sales for Apr-10</t>
  </si>
  <si>
    <t>Reverse tax on REC sales for May 2010</t>
  </si>
  <si>
    <t>Record Bellingham tax refund for Encogen audit</t>
  </si>
  <si>
    <t>[1]</t>
  </si>
  <si>
    <t>State Excise Tax True-up Common</t>
  </si>
  <si>
    <t>[1] Remove audit assessments / refunds applicable to prior periods.</t>
  </si>
  <si>
    <t>(2) Remove Tax State Refund for the Years 2004 to 2008</t>
  </si>
  <si>
    <t>(3) Remove True-up for 2009</t>
  </si>
  <si>
    <t>PAGE 3.01</t>
  </si>
  <si>
    <t>PUGET SOUND ENERGY</t>
  </si>
  <si>
    <t>For TheTwelve Months Ended June 30, 2010 and December 31, 2010</t>
  </si>
  <si>
    <t>Actual Results of Operation</t>
  </si>
  <si>
    <t>Total Gas</t>
  </si>
  <si>
    <t>1 - OPERATING REVENUES:</t>
  </si>
  <si>
    <t>2 - SALES TO CUSTOMERS</t>
  </si>
  <si>
    <t>3 - MUNICIPAL ADDITIONS</t>
  </si>
  <si>
    <t>4 - OTHER OPERATING REVENUES</t>
  </si>
  <si>
    <t>5 - TOTAL OPERATING REVENUES</t>
  </si>
  <si>
    <t>8 - OPERATING REVENUE DEDUCTIONS:</t>
  </si>
  <si>
    <t>10 - GAS COSTS:</t>
  </si>
  <si>
    <t>12 - PURCHASED GAS</t>
  </si>
  <si>
    <t>14 - TOTAL PRODUCTION EXPENSES</t>
  </si>
  <si>
    <t>16 - OTHER ENERGY SUPPLY EXPENSES:</t>
  </si>
  <si>
    <t>17 - TRANSMISSION EXPENSE</t>
  </si>
  <si>
    <t>18 - DISTRIBUTION EXPENSE</t>
  </si>
  <si>
    <t>19 - CUSTOMER ACCOUNT EXPENSES</t>
  </si>
  <si>
    <t>20 - CUSTOMER SERVICE EXPENSES</t>
  </si>
  <si>
    <t>21 - CONSERVATION AMORTIZATION</t>
  </si>
  <si>
    <t>22 - ADMIN &amp; GENERAL EXPENSE</t>
  </si>
  <si>
    <t>23 - DEPRECIATION</t>
  </si>
  <si>
    <t>24 - AMORTIZATION</t>
  </si>
  <si>
    <t>25 - AMORTIZATION OF PROPERTY LOSS</t>
  </si>
  <si>
    <t>26 - OTHER OPERATING EXPENSES</t>
  </si>
  <si>
    <t>28 - TAXES OTHER THAN F.I.T.</t>
  </si>
  <si>
    <t>29 - FEDERAL INCOME TAXES</t>
  </si>
  <si>
    <t>30 - DEFERRED INCOME TAXES</t>
  </si>
  <si>
    <t>31 - TOTAL OPERATING REV. DEDUCT.</t>
  </si>
  <si>
    <t>33 - NET OPERATING INCOME</t>
  </si>
  <si>
    <t xml:space="preserve">35 - RATE BASE </t>
  </si>
  <si>
    <t>38 - RATE OF RETURN</t>
  </si>
  <si>
    <t>Page 6.09</t>
  </si>
  <si>
    <t>BAD DEBTS - GAS</t>
  </si>
  <si>
    <t>PERCENT</t>
  </si>
  <si>
    <t>WRITEOFF'S</t>
  </si>
  <si>
    <t>YEAR</t>
  </si>
  <si>
    <t>TO REVENUE</t>
  </si>
  <si>
    <t>December</t>
  </si>
  <si>
    <t>August</t>
  </si>
  <si>
    <t>12 ME 12/31/2007</t>
  </si>
  <si>
    <t>12 ME 12/31/2008</t>
  </si>
  <si>
    <t>12 ME 12/31/2009</t>
  </si>
  <si>
    <t>'3-Yr Average of</t>
  </si>
  <si>
    <t xml:space="preserve"> Net Write Off Rate</t>
  </si>
  <si>
    <t>Reporting Period Revenues</t>
  </si>
  <si>
    <t>INCREASE(DECREASE ) IN INCOME</t>
  </si>
  <si>
    <t>PUGET SOUND ENERGY - GAS</t>
  </si>
  <si>
    <t>BAD DEBT</t>
  </si>
  <si>
    <t>FOR THE 3-Yr Average</t>
  </si>
  <si>
    <t>(a)</t>
  </si>
  <si>
    <t>(b)</t>
  </si>
  <si>
    <t>(c)</t>
  </si>
  <si>
    <t xml:space="preserve">(d) = (b) - (c) </t>
  </si>
  <si>
    <t>(e) = (a) / (d)</t>
  </si>
  <si>
    <t>3-Yr Average</t>
  </si>
  <si>
    <t>12 ME 12/31/2006</t>
  </si>
  <si>
    <t>*</t>
  </si>
  <si>
    <t>12 ME 12/31/2010</t>
  </si>
  <si>
    <t>*Agreed to drop the highest and lowest of % writeoff's to revenue per Docket UE-040641</t>
  </si>
  <si>
    <t>Puget Sound Energy / Net Write-Offs</t>
  </si>
  <si>
    <t>Cost Element: rpt_pse: order group 904; transaction code:  ZRW_ZO12</t>
  </si>
  <si>
    <t>12ME December 2010</t>
  </si>
  <si>
    <t>Cost elements</t>
  </si>
  <si>
    <t>Act. Costs</t>
  </si>
  <si>
    <t xml:space="preserve">90400002  3180- Uncollectible Accts- Accrual- Elec </t>
  </si>
  <si>
    <t>*   Electric Uncollectible Accounts</t>
  </si>
  <si>
    <t xml:space="preserve">90400302  3180 -Uncollectible Accts- Accrual- Gas </t>
  </si>
  <si>
    <t>*   Gas Uncollectible Accounts</t>
  </si>
  <si>
    <t>**  Debit</t>
  </si>
  <si>
    <t>*** Over/underabsorption</t>
  </si>
  <si>
    <t>Net write-off for 12ME December 2010:</t>
  </si>
  <si>
    <t>Gas Uncollectible Acc</t>
  </si>
  <si>
    <t>Plus change in 14400032</t>
  </si>
  <si>
    <t>12ME December 2009</t>
  </si>
  <si>
    <t>Net write-off for 12ME December 2009:</t>
  </si>
  <si>
    <t>12ME December 2006</t>
  </si>
  <si>
    <t>12ME December 2008</t>
  </si>
  <si>
    <t>Net write-off for 12ME December 2008:</t>
  </si>
  <si>
    <t xml:space="preserve">Plus change in 14400032 </t>
  </si>
  <si>
    <t>12ME December 2007</t>
  </si>
  <si>
    <t>Net write-off for 12ME December 2007:</t>
  </si>
  <si>
    <t>Net write-off for 12ME December 2006:</t>
  </si>
  <si>
    <t>Download from SAP</t>
  </si>
  <si>
    <t>Puget Sound Energy / Change In BS Accounts</t>
  </si>
  <si>
    <t>Account 14400032 change in balance:</t>
  </si>
  <si>
    <t>12ME 12.31.10</t>
  </si>
  <si>
    <t>12ME 12.31.09</t>
  </si>
  <si>
    <t>12ME 12.31.08</t>
  </si>
  <si>
    <t>12ME 12.31.07</t>
  </si>
  <si>
    <t>12ME 12.31.06</t>
  </si>
  <si>
    <t>Docket Numbers___UG-11</t>
  </si>
  <si>
    <t>Exhibit No. ______ (MJS-03)</t>
  </si>
  <si>
    <t>NATURAL GAS INCOME STATEMENT</t>
  </si>
  <si>
    <t>WUTC Docket No. UG-101644</t>
  </si>
  <si>
    <t>c.</t>
  </si>
  <si>
    <t>b.</t>
  </si>
  <si>
    <t>a.</t>
  </si>
  <si>
    <t>28 - ASC 815</t>
  </si>
  <si>
    <t>Gas revenue subject to bad debt expense (sum of c)</t>
  </si>
  <si>
    <t>Layout                    </t>
  </si>
  <si>
    <t>Order                     49300302     Water Htr - B&amp;O Tax - Gas</t>
  </si>
  <si>
    <t>Report currency           USD          US Dollar</t>
  </si>
  <si>
    <t>49300302</t>
  </si>
  <si>
    <t>49300132</t>
  </si>
  <si>
    <t>Gas-Water Htr B&amp;O Tx</t>
  </si>
  <si>
    <t>44000001</t>
  </si>
  <si>
    <t>18400983</t>
  </si>
  <si>
    <t>Note:  Portion of I/S Line 2 "Muni taxes" applicable to other operating revenues, which is not subject</t>
  </si>
  <si>
    <t>to bad debt expense. We are subtracting this amount by including it in "Other Operating Revenue"</t>
  </si>
  <si>
    <t>SUMMARY OF GAS OPERATING REVENUE &amp; THERM SALES</t>
  </si>
  <si>
    <t>TWELVE MONTHS ENDED AUGUST 31, 2010</t>
  </si>
  <si>
    <t>INCREASE (DECREASE)</t>
  </si>
  <si>
    <t>VARIANCE FROM BUDGET</t>
  </si>
  <si>
    <t>VARIANCE FROM 2009</t>
  </si>
  <si>
    <t>REVENUE PER THERM</t>
  </si>
  <si>
    <t>BUDGET</t>
  </si>
  <si>
    <t>%</t>
  </si>
  <si>
    <t>SALE OF GAS - REVENUE</t>
  </si>
  <si>
    <t>Firm Sales Revenue</t>
  </si>
  <si>
    <t>Residential firm</t>
  </si>
  <si>
    <t>Commercial firm</t>
  </si>
  <si>
    <t>Industrial firm</t>
  </si>
  <si>
    <t xml:space="preserve">  Total firm</t>
  </si>
  <si>
    <t>Interruptible Sales Revenue</t>
  </si>
  <si>
    <t>Commercial interruptible</t>
  </si>
  <si>
    <t>Industrial interruptible</t>
  </si>
  <si>
    <t xml:space="preserve">  Total interruptible</t>
  </si>
  <si>
    <t xml:space="preserve">      Total gas sales revenue</t>
  </si>
  <si>
    <t>Transportation Revenue</t>
  </si>
  <si>
    <t>Commercial transportation</t>
  </si>
  <si>
    <t>Industrial transportation</t>
  </si>
  <si>
    <t xml:space="preserve">  Total transportation</t>
  </si>
  <si>
    <t xml:space="preserve">      Total gas revenue</t>
  </si>
  <si>
    <t>Other Operating Revenues</t>
  </si>
  <si>
    <t xml:space="preserve">    Total operating revenues</t>
  </si>
  <si>
    <t>SCH. 120 (Cons. Tracker Rev) in above</t>
  </si>
  <si>
    <t>Low Income Surcharge included in above</t>
  </si>
  <si>
    <t>SCH. 132 (Merger Rate Credit) in above</t>
  </si>
  <si>
    <t>SALE OF GAS - THERMS</t>
  </si>
  <si>
    <t>Firm Sales Therms</t>
  </si>
  <si>
    <t>Interruptible Sales Therms</t>
  </si>
  <si>
    <t xml:space="preserve">    Total gas sales - therms</t>
  </si>
  <si>
    <t>Transportation Therms</t>
  </si>
  <si>
    <t xml:space="preserve">    Total therms</t>
  </si>
  <si>
    <t>*** First Non-Printing Line ***</t>
  </si>
  <si>
    <t>TWELVE MONTHS ENDED AUGUST 31, 2009</t>
  </si>
  <si>
    <t>VARIANCE FROM 2008</t>
  </si>
  <si>
    <t>TWELVE MONTHS ENDED AUGUST 31, 2008</t>
  </si>
  <si>
    <t>VARIANCE FROM 2007</t>
  </si>
  <si>
    <t xml:space="preserve">  Total transportation </t>
  </si>
  <si>
    <t>TWELVE MONTHS ENDED AUGUST 31, 2007</t>
  </si>
  <si>
    <t>VARIANCE FROM 2006</t>
  </si>
  <si>
    <t>TWELVE MONTHS ENDED AUGUST 31, 2006</t>
  </si>
  <si>
    <t>VARIANCE FROM 2005</t>
  </si>
  <si>
    <t>PUGET SOUND ENERGY-ELECTRIC &amp; GAS</t>
  </si>
  <si>
    <t>ALLOCATION METHODS</t>
  </si>
  <si>
    <t>Method</t>
  </si>
  <si>
    <t>12 Month Average Number of Customers</t>
  </si>
  <si>
    <t>updated</t>
  </si>
  <si>
    <t>Joint Meter Reading Customers</t>
  </si>
  <si>
    <t>Non-Production Plant</t>
  </si>
  <si>
    <t xml:space="preserve"> Distribution</t>
  </si>
  <si>
    <t xml:space="preserve"> Transmission </t>
  </si>
  <si>
    <t xml:space="preserve"> Direct General Plant</t>
  </si>
  <si>
    <t>4-Factor Allocator</t>
  </si>
  <si>
    <t xml:space="preserve">  </t>
  </si>
  <si>
    <t xml:space="preserve">     Number of Customers</t>
  </si>
  <si>
    <t xml:space="preserve">     Percent</t>
  </si>
  <si>
    <t xml:space="preserve">     Labor - Direct Charge to O&amp;M</t>
  </si>
  <si>
    <t xml:space="preserve">     T&amp;D O&amp;M Expense (Less Labor)</t>
  </si>
  <si>
    <t xml:space="preserve">     Net Classified Plant (Excluding General (Common) Plant)</t>
  </si>
  <si>
    <t>Total Percentages</t>
  </si>
  <si>
    <t>Employee Benefits</t>
  </si>
  <si>
    <t>Direct Labor Accts 500-935</t>
  </si>
  <si>
    <t>COUNTY</t>
  </si>
  <si>
    <t>ROUTE</t>
  </si>
  <si>
    <t>ELEC_TOTAL</t>
  </si>
  <si>
    <t>GAS_TOTAL</t>
  </si>
  <si>
    <t>KING</t>
  </si>
  <si>
    <t>KITITAS</t>
  </si>
  <si>
    <t>PIERCE</t>
  </si>
  <si>
    <t>SNOHOMISH</t>
  </si>
  <si>
    <t>THURSTON</t>
  </si>
  <si>
    <t>GRAND TOTAL</t>
  </si>
  <si>
    <t>Account</t>
  </si>
  <si>
    <t>Account Description</t>
  </si>
  <si>
    <t>Elec Rate Base Line No.</t>
  </si>
  <si>
    <t>Used In Allocator</t>
  </si>
  <si>
    <t>Electric - Plant in Service - PP</t>
  </si>
  <si>
    <t>ARO-Electric Colstrip 1 &amp; 2 ash pond ca</t>
  </si>
  <si>
    <t>ARO-Electric Colstrip 3 &amp; 4 ash pond ca</t>
  </si>
  <si>
    <t>ARO-Hopkins Ridge</t>
  </si>
  <si>
    <t>ARO - Transmission Wood Poles</t>
  </si>
  <si>
    <t>ARO - Distribution Wood Poles</t>
  </si>
  <si>
    <t>ARO - Contaminated Oil &amp; Related Equipment</t>
  </si>
  <si>
    <t>ARO - Asbestos Electric</t>
  </si>
  <si>
    <t>23001101</t>
  </si>
  <si>
    <t>ARO - Asbestos - Electric to Short Term</t>
  </si>
  <si>
    <t>ARO - Electric Shuffelton Harbor Lease to</t>
  </si>
  <si>
    <t>ARO - Frederickson</t>
  </si>
  <si>
    <t>ARO-Wild Horse Wind</t>
  </si>
  <si>
    <t>ARO - Transmission Wood Poles to Short Term</t>
  </si>
  <si>
    <t>ARO - Distribution Wood Poles Short Term</t>
  </si>
  <si>
    <t>ARO - Contaminated Oil &amp; Related Equipment To Short</t>
  </si>
  <si>
    <t>ARO - Electric Short Term</t>
  </si>
  <si>
    <t>Accum Depreciation Non-legal Cost of Removal</t>
  </si>
  <si>
    <t>Contra Accum Depreciation Non-legal Cost of Remova</t>
  </si>
  <si>
    <t>Elec-Accum Depreciation -PP</t>
  </si>
  <si>
    <t>17</t>
  </si>
  <si>
    <t>Elec-RWIP-CED3 C.O.R./Salvage-PP</t>
  </si>
  <si>
    <t>Electric-Accum Amortization - PP</t>
  </si>
  <si>
    <t>Gas - Plant in Service - PP</t>
  </si>
  <si>
    <t>Gas Rental Equip Pipe &amp; Vent UE-001315</t>
  </si>
  <si>
    <t>Gas Rental Equip Pipe &amp; Vent Amortize U</t>
  </si>
  <si>
    <t>ARO - Gas Mains</t>
  </si>
  <si>
    <t>ARO-Gas Bare Steel Pipe Removal</t>
  </si>
  <si>
    <t>ARO - Gas Bare Steel Pipe Removal to Short</t>
  </si>
  <si>
    <t>ARO-Steel Wrapped Services</t>
  </si>
  <si>
    <t>ARO-Steel Wrapped Services - Gas ST</t>
  </si>
  <si>
    <t>ARO - Gas Short Term</t>
  </si>
  <si>
    <t>GAS-Accum Depreciation -PP</t>
  </si>
  <si>
    <t xml:space="preserve">Gas-RWIP-RET1 C.O.R./Salvage PP    </t>
  </si>
  <si>
    <t>GAS-Accum Amortization - PP</t>
  </si>
  <si>
    <t>Total Gas and Electric</t>
  </si>
  <si>
    <t>ACTUAL RESULTS OF OPERATIONS</t>
  </si>
  <si>
    <t>FOR THE 12 MONTH ENDED DECEMBER 31, 2010</t>
  </si>
  <si>
    <t>Electric Direct</t>
  </si>
  <si>
    <t>Gas Direct</t>
  </si>
  <si>
    <t>Common</t>
  </si>
  <si>
    <t>Allocated Electric Common</t>
  </si>
  <si>
    <t>Allocated Gas Common</t>
  </si>
  <si>
    <t>Total Electric</t>
  </si>
  <si>
    <r>
      <t xml:space="preserve">1 - </t>
    </r>
    <r>
      <rPr>
        <b/>
        <sz val="10"/>
        <rFont val="Swiss721 SWM"/>
        <family val="2"/>
      </rPr>
      <t>OPERATING REVENUES:</t>
    </r>
  </si>
  <si>
    <t>2 - SALES TO CUSTOMERS AND TRANSMISSION</t>
  </si>
  <si>
    <t>3 - SALES FOR RESALE-FIRM</t>
  </si>
  <si>
    <t>4 - SALES TO OTHER UTILITIES</t>
  </si>
  <si>
    <t>5 - OTHER OPERATING REVENUES</t>
  </si>
  <si>
    <t>6 - TOTAL OPERATING REVENUES</t>
  </si>
  <si>
    <r>
      <t xml:space="preserve">8 - </t>
    </r>
    <r>
      <rPr>
        <b/>
        <sz val="10"/>
        <color indexed="8"/>
        <rFont val="Swiss721 SWM"/>
        <family val="2"/>
      </rPr>
      <t>OPERATING REVENUE DEDUCTIONS:</t>
    </r>
  </si>
  <si>
    <t xml:space="preserve">9 </t>
  </si>
  <si>
    <r>
      <t xml:space="preserve">10 </t>
    </r>
    <r>
      <rPr>
        <b/>
        <sz val="10"/>
        <color indexed="8"/>
        <rFont val="Swiss721 SWM"/>
        <family val="2"/>
      </rPr>
      <t>- POWER / GAS COST:</t>
    </r>
  </si>
  <si>
    <t>11 - FUEL</t>
  </si>
  <si>
    <t>12 - PURCHASED AND INTERCHANGED</t>
  </si>
  <si>
    <t>13 - WHEELING</t>
  </si>
  <si>
    <t>14 - RESIDENTIAL EXCHANGE</t>
  </si>
  <si>
    <t>15 - TOTAL PRODUCTION EXPENSES</t>
  </si>
  <si>
    <t>17 - OTHER ENERGY SUPPLY EXPENSES</t>
  </si>
  <si>
    <t>18 - TRANSMISSION EXPENSE</t>
  </si>
  <si>
    <t>19 - DISTRIBUTION EXPENSE</t>
  </si>
  <si>
    <t>20 - CUSTOMER ACCTS EXPENSES</t>
  </si>
  <si>
    <t>21 - CUSTOMER SERVICE EXPENSES</t>
  </si>
  <si>
    <t>22 - CONSERVATION AMORTIZATION</t>
  </si>
  <si>
    <t>23 - ADMIN &amp; GENERAL EXPENSE</t>
  </si>
  <si>
    <t>24 - DEPRECIATION</t>
  </si>
  <si>
    <t>25 - AMORTIZATION</t>
  </si>
  <si>
    <t>26 - AMORTIZ OF PROPERTY LOSS</t>
  </si>
  <si>
    <t>27 - OTHER OPERATING EXPENSES</t>
  </si>
  <si>
    <t>28 - FAS 133</t>
  </si>
  <si>
    <t>29 - TAXES OTHER THAN INCOME TAXES</t>
  </si>
  <si>
    <t>30 -  INCOME TAXES</t>
  </si>
  <si>
    <t>31 - DEFERRED INCOME TAXES</t>
  </si>
  <si>
    <t>32 - TOTAL OPERATING REV. DEDUCT.</t>
  </si>
  <si>
    <t>33</t>
  </si>
  <si>
    <r>
      <t xml:space="preserve">34 - </t>
    </r>
    <r>
      <rPr>
        <b/>
        <sz val="10"/>
        <color indexed="8"/>
        <rFont val="Swiss721 SWM"/>
        <family val="2"/>
      </rPr>
      <t>NET OPERATING INCOME</t>
    </r>
  </si>
  <si>
    <t>Transmission &amp; Distribution, Labor</t>
  </si>
  <si>
    <t>Transmission &amp; Distribution Total</t>
  </si>
  <si>
    <t>Transmission &amp; Distribution, excluding Labor</t>
  </si>
  <si>
    <t>FERC FORM 2 Pages 354 - 355</t>
  </si>
  <si>
    <t>Distribution of Wages &amp; Salaries</t>
  </si>
  <si>
    <t>Electric Production, Transmission &amp; Distribution</t>
  </si>
  <si>
    <r>
      <t>å</t>
    </r>
    <r>
      <rPr>
        <sz val="10"/>
        <rFont val="Arial"/>
        <family val="2"/>
      </rPr>
      <t xml:space="preserve">A + </t>
    </r>
    <r>
      <rPr>
        <sz val="9"/>
        <rFont val="Symbol"/>
        <family val="1"/>
        <charset val="2"/>
      </rPr>
      <t>å</t>
    </r>
    <r>
      <rPr>
        <sz val="10"/>
        <rFont val="Arial"/>
        <family val="2"/>
      </rPr>
      <t>B</t>
    </r>
  </si>
  <si>
    <t>Gas Production, Transmission &amp; Distribution</t>
  </si>
  <si>
    <r>
      <t>å</t>
    </r>
    <r>
      <rPr>
        <sz val="10"/>
        <rFont val="Arial"/>
        <family val="2"/>
      </rPr>
      <t xml:space="preserve">C + </t>
    </r>
    <r>
      <rPr>
        <sz val="9"/>
        <rFont val="Symbol"/>
        <family val="1"/>
        <charset val="2"/>
      </rPr>
      <t>å</t>
    </r>
    <r>
      <rPr>
        <sz val="10"/>
        <rFont val="Arial"/>
        <family val="2"/>
      </rPr>
      <t>D</t>
    </r>
  </si>
  <si>
    <t>4 Factor Allocator</t>
  </si>
  <si>
    <t>Electric Transmission &amp; Distribution</t>
  </si>
  <si>
    <r>
      <t>å</t>
    </r>
    <r>
      <rPr>
        <sz val="10"/>
        <rFont val="Arial"/>
        <family val="2"/>
      </rPr>
      <t>B</t>
    </r>
  </si>
  <si>
    <t>Gas Transmission &amp; Distribution</t>
  </si>
  <si>
    <r>
      <t>å</t>
    </r>
    <r>
      <rPr>
        <sz val="10"/>
        <rFont val="Arial"/>
        <family val="2"/>
      </rPr>
      <t>D</t>
    </r>
  </si>
  <si>
    <t>O&amp;M</t>
  </si>
  <si>
    <t>Capital</t>
  </si>
  <si>
    <t>Non-Utility</t>
  </si>
  <si>
    <t>Direct Labor Split % (from annual GL direct labor analysis)</t>
  </si>
  <si>
    <t>Col-1</t>
  </si>
  <si>
    <t>Col-2</t>
  </si>
  <si>
    <t>Col-3</t>
  </si>
  <si>
    <t>Col-4</t>
  </si>
  <si>
    <t>Col-5</t>
  </si>
  <si>
    <t>Col-6</t>
  </si>
  <si>
    <t>Col-7</t>
  </si>
  <si>
    <t>Col-8</t>
  </si>
  <si>
    <t>Col-9</t>
  </si>
  <si>
    <t>Col-10</t>
  </si>
  <si>
    <t>Col-11</t>
  </si>
  <si>
    <t>Line No.</t>
  </si>
  <si>
    <t>CODE</t>
  </si>
  <si>
    <t>Raw Data (Direct Labor Charges)</t>
  </si>
  <si>
    <t xml:space="preserve">Allocate R.Clearing Accts. </t>
  </si>
  <si>
    <t>Subtotal: RAW + R.Clearing (Col-1 + Col-2)</t>
  </si>
  <si>
    <t>Allocate Construction Support</t>
  </si>
  <si>
    <t>Subtotal: RAW + R.Clearing + Construction Support
(Col-3 + Col4)</t>
  </si>
  <si>
    <t>Allocate Common O&amp;M (Based on 4 factor allocator)</t>
  </si>
  <si>
    <t>Subtotal: RAW + R.Clearing + Construction Support+Common
(Col-5 + Col6)</t>
  </si>
  <si>
    <t>Allocate PTO (Based on DL Split)</t>
  </si>
  <si>
    <t>Total
(d)
(Col-7 + Col8)</t>
  </si>
  <si>
    <t>Col-9 % to Total</t>
  </si>
  <si>
    <t>Col-9 Electric/Gas % to Total O&amp;M</t>
  </si>
  <si>
    <t>Operation</t>
  </si>
  <si>
    <t xml:space="preserve"> Production</t>
  </si>
  <si>
    <t>3E</t>
  </si>
  <si>
    <t xml:space="preserve"> Transmission</t>
  </si>
  <si>
    <t>4E</t>
  </si>
  <si>
    <t>5E</t>
  </si>
  <si>
    <t xml:space="preserve"> Customer Accounts</t>
  </si>
  <si>
    <t>6E</t>
  </si>
  <si>
    <t xml:space="preserve"> Customer Service &amp; Informational</t>
  </si>
  <si>
    <t>7E</t>
  </si>
  <si>
    <t xml:space="preserve"> Sales</t>
  </si>
  <si>
    <t>8E</t>
  </si>
  <si>
    <t xml:space="preserve"> Administrative &amp; General</t>
  </si>
  <si>
    <t>9E</t>
  </si>
  <si>
    <t xml:space="preserve">  TOTAL Operation (Total of lines 3 thru 9)</t>
  </si>
  <si>
    <t>Maintenance</t>
  </si>
  <si>
    <t>12E</t>
  </si>
  <si>
    <t>13E</t>
  </si>
  <si>
    <t>14E</t>
  </si>
  <si>
    <t>15E</t>
  </si>
  <si>
    <t xml:space="preserve">  TOTAL Operation (Total of lines 12 thru 15)</t>
  </si>
  <si>
    <t>Total Operations &amp; Maintenance</t>
  </si>
  <si>
    <t xml:space="preserve"> Production (Total of lines 3 &amp; 12)</t>
  </si>
  <si>
    <t xml:space="preserve"> Transmission (Total of lines 4 &amp;13)</t>
  </si>
  <si>
    <t xml:space="preserve"> Distribution (Total of lines 5 &amp; 14)</t>
  </si>
  <si>
    <t xml:space="preserve"> Customer Accounts (Line 6)</t>
  </si>
  <si>
    <t xml:space="preserve"> Customer Service &amp; Informational (Line 7)</t>
  </si>
  <si>
    <t xml:space="preserve"> Sales (Line 8)</t>
  </si>
  <si>
    <t xml:space="preserve"> Administrative &amp; General (Total of Lines 9 &amp; 15)</t>
  </si>
  <si>
    <t xml:space="preserve">  Total Oper. &amp; Maint (Total of lines 18 thru 24)</t>
  </si>
  <si>
    <t xml:space="preserve"> Production - Manufactured Gas</t>
  </si>
  <si>
    <t>28G</t>
  </si>
  <si>
    <t xml:space="preserve"> Production - Natural Gas (Inc Exploration &amp; Development)</t>
  </si>
  <si>
    <t xml:space="preserve"> Other Gas Supply</t>
  </si>
  <si>
    <t>30G</t>
  </si>
  <si>
    <t xml:space="preserve"> Storage, LNG Terminaling &amp; Processing</t>
  </si>
  <si>
    <t>31G</t>
  </si>
  <si>
    <t>32G</t>
  </si>
  <si>
    <t>33G</t>
  </si>
  <si>
    <t>34G</t>
  </si>
  <si>
    <t>35G</t>
  </si>
  <si>
    <t>36G</t>
  </si>
  <si>
    <t>37G</t>
  </si>
  <si>
    <t xml:space="preserve">  TOTAL Operation (Total of lines 28 thru 37)</t>
  </si>
  <si>
    <t>40G</t>
  </si>
  <si>
    <t xml:space="preserve">43G   </t>
  </si>
  <si>
    <t>44G</t>
  </si>
  <si>
    <t>45G</t>
  </si>
  <si>
    <t>46G</t>
  </si>
  <si>
    <t xml:space="preserve">  TOTAL Operation (Total of lines 40 thru 46)</t>
  </si>
  <si>
    <t>Gas (Continued)</t>
  </si>
  <si>
    <t xml:space="preserve"> Production - Manufactured Gas (Total of lines 28 &amp; 40)</t>
  </si>
  <si>
    <t xml:space="preserve"> Production - Natural Gas (Inc Expl &amp; Dev) (lines 29 &amp; 41)</t>
  </si>
  <si>
    <t xml:space="preserve"> Other Gas Supply (Total of lines 30 &amp; 42)</t>
  </si>
  <si>
    <t xml:space="preserve"> Storage, LNG Terminaling &amp; Processing (Total of lines 31 &amp; 43</t>
  </si>
  <si>
    <t xml:space="preserve"> Transmission (Total of lines 32 &amp;44)</t>
  </si>
  <si>
    <t xml:space="preserve"> Distribution (Total of lines 33 &amp; 45)</t>
  </si>
  <si>
    <t xml:space="preserve"> Customer Accounts (Total of line 34)</t>
  </si>
  <si>
    <t xml:space="preserve"> Customer Service &amp; Informational (total of line 35)</t>
  </si>
  <si>
    <t xml:space="preserve"> Sales (Total of line 36)</t>
  </si>
  <si>
    <t>59a</t>
  </si>
  <si>
    <t xml:space="preserve"> Administrative &amp; General (Total of Lines 37 &amp; 46)</t>
  </si>
  <si>
    <t>59b</t>
  </si>
  <si>
    <t xml:space="preserve">  Total Oper. &amp; Maint (Total of lines 49 thru 59)</t>
  </si>
  <si>
    <t>60</t>
  </si>
  <si>
    <t xml:space="preserve">  Other Utility Departments</t>
  </si>
  <si>
    <t>61</t>
  </si>
  <si>
    <t>Operations &amp; Maintenance</t>
  </si>
  <si>
    <t xml:space="preserve">  TOTAL ALL Utility Dept. (Total of lines 25, 59b and 61)</t>
  </si>
  <si>
    <t>UTILITY PLANT</t>
  </si>
  <si>
    <t>Construction (By Utility Departments)</t>
  </si>
  <si>
    <t xml:space="preserve"> Electric Plant</t>
  </si>
  <si>
    <t>65E</t>
  </si>
  <si>
    <t xml:space="preserve"> Gas Plant</t>
  </si>
  <si>
    <t>66G</t>
  </si>
  <si>
    <t xml:space="preserve"> Common Plant</t>
  </si>
  <si>
    <t>67C</t>
  </si>
  <si>
    <t xml:space="preserve">  TOTAL Construction (Total of lines 65 thru 67)</t>
  </si>
  <si>
    <t>Plant Removal (By Utility Departments)</t>
  </si>
  <si>
    <t>70E</t>
  </si>
  <si>
    <t>71G</t>
  </si>
  <si>
    <t>72C</t>
  </si>
  <si>
    <t xml:space="preserve">  TOTAL Plant Removal (Total of lines 70 thru 72)</t>
  </si>
  <si>
    <t>Other Accounts (Specify):</t>
  </si>
  <si>
    <t>121 Non Utility Property</t>
  </si>
  <si>
    <t>74.01T</t>
  </si>
  <si>
    <t>163 Stores Exp.</t>
  </si>
  <si>
    <t>74.02T</t>
  </si>
  <si>
    <t>182 Regulatory Asset</t>
  </si>
  <si>
    <t>74.03T</t>
  </si>
  <si>
    <t>185 Temporary Facilities</t>
  </si>
  <si>
    <t>74.04</t>
  </si>
  <si>
    <t>186 Misc. Deferred Debits</t>
  </si>
  <si>
    <t>74.05</t>
  </si>
  <si>
    <t>Misc 400 Accounts</t>
  </si>
  <si>
    <t>74.06</t>
  </si>
  <si>
    <t>143 Accts Receivable Misc.</t>
  </si>
  <si>
    <t>74.07</t>
  </si>
  <si>
    <t xml:space="preserve">Misc 200 Accounts </t>
  </si>
  <si>
    <t>74M2</t>
  </si>
  <si>
    <t>74.09</t>
  </si>
  <si>
    <t>Jackson Prairie Joint Venture  - Capital - PSE Share</t>
  </si>
  <si>
    <t>74JPC</t>
  </si>
  <si>
    <t>74.10</t>
  </si>
  <si>
    <t>Jackson Prairie Joint Venture  - Expense - PSE Share</t>
  </si>
  <si>
    <t>74JPE</t>
  </si>
  <si>
    <t>75</t>
  </si>
  <si>
    <t>TOTAL Other Accounts</t>
  </si>
  <si>
    <t>76</t>
  </si>
  <si>
    <t>TOTAL SALARIES &amp; WAGES</t>
  </si>
  <si>
    <t>77</t>
  </si>
  <si>
    <t>78</t>
  </si>
  <si>
    <t>Allocated Amounts</t>
  </si>
  <si>
    <t>79</t>
  </si>
  <si>
    <t>Common Customer Accounts           (to Lines 6 &amp; 34)</t>
  </si>
  <si>
    <t>CCA</t>
  </si>
  <si>
    <t>80</t>
  </si>
  <si>
    <t>Common Customer Service              (to Lines 7 &amp; 35)</t>
  </si>
  <si>
    <t>CCS</t>
  </si>
  <si>
    <t>81</t>
  </si>
  <si>
    <t>Common Sales                               (to Lines 8 &amp; 36)</t>
  </si>
  <si>
    <t>CSA</t>
  </si>
  <si>
    <t>82</t>
  </si>
  <si>
    <t>Common A&amp;G                                 (to Lines 9 &amp; 37)</t>
  </si>
  <si>
    <t>CAG</t>
  </si>
  <si>
    <t>83</t>
  </si>
  <si>
    <t>Common Maintenance A&amp;G             (to Lines 15 &amp; 46)</t>
  </si>
  <si>
    <t>CMT</t>
  </si>
  <si>
    <t>84</t>
  </si>
  <si>
    <t>Subtotal Common O&amp;M Amounts     (to Lines 25 &amp; 59b)</t>
  </si>
  <si>
    <t>85</t>
  </si>
  <si>
    <t>Other Allocated Amounts</t>
  </si>
  <si>
    <t>86</t>
  </si>
  <si>
    <t>PTO</t>
  </si>
  <si>
    <t>87</t>
  </si>
  <si>
    <t>Construction Support</t>
  </si>
  <si>
    <t>CONSUP</t>
  </si>
  <si>
    <t>88</t>
  </si>
  <si>
    <t>Remaining Clearing Total</t>
  </si>
  <si>
    <t>RMAT</t>
  </si>
  <si>
    <t>Check Totals</t>
  </si>
  <si>
    <t>Ratio Col-3</t>
  </si>
  <si>
    <t>Ratio Col-5</t>
  </si>
  <si>
    <t>Ratio Col-7</t>
  </si>
  <si>
    <t>Ratio Col-9</t>
  </si>
  <si>
    <t>Total Before PTO</t>
  </si>
  <si>
    <t>Grand Total</t>
  </si>
  <si>
    <t>Common Allocation (Col-6):</t>
  </si>
  <si>
    <t>PTO allocation (Col-8):</t>
  </si>
  <si>
    <t>Based on 4-Factor</t>
  </si>
  <si>
    <t>Based on DL Split</t>
  </si>
  <si>
    <t xml:space="preserve">E = </t>
  </si>
  <si>
    <t>Total to electric:</t>
  </si>
  <si>
    <t xml:space="preserve">F = </t>
  </si>
  <si>
    <r>
      <t xml:space="preserve">Col-4 L25 = Col-3 L25 </t>
    </r>
    <r>
      <rPr>
        <sz val="7.9"/>
        <rFont val="Symbol"/>
        <family val="1"/>
        <charset val="2"/>
      </rPr>
      <t>¸</t>
    </r>
    <r>
      <rPr>
        <sz val="10"/>
        <rFont val="Arial"/>
        <family val="2"/>
      </rPr>
      <t xml:space="preserve"> Col-3 L62 x Col-4 L62</t>
    </r>
  </si>
  <si>
    <r>
      <t xml:space="preserve">Col-4 L59b = Col-3 L59b </t>
    </r>
    <r>
      <rPr>
        <sz val="7.9"/>
        <rFont val="Symbol"/>
        <family val="1"/>
        <charset val="2"/>
      </rPr>
      <t>¸</t>
    </r>
    <r>
      <rPr>
        <sz val="10"/>
        <rFont val="Arial"/>
        <family val="2"/>
      </rPr>
      <t xml:space="preserve"> Col-3 L62 x Col-4 L62</t>
    </r>
  </si>
  <si>
    <t>Total to gas</t>
  </si>
  <si>
    <t>Non-utility</t>
  </si>
  <si>
    <t>G =</t>
  </si>
  <si>
    <t>H =</t>
  </si>
  <si>
    <r>
      <t xml:space="preserve">Col-8 L25 = Col-7 L25 </t>
    </r>
    <r>
      <rPr>
        <sz val="7.9"/>
        <rFont val="Symbol"/>
        <family val="1"/>
        <charset val="2"/>
      </rPr>
      <t>¸</t>
    </r>
    <r>
      <rPr>
        <sz val="10"/>
        <rFont val="Arial"/>
        <family val="2"/>
      </rPr>
      <t xml:space="preserve"> Col-7 L76 x Col-7 L88</t>
    </r>
  </si>
  <si>
    <r>
      <t xml:space="preserve">Col-8 L62 = Col-7 L62 </t>
    </r>
    <r>
      <rPr>
        <sz val="7.9"/>
        <rFont val="Symbol"/>
        <family val="1"/>
        <charset val="2"/>
      </rPr>
      <t>¸</t>
    </r>
    <r>
      <rPr>
        <sz val="10"/>
        <rFont val="Arial"/>
        <family val="2"/>
      </rPr>
      <t xml:space="preserve"> Col-7 L76 x Col-7 L88</t>
    </r>
  </si>
  <si>
    <t>Total baseline $ except Prod, Transm &amp; Distribution:</t>
  </si>
  <si>
    <t>I =</t>
  </si>
  <si>
    <r>
      <t xml:space="preserve">Col-10 L62 = Col-9 L62 </t>
    </r>
    <r>
      <rPr>
        <sz val="7.9"/>
        <rFont val="Symbol"/>
        <family val="1"/>
        <charset val="2"/>
      </rPr>
      <t>¸</t>
    </r>
    <r>
      <rPr>
        <sz val="10"/>
        <rFont val="Arial"/>
        <family val="2"/>
      </rPr>
      <t xml:space="preserve"> Col-9 L76</t>
    </r>
  </si>
  <si>
    <t>J =</t>
  </si>
  <si>
    <r>
      <t xml:space="preserve">Col-11 L25 = Col-9 L25 </t>
    </r>
    <r>
      <rPr>
        <sz val="7.9"/>
        <rFont val="Symbol"/>
        <family val="1"/>
        <charset val="2"/>
      </rPr>
      <t>¸</t>
    </r>
    <r>
      <rPr>
        <sz val="10"/>
        <rFont val="Arial"/>
        <family val="2"/>
      </rPr>
      <t xml:space="preserve"> Col-9 L62</t>
    </r>
  </si>
  <si>
    <r>
      <t xml:space="preserve">Col-11 L59b = Col-9 L59b </t>
    </r>
    <r>
      <rPr>
        <sz val="7.9"/>
        <rFont val="Symbol"/>
        <family val="1"/>
        <charset val="2"/>
      </rPr>
      <t>¸</t>
    </r>
    <r>
      <rPr>
        <sz val="10"/>
        <rFont val="Arial"/>
        <family val="2"/>
      </rPr>
      <t xml:space="preserve"> Col-9 L62</t>
    </r>
  </si>
  <si>
    <t>DETERMINATION OF INPUT DATA TO FERC DL PAGES</t>
  </si>
  <si>
    <t>Direct Labor</t>
  </si>
  <si>
    <t>From SAP ZRW_DLF1</t>
  </si>
  <si>
    <t>Item List</t>
  </si>
  <si>
    <t>Code</t>
  </si>
  <si>
    <t>12 ME Dec 2010</t>
  </si>
  <si>
    <t>12 ME June 2010</t>
  </si>
  <si>
    <t>3E     Electric Production OG RPT_FERC1A</t>
  </si>
  <si>
    <t>4E     Electric Transmission OG RPT_FERC</t>
  </si>
  <si>
    <t>5E     Electric Distribution OG RPT_FERC</t>
  </si>
  <si>
    <t>6E     Elec Customer Accts OG RPT_FERC1D</t>
  </si>
  <si>
    <t>7E     Elec Customer Svce OG RPT_FERC1E</t>
  </si>
  <si>
    <t>8E     Electric Sales OG RPT_FERC1F</t>
  </si>
  <si>
    <t>9E     Electric A&amp;G OG RPT_FERC1G</t>
  </si>
  <si>
    <t>12E    Electric Production OG RPT_FERC1H</t>
  </si>
  <si>
    <t>13E    Elec Transmission OG RPT_FERC1I</t>
  </si>
  <si>
    <t>14E    Elec Distribution OG RPT_FERC1J</t>
  </si>
  <si>
    <t>15E    Elec A&amp;G - Maint OG RPT_FERC1K</t>
  </si>
  <si>
    <t>Total Electric Oper and Maintenance</t>
  </si>
  <si>
    <t>28G    Prod Manufactrd Gas OG RPT_FERC1L</t>
  </si>
  <si>
    <t>30G    Other Gas Supply OG RPT_FERC1N</t>
  </si>
  <si>
    <t>31G    Storage/LNG Term OG RPT_FERC1O</t>
  </si>
  <si>
    <t>32G    Gas Transmission OG RPT_FERC1P</t>
  </si>
  <si>
    <t>33G    Gas Distribution OG RPT_FERC1Q</t>
  </si>
  <si>
    <t>34G    Gas Customer Accts OG RPT_FERC1R</t>
  </si>
  <si>
    <t>35G    Gas Customer Service OG RPT_FERC1</t>
  </si>
  <si>
    <t>36G    Gas Sales OG RPT_FERC1T</t>
  </si>
  <si>
    <t>37G    Gas A&amp;G OG RPT_FERC1U</t>
  </si>
  <si>
    <t>74JPE  JP Expense PSE Share (OG 151 / 3)</t>
  </si>
  <si>
    <t>74JPC  JP Capital PSE Share (OG 151 / 3)</t>
  </si>
  <si>
    <t>40G    Prd Manufactured Gas OG RPT_FERC1</t>
  </si>
  <si>
    <t>43G    Storage/LNG Term OG RPT_FERC1Y</t>
  </si>
  <si>
    <t>44G    Gas Transmission OG RPT_FERC1Z</t>
  </si>
  <si>
    <t>45G    Gas Distribution OG RPTFERC1AA</t>
  </si>
  <si>
    <t>46G    Gas A&amp;G Maintenance OG RPTFERC1AB</t>
  </si>
  <si>
    <t>Total 700/800</t>
  </si>
  <si>
    <t>65E    Electric Plant OG 107E</t>
  </si>
  <si>
    <t>66G    Gas Plant OG 107G</t>
  </si>
  <si>
    <t>67C    Common Plant OG 107C</t>
  </si>
  <si>
    <t>74.01  Non Utility Property OG 107CL</t>
  </si>
  <si>
    <t>74.01</t>
  </si>
  <si>
    <t>CONSUP Construction Supprt OG 199_CONSUP</t>
  </si>
  <si>
    <t>70E    Electric Plant Removal OG 108E</t>
  </si>
  <si>
    <t>71G    Gas Plant removal OG 108G</t>
  </si>
  <si>
    <t>72C    Common Plant removal OG 108C</t>
  </si>
  <si>
    <t>74.01  Non Utility Prop Removal OG 108CL</t>
  </si>
  <si>
    <t>74.02  Exp Cost Centers 400-405</t>
  </si>
  <si>
    <t>74.02</t>
  </si>
  <si>
    <t>74.02  Stores OG 199_STORES</t>
  </si>
  <si>
    <t>74.02  Cost Center  415</t>
  </si>
  <si>
    <t>74.02  Small Tools OG 199_SMTOOL</t>
  </si>
  <si>
    <t>74.02T Stores Total</t>
  </si>
  <si>
    <t>74M2   Misc 200 Accounts OG 2</t>
  </si>
  <si>
    <t>74.04  Temp facilities OG 185</t>
  </si>
  <si>
    <t>74.05  Misc def debits OG 186</t>
  </si>
  <si>
    <t>74.03  Conservation OG 1823</t>
  </si>
  <si>
    <t>74.03</t>
  </si>
  <si>
    <t>74.03  Storm OG 1821</t>
  </si>
  <si>
    <t>74.03T Regulatory Assets Total</t>
  </si>
  <si>
    <t>74.07  JP Capital Non PSE (OG 150  x2/3)</t>
  </si>
  <si>
    <t>RMA    188 Orders  - allocated OG 188</t>
  </si>
  <si>
    <t>RMA    Fleet  OG 199_FLEET</t>
  </si>
  <si>
    <t>RMA</t>
  </si>
  <si>
    <t>RMA    Fleet Cost Cntrs (Group P-FLEET)</t>
  </si>
  <si>
    <t>RMA    184 Orders  - allocated OG 184</t>
  </si>
  <si>
    <t>RMA    Labor Benefits OG 199_LBRBEN</t>
  </si>
  <si>
    <t>RMA    Cost Center  280</t>
  </si>
  <si>
    <t>RMA    Cost Center 260</t>
  </si>
  <si>
    <t>CCA    Common Cust Accts OG RPTFERC1AC</t>
  </si>
  <si>
    <t>CCS    Common Cust Svce OG RPTFERC1AD</t>
  </si>
  <si>
    <t>CSA    Common Sales OG RPTFERC1AE</t>
  </si>
  <si>
    <t>CAG    Common A&amp;G OG RPTFERC1AF</t>
  </si>
  <si>
    <t>CMT    Common Maintenance OG RPTFERC1AG</t>
  </si>
  <si>
    <t>Total 900 Accounts</t>
  </si>
  <si>
    <t>74.06  400 Accts (orders starting w/a 4)</t>
  </si>
  <si>
    <t>74.07  143 Accts Receivable OG 143</t>
  </si>
  <si>
    <t>74.07  JP Capital Non PSE (OG 151  x2/3)</t>
  </si>
  <si>
    <t>PTO    PTO - to be allocated (CC 291)</t>
  </si>
  <si>
    <t>Total Labor</t>
  </si>
  <si>
    <t>74.01T  Non Utility Property Total</t>
  </si>
  <si>
    <t>ST</t>
  </si>
  <si>
    <t>RMAT   Remaining Total To Allocate</t>
  </si>
  <si>
    <t>Subtotal  A</t>
  </si>
  <si>
    <t>Subtotal  B</t>
  </si>
  <si>
    <t>Subtotal  C</t>
  </si>
  <si>
    <t>GT</t>
  </si>
  <si>
    <t>Grand Total (A+B+C)</t>
  </si>
  <si>
    <t>Grand</t>
  </si>
  <si>
    <t>ALL Orders - Labor</t>
  </si>
  <si>
    <t>All</t>
  </si>
  <si>
    <t>All Cost Centers - Labor</t>
  </si>
  <si>
    <t>All Cost Centers - PTO</t>
  </si>
  <si>
    <t>Check Total Labor (must be zero)</t>
  </si>
  <si>
    <t>Check</t>
  </si>
  <si>
    <t>Check Total PTO only (must be zero)</t>
  </si>
  <si>
    <t>Check 199's Should be Zero</t>
  </si>
  <si>
    <t>Total J. Prairie Capital</t>
  </si>
  <si>
    <t>Total Jackson Prairie Expense</t>
  </si>
  <si>
    <t>All 199's</t>
  </si>
  <si>
    <t>RMAT Remaining Total To Allocate:</t>
  </si>
  <si>
    <t>1st Allocated Labor Benefits OG 199 LBRBEN to:</t>
  </si>
  <si>
    <t>B/S</t>
  </si>
  <si>
    <t>I/S</t>
  </si>
  <si>
    <t>Remaining balance to allocate (Line 1 - Line 3):</t>
  </si>
  <si>
    <t>Fleet  OG 199 FLEET</t>
  </si>
  <si>
    <t>184 Orders  - allocated OG 184</t>
  </si>
  <si>
    <t>Allocation to balance sheet (Line 10 + Line 11)</t>
  </si>
  <si>
    <t>Total Allocation to balance sheet (Line 5 + Line 12)</t>
  </si>
  <si>
    <t>Total Allocation to income statement (Line 6)</t>
  </si>
  <si>
    <t>Total Allocation (Equal to Line 1)</t>
  </si>
  <si>
    <t>12-MONTHS ENDED DECEMBER 31, 2010</t>
  </si>
  <si>
    <t>GENERAL</t>
  </si>
  <si>
    <t>FERC FORM</t>
  </si>
  <si>
    <t xml:space="preserve"> ACCOUNTING</t>
  </si>
  <si>
    <t>PAGES 354 &amp; 355</t>
  </si>
  <si>
    <t>REPORT</t>
  </si>
  <si>
    <t>(Col-1)</t>
  </si>
  <si>
    <t>DIFFERENCE</t>
  </si>
  <si>
    <t>(Col-5)</t>
  </si>
  <si>
    <t>(c) = (a) - (b)</t>
  </si>
  <si>
    <t>(d)</t>
  </si>
  <si>
    <t>(e) = (a) - (d)</t>
  </si>
  <si>
    <t>100 SERIES OF ACCOUNTS</t>
  </si>
  <si>
    <t>NOTE 1</t>
  </si>
  <si>
    <t>NOTE 2</t>
  </si>
  <si>
    <t>NOTE 3</t>
  </si>
  <si>
    <t xml:space="preserve">  CWIP - 107                </t>
  </si>
  <si>
    <t xml:space="preserve">  RWIP - 108</t>
  </si>
  <si>
    <t xml:space="preserve">       SUBTOTAL</t>
  </si>
  <si>
    <t xml:space="preserve">  STORES EXPENSE - 163</t>
  </si>
  <si>
    <t xml:space="preserve">  CONSERVATION     - 182.3</t>
  </si>
  <si>
    <t xml:space="preserve">  CLEARING ACCTS - 184</t>
  </si>
  <si>
    <t xml:space="preserve">  STORM - 182.1 (note 2)</t>
  </si>
  <si>
    <t xml:space="preserve">  ALL OTHER 100 ACCTS AND ALL 200</t>
  </si>
  <si>
    <t xml:space="preserve">       SUBTOTAL 100 SERIES (A)</t>
  </si>
  <si>
    <t>OPERATIONS AND MAINTENANCE</t>
  </si>
  <si>
    <t xml:space="preserve">  500 ACCOUNTS</t>
  </si>
  <si>
    <t xml:space="preserve">  700 &amp; 800 ACCOUNTS</t>
  </si>
  <si>
    <t xml:space="preserve">  900 ACCOUNTS            </t>
  </si>
  <si>
    <t xml:space="preserve">       SUBTOTAL O &amp; M (B)</t>
  </si>
  <si>
    <t xml:space="preserve">  400 ACCOUNTS (C)</t>
  </si>
  <si>
    <t xml:space="preserve">       SUBTOTAL FOR ALL BEFORE PTO (D)</t>
  </si>
  <si>
    <t xml:space="preserve"> PAID TIME - NOT WORKED</t>
  </si>
  <si>
    <t xml:space="preserve">GRAND TOTAL     </t>
  </si>
  <si>
    <t>NOTE 1:  The $319,171.63 difference represents a top side entry made in the reporting definition of ZDL1 used by General Accounting to simulate</t>
  </si>
  <si>
    <t>transferring a portion of direct labor within CC 280 to the income statement.</t>
  </si>
  <si>
    <t>NOTE 2:  Col-2 of the FERC.P354,5 tab simulates the top side reclass discussed in Note 1, therefore, Col-5 which also includes the allocation</t>
  </si>
  <si>
    <t>of construction support overhead, should agree to the General Accounting Direct Labor Report.</t>
  </si>
  <si>
    <t>NOTE 3:  Remaining differences due to: 1) $ because GA includes non-utility accounts in CWIP lines which are reported in the other</t>
  </si>
  <si>
    <t>section on line 74.01 of FERC Form; and 2) $1,725,642.31 GA breaks out Storm and Conservation separately where FERC Form combines both</t>
  </si>
  <si>
    <t>amounts in other section on line 74.03.  Neither of these items cross over between balance sheet and income statement accounts, therefore,</t>
  </si>
  <si>
    <t>they are not a concern for purposes of calculating the allocation methods.</t>
  </si>
  <si>
    <t>Order / Order Group / CC</t>
  </si>
  <si>
    <t>Cost Element / CE Group</t>
  </si>
  <si>
    <t>CC 280</t>
  </si>
  <si>
    <t>ASMT_DIRLA</t>
  </si>
  <si>
    <t>Settles to CC 280 ====&gt;</t>
  </si>
  <si>
    <t>OG 199_LBRBEN</t>
  </si>
  <si>
    <t>Total labor in CC 280</t>
  </si>
  <si>
    <t>Less CC 280 Transfer to A&amp;G</t>
  </si>
  <si>
    <t>Manual Entry, so not in CC and report can't see it ==&gt;</t>
  </si>
  <si>
    <t>^</t>
  </si>
  <si>
    <t>¸</t>
  </si>
  <si>
    <t>||</t>
  </si>
  <si>
    <t>manual entries are posted to clear the difference</t>
  </si>
  <si>
    <t>Amount allocated to O&amp;M through SA entry - report not able to identify</t>
  </si>
  <si>
    <t>between system assessments based on</t>
  </si>
  <si>
    <t>overhead rates and actual benefits paid.  Manual</t>
  </si>
  <si>
    <t>Amount allocated to Balance Sheet through SA entry - report not able to identify</t>
  </si>
  <si>
    <t>entries are cleared between the balance sheet</t>
  </si>
  <si>
    <t>and income statement based on the 12ME ratio *</t>
  </si>
  <si>
    <t>on the direct labor report for each month.</t>
  </si>
  <si>
    <t>CED ASMT_DIRLA</t>
  </si>
  <si>
    <t>Jan '08 - Oct '08</t>
  </si>
  <si>
    <t>12 ME 12-2010</t>
  </si>
  <si>
    <t>Order Group</t>
  </si>
  <si>
    <t>Cost Center</t>
  </si>
  <si>
    <t>$</t>
  </si>
  <si>
    <t xml:space="preserve">3E   </t>
  </si>
  <si>
    <t xml:space="preserve">4E   </t>
  </si>
  <si>
    <t xml:space="preserve">5E   </t>
  </si>
  <si>
    <t xml:space="preserve">6E   </t>
  </si>
  <si>
    <t xml:space="preserve">7E   </t>
  </si>
  <si>
    <t xml:space="preserve">8E   </t>
  </si>
  <si>
    <t xml:space="preserve">9E   </t>
  </si>
  <si>
    <t xml:space="preserve">12E  </t>
  </si>
  <si>
    <t xml:space="preserve">13E  </t>
  </si>
  <si>
    <t xml:space="preserve">14E  </t>
  </si>
  <si>
    <t xml:space="preserve">15E  </t>
  </si>
  <si>
    <t xml:space="preserve">28G  </t>
  </si>
  <si>
    <t xml:space="preserve">30G  </t>
  </si>
  <si>
    <t xml:space="preserve">31G  </t>
  </si>
  <si>
    <t xml:space="preserve">32G  </t>
  </si>
  <si>
    <t xml:space="preserve">33G  </t>
  </si>
  <si>
    <t xml:space="preserve">34G  </t>
  </si>
  <si>
    <t xml:space="preserve">35G  </t>
  </si>
  <si>
    <t xml:space="preserve">36G  </t>
  </si>
  <si>
    <t xml:space="preserve">37G  </t>
  </si>
  <si>
    <t xml:space="preserve">40G  </t>
  </si>
  <si>
    <t xml:space="preserve">43G  </t>
  </si>
  <si>
    <t xml:space="preserve">44G  </t>
  </si>
  <si>
    <t xml:space="preserve">45G  </t>
  </si>
  <si>
    <t xml:space="preserve">46G  </t>
  </si>
  <si>
    <t xml:space="preserve">CCA  </t>
  </si>
  <si>
    <t xml:space="preserve">CCS  </t>
  </si>
  <si>
    <t xml:space="preserve">CSA  </t>
  </si>
  <si>
    <t xml:space="preserve">CAG  </t>
  </si>
  <si>
    <t xml:space="preserve">CMT  </t>
  </si>
  <si>
    <t xml:space="preserve">65E  </t>
  </si>
  <si>
    <t xml:space="preserve">66G  </t>
  </si>
  <si>
    <t xml:space="preserve">67C  </t>
  </si>
  <si>
    <t xml:space="preserve">70E  </t>
  </si>
  <si>
    <t xml:space="preserve">71G  </t>
  </si>
  <si>
    <t xml:space="preserve">72C  </t>
  </si>
  <si>
    <t>74.01T Non Utility Property Total</t>
  </si>
  <si>
    <t>CC 400-405</t>
  </si>
  <si>
    <t>199_STORES</t>
  </si>
  <si>
    <t>CC 415</t>
  </si>
  <si>
    <t>199_SMTOOL</t>
  </si>
  <si>
    <t>Orders begin with 4</t>
  </si>
  <si>
    <t>150 x 2/3</t>
  </si>
  <si>
    <t>74.07  JP Expense Non PSE (OG 151 x2/3)</t>
  </si>
  <si>
    <t>151 x 2/3</t>
  </si>
  <si>
    <t>74.07T Acct ReceivableTotal</t>
  </si>
  <si>
    <t xml:space="preserve">74M2 </t>
  </si>
  <si>
    <t>151 x 1/3</t>
  </si>
  <si>
    <t>150 x 1/3</t>
  </si>
  <si>
    <t xml:space="preserve">PTO  </t>
  </si>
  <si>
    <t>199_CONSUP</t>
  </si>
  <si>
    <t xml:space="preserve">RMA   </t>
  </si>
  <si>
    <t>199_FLEET</t>
  </si>
  <si>
    <t>P-FLEET</t>
  </si>
  <si>
    <t>199_LBRBEN</t>
  </si>
  <si>
    <t xml:space="preserve">RMAT  </t>
  </si>
  <si>
    <t>ALL</t>
  </si>
  <si>
    <t>MONTH OF JANUARY</t>
  </si>
  <si>
    <t>MONTH OF FEBRUARY</t>
  </si>
  <si>
    <t>MONTH OF MARCH</t>
  </si>
  <si>
    <t>MONTH OF APRIL</t>
  </si>
  <si>
    <t>MONTH OF MAY</t>
  </si>
  <si>
    <t>MONTH OF JUNE</t>
  </si>
  <si>
    <t>MONTH OF JULY</t>
  </si>
  <si>
    <t>MONTH OF AUGUST</t>
  </si>
  <si>
    <t>MONTH OF SEPTEMBER</t>
  </si>
  <si>
    <t>MONTH OF OCTOBER</t>
  </si>
  <si>
    <t>MONTH OF NOVEMBER</t>
  </si>
  <si>
    <t>MONTH OF DECEMBER</t>
  </si>
  <si>
    <t>2010 YEAR-TO-DATE</t>
  </si>
  <si>
    <t>2009 YEAR-TO-DATE</t>
  </si>
  <si>
    <t>% TOTAL</t>
  </si>
  <si>
    <t xml:space="preserve">  STORM - 182.1</t>
  </si>
  <si>
    <t>500 - 559 Accounts</t>
  </si>
  <si>
    <t>560 - 579 Accounts</t>
  </si>
  <si>
    <t>580 - 599  Accounts</t>
  </si>
  <si>
    <t xml:space="preserve">BALANCE SHEET % BEFORE PTO(A/D)  </t>
  </si>
  <si>
    <t xml:space="preserve">INCOME STATEMENT % BEFORE PTO{(B+C)/D} </t>
  </si>
  <si>
    <t>NOTES:</t>
  </si>
  <si>
    <t>(1) Excludes any incentive awards, severance payments, and relocation benefits paid to employees.</t>
  </si>
  <si>
    <t>(in $1000)</t>
  </si>
  <si>
    <t>Depr Group</t>
  </si>
  <si>
    <t>AMA</t>
  </si>
  <si>
    <t>Dec '09</t>
  </si>
  <si>
    <t>Jan '10</t>
  </si>
  <si>
    <t>Feb ' 10</t>
  </si>
  <si>
    <t>Mar '10</t>
  </si>
  <si>
    <t>Apr '10</t>
  </si>
  <si>
    <t>May '10</t>
  </si>
  <si>
    <t>Jun '10</t>
  </si>
  <si>
    <t>Jul '10</t>
  </si>
  <si>
    <t>Aug '10</t>
  </si>
  <si>
    <t>Sep '10</t>
  </si>
  <si>
    <t>Oct '10</t>
  </si>
  <si>
    <t>Nov '10</t>
  </si>
  <si>
    <t>Dec '10</t>
  </si>
  <si>
    <t>E3500 105 TSM Land &amp; Land Rights</t>
  </si>
  <si>
    <t>Transmission Plant - Electric</t>
  </si>
  <si>
    <t>E3500 TSM Land &amp; Land Rights</t>
  </si>
  <si>
    <t>E3500 TSM Land, 3rd AC</t>
  </si>
  <si>
    <t>E3500 TSM Land, Baker</t>
  </si>
  <si>
    <t>E3500 TSM Land, Colstrip</t>
  </si>
  <si>
    <t>E3500 TSM Land, N Intertie</t>
  </si>
  <si>
    <t>E3500 TSM Land, Wild Horse</t>
  </si>
  <si>
    <t>E3500 TSM Land, Wind Ridge</t>
  </si>
  <si>
    <t>E3501 105 TSM Easement</t>
  </si>
  <si>
    <t>E3501 TSM Easement</t>
  </si>
  <si>
    <t>E3501 TSM Easement, Baker Common</t>
  </si>
  <si>
    <t>E3501 TSM Easement, Colstrip 1-2Com</t>
  </si>
  <si>
    <t>E3501 TSM Easement, Colstrip 3-4Com</t>
  </si>
  <si>
    <t>E3501 TSM Easement, Upper Baker</t>
  </si>
  <si>
    <t>E3501 TSM Easement, Wild Horse-NonP</t>
  </si>
  <si>
    <t>E3501 TSM Easement, Wild Horse-Proj</t>
  </si>
  <si>
    <t>E352 TSM Str/Impv, 3rd NW Line</t>
  </si>
  <si>
    <t>E352 TSM Str/Impv, Baker Common</t>
  </si>
  <si>
    <t>E352 TSM Str/Impv, Colstrip 3-4 Com</t>
  </si>
  <si>
    <t xml:space="preserve">E352 TSM Str/Impv, Mint Farm </t>
  </si>
  <si>
    <t>E352 TSM Str/Impv, Mint Farm OP</t>
  </si>
  <si>
    <t>E352 TSM Structures &amp; Improvement</t>
  </si>
  <si>
    <t>E353 105 TSM Station Equipment</t>
  </si>
  <si>
    <t>E353 HOPKINS SUB@PLANT</t>
  </si>
  <si>
    <t>E353 TSM Sta Eq, 3rd NW Line</t>
  </si>
  <si>
    <t>E353 TSM Sta Eq, Baker Common</t>
  </si>
  <si>
    <t>E353 TSM Sta Eq, Colstrip 1-2 Com</t>
  </si>
  <si>
    <t>E353 TSM Sta Eq, Colstrip 3-4 Com</t>
  </si>
  <si>
    <t>E353 TSM Sta Eq, Covington-Berrydal</t>
  </si>
  <si>
    <t>E353 TSM Sta Eq, Fred 1/Epcor</t>
  </si>
  <si>
    <t>E353 TSM Sta Eq, Fredonia 1&amp;2 OP</t>
  </si>
  <si>
    <t>E353 TSM Sta Eq, Lower Baker</t>
  </si>
  <si>
    <t>E353 TSM Sta Eq, Mint Farm</t>
  </si>
  <si>
    <t>E353 TSM Sta Eq, Mint Farm OP</t>
  </si>
  <si>
    <t>E353 TSM Sta Eq, Snoqualmie 1</t>
  </si>
  <si>
    <t>E353 TSM Sta Eq, Snoqualmie 2</t>
  </si>
  <si>
    <t>E353 TSM Sta Eq, Upper Baker</t>
  </si>
  <si>
    <t>E353 TSM Sta Eq, Wild Horse</t>
  </si>
  <si>
    <t>E353 TSM Sta Eq, Wild Horse-WindRid</t>
  </si>
  <si>
    <t>E353 TSM Sta Eq, Wind Ridge-NonProj</t>
  </si>
  <si>
    <t>E353 TSM Station Equipment</t>
  </si>
  <si>
    <t xml:space="preserve">E353 WILD HORSE EXP SUB </t>
  </si>
  <si>
    <t xml:space="preserve">E353 WILD HORSE EXP SUB@PLANT </t>
  </si>
  <si>
    <t>E353 WILD HORSE SUB@PLANT</t>
  </si>
  <si>
    <t xml:space="preserve">E354 TSM Poles, Mint Farm </t>
  </si>
  <si>
    <t>E354 TSM Poles, Mint Farm OP</t>
  </si>
  <si>
    <t>E354 TSM Towers &amp; Fixtures</t>
  </si>
  <si>
    <t>E354 TSM Twr/Fixt, 3rd NW Line</t>
  </si>
  <si>
    <t>E354 TSM Twr/Fixt, Colstrip 1-2 Com</t>
  </si>
  <si>
    <t>E354 TSM Twr/Fixt, Colstrip 3-4 Com</t>
  </si>
  <si>
    <t xml:space="preserve">E354 TSM Twr/Fixt, Mint Farm </t>
  </si>
  <si>
    <t>E354 TSM Twr/Fixt, Mint Farm OP</t>
  </si>
  <si>
    <t>E354 TSM Twr/Fixt, N Intertie</t>
  </si>
  <si>
    <t>E354 TSM Twr/Fixt, Wild Horse-WindR</t>
  </si>
  <si>
    <t>E354 TSM Twr/Fixt, Wind Ridge-NonPr</t>
  </si>
  <si>
    <t>E355 TSM Poles &amp; Fixtures</t>
  </si>
  <si>
    <t>E355 TSM Poles, 3rd NW Line</t>
  </si>
  <si>
    <t>E355 TSM Poles, Baker Common</t>
  </si>
  <si>
    <t>E355 TSM Poles, Colstrip 1-2 Com</t>
  </si>
  <si>
    <t>E355 TSM Poles, Colstrip 3-4 Com</t>
  </si>
  <si>
    <t>E355 TSM Poles, Cov-Ber NOT USED</t>
  </si>
  <si>
    <t>E355 TSM Poles, Lower Baker</t>
  </si>
  <si>
    <t>E355 TSM Poles, N Intertie</t>
  </si>
  <si>
    <t>E355 TSM Poles, Snoqualmie 1</t>
  </si>
  <si>
    <t>E355 TSM Poles, Snoqualmie 2</t>
  </si>
  <si>
    <t>E355 TSM Poles, Upper Baker</t>
  </si>
  <si>
    <t>E355 TSM Poles, Wild Horse</t>
  </si>
  <si>
    <t>E355 TSM Poles, Wild Horse-WindRidg</t>
  </si>
  <si>
    <t>E355 TSM Poles, Wind Ridge-NonProje</t>
  </si>
  <si>
    <t>E356 TSM O/H Cond, 3rd NW Line</t>
  </si>
  <si>
    <t>E356 TSM O/H Cond, Baker Common</t>
  </si>
  <si>
    <t>E356 TSM O/H Cond, Colstrip 1-2 Com</t>
  </si>
  <si>
    <t>E356 TSM O/H Cond, Colstrip 3-4 Com</t>
  </si>
  <si>
    <t>E356 TSM O/H Cond, Lower Baker</t>
  </si>
  <si>
    <t xml:space="preserve">E356 TSM O/H Cond, Mint Farm </t>
  </si>
  <si>
    <t>E356 TSM O/H Cond, Mint Farm OP</t>
  </si>
  <si>
    <t>E356 TSM O/H Cond, N Intertie</t>
  </si>
  <si>
    <t>E356 TSM O/H Cond, Snoqualmie 1</t>
  </si>
  <si>
    <t>E356 TSM O/H Cond, Snoqualmie 2</t>
  </si>
  <si>
    <t>E356 TSM O/H Cond, Upper Baker</t>
  </si>
  <si>
    <t>E356 TSM O/H Cond, Wild Horse</t>
  </si>
  <si>
    <t>E356 TSM O/H Cond, Wild Horse-WindR</t>
  </si>
  <si>
    <t>E356 TSM O/H Cond, Wind Ridge-NonPr</t>
  </si>
  <si>
    <t>E356 TSM O/H Conductor &amp; Devices</t>
  </si>
  <si>
    <t>E356 TSM O/H Cov-Ber NOT USED</t>
  </si>
  <si>
    <t>E357 TSM U/G CONDUIT WILD HORSE</t>
  </si>
  <si>
    <t>E357 TSM U/G Conduit-DONOTUSE</t>
  </si>
  <si>
    <t>E358 TSM U/G Cond, Fred 1/Epcor</t>
  </si>
  <si>
    <t xml:space="preserve">E358 TSM U/G COND, WILD HORSE </t>
  </si>
  <si>
    <t>E358 TSM U/G Conductor &amp; Devices</t>
  </si>
  <si>
    <t>E3590 TSM Roads &amp; Trails</t>
  </si>
  <si>
    <t>E3590 TSM Roads, 3rd NW Line</t>
  </si>
  <si>
    <t>E3590 TSM Roads, Baker Common</t>
  </si>
  <si>
    <t>E3590 TSM Roads, Colstrip 1-2 Com</t>
  </si>
  <si>
    <t>E3590 TSM Roads, Colstrip 3-4 Com</t>
  </si>
  <si>
    <t>E3590 TSM Roads, Upper Baker</t>
  </si>
  <si>
    <t>E3599 TSM ARO Transmission</t>
  </si>
  <si>
    <t>Tax only - Milwaukee Acq Adj</t>
  </si>
  <si>
    <t>TOTAL TRANSMISSION</t>
  </si>
  <si>
    <t>E3600 105 DST Land &amp; Land Rights</t>
  </si>
  <si>
    <t>Distribution Plant - Electric</t>
  </si>
  <si>
    <t>E3600 DST Land &amp; Land Rights</t>
  </si>
  <si>
    <t>E3600 DST Land, Sub, Alpac</t>
  </si>
  <si>
    <t>E3600 DST Land, Sub, Capitol</t>
  </si>
  <si>
    <t>E3600 DST Land, Sub, Crescent Harbr</t>
  </si>
  <si>
    <t>E3600 DST Land, Sub, Miller Bay</t>
  </si>
  <si>
    <t>E3600 DST Land, Sub, Paccar</t>
  </si>
  <si>
    <t>E3600 DST Land, Sub, Poulsbo</t>
  </si>
  <si>
    <t>E3600 DST Land, Sub, Sumas Generati</t>
  </si>
  <si>
    <t>E3600 DST Land, Sub, Viking</t>
  </si>
  <si>
    <t>E3600 DST Land, Sub, Vitulli</t>
  </si>
  <si>
    <t>E3601 105 DST Easements</t>
  </si>
  <si>
    <t>E3601 DST Easements</t>
  </si>
  <si>
    <t>E3601 DST Easements, Hopkins Ridge</t>
  </si>
  <si>
    <t>E3601 DST Easements, Sub, Vitulli</t>
  </si>
  <si>
    <t>E3602 105 HV DST Land &amp; Land Rights</t>
  </si>
  <si>
    <t>E3602 HV DST Land &amp; Land Rights</t>
  </si>
  <si>
    <t>E3603 105 HV DST Easements</t>
  </si>
  <si>
    <t>E3603 DONOTUSE 105 HV DST SUB-BKB</t>
  </si>
  <si>
    <t>E3603 DONOTUSE 105 HV DST TLN-0022</t>
  </si>
  <si>
    <t>E3603 DONOTUSE 105 HV DST TLN-0105</t>
  </si>
  <si>
    <t>E3603 HV DST Easements</t>
  </si>
  <si>
    <t>E3603 HV DST Easements, Baker Com</t>
  </si>
  <si>
    <t>E3603 HV DST Easements, Sub, Alpac</t>
  </si>
  <si>
    <t>E3603 HV DST Easements, Upper Baker</t>
  </si>
  <si>
    <t>E3610 DST Stru, Sub, Alpac</t>
  </si>
  <si>
    <t>E3610 DST Stru, Sub, Arco Central</t>
  </si>
  <si>
    <t>E3610 DST Stru, Sub, Capitol</t>
  </si>
  <si>
    <t>E3610 DST Stru, Sub, Clover Valley</t>
  </si>
  <si>
    <t>E3610 DST Stru, Sub, Miller Bay</t>
  </si>
  <si>
    <t>E3610 DST Stru, Sub, Paccar</t>
  </si>
  <si>
    <t>E3610 DST Stru, Sub, Texaco</t>
  </si>
  <si>
    <t>E3610 DST Stru, Sub, Texaco East</t>
  </si>
  <si>
    <t>E3610 DST Stru, Sub, Viking</t>
  </si>
  <si>
    <t>E3610 DST Stru, Sub, Vitulli</t>
  </si>
  <si>
    <t>E3610 DST Stru, Sub, Waterfront</t>
  </si>
  <si>
    <t>E3610 DST Structures &amp; Improvement</t>
  </si>
  <si>
    <t>E3611 HV DST Str/Impv, Baker Common</t>
  </si>
  <si>
    <t>E3611 HV DST Stru, Sub, Arco North</t>
  </si>
  <si>
    <t>E3611 HV DST Stru, Sub, Arco South</t>
  </si>
  <si>
    <t>E3611 HV DST Stru, Sub, Texaco West</t>
  </si>
  <si>
    <t>E3611 HV DST Structures &amp; Improvemt</t>
  </si>
  <si>
    <t>E3620 102 DST Substation Equipment</t>
  </si>
  <si>
    <t>E3620 105 DST Substation Equipment</t>
  </si>
  <si>
    <t>E3620 DST Sta Eq, Sub, Alpac</t>
  </si>
  <si>
    <t>E3620 DST Sta Eq, Sub, Arco Central</t>
  </si>
  <si>
    <t>E3620 DST Sta Eq, Sub, Arco North</t>
  </si>
  <si>
    <t>E3620 DST Sta Eq, Sub, Arco South</t>
  </si>
  <si>
    <t>E3620 DST Sta Eq, Sub, Capitol</t>
  </si>
  <si>
    <t>E3620 DST Sta Eq, Sub, Clover Vally</t>
  </si>
  <si>
    <t>E3620 DST Sta Eq, Sub, Crescent Hbr</t>
  </si>
  <si>
    <t>E3620 DST Sta Eq, Sub, Fairchild</t>
  </si>
  <si>
    <t>E3620 DST Sta Eq, Sub, Liquid Air</t>
  </si>
  <si>
    <t>E3620 DST Sta Eq, Sub, Miller Bay</t>
  </si>
  <si>
    <t>E3620 DST Sta Eq, Sub, Olympic Avon</t>
  </si>
  <si>
    <t>E3620 DST Sta Eq, Sub, Olympic Bayv</t>
  </si>
  <si>
    <t>E3620 DST Sta Eq, Sub, Olympic Mobl</t>
  </si>
  <si>
    <t>E3620 DST Sta Eq, Sub, Olympic Rntn</t>
  </si>
  <si>
    <t>E3620 DST Sta Eq, Sub, Olympic Vail</t>
  </si>
  <si>
    <t>E3620 DST Sta Eq, Sub, Paccar</t>
  </si>
  <si>
    <t>E3620 DST Sta Eq, Sub, Poulsbo</t>
  </si>
  <si>
    <t>E3620 DST Sta Eq, Sub, Roeder</t>
  </si>
  <si>
    <t>E3620 DST Sta Eq, Sub, Texaco East</t>
  </si>
  <si>
    <t>E3620 DST Sta Eq, Sub, Texaco West</t>
  </si>
  <si>
    <t>E3620 DST Sta Eq, Sub, Viking</t>
  </si>
  <si>
    <t>E3620 DST Sta Eq, Sub, Vituilli</t>
  </si>
  <si>
    <t>E3620 DST Sta Eq, Sub, Waterfront</t>
  </si>
  <si>
    <t>E3620 DST Sta Eq, Sub, Weyerhauser</t>
  </si>
  <si>
    <t>E3620 DST Sub Eq Hopkins Ridge Exp</t>
  </si>
  <si>
    <t>E3620 DST Sub Eq Wild Horse Expan</t>
  </si>
  <si>
    <t>E3620 DST Sub Eq Wild Horse Solar</t>
  </si>
  <si>
    <t>E3620 DST Sub@Plant WildHorse Expan</t>
  </si>
  <si>
    <t>E3620 DST Substation Equipment</t>
  </si>
  <si>
    <t>E3621 HV DST Sta Eq, Baker Common</t>
  </si>
  <si>
    <t>E3621 HV DST Sta Eq, Covington-Berr</t>
  </si>
  <si>
    <t>E3621 HV DST Sta Eq, Encogen</t>
  </si>
  <si>
    <t>E3621 HV DST Sta Eq, Fredonia3&amp;4 OP</t>
  </si>
  <si>
    <t>E3621 HV DST Sta Eq, Goldendale</t>
  </si>
  <si>
    <t>E3621 HV DST Sta Eq, Goldendale OP</t>
  </si>
  <si>
    <t>E3621 HV DST Sta Eq, Hopkins Ridge</t>
  </si>
  <si>
    <t>E3621 HV DST Sta Eq, Lower Baker</t>
  </si>
  <si>
    <t xml:space="preserve">E3621 HV DST Sta Eq, Mint Farm </t>
  </si>
  <si>
    <t>E3621 HV DST Sta Eq, Mint Farm OP</t>
  </si>
  <si>
    <t>E3621 HV DST Sta Eq, Snoqualmie 1</t>
  </si>
  <si>
    <t>E3621 HV DST Sta Eq, Snoqualmie 2</t>
  </si>
  <si>
    <t>E3621 HV DST Sta Eq, Sub, Alpac</t>
  </si>
  <si>
    <t>E3621 HV DST Sta Eq, Sub, Arco C</t>
  </si>
  <si>
    <t>E3621 HV DST Sta Eq, Sub, Arco N</t>
  </si>
  <si>
    <t>E3621 HV DST Sta Eq, Sub, Arco S</t>
  </si>
  <si>
    <t>E3621 HV DST Sta Eq, Sub, BoeingRen</t>
  </si>
  <si>
    <t>E3621 HV DST Sta Eq, Sub, Capitol</t>
  </si>
  <si>
    <t>E3621 HV DST Sta Eq, Sub, Clover V</t>
  </si>
  <si>
    <t>E3621 HV DST Sta Eq, Sub, Fairchild</t>
  </si>
  <si>
    <t>E3621 HV DST Sta Eq, Sub, LiquidAir</t>
  </si>
  <si>
    <t>E3621 HV DST Sta Eq, Sub, MillerBay</t>
  </si>
  <si>
    <t>E3621 HV DST Sta Eq, Sub, Olym Avon</t>
  </si>
  <si>
    <t>E3621 HV DST Sta Eq, Sub, Olym Rntn</t>
  </si>
  <si>
    <t>E3621 HV DST Sta Eq, Sub, Paccar</t>
  </si>
  <si>
    <t>E3621 HV DST Sta Eq, Sub, Texaco E</t>
  </si>
  <si>
    <t>E3621 HV DST Sta Eq, Sub, Texaco W</t>
  </si>
  <si>
    <t>E3621 HV DST Sta Eq, Sub, Vitulli</t>
  </si>
  <si>
    <t>E3621 HV DST Sta Eq, Sub, Waterfrnt</t>
  </si>
  <si>
    <t xml:space="preserve">E3621 HV DST Sta Eq, Sumas SMC </t>
  </si>
  <si>
    <t>E3621 HV DST Sta Eq, Sumas SMS</t>
  </si>
  <si>
    <t>E3621 HV DST Sta Eq, Upper Baker</t>
  </si>
  <si>
    <t>E3621 HV DST Sta Eq, WildHorse Sola</t>
  </si>
  <si>
    <t>E3621 HV DST Sub Eq, Sumas OP-SMC</t>
  </si>
  <si>
    <t>E3621 HV DST Sub Eq, Sumas OP-SMS</t>
  </si>
  <si>
    <t>E3621 HV DST Substation Equipment</t>
  </si>
  <si>
    <t>E3640 DST Poles, Hopkins Ridge</t>
  </si>
  <si>
    <t>E3640 DST Poles, Wild Horse</t>
  </si>
  <si>
    <t>E3640 DST Poles, Wild Horse Expan</t>
  </si>
  <si>
    <t>E3640 DST Poles, Wild Horse Solar</t>
  </si>
  <si>
    <t>E3640 DST Poles/Towers/Fixtures</t>
  </si>
  <si>
    <t>E3641 HV DST Towers, Hopkins Ridge</t>
  </si>
  <si>
    <t>E3641 HV DST Towers/Fixtures</t>
  </si>
  <si>
    <t xml:space="preserve">E3642 HV DST Poles </t>
  </si>
  <si>
    <t>E3642 HV DST Poles, Baker Common</t>
  </si>
  <si>
    <t>E3642 HV DST Poles, Cov-Ber NOT USE</t>
  </si>
  <si>
    <t>E3642 HV DST Poles, Lower Baker</t>
  </si>
  <si>
    <t>E3642 HV DST Poles, Snoqualmie 2</t>
  </si>
  <si>
    <t>E3642 HV DST Poles, Sumas</t>
  </si>
  <si>
    <t>E3642 HV DST Poles, Sumas OP</t>
  </si>
  <si>
    <t>E3642 HV DST Poles, Upper Baker</t>
  </si>
  <si>
    <t>E3643 HV DST Roads &amp; Trails</t>
  </si>
  <si>
    <t>E3643 HV DST Roads/Trails, Baker Cm</t>
  </si>
  <si>
    <t>E3643 HV DST Roads/Trails, Up Baker</t>
  </si>
  <si>
    <t>E3650 105 DST O/H Conductor/Devices</t>
  </si>
  <si>
    <t>E3650 DST O/H Cond, Hopkins Ridge</t>
  </si>
  <si>
    <t>E3650 DST O/H Cond, Wild Horse</t>
  </si>
  <si>
    <t>E3650 DST O/H Cond, WildHorse Expan</t>
  </si>
  <si>
    <t>E3650 DST O/H Cond, WildHorse Solar</t>
  </si>
  <si>
    <t>E3650 DST O/H Conductor/Devices</t>
  </si>
  <si>
    <t>E3651 HV DST O/H Cond, Baker Common</t>
  </si>
  <si>
    <t>E3651 HV DST O/H Cond, HopkinsRidge</t>
  </si>
  <si>
    <t>E3651 HV DST O/H Cond, Lower Baker</t>
  </si>
  <si>
    <t>E3651 HV DST O/H Cond, Snoqualmie 1</t>
  </si>
  <si>
    <t>E3651 HV DST O/H Cond, Snoqualmie 2</t>
  </si>
  <si>
    <t xml:space="preserve">E3651 HV DST O/H Cond, Sumas </t>
  </si>
  <si>
    <t>E3651 HV DST O/H Cond, Sumas OP</t>
  </si>
  <si>
    <t>E3651 HV DST O/H Cond, Upper Baker</t>
  </si>
  <si>
    <t>E3651 HV DST O/H Conductor/Devices</t>
  </si>
  <si>
    <t>E3651 HV DST O/H Cov-Ber NOT USED</t>
  </si>
  <si>
    <t>E3660 DST U/G Cond,Wild Horse Expan</t>
  </si>
  <si>
    <t>E3660 DST U/G Cond,Wild Horse Solar</t>
  </si>
  <si>
    <t>E3660 DST U/G Cond,Wild HorseWind</t>
  </si>
  <si>
    <t>E3660 DST U/G Conduit</t>
  </si>
  <si>
    <t>E3660 DST U/G Conduit, HopkinsRidge</t>
  </si>
  <si>
    <t>E3661 HV DST U/G Conduit</t>
  </si>
  <si>
    <t>E3661 HV DST U/G Conduit, Koma Kuls</t>
  </si>
  <si>
    <t>E3670 DST U/G Cond, Hopkins Ridge</t>
  </si>
  <si>
    <t>E3670 DST U/G Cond, Wild Horse</t>
  </si>
  <si>
    <t>E3670 DST U/G Cond, Wild Horse Exp</t>
  </si>
  <si>
    <t>E3670 DST U/G Conductor/Devices</t>
  </si>
  <si>
    <t>E3671 HV DST U/G Cond, Koma Kulshan</t>
  </si>
  <si>
    <t>E3671 HV DST U/G Conductor/Devices</t>
  </si>
  <si>
    <t>E368 DST Line Transformers</t>
  </si>
  <si>
    <t>E369 DST Services</t>
  </si>
  <si>
    <t>E370 DST Meters</t>
  </si>
  <si>
    <t>E371 DST Install on Cust Premises</t>
  </si>
  <si>
    <t>E3720 DST Leased on Cust Premises</t>
  </si>
  <si>
    <t>E3721 DST Water Heaters, 10 yrs</t>
  </si>
  <si>
    <t>E3722 DST Water Heaters, 15 yrs</t>
  </si>
  <si>
    <t>E373 DST Street Lighting &amp; Signal</t>
  </si>
  <si>
    <t>E374 DST ARO Distribution</t>
  </si>
  <si>
    <t>Tax only - Dupont Acq Adj</t>
  </si>
  <si>
    <t>TOTAL DISTRIBUTION</t>
  </si>
  <si>
    <t>E389 105 GEN Land &amp; Land Rights</t>
  </si>
  <si>
    <t>General Plant, Electric</t>
  </si>
  <si>
    <t>E389 GEN Land &amp; Land Rights</t>
  </si>
  <si>
    <t>E3900 GEN Str/Impv, Bellingham SvcC</t>
  </si>
  <si>
    <t>E3900 GEN Str/Impv, Burlington/Skag</t>
  </si>
  <si>
    <t>E3900 GEN Str/Impv, Colstrip 3-4</t>
  </si>
  <si>
    <t>E3900 GEN Str/Impv, Kitsap Svc Ctr</t>
  </si>
  <si>
    <t>E3900 GEN Str/Impv, Lakewood Svc Ct</t>
  </si>
  <si>
    <t>E3900 GEN Str/Impv, Mount Vernon BO</t>
  </si>
  <si>
    <t>E3900 GEN Str/Impv, Poulsbo Svc Ctr</t>
  </si>
  <si>
    <t>E3900 GEN Str/Impv, Pt Townsend Svc</t>
  </si>
  <si>
    <t>E3900 GEN Str/Impv, Puyallup Bus Of</t>
  </si>
  <si>
    <t>E3900 GEN Str/Impv, Redmond Svc Ctr</t>
  </si>
  <si>
    <t>E3900 GEN Str/Impv, Shuffleton Subs</t>
  </si>
  <si>
    <t>E3900 GEN Str/Impv, Skagit Svc Ctr</t>
  </si>
  <si>
    <t>E3900 GEN Str/Impv, Vashon Svc Ctr</t>
  </si>
  <si>
    <t>E3900 GEN Str/Impv, Whidbey Svc Ctr</t>
  </si>
  <si>
    <t>E3900 GEN Str/Impv, Wildhorse</t>
  </si>
  <si>
    <t>E3900 GEN Structures &amp; Improvement</t>
  </si>
  <si>
    <t>E3901 GEN LH, Bellingham</t>
  </si>
  <si>
    <t>E3901 GEN LH, Dayton</t>
  </si>
  <si>
    <t>E3901 GEN LH, Expired</t>
  </si>
  <si>
    <t>E3901 GEN LH, Oak Harbor</t>
  </si>
  <si>
    <t>E3901 GEN LH, Pomeroy</t>
  </si>
  <si>
    <t>E3901 GEN LH, Pt Townsend</t>
  </si>
  <si>
    <t>E3910 GEN Off Fur &amp; Eq, Fred1/Epcor</t>
  </si>
  <si>
    <t>E3910 GEN Office Furn &amp; Eq &lt; $20K</t>
  </si>
  <si>
    <t>E3910 GEN Office Furn &amp; Eq, Encogen</t>
  </si>
  <si>
    <t>E3910 GEN Office Furn &amp; Eq, Gold</t>
  </si>
  <si>
    <t>E3911 GEN Off F&amp;E Sumas OP old</t>
  </si>
  <si>
    <t>E3911 GEN Off Furn &amp; Eq, Mint Farm</t>
  </si>
  <si>
    <t>E3911 GEN Off Furn &amp; Eq, MTF OP</t>
  </si>
  <si>
    <t>E3911 GEN Off Furn &amp; Eq,Sumas</t>
  </si>
  <si>
    <t>E3911 GEN Office F&amp;E, GLD OP old</t>
  </si>
  <si>
    <t>E3911 GEN Office Furn &amp; Eq, new</t>
  </si>
  <si>
    <t>E3911 GEN Office Furn &amp; Eq, old</t>
  </si>
  <si>
    <t>E3912 GEN Computer Eq, Fred 1/Epcor</t>
  </si>
  <si>
    <t>E3912 GEN Computer Eq, Goldendale</t>
  </si>
  <si>
    <t>E3912 GEN Computer Eq, new</t>
  </si>
  <si>
    <t>E3912 GEN Computer Eq, old</t>
  </si>
  <si>
    <t>E3912 GEN Computer Eq, Sumas OP old</t>
  </si>
  <si>
    <t>E3912 GEN Computer Eq, Wild Hrs Exp</t>
  </si>
  <si>
    <t>E3912 GEN Computer Equip, Mint Farm</t>
  </si>
  <si>
    <t>E3912 GEN Computer Equip, MTF OP</t>
  </si>
  <si>
    <t>E3912 GEN Computer Equip, Sumas</t>
  </si>
  <si>
    <t>E3914 GEN Computer Equip &gt; $20K</t>
  </si>
  <si>
    <t>E392 GEN Trans Equip, new</t>
  </si>
  <si>
    <t>E392 GEN Trans Equip, old</t>
  </si>
  <si>
    <t>E392 GEN Transp Eq, Encogen old</t>
  </si>
  <si>
    <t>E3930 GEN Stores Equip, new</t>
  </si>
  <si>
    <t>E3930 GEN Stores Equip, old</t>
  </si>
  <si>
    <t>E3931 GEN Stores Equipment &gt; $20K</t>
  </si>
  <si>
    <t>E3940 GEN Tools/Garage,  MTF OP</t>
  </si>
  <si>
    <t>E3940 GEN Tools/Garage, MTF new</t>
  </si>
  <si>
    <t>E3940 GEN Tools/Garage/Shop, new</t>
  </si>
  <si>
    <t>E3940 GEN Tools/Garage/Shop, old</t>
  </si>
  <si>
    <t>E3941 GEN Tools/Garage/Shop &gt; $20K</t>
  </si>
  <si>
    <t>E3942 GEN Tools/Garage/Shop, 5 yr</t>
  </si>
  <si>
    <t>E3950 GEN Laboratory Equip, new</t>
  </si>
  <si>
    <t>E3950 GEN Laboratory Equip, old</t>
  </si>
  <si>
    <t>E3951 GEN Laboratory Equip &gt; $20K</t>
  </si>
  <si>
    <t>E396 GEN Power-Op Equip, new</t>
  </si>
  <si>
    <t>E396 GEN Power-Op Equip, old</t>
  </si>
  <si>
    <t>E3970 GEN Comm Equip, new</t>
  </si>
  <si>
    <t>E3970 GEN Comm Equip, old</t>
  </si>
  <si>
    <t>E3970 GEN CommEq, 3rd AC new</t>
  </si>
  <si>
    <t>E3970 GEN CommEq, 3rd AC old</t>
  </si>
  <si>
    <t>E3970 GEN CommEq, Colstrip 1-2 new</t>
  </si>
  <si>
    <t>E3970 GEN CommEq, Colstrip 1-2 old</t>
  </si>
  <si>
    <t>E3970 GEN CommEq, Colstrip 1-4 new</t>
  </si>
  <si>
    <t>E3970 GEN CommEq, Colstrip 1-4 old</t>
  </si>
  <si>
    <t>E3970 GEN CommEq, Colstrip 3-4 new</t>
  </si>
  <si>
    <t>E3970 GEN CommEq, Covington-Berryda</t>
  </si>
  <si>
    <t>E3970 GEN CommEq, Encogen</t>
  </si>
  <si>
    <t>E3970 GEN CommEq, Fred 1/Epcor old</t>
  </si>
  <si>
    <t>E3970 GEN CommEq, GLD OP old</t>
  </si>
  <si>
    <t>E3970 GEN CommEq, Goldendale</t>
  </si>
  <si>
    <t>E3970 GEN CommEq, Hopkins Ridge new</t>
  </si>
  <si>
    <t>E3970 GEN CommEq, Hopkins Ridge old</t>
  </si>
  <si>
    <t>E3970 GEN CommEq, MFT OP</t>
  </si>
  <si>
    <t>E3970 GEN CommEq, Mint Farm</t>
  </si>
  <si>
    <t>E3970 GEN CommEq, Sub, Alpac</t>
  </si>
  <si>
    <t>E3970 GEN CommEq, Sub, Arco Central</t>
  </si>
  <si>
    <t>E3970 GEN CommEq, Sub, Arco North</t>
  </si>
  <si>
    <t>E3970 GEN CommEq, Sub, Arco South</t>
  </si>
  <si>
    <t>E3970 GEN CommEq, Sub, Boeing Rentn</t>
  </si>
  <si>
    <t>E3970 GEN CommEq, Sub, Clover Vally</t>
  </si>
  <si>
    <t>E3970 GEN CommEq, Sub, Crescent Hbr</t>
  </si>
  <si>
    <t>E3970 GEN CommEq, Sub, Olymp Avon</t>
  </si>
  <si>
    <t>E3970 GEN CommEq, Sub, Paccar</t>
  </si>
  <si>
    <t>E3970 GEN CommEq, Sub, Poulsbo</t>
  </si>
  <si>
    <t>E3970 GEN CommEq, Sub, Texaco East</t>
  </si>
  <si>
    <t>E3970 GEN CommEq, Sub, Texaco West</t>
  </si>
  <si>
    <t>E3970 GEN CommEq, Sub, Vitulli</t>
  </si>
  <si>
    <t>E3970 GEN CommEq, Sub, Waterfront</t>
  </si>
  <si>
    <t xml:space="preserve">E3970 GEN CommEq, Sumas </t>
  </si>
  <si>
    <t>E3970 GEN CommEq, Sumas OP old</t>
  </si>
  <si>
    <t>E3970 GEN CommEq, Wild Horse new</t>
  </si>
  <si>
    <t>E3970 GEN CommEq, Wild Horse old</t>
  </si>
  <si>
    <t>E3971 GEN Mobile Communication Eq</t>
  </si>
  <si>
    <t>E3973 GEN Portable Radio Equipment</t>
  </si>
  <si>
    <t>E3980 GEN Misc Equipment, new</t>
  </si>
  <si>
    <t>E3980 GEN Misc Equipment, old</t>
  </si>
  <si>
    <t>E3981 GEN Misc Equipment &gt; $20K</t>
  </si>
  <si>
    <t>E399 GEN ARO General Plant Non-Rec</t>
  </si>
  <si>
    <t>GENERAL Plant</t>
  </si>
  <si>
    <t>Corrections to GEN Plant for retirements</t>
  </si>
  <si>
    <t>TOTAL ADJUSTED GENERAL</t>
  </si>
  <si>
    <t>gl_post_mo_yr</t>
  </si>
  <si>
    <t>begin_balance</t>
  </si>
  <si>
    <t>additions</t>
  </si>
  <si>
    <t>retirements</t>
  </si>
  <si>
    <t>transfers_in</t>
  </si>
  <si>
    <t>transfers_out</t>
  </si>
  <si>
    <t>adjustments</t>
  </si>
  <si>
    <t>end_balance</t>
  </si>
  <si>
    <t>As if retirements made prior to December 1, 2009</t>
  </si>
  <si>
    <t>Adjustment to SAP balance</t>
  </si>
  <si>
    <t>G3740 105 DST Land &amp; Land Rights</t>
  </si>
  <si>
    <t>Distribution Plant - Gas</t>
  </si>
  <si>
    <t>G3740 DST Land &amp; Land Rights</t>
  </si>
  <si>
    <t>G3741 DST Land &amp; Land Rights, Trans</t>
  </si>
  <si>
    <t>G3741 DST Land, Trans, Everett-Delt</t>
  </si>
  <si>
    <t>G3742 105 DST Easements</t>
  </si>
  <si>
    <t>G3742 DST Easements</t>
  </si>
  <si>
    <t>G3742 DST Easements, Everett-Delta</t>
  </si>
  <si>
    <t>G3743 DST Easements, From Transmsn</t>
  </si>
  <si>
    <t>G3743 DST Easements, Trans, Everett</t>
  </si>
  <si>
    <t>G3750 DST Str/Impv, Everett OprBase</t>
  </si>
  <si>
    <t>G3750 DST Str/Impv, Georgetown Oper</t>
  </si>
  <si>
    <t>G3750 DST Str/Impv, North Oper Base</t>
  </si>
  <si>
    <t>G3750 DST Structures &amp; Improvements</t>
  </si>
  <si>
    <t>G3751 DST Structures &amp; Imprv, Trans</t>
  </si>
  <si>
    <t>G3760 DST Mains-NOTUSED</t>
  </si>
  <si>
    <t>G3761 DST Mains, Cast Iron</t>
  </si>
  <si>
    <t>G3762 DST Mains, Plastic</t>
  </si>
  <si>
    <t>G3763 DST Mains, Bare Steel</t>
  </si>
  <si>
    <t>G3764 DST Mains, Wrap Stl, Everett</t>
  </si>
  <si>
    <t>G3764 DST Mains, Wrap Stl, Kittitas</t>
  </si>
  <si>
    <t>G3764 DST Mains, Wrapped Steel</t>
  </si>
  <si>
    <t>G3765 DST Mains, Cathodic Protectio</t>
  </si>
  <si>
    <t>G3766 DST Mains, Frm Trans, St Wrap</t>
  </si>
  <si>
    <t>G3766 DST Mains, Trans, Everett</t>
  </si>
  <si>
    <t>G3767 DST Mains, Frm Trans, Bare St</t>
  </si>
  <si>
    <t>G3780 DST Measuring &amp; Reg Station</t>
  </si>
  <si>
    <t>G3781 DST Measuring &amp; Reg Sta, Tran</t>
  </si>
  <si>
    <t>G3800 DST Services-DO NOT USE</t>
  </si>
  <si>
    <t>G3801 DST Services, Cathodic Protec</t>
  </si>
  <si>
    <t>G3802 DST Services, Plastic</t>
  </si>
  <si>
    <t>G3803 DST Services, Steel Wrapped</t>
  </si>
  <si>
    <t>G3804 DST Services, Bare Steel</t>
  </si>
  <si>
    <t>G3805 DST Services, Copper</t>
  </si>
  <si>
    <t>G381 DST Meters</t>
  </si>
  <si>
    <t>G382 DST Meter Installations</t>
  </si>
  <si>
    <t>G383 DST House Regulators</t>
  </si>
  <si>
    <t>G384 DST House Regulator Installs</t>
  </si>
  <si>
    <t>G385 DST Industrial M&amp;R Sta Eq</t>
  </si>
  <si>
    <t>G3860 DST Property on Cust Premises</t>
  </si>
  <si>
    <t>G3861 DST Com Water Heater</t>
  </si>
  <si>
    <t>G3861 DST Com Water Heater &lt; 1994</t>
  </si>
  <si>
    <t>G3862 DST Res Water Heater</t>
  </si>
  <si>
    <t>G3862 DST Res Water Heater &lt; 1994</t>
  </si>
  <si>
    <t>G3863 DST Res Conv Burner</t>
  </si>
  <si>
    <t>G3864 DST Com Wtr Htr, Pipe &amp; Vent</t>
  </si>
  <si>
    <t>G3865 DST Com Conv Burner</t>
  </si>
  <si>
    <t>G3866 DST Res C Burner, Pipe &amp; Vent</t>
  </si>
  <si>
    <t>G3867 DST Com C Burner, P&amp;V</t>
  </si>
  <si>
    <t>G3867 DST Com C Burner, P&amp;V &lt; 1994</t>
  </si>
  <si>
    <t>G3868 DST Res Wtr Htr, Pipe &amp; Vent</t>
  </si>
  <si>
    <t>G3869 DST Circulating Heaters</t>
  </si>
  <si>
    <t>G387 DST Other Equipment</t>
  </si>
  <si>
    <t>G388 DST ARO Distribution</t>
  </si>
  <si>
    <t>G389 105 GEN Land &amp; Land Rights</t>
  </si>
  <si>
    <t>General Plant, Gas</t>
  </si>
  <si>
    <t>G389 GEN Land &amp; Land Rights</t>
  </si>
  <si>
    <t>G390 105 GEN Structure  &amp; Improv</t>
  </si>
  <si>
    <t>G390 GEN Str/Impv, Centralia Bus Of</t>
  </si>
  <si>
    <t>G390 GEN Structures &amp; Improvements</t>
  </si>
  <si>
    <t>G3910 inactive</t>
  </si>
  <si>
    <t>G3911 GEN Office Furn &amp; Eq, new</t>
  </si>
  <si>
    <t>G3911 GEN Office Furn &amp; Eq, old</t>
  </si>
  <si>
    <t>G3912 GEN Computer Eq, new</t>
  </si>
  <si>
    <t>G3912 GEN Computer Eq, old</t>
  </si>
  <si>
    <t>G3914 GEN Computer Equip &gt; $20K</t>
  </si>
  <si>
    <t>G3915 GEN Network Equipment</t>
  </si>
  <si>
    <t>G3916 GEN Data Equipment</t>
  </si>
  <si>
    <t>G392 GEN Trans Equip, new</t>
  </si>
  <si>
    <t>G392 GEN Trans Equip, old</t>
  </si>
  <si>
    <t>G3930 GEN Stores Equip, new</t>
  </si>
  <si>
    <t>G3930 GEN Stores Equip, old</t>
  </si>
  <si>
    <t>G3931 GEN Stores Equipment &gt; $20K</t>
  </si>
  <si>
    <t>G3940 GEN Tools/Garage/Shop, new</t>
  </si>
  <si>
    <t>G3940 GEN Tools/Garage/Shop, old</t>
  </si>
  <si>
    <t>G3941 GEN Tools/Garage/Shop &gt; $20K</t>
  </si>
  <si>
    <t>G3942 GEN Tools, 5 yrs</t>
  </si>
  <si>
    <t>G3943 GEN Tools, From G387 &lt; $20K</t>
  </si>
  <si>
    <t>G3950 GEN Laboratory Equip, new</t>
  </si>
  <si>
    <t>G3950 GEN Laboratory Equip, old</t>
  </si>
  <si>
    <t>G3951 GEN Laboratory Equip &gt; $20K</t>
  </si>
  <si>
    <t>G396 GEN Power Op Equip, new</t>
  </si>
  <si>
    <t>G396 GEN Power Op Equip, old</t>
  </si>
  <si>
    <t>G3970 GEN Comm Equip, new</t>
  </si>
  <si>
    <t>G3970 GEN Comm Equip, old</t>
  </si>
  <si>
    <t>G3971 GEN Mobile Comm Eq</t>
  </si>
  <si>
    <t>G3972 GEN Telecommunications Eq</t>
  </si>
  <si>
    <t>G3980 GEN Misc Equip, new</t>
  </si>
  <si>
    <t>G3980 GEN Misc Equip, old</t>
  </si>
  <si>
    <t>G3981 GEN Misc Equipment &gt; $20K</t>
  </si>
  <si>
    <t>G399 GEN Other Tangible Property</t>
  </si>
  <si>
    <t>TOTAL GENERAL PLANT</t>
  </si>
  <si>
    <t>As if corrections made prior to December 1, 2009</t>
  </si>
  <si>
    <t>PUGET SOUND ENERGY, INC.</t>
  </si>
  <si>
    <t>AVERAGE NUMBER OF CUSTOMERS</t>
  </si>
  <si>
    <t>Month Ended</t>
  </si>
  <si>
    <t>Variance from Prior Year</t>
  </si>
  <si>
    <t>Customers</t>
  </si>
  <si>
    <t>Actual</t>
  </si>
  <si>
    <t>Prior Year</t>
  </si>
  <si>
    <t>Amount</t>
  </si>
  <si>
    <t>Residential</t>
  </si>
  <si>
    <t>Commercial - Firm</t>
  </si>
  <si>
    <t>Commercial Interruptible</t>
  </si>
  <si>
    <t>Industrial - Firm</t>
  </si>
  <si>
    <t>Industrial Interruptible</t>
  </si>
  <si>
    <t>Outdoor Lighting</t>
  </si>
  <si>
    <t>Electric Sales for Resale - Firm</t>
  </si>
  <si>
    <t>Transportation - Electric</t>
  </si>
  <si>
    <t>Total Number of Customers</t>
  </si>
  <si>
    <t>Quarter-to-Date</t>
  </si>
  <si>
    <t>Year-To-Date</t>
  </si>
  <si>
    <t>Twelve Months Ended</t>
  </si>
  <si>
    <t>Gas Transportation</t>
  </si>
  <si>
    <t>PAGE 5.03</t>
  </si>
  <si>
    <t>CONTRACT CHANGES - GAS</t>
  </si>
  <si>
    <t>FOR TWELVE MONTHS ENDED DECEMBER 31, 2010</t>
  </si>
  <si>
    <t>FOR RATE YEAR ENDING APRIL 2013</t>
  </si>
  <si>
    <t>interest only (Carrying cost)</t>
  </si>
  <si>
    <t>TWELVE MONTH TEST YEAR ENDING DECEMBER 31, 2010</t>
  </si>
  <si>
    <t>2010 Pro Forma Saving Pecent Calculation</t>
  </si>
  <si>
    <t>2010 O&amp;M Baseline</t>
  </si>
  <si>
    <t>2009 Saving %</t>
  </si>
  <si>
    <t>2010 Savings</t>
  </si>
  <si>
    <t>Estimated Rate Year Amount</t>
  </si>
  <si>
    <t>2009 Cost Savings Analysis</t>
  </si>
  <si>
    <t>Total 2009 Totals</t>
  </si>
  <si>
    <t>Total 2009 Totals with estimated savings</t>
  </si>
  <si>
    <t>Savings</t>
  </si>
  <si>
    <t>2010 O&amp;M</t>
  </si>
  <si>
    <t>Sum of Actual</t>
  </si>
  <si>
    <t>Cost Elem description</t>
  </si>
  <si>
    <t>O/S Serv</t>
  </si>
  <si>
    <t>O/S - Cap Accrual</t>
  </si>
  <si>
    <t>OS Fld XFR</t>
  </si>
  <si>
    <t>62300070</t>
  </si>
  <si>
    <t>62309999</t>
  </si>
  <si>
    <t>69990178</t>
  </si>
  <si>
    <t>INCREASE (DECREASE ) IN EXPENSE</t>
  </si>
  <si>
    <t>INCREASE (DECREASE) EXCISE AND WUTC FILING FEE</t>
  </si>
  <si>
    <t xml:space="preserve">INCREASE (DECREASE) OPERATING EXPENSE </t>
  </si>
  <si>
    <t>Docket Numbers UE-11_____</t>
  </si>
  <si>
    <t>Exhibit No. ______ (MJS-5)</t>
  </si>
  <si>
    <t xml:space="preserve">STEEL PIPE RECLASSIFICATION </t>
  </si>
  <si>
    <t>2010 GENERAL RATE INCREASE</t>
  </si>
  <si>
    <t>TOTAL DEPRECIATION EXPENSE</t>
  </si>
  <si>
    <t>Depreciation Expense Related to the Reclassification of BARE STEEL PIPE</t>
  </si>
  <si>
    <t>Difference</t>
  </si>
  <si>
    <t>G3763 DST MAINS BARE STEEL</t>
  </si>
  <si>
    <t>Transfer Out</t>
  </si>
  <si>
    <t>Retirements</t>
  </si>
  <si>
    <t>Depreciable Base Factor</t>
  </si>
  <si>
    <t xml:space="preserve">Depreciable Base </t>
  </si>
  <si>
    <t>Depreciation Rate</t>
  </si>
  <si>
    <t xml:space="preserve">G3763 Depreciation </t>
  </si>
  <si>
    <t>G3767 DST MAINS BARE STEEL</t>
  </si>
  <si>
    <t xml:space="preserve">G3767 Depreciation </t>
  </si>
  <si>
    <t>G3764 DST MAINS WRAPPED STEEL</t>
  </si>
  <si>
    <t>Transfer In</t>
  </si>
  <si>
    <t>Annual Factor</t>
  </si>
  <si>
    <t>G3766 DST MAINS  FIRM TRANS, ST WRAP</t>
  </si>
  <si>
    <t>Total Depreciation</t>
  </si>
  <si>
    <t>Depreciation</t>
  </si>
  <si>
    <t>Accum Depr</t>
  </si>
  <si>
    <t>Docket Number UG-11____</t>
  </si>
  <si>
    <t>Exhibit No. ______ (MJS-06)</t>
  </si>
  <si>
    <t>Page 6.02</t>
  </si>
  <si>
    <t>ADD GTIF INCREASE DOCEKT UG-101644</t>
  </si>
  <si>
    <t xml:space="preserve">   TRUE UP CHANGE IN UNBILLED</t>
  </si>
  <si>
    <t xml:space="preserve">            REMOVE STORAGE RENTAL REVENUE</t>
  </si>
  <si>
    <t xml:space="preserve">2011 General Rate Case Filing </t>
  </si>
  <si>
    <t>Test Year Ended December 31, 2010</t>
  </si>
  <si>
    <t>November</t>
  </si>
  <si>
    <t>April 2011</t>
  </si>
  <si>
    <t>Sched. 85/85T</t>
  </si>
  <si>
    <t>Sched. 41T/86T</t>
  </si>
  <si>
    <t>Schedule 41</t>
  </si>
  <si>
    <t>GRC (2)</t>
  </si>
  <si>
    <t>2010 PGA (3)</t>
  </si>
  <si>
    <t>GTIF (4)</t>
  </si>
  <si>
    <t>Min. Chrg.</t>
  </si>
  <si>
    <t xml:space="preserve">Migration </t>
  </si>
  <si>
    <t>RAF (5)</t>
  </si>
  <si>
    <t>V</t>
  </si>
  <si>
    <t>W</t>
  </si>
  <si>
    <t>Transportation - Limited interruptible (86T)</t>
  </si>
  <si>
    <t>November 2010 Purchased Gas Adjustment.</t>
  </si>
  <si>
    <t>Gas Tariff Increase Filing UG-101644.</t>
  </si>
  <si>
    <t>(5)</t>
  </si>
  <si>
    <t>Check RAF</t>
  </si>
  <si>
    <t>Page 6.03</t>
  </si>
  <si>
    <t>PASS THROUGH REVENUE AND EXPENSE - GAS</t>
  </si>
  <si>
    <t xml:space="preserve"> FOR THE TWELVE MONTHS ENDED DECEMBER 31, 2010</t>
  </si>
  <si>
    <t>REMOVE LOW INCOME RIDER - SCHEDULE 129</t>
  </si>
  <si>
    <t>REMOVE CONSERVATION TRACKER - SCHEDULE 120</t>
  </si>
  <si>
    <t>DECREASE REVENUE SENSITIVE ITEMS FOR DECREASE IN REVENUES:</t>
  </si>
  <si>
    <t xml:space="preserve">STATE UTILITY TAX </t>
  </si>
  <si>
    <t xml:space="preserve">TOTAL </t>
  </si>
  <si>
    <t>these amounts will need to be filled in later</t>
  </si>
  <si>
    <t>these amounts are from Janet's workpapers attached to the stand-alone file for REVENUE and EXPENSE ADJ.</t>
  </si>
  <si>
    <t xml:space="preserve">they are for 9 months ending June 30, 2007 only </t>
  </si>
  <si>
    <t>INCREASE (DECREASE) OPERATING INCOME BEFORE FIT</t>
  </si>
  <si>
    <t>INCREASE (DECREASE) FIT  (LINE 24 * 35%)</t>
  </si>
  <si>
    <t>Object number</t>
  </si>
  <si>
    <t>Order Text</t>
  </si>
  <si>
    <t>Per</t>
  </si>
  <si>
    <t>User</t>
  </si>
  <si>
    <t>Statistical Qty</t>
  </si>
  <si>
    <t>StatKF</t>
  </si>
  <si>
    <t>Doc. no.</t>
  </si>
  <si>
    <t>DocDate</t>
  </si>
  <si>
    <t>PostgDate</t>
  </si>
  <si>
    <t>Segment text</t>
  </si>
  <si>
    <t>OR000048100032</t>
  </si>
  <si>
    <t xml:space="preserve">   48100032</t>
  </si>
  <si>
    <t>COM F CL05 RT031 Billed -Gas</t>
  </si>
  <si>
    <t>WWILSO</t>
  </si>
  <si>
    <t>LIP-G</t>
  </si>
  <si>
    <t>400037320</t>
  </si>
  <si>
    <t>400037523</t>
  </si>
  <si>
    <t>400037600</t>
  </si>
  <si>
    <t>True-Up for January</t>
  </si>
  <si>
    <t>400037805</t>
  </si>
  <si>
    <t>400037903</t>
  </si>
  <si>
    <t>400038306</t>
  </si>
  <si>
    <t>400038704</t>
  </si>
  <si>
    <t>400039003</t>
  </si>
  <si>
    <t>400039416</t>
  </si>
  <si>
    <t>400039518</t>
  </si>
  <si>
    <t>RSTANL</t>
  </si>
  <si>
    <t>400039803</t>
  </si>
  <si>
    <t>400040015</t>
  </si>
  <si>
    <t>400040116</t>
  </si>
  <si>
    <t>StatKey LIP-G</t>
  </si>
  <si>
    <t>Transaction ZAQ_GL_30</t>
  </si>
  <si>
    <t>Low Income Surcharge Billed Revenue per $PSEA65A</t>
  </si>
  <si>
    <t>Low Income from Adjustments to Test Year Revenue</t>
  </si>
  <si>
    <t>Change in Unbilled</t>
  </si>
  <si>
    <t>SOG and Stat</t>
  </si>
  <si>
    <t>Price Schedule</t>
  </si>
  <si>
    <t>23G</t>
  </si>
  <si>
    <t>23G-ND</t>
  </si>
  <si>
    <t>23G-NK</t>
  </si>
  <si>
    <t>23G-NR</t>
  </si>
  <si>
    <t>23G-NS</t>
  </si>
  <si>
    <t>31G-C</t>
  </si>
  <si>
    <t>31G-C ND</t>
  </si>
  <si>
    <t>31G-C-NK</t>
  </si>
  <si>
    <t>31G-C-NR</t>
  </si>
  <si>
    <t>31G-C-NS</t>
  </si>
  <si>
    <t>31G-I</t>
  </si>
  <si>
    <t>31G-I-NK</t>
  </si>
  <si>
    <t>31G-I-NR</t>
  </si>
  <si>
    <t>36G-C</t>
  </si>
  <si>
    <t>36G-C-NK</t>
  </si>
  <si>
    <t>36G-C-NR</t>
  </si>
  <si>
    <t>41G-C-NK</t>
  </si>
  <si>
    <t>41G-C2</t>
  </si>
  <si>
    <t>41G-I2</t>
  </si>
  <si>
    <t>50G-C</t>
  </si>
  <si>
    <t>50G-C-A</t>
  </si>
  <si>
    <t>50G-C-C</t>
  </si>
  <si>
    <t>51G</t>
  </si>
  <si>
    <t>57G-C</t>
  </si>
  <si>
    <t>57G-I</t>
  </si>
  <si>
    <t>85G-C2</t>
  </si>
  <si>
    <t>85G-C3</t>
  </si>
  <si>
    <t>85G-I2</t>
  </si>
  <si>
    <t>85G-I3</t>
  </si>
  <si>
    <t>86G-C2</t>
  </si>
  <si>
    <t>86G-I2</t>
  </si>
  <si>
    <t>87G-C3</t>
  </si>
  <si>
    <t>87G-C4</t>
  </si>
  <si>
    <t>87G-I3</t>
  </si>
  <si>
    <t>87G-I4</t>
  </si>
  <si>
    <t>31TG-C</t>
  </si>
  <si>
    <t>31TG-I</t>
  </si>
  <si>
    <t>41TG-C</t>
  </si>
  <si>
    <t>41TG-I</t>
  </si>
  <si>
    <t>85TG-C</t>
  </si>
  <si>
    <t>85TG-I</t>
  </si>
  <si>
    <t>86TG-C</t>
  </si>
  <si>
    <t>86TG-I</t>
  </si>
  <si>
    <t>87TG-C</t>
  </si>
  <si>
    <t>87TG-I</t>
  </si>
  <si>
    <t>53P</t>
  </si>
  <si>
    <t>94P</t>
  </si>
  <si>
    <t>97P</t>
  </si>
  <si>
    <t xml:space="preserve">  ZO12                      Orders: Actual 12 Month Ended Dec 2010</t>
  </si>
  <si>
    <t xml:space="preserve">  Date:                     02/18/2011</t>
  </si>
  <si>
    <t xml:space="preserve">  Pages:                      0</t>
  </si>
  <si>
    <t xml:space="preserve">  Requested by:             NPEDER</t>
  </si>
  <si>
    <t>90800350  4465 - Low Income Program  - Gas</t>
  </si>
  <si>
    <t>Over/underabsorption</t>
  </si>
  <si>
    <t>48000912  Residential Sched 120G - Gas</t>
  </si>
  <si>
    <t>48100482  Industrial Sched 120G - Gas</t>
  </si>
  <si>
    <t>48100282  Commercial Sched 120G - Gas</t>
  </si>
  <si>
    <t>SOG 12ME 12/31/2010</t>
  </si>
  <si>
    <t>TWELVE MONTHS ENDED DECEMBER, 2010</t>
  </si>
  <si>
    <t>Removed on Adjustment 6.02 G Revenue and Expense</t>
  </si>
  <si>
    <t xml:space="preserve">  ZO12                      Orders: Actual 12 Month Ended December 2010</t>
  </si>
  <si>
    <t xml:space="preserve">  Date:                     03/15/2011</t>
  </si>
  <si>
    <t>90800407  4400-Cust Asst Exp-Consr Trckr Amort-Gas</t>
  </si>
  <si>
    <t>80510004  PGA Deferral - PGA Amort -Purch Gas Cos</t>
  </si>
  <si>
    <t>80510006  PGA Deferral - PGA Amort (Demand)</t>
  </si>
  <si>
    <t>80510007  PGA Deferral - PGA Amort (Commodity)</t>
  </si>
  <si>
    <t>80510008  PGA Deferral - PGA Amort Jun09-May10</t>
  </si>
  <si>
    <t xml:space="preserve">  Date:                     03/14/2011</t>
  </si>
  <si>
    <t>48000902  Residential B&amp;O Tax - Gas</t>
  </si>
  <si>
    <t>48100472  Industrial B&amp;O Tax - Gas</t>
  </si>
  <si>
    <t>48100272  Commercial B&amp;O Tax - Gas</t>
  </si>
  <si>
    <t>Residential Schedule (16)</t>
  </si>
  <si>
    <t>Other Operating Revenue taxes (Rentals) 49300302</t>
  </si>
  <si>
    <t>40810303  Municipal Taxes</t>
  </si>
  <si>
    <t>GAS TARIFF REVISIONS</t>
  </si>
  <si>
    <t xml:space="preserve"> FOR THE TWELVE MONTHS ENDING DECEMBER 31, 2010</t>
  </si>
  <si>
    <t>SCHEDULE 106 REVENUE - PGA DEFERRAL</t>
  </si>
  <si>
    <t>Residential (23,53)</t>
  </si>
  <si>
    <t>Commercial heating (36)</t>
  </si>
  <si>
    <t>Transportation - Large volumn (41T)</t>
  </si>
  <si>
    <t>Compressed natural gas (50)</t>
  </si>
  <si>
    <t>Multiple unit housing (51)</t>
  </si>
  <si>
    <t>Transportation - Interruptible (85T)</t>
  </si>
  <si>
    <t>Transportation - Non exclusive Interruptible (87T)</t>
  </si>
  <si>
    <t>Transportation (57)</t>
  </si>
  <si>
    <t>PSE Direct</t>
  </si>
  <si>
    <t>Net Operating</t>
  </si>
  <si>
    <t>Return on</t>
  </si>
  <si>
    <t>Rate Base</t>
  </si>
  <si>
    <t xml:space="preserve">(c) </t>
  </si>
  <si>
    <t>(e)</t>
  </si>
  <si>
    <t>(f)</t>
  </si>
  <si>
    <t>(g)</t>
  </si>
  <si>
    <t>Actual Results of Operations</t>
  </si>
  <si>
    <t>Reclass Bare to Wrapped Steel</t>
  </si>
  <si>
    <t>Contract Charges</t>
  </si>
  <si>
    <t>Revenues &amp; Expenses</t>
  </si>
  <si>
    <t>Pass-Through Revenue &amp; Expense</t>
  </si>
  <si>
    <t>Injuries &amp; Damages</t>
  </si>
  <si>
    <t>Bad Debt</t>
  </si>
  <si>
    <t>Rate Case Expense</t>
  </si>
  <si>
    <t>Deferred G/L on Property Sales</t>
  </si>
  <si>
    <t>Property and Liability Insurance</t>
  </si>
  <si>
    <t>Total Adjustment</t>
  </si>
  <si>
    <t>Adjusted Results of Operations</t>
  </si>
  <si>
    <t>PSE Gas Direct Case</t>
  </si>
  <si>
    <t>Company</t>
  </si>
  <si>
    <t>Employee</t>
  </si>
  <si>
    <t>Requirement</t>
  </si>
  <si>
    <t xml:space="preserve">of </t>
  </si>
  <si>
    <t>Witness</t>
  </si>
  <si>
    <t>Assigned</t>
  </si>
  <si>
    <t>No.</t>
  </si>
  <si>
    <t>Impact</t>
  </si>
  <si>
    <t>Return</t>
  </si>
  <si>
    <t>Per Books</t>
  </si>
  <si>
    <t>Stranik</t>
  </si>
  <si>
    <t>Applegate</t>
  </si>
  <si>
    <t>Mickelson</t>
  </si>
  <si>
    <t>Chang</t>
  </si>
  <si>
    <t>Novak</t>
  </si>
  <si>
    <t>Story</t>
  </si>
  <si>
    <t>Story/Marcelia</t>
  </si>
  <si>
    <t>Applegate/Erdahl</t>
  </si>
  <si>
    <t>Erdahl</t>
  </si>
  <si>
    <t>Marcelia</t>
  </si>
  <si>
    <t>Stranik/Hunt</t>
  </si>
  <si>
    <t>Story/Hunt</t>
  </si>
  <si>
    <t>Other Issues</t>
  </si>
  <si>
    <t>Schooley</t>
  </si>
  <si>
    <t>PIP</t>
  </si>
  <si>
    <t>DeBoer/Piliaris</t>
  </si>
  <si>
    <t>Gaines/Olson</t>
  </si>
  <si>
    <t>Elgin</t>
  </si>
  <si>
    <t>Rate of Return/Capital Structure</t>
  </si>
  <si>
    <t>Riding</t>
  </si>
  <si>
    <t>Buckley</t>
  </si>
  <si>
    <t>Gas Contracts</t>
  </si>
  <si>
    <t>Tax - Repairs Deduction</t>
  </si>
  <si>
    <t>Tax - Retirements</t>
  </si>
  <si>
    <t>Tax- NOL</t>
  </si>
  <si>
    <t>Metering</t>
  </si>
  <si>
    <t>Phelps</t>
  </si>
  <si>
    <t>Cost of Service/Rate Design</t>
  </si>
  <si>
    <t>McLain</t>
  </si>
  <si>
    <t>Reynolds</t>
  </si>
  <si>
    <t>Reliability</t>
  </si>
  <si>
    <t>Zawislak</t>
  </si>
  <si>
    <t>Allocations</t>
  </si>
  <si>
    <t>Working Capital</t>
  </si>
  <si>
    <t>Aladin</t>
  </si>
  <si>
    <t>PCA</t>
  </si>
  <si>
    <t>Reynolds/Kouchi</t>
  </si>
  <si>
    <t>Customer Issues</t>
  </si>
  <si>
    <t>Adj.</t>
  </si>
  <si>
    <t>check</t>
  </si>
  <si>
    <t>Rev Req @</t>
  </si>
  <si>
    <t>Audit Team: Mickelson, Martin, Schooley, Erdahl, Applegate, Zawislak</t>
  </si>
  <si>
    <t>Results of Operations: Mickelson</t>
  </si>
  <si>
    <t>* Remove true-up within this adjustment</t>
  </si>
  <si>
    <t>UE-111049 Gas  OVERALL CASE LEAD/POLICY: Rick Applegate/ Tom Schooley, GAS RESULTS OF OPERATIONS: Chris Mickelson</t>
  </si>
  <si>
    <t>General Audit Team: Mickelson, Martin, Schooley, Erdahl, Applegate, Zawislak</t>
  </si>
  <si>
    <t>Revised 9-13</t>
  </si>
  <si>
    <t>Comment</t>
  </si>
  <si>
    <t>Investigating</t>
  </si>
  <si>
    <t>Schooley/Vasconi</t>
  </si>
  <si>
    <t>Investigating - Possible relation to the PIP</t>
  </si>
  <si>
    <t>Martin</t>
  </si>
  <si>
    <t>Investigating - allocation factors</t>
  </si>
  <si>
    <t>Recruiting consultant</t>
  </si>
  <si>
    <t>Flag as an issue, non issue once handled by the consultant.</t>
  </si>
  <si>
    <t>OK</t>
  </si>
  <si>
    <t>Contesting - Policy Consideration</t>
  </si>
  <si>
    <t xml:space="preserve">Ok - need to clarify </t>
  </si>
  <si>
    <t>Not a part of this case, may effect Ken's rate of return recommendation</t>
  </si>
  <si>
    <t>Reynolds/Mickelson</t>
  </si>
  <si>
    <t>Conservation savings adjustment</t>
  </si>
  <si>
    <t>Policy issue to follow up with Deborah</t>
  </si>
  <si>
    <t>Decoupling</t>
  </si>
  <si>
    <t>This follows with conservation</t>
  </si>
  <si>
    <t>Get numbers from bob 9.5 and 46 as opposed 48</t>
  </si>
  <si>
    <t>Back billings, possible revenue requirement issue here possible malfunction of the settlement</t>
  </si>
  <si>
    <t>OK as to cost of service</t>
  </si>
  <si>
    <t>Investigating, may not be an issue with no witness associated, possible cross answering issue</t>
  </si>
  <si>
    <t>Investigating, coordinate with Chris on Electric, possible merger issue here</t>
  </si>
  <si>
    <t>Investigating, likely contested - look for something that Danny did with working capital 090704</t>
  </si>
  <si>
    <t>Investigating, possible issue with incentives payments - look to the pass through adjustment</t>
  </si>
  <si>
    <t>2009 Pilchuck vs. InfraSource Cost Savings Analysis</t>
  </si>
  <si>
    <t>Pilchuck Cost Summary (actual exp. costs)</t>
  </si>
  <si>
    <t>InfraSource Cost Summary (quantities estimated based on 2009)</t>
  </si>
  <si>
    <t>Pilchuck ID</t>
  </si>
  <si>
    <t>Contract</t>
  </si>
  <si>
    <t>2009 Quantity</t>
  </si>
  <si>
    <t>Pilchuck Price (no 3rd Party or Permitting)</t>
  </si>
  <si>
    <t>Total Cost</t>
  </si>
  <si>
    <t>InfraSource ID</t>
  </si>
  <si>
    <t>2009 Quantity Estimate</t>
  </si>
  <si>
    <t>IFS Price</t>
  </si>
  <si>
    <t>NCC</t>
  </si>
  <si>
    <t>GSC-1</t>
  </si>
  <si>
    <t>System/O&amp;M</t>
  </si>
  <si>
    <t>GSC-2</t>
  </si>
  <si>
    <t>GSC-3</t>
  </si>
  <si>
    <t>GSC-3.1</t>
  </si>
  <si>
    <t>GSC-4</t>
  </si>
  <si>
    <t>GSC-4.1</t>
  </si>
  <si>
    <t>GSC-5</t>
  </si>
  <si>
    <t>GSC-5.1</t>
  </si>
  <si>
    <t>GSC-6</t>
  </si>
  <si>
    <t>GSC-6.1</t>
  </si>
  <si>
    <t>GSC-7</t>
  </si>
  <si>
    <t>GSC-8</t>
  </si>
  <si>
    <t>GSC-8.1</t>
  </si>
  <si>
    <t>GSC-8.2</t>
  </si>
  <si>
    <t>GSC-8.3</t>
  </si>
  <si>
    <t>GSC-9</t>
  </si>
  <si>
    <t>GSC-10</t>
  </si>
  <si>
    <t>GSC-10.1</t>
  </si>
  <si>
    <t>GSC-10.2</t>
  </si>
  <si>
    <t>GSC-10.3</t>
  </si>
  <si>
    <t xml:space="preserve">GSC-11 </t>
  </si>
  <si>
    <t>GSC -11.1</t>
  </si>
  <si>
    <t>GSC-12</t>
  </si>
  <si>
    <t>GSC-13</t>
  </si>
  <si>
    <t>GSC-13.1</t>
  </si>
  <si>
    <t>GSC-13.2</t>
  </si>
  <si>
    <t>GSC-13.3</t>
  </si>
  <si>
    <t>GSC-14</t>
  </si>
  <si>
    <t>GSC-14.1</t>
  </si>
  <si>
    <t>GSC-14.2</t>
  </si>
  <si>
    <t>GSC-14.3</t>
  </si>
  <si>
    <t>GSC-15</t>
  </si>
  <si>
    <t>GSC-15.1</t>
  </si>
  <si>
    <t>GSC-15.2</t>
  </si>
  <si>
    <t>GSC-15.3</t>
  </si>
  <si>
    <t>GSC-16</t>
  </si>
  <si>
    <t>GSC-16.1</t>
  </si>
  <si>
    <t>GSC-16.2</t>
  </si>
  <si>
    <t>GSC-17</t>
  </si>
  <si>
    <t>GSC-18</t>
  </si>
  <si>
    <t>GSC-18.1</t>
  </si>
  <si>
    <t>GSC-19</t>
  </si>
  <si>
    <t>GSC-19.1</t>
  </si>
  <si>
    <t>GSC-20</t>
  </si>
  <si>
    <t>GSC-20.1</t>
  </si>
  <si>
    <t>GSC-20.2</t>
  </si>
  <si>
    <t>GSC-21</t>
  </si>
  <si>
    <t>GSC-21.1</t>
  </si>
  <si>
    <t xml:space="preserve">GSC-21.2 </t>
  </si>
  <si>
    <t>GSC-21.3</t>
  </si>
  <si>
    <t>GSC-22</t>
  </si>
  <si>
    <t>GSC-22.1</t>
  </si>
  <si>
    <t xml:space="preserve">GSC-22.2 </t>
  </si>
  <si>
    <t>GSC-22.3</t>
  </si>
  <si>
    <t>GSC-23</t>
  </si>
  <si>
    <t>GSC-24</t>
  </si>
  <si>
    <t>GSC-24.1</t>
  </si>
  <si>
    <t xml:space="preserve">GSC-25 </t>
  </si>
  <si>
    <t>GSC-25.1</t>
  </si>
  <si>
    <t>GSC-25.2</t>
  </si>
  <si>
    <t>GSC-25.3</t>
  </si>
  <si>
    <t>GSC-26</t>
  </si>
  <si>
    <t>GSC 26.1</t>
  </si>
  <si>
    <t>GSC-26.2</t>
  </si>
  <si>
    <t xml:space="preserve">GSC-26.3 </t>
  </si>
  <si>
    <t>GSC-26.4</t>
  </si>
  <si>
    <t>GSC-27</t>
  </si>
  <si>
    <t>GSC-28</t>
  </si>
  <si>
    <t>GSC-29</t>
  </si>
  <si>
    <t>GSC-29.1</t>
  </si>
  <si>
    <t>GSC-29.2</t>
  </si>
  <si>
    <t>GSC-29.3</t>
  </si>
  <si>
    <t>GSC-30</t>
  </si>
  <si>
    <t>GSC-30.1</t>
  </si>
  <si>
    <t>GSC-30.2</t>
  </si>
  <si>
    <t>GSC-30.3</t>
  </si>
  <si>
    <t>GSC-31</t>
  </si>
  <si>
    <t>GSC-32</t>
  </si>
  <si>
    <t>GSC-32.1</t>
  </si>
  <si>
    <t>GSC-32.2</t>
  </si>
  <si>
    <t>GSC-32.3</t>
  </si>
  <si>
    <t>GSC-33</t>
  </si>
  <si>
    <t>GSC-33.1</t>
  </si>
  <si>
    <t>GSC-33.2</t>
  </si>
  <si>
    <t>GSC-33.3</t>
  </si>
  <si>
    <t>GSC-34</t>
  </si>
  <si>
    <t>GSC-34.1</t>
  </si>
  <si>
    <t>GSC-34.2</t>
  </si>
  <si>
    <t>GSC-34.3</t>
  </si>
  <si>
    <t>GSC-35</t>
  </si>
  <si>
    <t>GSC-35.1</t>
  </si>
  <si>
    <t>GSC-35.2</t>
  </si>
  <si>
    <t>GSC-35.3</t>
  </si>
  <si>
    <t>GSC-36</t>
  </si>
  <si>
    <t>GSC-36.1</t>
  </si>
  <si>
    <t>GSC-36.2</t>
  </si>
  <si>
    <t>GSC-36.3</t>
  </si>
  <si>
    <t>GSC-36.4</t>
  </si>
  <si>
    <t>GSC-36.5</t>
  </si>
  <si>
    <t>GSC-37</t>
  </si>
  <si>
    <t>GSC-37.1</t>
  </si>
  <si>
    <t>GSC-37.2</t>
  </si>
  <si>
    <t>GSC-37.3</t>
  </si>
  <si>
    <t>2009 Pilchuck Costs</t>
  </si>
  <si>
    <t>GSC-38</t>
  </si>
  <si>
    <t>GSC-38.1</t>
  </si>
  <si>
    <t>GSC-39</t>
  </si>
  <si>
    <t>GSC-39.1</t>
  </si>
  <si>
    <t>GSC-39.2</t>
  </si>
  <si>
    <t>GSC-40</t>
  </si>
  <si>
    <t>GSC-40.1</t>
  </si>
  <si>
    <t>GSC-40.2</t>
  </si>
  <si>
    <t xml:space="preserve">GSA-4 </t>
  </si>
  <si>
    <t>GSA-4.1</t>
  </si>
  <si>
    <t>GSA-4.2</t>
  </si>
  <si>
    <t>GSA-5</t>
  </si>
  <si>
    <t xml:space="preserve">GSA-6 </t>
  </si>
  <si>
    <t>GSA-7</t>
  </si>
  <si>
    <t>GSA-7.1</t>
  </si>
  <si>
    <t>GSA-8</t>
  </si>
  <si>
    <t>GSA-8.1</t>
  </si>
  <si>
    <t>GSA-8.2</t>
  </si>
  <si>
    <t>GSA-8.3</t>
  </si>
  <si>
    <t>GSA-8.4</t>
  </si>
  <si>
    <t>GSA-8.5</t>
  </si>
  <si>
    <t>GSA-8.6</t>
  </si>
  <si>
    <t>GSA-9</t>
  </si>
  <si>
    <t>GSA-10</t>
  </si>
  <si>
    <t>GSA-10.1</t>
  </si>
  <si>
    <t>GSA-11</t>
  </si>
  <si>
    <t>GSA-11.1</t>
  </si>
  <si>
    <t>GSA-11.2</t>
  </si>
  <si>
    <t>GSA-12</t>
  </si>
  <si>
    <t>GSA-12.1</t>
  </si>
  <si>
    <t>GSA-12.2</t>
  </si>
  <si>
    <t>GSA-12.3</t>
  </si>
  <si>
    <t>GOM - 1</t>
  </si>
  <si>
    <t>GOM - 2</t>
  </si>
  <si>
    <t>GOM - 3</t>
  </si>
  <si>
    <t>GOM - 3.1</t>
  </si>
  <si>
    <t>GOM - 4</t>
  </si>
  <si>
    <t>GOM - 4.1</t>
  </si>
  <si>
    <t>GOM - 5</t>
  </si>
  <si>
    <t>GOM - 5.1</t>
  </si>
  <si>
    <t>GOM - 6</t>
  </si>
  <si>
    <t>GOM - 6.1</t>
  </si>
  <si>
    <t>GOM - 7</t>
  </si>
  <si>
    <t>GOM - 8</t>
  </si>
  <si>
    <t>GOM - 8.1</t>
  </si>
  <si>
    <t>GOM - 8.2</t>
  </si>
  <si>
    <t>GOM - 8.3</t>
  </si>
  <si>
    <t>GOM - 9</t>
  </si>
  <si>
    <t>GOM - 10</t>
  </si>
  <si>
    <t>GOM - 10.1</t>
  </si>
  <si>
    <t>GOM - 10.2</t>
  </si>
  <si>
    <t>GOM - 10.3</t>
  </si>
  <si>
    <t xml:space="preserve">GOM - 11 </t>
  </si>
  <si>
    <t>GOM - 11.1</t>
  </si>
  <si>
    <t>GOM - 12</t>
  </si>
  <si>
    <t xml:space="preserve">GOM - 13 </t>
  </si>
  <si>
    <t>GOM - 13.1</t>
  </si>
  <si>
    <t>GOM - 13.2</t>
  </si>
  <si>
    <t>GOM - 13.3</t>
  </si>
  <si>
    <t>GOM - 14</t>
  </si>
  <si>
    <t>GOM - 14.1</t>
  </si>
  <si>
    <t>GOM - 14.2</t>
  </si>
  <si>
    <t>GOM - 14.3</t>
  </si>
  <si>
    <t>GOM - 15</t>
  </si>
  <si>
    <t>GOM - 15.1</t>
  </si>
  <si>
    <t>GOM - 15.2</t>
  </si>
  <si>
    <t>GOM - 15.3</t>
  </si>
  <si>
    <t xml:space="preserve">GOM - 16 </t>
  </si>
  <si>
    <t>GOM - 16.1</t>
  </si>
  <si>
    <t xml:space="preserve">GOM - 16.2 </t>
  </si>
  <si>
    <t>GOM - 17</t>
  </si>
  <si>
    <t>GOM - 18</t>
  </si>
  <si>
    <t>GOM - 18.1</t>
  </si>
  <si>
    <t>GOM - 19</t>
  </si>
  <si>
    <t>GOM - 19.1</t>
  </si>
  <si>
    <t>GOM - 20</t>
  </si>
  <si>
    <t>GOM - 20.1</t>
  </si>
  <si>
    <t>GOM - 20.2</t>
  </si>
  <si>
    <t>GOM - 21</t>
  </si>
  <si>
    <t>GOM - 21.1</t>
  </si>
  <si>
    <t xml:space="preserve">GOM - 21.2 </t>
  </si>
  <si>
    <t>GOM - 21.3</t>
  </si>
  <si>
    <t>GOM - 22</t>
  </si>
  <si>
    <t>GOM - 23</t>
  </si>
  <si>
    <t>GOM - 23.1</t>
  </si>
  <si>
    <t xml:space="preserve">GOM - 24 </t>
  </si>
  <si>
    <t>GOM - 24.1</t>
  </si>
  <si>
    <t>GOM - 24.2</t>
  </si>
  <si>
    <t>GOM - 24.3</t>
  </si>
  <si>
    <t xml:space="preserve">GOM - 25 </t>
  </si>
  <si>
    <t>GOM - 25.1</t>
  </si>
  <si>
    <t>GOM - 25.2</t>
  </si>
  <si>
    <t xml:space="preserve">GOM - 25.3 </t>
  </si>
  <si>
    <t>GOM - 25.4</t>
  </si>
  <si>
    <t>GOM - 26</t>
  </si>
  <si>
    <t>GOM - 26.1</t>
  </si>
  <si>
    <t>GOM - 26.2</t>
  </si>
  <si>
    <t>GOM - 26.3</t>
  </si>
  <si>
    <t>GOM - 26.4</t>
  </si>
  <si>
    <t>GOM - 26.5</t>
  </si>
  <si>
    <t>GOM - 27</t>
  </si>
  <si>
    <t>GOM - 27.1</t>
  </si>
  <si>
    <t>GOM - 27.2</t>
  </si>
  <si>
    <t xml:space="preserve">GOM - 28 </t>
  </si>
  <si>
    <t>GOM - 29</t>
  </si>
  <si>
    <t>GOM - 29.1</t>
  </si>
  <si>
    <t>GOM - 30</t>
  </si>
  <si>
    <t xml:space="preserve">NCC-1 </t>
  </si>
  <si>
    <t>NCC-2</t>
  </si>
  <si>
    <t>NCC-3</t>
  </si>
  <si>
    <t>NCC-3.1</t>
  </si>
  <si>
    <t>NCC-3.2</t>
  </si>
  <si>
    <t>NCC- 4</t>
  </si>
  <si>
    <t>NCC- 5</t>
  </si>
  <si>
    <t>NCC- 5.1</t>
  </si>
  <si>
    <t>NCC- 5.2</t>
  </si>
  <si>
    <t>NCC-6</t>
  </si>
  <si>
    <t>NCC-6.1</t>
  </si>
  <si>
    <t>NCC-6.2</t>
  </si>
  <si>
    <t>NCC-7</t>
  </si>
  <si>
    <t>NCC-7.1</t>
  </si>
  <si>
    <t>NCC-7.2</t>
  </si>
  <si>
    <t>NCC-8</t>
  </si>
  <si>
    <t>NCC-9</t>
  </si>
  <si>
    <t>NCC-9.1</t>
  </si>
  <si>
    <t>NCC-10</t>
  </si>
  <si>
    <t>NCC-10.1</t>
  </si>
  <si>
    <t>NCC-11</t>
  </si>
  <si>
    <t>NCC-11.1</t>
  </si>
  <si>
    <t>NCC-12</t>
  </si>
  <si>
    <t>NCC-12.1</t>
  </si>
  <si>
    <t>NCC-12.2</t>
  </si>
  <si>
    <t>NCC-13</t>
  </si>
  <si>
    <t>NCC-13.1</t>
  </si>
  <si>
    <t>NCC-13.2</t>
  </si>
  <si>
    <t>NCC-14</t>
  </si>
  <si>
    <t>NCC-15</t>
  </si>
  <si>
    <t>NCC-16</t>
  </si>
  <si>
    <t>NCC-17</t>
  </si>
  <si>
    <t>NCC-18</t>
  </si>
  <si>
    <t>NCC-19</t>
  </si>
  <si>
    <t>NCC-20</t>
  </si>
  <si>
    <t>NCC-21</t>
  </si>
  <si>
    <t>2009 InfraSource Unit ONLY Cost estimate</t>
  </si>
  <si>
    <t>2009 InfraSource Cost Estimate (units + 10% T&amp;E)</t>
  </si>
  <si>
    <t>Exhibit No. CTM-2</t>
  </si>
  <si>
    <t>Page 1</t>
  </si>
  <si>
    <t>Smith</t>
  </si>
  <si>
    <t>Dockets UE-111048/UG-111049</t>
  </si>
  <si>
    <t>Adjustment Summary (Page 4 of 4)</t>
  </si>
  <si>
    <t>Adjustment Summary (Page 3 of 4)</t>
  </si>
  <si>
    <t>Adjustment Summary (Page 2 of 4)</t>
  </si>
  <si>
    <t>Adjustment Summary (Page 1 of 4)</t>
  </si>
  <si>
    <t>CONTESTED</t>
  </si>
  <si>
    <t>UNCONTESTED</t>
  </si>
  <si>
    <t>DOR Report</t>
  </si>
  <si>
    <r>
      <t xml:space="preserve">TAXABLE INCOME (LOSS)  </t>
    </r>
    <r>
      <rPr>
        <b/>
        <sz val="12"/>
        <rFont val="Times New Roman"/>
        <family val="1"/>
      </rPr>
      <t>(NOTE 1)</t>
    </r>
  </si>
  <si>
    <r>
      <t xml:space="preserve">ANNUAL NORMALIZATION (LINE 3 </t>
    </r>
    <r>
      <rPr>
        <sz val="12"/>
        <rFont val="Symbol"/>
        <family val="1"/>
        <charset val="2"/>
      </rPr>
      <t>¸</t>
    </r>
    <r>
      <rPr>
        <sz val="12"/>
        <rFont val="Times New Roman"/>
        <family val="1"/>
      </rPr>
      <t xml:space="preserve"> 2 YEARS)</t>
    </r>
  </si>
  <si>
    <t>% Increase</t>
  </si>
  <si>
    <t>ACCOUNT 282 REPAIRS</t>
  </si>
  <si>
    <t>ACCOUNT 282 RETIREMENTS</t>
  </si>
  <si>
    <t>ALLOWANCE FOR</t>
  </si>
  <si>
    <t>WORKING CAPTIAL</t>
  </si>
  <si>
    <t>Allowance for Working Capital</t>
  </si>
  <si>
    <t>REFLECT "0"</t>
  </si>
  <si>
    <t>CURRENT FIT</t>
  </si>
  <si>
    <t>RESULTS BEFORE</t>
  </si>
  <si>
    <t>ADJUST</t>
  </si>
  <si>
    <t>ALLOCATION OF WORKING CAPITAL</t>
  </si>
  <si>
    <t>Average Invested Capital</t>
  </si>
  <si>
    <t xml:space="preserve">   Common Stock</t>
  </si>
  <si>
    <t xml:space="preserve">   Preferred Stock</t>
  </si>
  <si>
    <t xml:space="preserve">   Additional Paid in Capital</t>
  </si>
  <si>
    <t xml:space="preserve">   Unamortized Debt Expense</t>
  </si>
  <si>
    <t xml:space="preserve">   Unappropriated Retained Earnings</t>
  </si>
  <si>
    <t xml:space="preserve">   Notes Payable - Misc</t>
  </si>
  <si>
    <t xml:space="preserve">   Long Term Debt</t>
  </si>
  <si>
    <t xml:space="preserve">   Short Term Debt</t>
  </si>
  <si>
    <t xml:space="preserve">   Accumulated Deferred ITC</t>
  </si>
  <si>
    <t xml:space="preserve">   Treasury Grant</t>
  </si>
  <si>
    <t xml:space="preserve">   Deferred Items -Other</t>
  </si>
  <si>
    <t xml:space="preserve">   Unamortized Gain/Loss on Debt</t>
  </si>
  <si>
    <t>Total Average Invested Capital</t>
  </si>
  <si>
    <t>Average Operating Investments - Electric</t>
  </si>
  <si>
    <t xml:space="preserve">   Plant in Service (includes acquisition adj)</t>
  </si>
  <si>
    <t xml:space="preserve">   Electric Future Use Property</t>
  </si>
  <si>
    <t xml:space="preserve">   Customer Advances for Construction</t>
  </si>
  <si>
    <t xml:space="preserve">   Customer Deposits</t>
  </si>
  <si>
    <t xml:space="preserve">   Deferred Taxes</t>
  </si>
  <si>
    <t xml:space="preserve">   Deferred Debits/Credits - Other</t>
  </si>
  <si>
    <t xml:space="preserve">   Less: Accumulated Depreciation</t>
  </si>
  <si>
    <t xml:space="preserve">   Conservation Investment</t>
  </si>
  <si>
    <t xml:space="preserve">   Common Plant-Allocation to Electric</t>
  </si>
  <si>
    <t xml:space="preserve">   Common Accum Depr-Allocation to Electric</t>
  </si>
  <si>
    <t xml:space="preserve">   Common Deferred Taxes-Allocation to Electric</t>
  </si>
  <si>
    <t xml:space="preserve">   NOL Carryforward</t>
  </si>
  <si>
    <t xml:space="preserve">Total Average Operating Investment - Electric </t>
  </si>
  <si>
    <t>Average Operating Investments - Gas</t>
  </si>
  <si>
    <t xml:space="preserve">   Gas Utility Plant in Service</t>
  </si>
  <si>
    <t xml:space="preserve">   Deferred Items - Other</t>
  </si>
  <si>
    <t xml:space="preserve">   Gas Stored Underground, Non-Current</t>
  </si>
  <si>
    <t xml:space="preserve">   Gas Accumulated  Depreciation</t>
  </si>
  <si>
    <t xml:space="preserve">   Gas Customer Advances for Construction </t>
  </si>
  <si>
    <t xml:space="preserve">   Gas  Customer Deposits</t>
  </si>
  <si>
    <t xml:space="preserve">   DFIT 17</t>
  </si>
  <si>
    <t xml:space="preserve">   PGA</t>
  </si>
  <si>
    <t xml:space="preserve">   Common Plant-Allocation to Gas </t>
  </si>
  <si>
    <t xml:space="preserve">   Common Deferred Tax - Allocation to Gas</t>
  </si>
  <si>
    <t xml:space="preserve">   Common Accumulated Depreciation-Allocation to Gas</t>
  </si>
  <si>
    <t xml:space="preserve">Total Average Operating Investment - Gas </t>
  </si>
  <si>
    <t>Total Electric &amp; Gas Operating Investment</t>
  </si>
  <si>
    <t>Construction Work in Progress</t>
  </si>
  <si>
    <t xml:space="preserve">   Elec Construction Work in Process</t>
  </si>
  <si>
    <t xml:space="preserve">   Gas Construction Work in Process</t>
  </si>
  <si>
    <t xml:space="preserve">   Other  Work in Process</t>
  </si>
  <si>
    <t xml:space="preserve">   Electric Preliminary Surveys</t>
  </si>
  <si>
    <t>Total Construction Work in Progress</t>
  </si>
  <si>
    <t>Nonoperating</t>
  </si>
  <si>
    <t xml:space="preserve">   Non-Utility Property </t>
  </si>
  <si>
    <t xml:space="preserve">   Investment in Associated Companies</t>
  </si>
  <si>
    <t xml:space="preserve">   Other Investments &amp; FAS 133</t>
  </si>
  <si>
    <t xml:space="preserve">   Deferred Items-Other</t>
  </si>
  <si>
    <t xml:space="preserve">   Deferred Federal Income Tax</t>
  </si>
  <si>
    <t xml:space="preserve">   Temporary Cash Investments</t>
  </si>
  <si>
    <t xml:space="preserve">   Environmental Receivables</t>
  </si>
  <si>
    <t xml:space="preserve">   Current Accounts - Gas Allocation only</t>
  </si>
  <si>
    <t xml:space="preserve">    Merchandising Inventory - Gas Only</t>
  </si>
  <si>
    <t>Total Non Operating Investment</t>
  </si>
  <si>
    <t xml:space="preserve">Total CWIP &amp; Nonoperating Investment </t>
  </si>
  <si>
    <t>Total Average Investments</t>
  </si>
  <si>
    <t>Rounding</t>
  </si>
  <si>
    <t>Total Investor Supplied Capital</t>
  </si>
  <si>
    <t>Electric Working Captial</t>
  </si>
  <si>
    <t>Total  Investment</t>
  </si>
  <si>
    <t>Less: Electric CWIP</t>
  </si>
  <si>
    <t>Less: Gas CWIP</t>
  </si>
  <si>
    <t xml:space="preserve">     Interest Bearing Regulatory Assets</t>
  </si>
  <si>
    <t xml:space="preserve">            Other Work in Progress</t>
  </si>
  <si>
    <t xml:space="preserve">             Preliminary Surveys</t>
  </si>
  <si>
    <t>Electric Working Capital Ratio</t>
  </si>
  <si>
    <t>Electric Working Capital</t>
  </si>
  <si>
    <t xml:space="preserve">Gas Working Capital </t>
  </si>
  <si>
    <t>Gas Working Capital Ratio</t>
  </si>
  <si>
    <t>Gas Working Capital</t>
  </si>
  <si>
    <t>Non Operating Working Capital</t>
  </si>
  <si>
    <t>through these offsets to operating investments, to reflect that the company has included it in rate base indirectly through its proposed working capital item.</t>
  </si>
  <si>
    <t>The company's reduction of $25,251,084 in column "D" on line 76 above is only a partial removal of this debit balance. The total AMA amount of $72,563,734</t>
  </si>
  <si>
    <t>is therefore only partially offset by the company's adjustment. The remaining $47,312,650 is removed by Staff in column "G" also on line 76 above.</t>
  </si>
  <si>
    <t>Because the $47,312,650 amount is for PSE’s electric and gas utility operations combined, the amount has been allocated between electric and gas</t>
  </si>
  <si>
    <t>based on the NOL factors above in the same manner as the company has allocated its $25,251,084.</t>
  </si>
  <si>
    <t>This also reconciles with Staff Data Request No. 091 and the company's treatment of A/C # 23600033.</t>
  </si>
  <si>
    <t>Footnotes:</t>
  </si>
  <si>
    <t>PER MJS-3 PAGE 3.04</t>
  </si>
  <si>
    <t>FOOTNOTE</t>
  </si>
  <si>
    <t>STAFF</t>
  </si>
  <si>
    <t>STAFF ADJUSTMENT</t>
  </si>
  <si>
    <t>REVISED TOTAL AS ADJUSTED BY STAFF</t>
  </si>
  <si>
    <t>CHANGED CEO ALLOCATION FACTOR TO MATCH REYNOLDS ALLOCATION FACTOR</t>
  </si>
  <si>
    <t>BACKED OUT 50% OF DIRECTOR FEES</t>
  </si>
  <si>
    <t>BACKED OUT 50% OF DIRECTOR EXPENSES</t>
  </si>
  <si>
    <t>DECREASED INCENTIVE PAY BY 50% PAYOUT RELATED TO FINANCIAL METRICS</t>
  </si>
  <si>
    <t>Disallow 50% of D&amp;O Insurance related to Directors.</t>
  </si>
  <si>
    <t>DECREASE HEADCOUNT TO ADJUST FOR LAID OFF EMPLOYEES THAT WILL NOT</t>
  </si>
  <si>
    <t>RECEIVE INSURANCE DURING THE RATE YEAR</t>
  </si>
  <si>
    <t>REMOVE ANY INCREASE BEYOND THE BEGINNING OF THE RATE YEAR (May 15, 2012)</t>
  </si>
  <si>
    <t>The debit balance in Account 236, "Accrued Federal Income Taxes Payable," of $47,312,650 (on a 2010 AMA basis) is removed from PSE’s rate base</t>
  </si>
  <si>
    <t>(1) Reflect impact of PSE's Response to Staff Data Request No. 091.</t>
  </si>
  <si>
    <r>
      <t>(2) Reflect impact of Ralph Smith's Federal Income Tax Payable adjustment to exclude the remainder of A/C # 23600033.</t>
    </r>
    <r>
      <rPr>
        <vertAlign val="superscript"/>
        <sz val="12"/>
        <rFont val="Times New Roman"/>
        <family val="1"/>
      </rPr>
      <t>#</t>
    </r>
  </si>
  <si>
    <t>(l)</t>
  </si>
  <si>
    <t>(j)</t>
  </si>
  <si>
    <t>(i)</t>
  </si>
  <si>
    <t>(h)</t>
  </si>
  <si>
    <t>Staff Initial Brief Filing</t>
  </si>
  <si>
    <r>
      <t xml:space="preserve">Exhibit No.__ (CTM-2) </t>
    </r>
    <r>
      <rPr>
        <b/>
        <i/>
        <sz val="10.8"/>
        <rFont val="Times New Roman"/>
        <family val="1"/>
      </rPr>
      <t>revised per Bench Request No. 26</t>
    </r>
  </si>
  <si>
    <t xml:space="preserve">(g) </t>
  </si>
  <si>
    <t xml:space="preserve">(k) </t>
  </si>
  <si>
    <t>(m)</t>
  </si>
  <si>
    <t>Differences - Staff &gt; PSE / (Staff &lt; PSE)</t>
  </si>
  <si>
    <t xml:space="preserve">Rev Req </t>
  </si>
  <si>
    <r>
      <t xml:space="preserve">PSE </t>
    </r>
    <r>
      <rPr>
        <b/>
        <i/>
        <sz val="10.8"/>
        <rFont val="Times New Roman"/>
        <family val="1"/>
      </rPr>
      <t>Rebuttal Filing</t>
    </r>
  </si>
  <si>
    <r>
      <t xml:space="preserve">Figures that are </t>
    </r>
    <r>
      <rPr>
        <b/>
        <i/>
        <sz val="9"/>
        <rFont val="Times New Roman"/>
        <family val="1"/>
      </rPr>
      <t>BOLDED</t>
    </r>
    <r>
      <rPr>
        <i/>
        <sz val="10"/>
        <rFont val="Times New Roman"/>
        <family val="1"/>
      </rPr>
      <t xml:space="preserve"> are the updates between staff's original exhibit and the initial brief.</t>
    </r>
  </si>
</sst>
</file>

<file path=xl/styles.xml><?xml version="1.0" encoding="utf-8"?>
<styleSheet xmlns="http://schemas.openxmlformats.org/spreadsheetml/2006/main" xmlns:mc="http://schemas.openxmlformats.org/markup-compatibility/2006" xmlns:x14ac="http://schemas.microsoft.com/office/spreadsheetml/2009/9/ac" mc:Ignorable="x14ac">
  <numFmts count="8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 ;\(#,##0.00\)"/>
    <numFmt numFmtId="165" formatCode="0.0%"/>
    <numFmt numFmtId="166" formatCode="0.000%"/>
    <numFmt numFmtId="167" formatCode="0.00000%"/>
    <numFmt numFmtId="168" formatCode="0.0000000"/>
    <numFmt numFmtId="169" formatCode="0.000000"/>
    <numFmt numFmtId="170" formatCode="#,##0.0000000;\(#,##0.0000000\)"/>
    <numFmt numFmtId="171" formatCode="#,##0;\(#,##0\)"/>
    <numFmt numFmtId="172" formatCode="yyyy"/>
    <numFmt numFmtId="173" formatCode="0."/>
    <numFmt numFmtId="174" formatCode=".0000000"/>
    <numFmt numFmtId="175" formatCode="&quot;$&quot;#,##0_);\(#,##0\)"/>
    <numFmt numFmtId="176" formatCode="#,##0.0_);\(#,##0.0\)"/>
    <numFmt numFmtId="177" formatCode="_(* #,##0_);_(* \(#,##0\);_(* &quot;-&quot;??_);_(@_)"/>
    <numFmt numFmtId="178" formatCode="_(&quot;$&quot;* #,##0_);_(&quot;$&quot;* \(#,##0\);_(&quot;$&quot;* &quot;-&quot;??_);_(@_)"/>
    <numFmt numFmtId="179" formatCode="_(* #,##0_);[Red]_(* \(#,##0\);_(* &quot;-&quot;_);_(@_)"/>
    <numFmt numFmtId="180" formatCode="_(&quot;$&quot;* #,##0_);[Red]_(&quot;$&quot;* \(#,##0\);_(&quot;$&quot;* &quot;-&quot;_);_(@_)"/>
    <numFmt numFmtId="181" formatCode="&quot;$&quot;#,##0.000000_);[Red]\(&quot;$&quot;#,##0.000000\)"/>
    <numFmt numFmtId="182" formatCode="_(&quot;$&quot;* #,##0.000000_);_(&quot;$&quot;* \(#,##0.000000\);_(&quot;$&quot;* &quot;-&quot;_);_(@_)"/>
    <numFmt numFmtId="183" formatCode="_(* #,##0.000000_);_(* \(#,##0.000000\);_(* &quot;-&quot;_);_(@_)"/>
    <numFmt numFmtId="184" formatCode="_(&quot;$&quot;* #,##0.0000_);_(&quot;$&quot;* \(#,##0.0000\);_(&quot;$&quot;* &quot;-&quot;??_);_(@_)"/>
    <numFmt numFmtId="185" formatCode="_(* #,##0.0_);_(* \(#,##0.0\);_(* &quot;-&quot;_);_(@_)"/>
    <numFmt numFmtId="186" formatCode="_(* #,##0.00000_);_(* \(#,##0.00000\);_(* &quot;-&quot;??_);_(@_)"/>
    <numFmt numFmtId="187" formatCode="_(&quot;$&quot;* #,##0.000000_);_(&quot;$&quot;* \(#,##0.000000\);_(&quot;$&quot;* &quot;-&quot;??????_);_(@_)"/>
    <numFmt numFmtId="188" formatCode="_(* ###0_);_(* \(###0\);_(* &quot;-&quot;_);_(@_)"/>
    <numFmt numFmtId="189" formatCode="_(* #,##0.00000_);_(* \(#,##0.00000\);_(* &quot;-&quot;?????_);_(@_)"/>
    <numFmt numFmtId="190" formatCode="d\.mmm\.yy"/>
    <numFmt numFmtId="191" formatCode="&quot;PAGE&quot;\ 0.00"/>
    <numFmt numFmtId="192" formatCode="0.0000%"/>
    <numFmt numFmtId="193" formatCode="&quot;$&quot;#,##0.00"/>
    <numFmt numFmtId="194" formatCode="0.00_)"/>
    <numFmt numFmtId="195" formatCode="mmmm\ d\,\ yyyy"/>
    <numFmt numFmtId="196" formatCode="#."/>
    <numFmt numFmtId="197" formatCode="_(&quot;$&quot;* #,##0.0000_);_(&quot;$&quot;* \(#,##0.0000\);_(&quot;$&quot;* &quot;-&quot;????_);_(@_)"/>
    <numFmt numFmtId="198" formatCode="&quot;$&quot;#,##0;\-&quot;$&quot;#,##0"/>
    <numFmt numFmtId="199" formatCode="_(* #,##0.000000_);_(* \(#,##0.000000\);_(* &quot;-&quot;?????_);_(@_)"/>
    <numFmt numFmtId="200" formatCode="_(* #,##0.000000_);_(* \(#,##0.000000\);_(* &quot;-&quot;??????_);_(@_)"/>
    <numFmt numFmtId="201" formatCode="_(* #,##0.00000_);_(* \(#,##0.00000\);_(* &quot;-&quot;_);_(@_)"/>
    <numFmt numFmtId="202" formatCode="#,##0.0"/>
    <numFmt numFmtId="203" formatCode="_([$€-2]* #,##0.00_);_([$€-2]* \(#,##0.00\);_([$€-2]* &quot;-&quot;??_)"/>
    <numFmt numFmtId="204" formatCode="#,##0.000000"/>
    <numFmt numFmtId="205" formatCode="0.000000_);[Red]\(0.000000\)"/>
    <numFmt numFmtId="206" formatCode="#,##0.000"/>
    <numFmt numFmtId="207" formatCode="#,##0.00000"/>
    <numFmt numFmtId="208" formatCode="0000"/>
    <numFmt numFmtId="209" formatCode="000000"/>
    <numFmt numFmtId="210" formatCode="_-* #,##0.00\ _D_M_-;\-* #,##0.00\ _D_M_-;_-* &quot;-&quot;??\ _D_M_-;_-@_-"/>
    <numFmt numFmtId="211" formatCode="_(* #,##0.000_);_(* \(#,##0.000\);_(* &quot;-&quot;??_);_(@_)"/>
    <numFmt numFmtId="212" formatCode="[$-409]mmm\-yy;@"/>
    <numFmt numFmtId="213" formatCode="_-* #,##0.00\ &quot;DM&quot;_-;\-* #,##0.00\ &quot;DM&quot;_-;_-* &quot;-&quot;??\ &quot;DM&quot;_-;_-@_-"/>
    <numFmt numFmtId="214" formatCode="00000"/>
    <numFmt numFmtId="215" formatCode="_(&quot;$&quot;* #,##0.0_);_(&quot;$&quot;* \(#,##0.0\);_(&quot;$&quot;* &quot;-&quot;??_);_(@_)"/>
    <numFmt numFmtId="216" formatCode="0000000"/>
    <numFmt numFmtId="217" formatCode="mm/dd/yyyy"/>
    <numFmt numFmtId="218" formatCode="_(&quot;$&quot;* #,##0.000_);_(&quot;$&quot;* \(#,##0.000\);_(&quot;$&quot;* &quot;-&quot;_);_(@_)"/>
    <numFmt numFmtId="219" formatCode="#,##0.00_-;#,##0.00\-;&quot; &quot;"/>
    <numFmt numFmtId="220" formatCode="_(&quot;$&quot;* #,##0.000_);_(&quot;$&quot;* \(#,##0.000\);_(&quot;$&quot;* &quot;-&quot;??_);_(@_)"/>
    <numFmt numFmtId="221" formatCode="[$-409]d\-mmm\-yy;@"/>
    <numFmt numFmtId="222" formatCode="0.00000"/>
    <numFmt numFmtId="223" formatCode="mmmm\-yy"/>
    <numFmt numFmtId="224" formatCode="m/d/yy;@"/>
    <numFmt numFmtId="225" formatCode="0.0000000%"/>
    <numFmt numFmtId="226" formatCode="\,"/>
    <numFmt numFmtId="227" formatCode="_(#,##0.0%_);\(#,##0.0%\);_(#,##0.0%_);_(@_)"/>
    <numFmt numFmtId="228" formatCode="_(&quot;$&quot;* #,##0.00_);_(&quot;$&quot;* \(#,##0.00\);_(&quot;$&quot;* &quot;-&quot;_);_(@_)"/>
    <numFmt numFmtId="229" formatCode="0.0%;\(0.0%\)"/>
    <numFmt numFmtId="230" formatCode="0.00%;\(0.00%\)"/>
    <numFmt numFmtId="231" formatCode="_(#,##0_._0_0_);\(#,##0\)_._0_0;_(#,##0_._0_0\);_(@_)"/>
    <numFmt numFmtId="232" formatCode="_(#,##0_);\(#,##0\);_(#,##0_);_(@_)"/>
    <numFmt numFmtId="233" formatCode="_(* #,##0.0000_);_(* \(#,##0.0000\);_(* &quot;-&quot;??_);_(@_)"/>
    <numFmt numFmtId="234" formatCode="#,##0_);[Red]\(#,##0\);&quot; &quot;"/>
    <numFmt numFmtId="235" formatCode="0.0%\ ;\(0.0%\);&quot;0.0% &quot;"/>
    <numFmt numFmtId="236" formatCode="0.0%\ ;\(0.0%\);&quot;0.00% &quot;"/>
    <numFmt numFmtId="237" formatCode="mm/dd/yy"/>
    <numFmt numFmtId="238" formatCode="0.0"/>
    <numFmt numFmtId="239" formatCode="_(&quot;$&quot;* #,##0.0000000_);_(&quot;$&quot;* \(#,##0.0000000\);_(&quot;$&quot;* &quot;-&quot;_);_(@_)"/>
    <numFmt numFmtId="240" formatCode="0.000000%"/>
  </numFmts>
  <fonts count="235">
    <font>
      <sz val="8"/>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i/>
      <sz val="10"/>
      <name val="Helv"/>
    </font>
    <font>
      <b/>
      <i/>
      <sz val="10"/>
      <name val="Helv"/>
    </font>
    <font>
      <sz val="11"/>
      <name val="univers (E1)"/>
    </font>
    <font>
      <sz val="10"/>
      <name val="MS Sans Serif"/>
      <family val="2"/>
    </font>
    <font>
      <sz val="10"/>
      <name val="Times New Roman"/>
      <family val="1"/>
    </font>
    <font>
      <b/>
      <sz val="10"/>
      <name val="Times New Roman"/>
      <family val="1"/>
    </font>
    <font>
      <u/>
      <sz val="10"/>
      <name val="Times New Roman"/>
      <family val="1"/>
    </font>
    <font>
      <b/>
      <u/>
      <sz val="10"/>
      <name val="Times New Roman"/>
      <family val="1"/>
    </font>
    <font>
      <sz val="10"/>
      <name val="Arial"/>
      <family val="2"/>
    </font>
    <font>
      <b/>
      <sz val="8"/>
      <name val="Arial"/>
      <family val="2"/>
    </font>
    <font>
      <sz val="8"/>
      <name val="Arial"/>
      <family val="2"/>
    </font>
    <font>
      <b/>
      <sz val="12"/>
      <name val="Times New Roman"/>
      <family val="1"/>
    </font>
    <font>
      <sz val="8"/>
      <name val="Times New Roman"/>
      <family val="1"/>
    </font>
    <font>
      <b/>
      <i/>
      <u/>
      <sz val="10"/>
      <name val="Times New Roman"/>
      <family val="1"/>
    </font>
    <font>
      <b/>
      <sz val="8"/>
      <name val="Times New Roman"/>
      <family val="1"/>
    </font>
    <font>
      <sz val="8"/>
      <name val="Helv"/>
    </font>
    <font>
      <sz val="12"/>
      <color indexed="24"/>
      <name val="Arial"/>
      <family val="2"/>
    </font>
    <font>
      <b/>
      <sz val="10"/>
      <name val="Arial"/>
      <family val="2"/>
    </font>
    <font>
      <b/>
      <i/>
      <sz val="10"/>
      <name val="Times New Roman"/>
      <family val="1"/>
    </font>
    <font>
      <sz val="10"/>
      <name val="Arial"/>
      <family val="2"/>
    </font>
    <font>
      <sz val="10"/>
      <name val="Helv"/>
    </font>
    <font>
      <b/>
      <sz val="10"/>
      <name val="Arial"/>
      <family val="2"/>
    </font>
    <font>
      <i/>
      <sz val="10"/>
      <name val="Arial"/>
      <family val="2"/>
    </font>
    <font>
      <b/>
      <sz val="10"/>
      <name val="Helv"/>
    </font>
    <font>
      <sz val="10"/>
      <color indexed="8"/>
      <name val="MS Sans Serif"/>
      <family val="2"/>
    </font>
    <font>
      <sz val="10"/>
      <name val="MS Serif"/>
      <family val="1"/>
    </font>
    <font>
      <sz val="10"/>
      <name val="Courier"/>
      <family val="3"/>
    </font>
    <font>
      <b/>
      <sz val="12"/>
      <name val="Arial"/>
      <family val="2"/>
    </font>
    <font>
      <sz val="10"/>
      <color indexed="12"/>
      <name val="Arial"/>
      <family val="2"/>
    </font>
    <font>
      <sz val="8"/>
      <name val="Arial"/>
      <family val="2"/>
    </font>
    <font>
      <sz val="7"/>
      <name val="Small Fonts"/>
      <family val="2"/>
    </font>
    <font>
      <b/>
      <sz val="10"/>
      <name val="MS Sans Serif"/>
      <family val="2"/>
    </font>
    <font>
      <b/>
      <sz val="8"/>
      <color indexed="8"/>
      <name val="Helv"/>
    </font>
    <font>
      <b/>
      <sz val="14"/>
      <color indexed="56"/>
      <name val="Arial"/>
      <family val="2"/>
    </font>
    <font>
      <b/>
      <i/>
      <sz val="16"/>
      <name val="Helv"/>
    </font>
    <font>
      <b/>
      <sz val="8"/>
      <name val="Arial"/>
      <family val="2"/>
    </font>
    <font>
      <b/>
      <i/>
      <sz val="10"/>
      <name val="Arial"/>
      <family val="2"/>
    </font>
    <font>
      <b/>
      <sz val="12"/>
      <name val="Arial"/>
      <family val="2"/>
    </font>
    <font>
      <sz val="12"/>
      <name val="Times New Roman"/>
      <family val="1"/>
    </font>
    <font>
      <sz val="10"/>
      <color indexed="8"/>
      <name val="MS Sans Serif"/>
      <family val="2"/>
    </font>
    <font>
      <sz val="11"/>
      <name val="Arial"/>
      <family val="2"/>
    </font>
    <font>
      <sz val="12"/>
      <color indexed="24"/>
      <name val="Arial"/>
      <family val="2"/>
    </font>
    <font>
      <sz val="12"/>
      <name val="Times"/>
      <family val="1"/>
    </font>
    <font>
      <sz val="1"/>
      <color indexed="16"/>
      <name val="Courier"/>
      <family val="3"/>
    </font>
    <font>
      <sz val="10"/>
      <name val="MS Serif"/>
      <family val="1"/>
    </font>
    <font>
      <sz val="10"/>
      <name val="Courier"/>
      <family val="3"/>
    </font>
    <font>
      <b/>
      <sz val="12"/>
      <color indexed="20"/>
      <name val="Arial"/>
      <family val="2"/>
    </font>
    <font>
      <sz val="7"/>
      <name val="Small Fonts"/>
      <family val="2"/>
    </font>
    <font>
      <sz val="10"/>
      <name val="MS Sans Serif"/>
      <family val="2"/>
    </font>
    <font>
      <b/>
      <sz val="10"/>
      <name val="MS Sans Serif"/>
      <family val="2"/>
    </font>
    <font>
      <sz val="12"/>
      <color indexed="10"/>
      <name val="Arial"/>
      <family val="2"/>
    </font>
    <font>
      <sz val="12"/>
      <color indexed="10"/>
      <name val="Times"/>
      <family val="1"/>
    </font>
    <font>
      <b/>
      <sz val="12"/>
      <color indexed="56"/>
      <name val="Arial"/>
      <family val="2"/>
    </font>
    <font>
      <sz val="11"/>
      <color indexed="8"/>
      <name val="Calibri"/>
      <family val="2"/>
    </font>
    <font>
      <sz val="10"/>
      <color indexed="24"/>
      <name val="Arial"/>
      <family val="2"/>
    </font>
    <font>
      <sz val="10"/>
      <name val="Arial"/>
      <family val="2"/>
    </font>
    <font>
      <sz val="12"/>
      <name val="Arial"/>
      <family val="2"/>
    </font>
    <font>
      <sz val="12"/>
      <name val="Times"/>
      <family val="1"/>
    </font>
    <font>
      <sz val="12"/>
      <color indexed="10"/>
      <name val="Times"/>
      <family val="1"/>
    </font>
    <font>
      <sz val="12"/>
      <name val="Helv"/>
    </font>
    <font>
      <sz val="11"/>
      <color indexed="8"/>
      <name val="Calibri"/>
      <family val="2"/>
    </font>
    <font>
      <sz val="10"/>
      <color indexed="21"/>
      <name val="Arial"/>
      <family val="2"/>
    </font>
    <font>
      <b/>
      <sz val="8"/>
      <color indexed="81"/>
      <name val="Tahoma"/>
      <family val="2"/>
    </font>
    <font>
      <sz val="8"/>
      <color indexed="81"/>
      <name val="Tahoma"/>
      <family val="2"/>
    </font>
    <font>
      <sz val="12"/>
      <name val="Times"/>
      <family val="1"/>
    </font>
    <font>
      <sz val="12"/>
      <color indexed="10"/>
      <name val="Times"/>
      <family val="1"/>
    </font>
    <font>
      <sz val="10"/>
      <color indexed="8"/>
      <name val="Arial"/>
      <family val="2"/>
    </font>
    <font>
      <sz val="10"/>
      <name val="Arial"/>
      <family val="2"/>
    </font>
    <font>
      <b/>
      <sz val="10"/>
      <name val="Arial"/>
      <family val="2"/>
    </font>
    <font>
      <sz val="10"/>
      <name val="Arial"/>
      <family val="2"/>
    </font>
    <font>
      <sz val="11"/>
      <color indexed="62"/>
      <name val="Calibri"/>
      <family val="2"/>
    </font>
    <font>
      <sz val="11"/>
      <name val="Times New Roman"/>
      <family val="1"/>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rgb="FF0000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9"/>
      <color indexed="81"/>
      <name val="Tahoma"/>
      <family val="2"/>
    </font>
    <font>
      <sz val="9"/>
      <color indexed="81"/>
      <name val="Tahoma"/>
      <family val="2"/>
    </font>
    <font>
      <sz val="8"/>
      <name val="Antique Olive"/>
      <family val="2"/>
    </font>
    <font>
      <sz val="8"/>
      <name val="Geneva"/>
      <family val="2"/>
    </font>
    <font>
      <sz val="11"/>
      <color indexed="9"/>
      <name val="Calibri"/>
      <family val="2"/>
    </font>
    <font>
      <sz val="11"/>
      <color indexed="16"/>
      <name val="Calibri"/>
      <family val="2"/>
    </font>
    <font>
      <sz val="11"/>
      <color indexed="20"/>
      <name val="Calibri"/>
      <family val="2"/>
    </font>
    <font>
      <b/>
      <sz val="11"/>
      <color indexed="53"/>
      <name val="Calibri"/>
      <family val="2"/>
    </font>
    <font>
      <b/>
      <sz val="11"/>
      <color indexed="52"/>
      <name val="Calibri"/>
      <family val="2"/>
    </font>
    <font>
      <b/>
      <sz val="11"/>
      <color indexed="9"/>
      <name val="Calibri"/>
      <family val="2"/>
    </font>
    <font>
      <b/>
      <sz val="10"/>
      <name val="Arial Unicode MS"/>
      <family val="2"/>
    </font>
    <font>
      <sz val="10"/>
      <name val="Arial Unicode MS"/>
      <family val="2"/>
    </font>
    <font>
      <b/>
      <sz val="11"/>
      <color indexed="8"/>
      <name val="Calibri"/>
      <family val="2"/>
    </font>
    <font>
      <i/>
      <sz val="11"/>
      <color indexed="23"/>
      <name val="Calibri"/>
      <family val="2"/>
    </font>
    <font>
      <sz val="11"/>
      <color indexed="17"/>
      <name val="Calibri"/>
      <family val="2"/>
    </font>
    <font>
      <b/>
      <sz val="11"/>
      <name val="Arial"/>
      <family val="2"/>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u/>
      <sz val="10"/>
      <color indexed="12"/>
      <name val="Arial"/>
      <family val="2"/>
    </font>
    <font>
      <sz val="11"/>
      <color indexed="48"/>
      <name val="Calibri"/>
      <family val="2"/>
    </font>
    <font>
      <sz val="11"/>
      <color indexed="53"/>
      <name val="Calibri"/>
      <family val="2"/>
    </font>
    <font>
      <sz val="11"/>
      <color indexed="52"/>
      <name val="Calibri"/>
      <family val="2"/>
    </font>
    <font>
      <sz val="11"/>
      <color indexed="60"/>
      <name val="Calibri"/>
      <family val="2"/>
    </font>
    <font>
      <sz val="10"/>
      <name val="Geneva"/>
    </font>
    <font>
      <sz val="12"/>
      <name val="MS Serif"/>
      <family val="1"/>
    </font>
    <font>
      <b/>
      <sz val="11"/>
      <color indexed="63"/>
      <name val="Calibri"/>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8"/>
      <color indexed="62"/>
      <name val="Cambria"/>
      <family val="2"/>
    </font>
    <font>
      <b/>
      <sz val="10"/>
      <color indexed="10"/>
      <name val="Arial"/>
      <family val="2"/>
    </font>
    <font>
      <b/>
      <sz val="18"/>
      <color indexed="56"/>
      <name val="Cambria"/>
      <family val="2"/>
    </font>
    <font>
      <sz val="11"/>
      <color indexed="10"/>
      <name val="Calibri"/>
      <family val="2"/>
    </font>
    <font>
      <b/>
      <sz val="10"/>
      <color rgb="FFFF0000"/>
      <name val="Times New Roman"/>
      <family val="1"/>
    </font>
    <font>
      <i/>
      <sz val="10"/>
      <name val="Times New Roman"/>
      <family val="1"/>
    </font>
    <font>
      <sz val="10"/>
      <name val="Arial"/>
      <family val="2"/>
    </font>
    <font>
      <sz val="9"/>
      <name val="Arial"/>
      <family val="2"/>
    </font>
    <font>
      <b/>
      <sz val="9"/>
      <name val="Arial"/>
      <family val="2"/>
    </font>
    <font>
      <sz val="10"/>
      <color rgb="FFFF0000"/>
      <name val="Arial"/>
      <family val="2"/>
    </font>
    <font>
      <sz val="9"/>
      <color rgb="FFFF0000"/>
      <name val="Arial"/>
      <family val="2"/>
    </font>
    <font>
      <b/>
      <u/>
      <sz val="12"/>
      <name val="Arial"/>
      <family val="2"/>
    </font>
    <font>
      <b/>
      <u/>
      <sz val="10"/>
      <name val="Arial"/>
      <family val="2"/>
    </font>
    <font>
      <b/>
      <u/>
      <sz val="10"/>
      <color theme="1"/>
      <name val="Arial"/>
      <family val="2"/>
    </font>
    <font>
      <b/>
      <sz val="11"/>
      <name val="Times New Roman"/>
      <family val="1"/>
    </font>
    <font>
      <sz val="9"/>
      <color indexed="10"/>
      <name val="Arial"/>
      <family val="2"/>
    </font>
    <font>
      <b/>
      <u/>
      <sz val="9"/>
      <name val="Arial"/>
      <family val="2"/>
    </font>
    <font>
      <sz val="9"/>
      <color indexed="12"/>
      <name val="Arial"/>
      <family val="2"/>
    </font>
    <font>
      <u/>
      <sz val="10"/>
      <name val="Arial"/>
      <family val="2"/>
    </font>
    <font>
      <sz val="9"/>
      <color indexed="8"/>
      <name val="Courier"/>
      <family val="3"/>
    </font>
    <font>
      <sz val="12"/>
      <name val="Univers (WN)"/>
    </font>
    <font>
      <sz val="10"/>
      <name val="Univers (WN)"/>
    </font>
    <font>
      <b/>
      <sz val="10"/>
      <name val="Univers (WN)"/>
    </font>
    <font>
      <b/>
      <sz val="12"/>
      <name val="Univers (WN)"/>
    </font>
    <font>
      <sz val="8"/>
      <name val="Univers (WN)"/>
    </font>
    <font>
      <sz val="10"/>
      <name val="Arial"/>
      <family val="2"/>
    </font>
    <font>
      <sz val="10"/>
      <name val="Swiss721 SWM"/>
      <family val="2"/>
    </font>
    <font>
      <sz val="10"/>
      <color indexed="8"/>
      <name val="Swiss721 SWM"/>
      <family val="2"/>
    </font>
    <font>
      <b/>
      <sz val="10"/>
      <name val="Swiss721 SWM"/>
      <family val="2"/>
    </font>
    <font>
      <sz val="11"/>
      <name val="Arial"/>
      <family val="2"/>
    </font>
    <font>
      <sz val="9"/>
      <name val="Arial"/>
      <family val="2"/>
    </font>
    <font>
      <sz val="9"/>
      <color indexed="8"/>
      <name val="Arial"/>
      <family val="2"/>
    </font>
    <font>
      <b/>
      <sz val="10"/>
      <color indexed="8"/>
      <name val="Swiss721 SWM"/>
      <family val="2"/>
    </font>
    <font>
      <sz val="6"/>
      <name val="Arial"/>
      <family val="2"/>
    </font>
    <font>
      <sz val="9"/>
      <name val="Symbol"/>
      <family val="1"/>
      <charset val="2"/>
    </font>
    <font>
      <sz val="7.9"/>
      <name val="Symbol"/>
      <family val="1"/>
      <charset val="2"/>
    </font>
    <font>
      <sz val="11"/>
      <name val="Calibri"/>
      <family val="2"/>
    </font>
    <font>
      <b/>
      <sz val="11"/>
      <name val="Calibri"/>
      <family val="2"/>
    </font>
    <font>
      <i/>
      <sz val="11"/>
      <name val="Calibri"/>
      <family val="2"/>
    </font>
    <font>
      <b/>
      <u/>
      <sz val="11"/>
      <name val="Calibri"/>
      <family val="2"/>
    </font>
    <font>
      <u/>
      <sz val="11"/>
      <name val="Calibri"/>
      <family val="2"/>
    </font>
    <font>
      <sz val="8"/>
      <name val="Symbol"/>
      <family val="1"/>
      <charset val="2"/>
    </font>
    <font>
      <sz val="8"/>
      <name val="Arial"/>
      <family val="2"/>
    </font>
    <font>
      <b/>
      <sz val="11"/>
      <color indexed="8"/>
      <name val="Arial"/>
      <family val="2"/>
    </font>
    <font>
      <b/>
      <sz val="11"/>
      <name val="Arial"/>
      <family val="2"/>
    </font>
    <font>
      <sz val="11"/>
      <color indexed="8"/>
      <name val="Arial"/>
      <family val="2"/>
    </font>
    <font>
      <b/>
      <u/>
      <sz val="11"/>
      <name val="Arial"/>
      <family val="2"/>
    </font>
    <font>
      <sz val="11"/>
      <color indexed="12"/>
      <name val="Arial"/>
      <family val="2"/>
    </font>
    <font>
      <sz val="14"/>
      <color indexed="12"/>
      <name val="Book Antiqua"/>
      <family val="1"/>
    </font>
    <font>
      <sz val="14"/>
      <name val="Book Antiqua"/>
      <family val="1"/>
    </font>
    <font>
      <b/>
      <sz val="14"/>
      <name val="Arial"/>
      <family val="2"/>
    </font>
    <font>
      <b/>
      <sz val="14"/>
      <color indexed="18"/>
      <name val="Arial"/>
      <family val="2"/>
    </font>
    <font>
      <sz val="14"/>
      <name val="Arial"/>
      <family val="2"/>
    </font>
    <font>
      <b/>
      <u/>
      <sz val="14"/>
      <name val="Arial"/>
      <family val="2"/>
    </font>
    <font>
      <b/>
      <sz val="14"/>
      <name val="Arial"/>
      <family val="2"/>
    </font>
    <font>
      <b/>
      <sz val="14"/>
      <name val="Book Antiqua"/>
      <family val="1"/>
    </font>
    <font>
      <sz val="14"/>
      <color indexed="8"/>
      <name val="Arial"/>
      <family val="2"/>
    </font>
    <font>
      <u val="singleAccounting"/>
      <sz val="14"/>
      <name val="Arial"/>
      <family val="2"/>
    </font>
    <font>
      <u/>
      <sz val="14"/>
      <name val="Arial"/>
      <family val="2"/>
    </font>
    <font>
      <sz val="11"/>
      <name val="Book Antiqua"/>
      <family val="1"/>
    </font>
    <font>
      <sz val="11"/>
      <color indexed="12"/>
      <name val="Book Antiqua"/>
      <family val="1"/>
    </font>
    <font>
      <b/>
      <sz val="16"/>
      <name val="Arial"/>
      <family val="2"/>
    </font>
    <font>
      <b/>
      <sz val="12"/>
      <name val="Arial"/>
      <family val="2"/>
    </font>
    <font>
      <b/>
      <sz val="11"/>
      <name val="Book Antiqua"/>
      <family val="1"/>
    </font>
    <font>
      <sz val="6"/>
      <name val="Times New Roman"/>
      <family val="1"/>
    </font>
    <font>
      <b/>
      <u/>
      <sz val="11"/>
      <name val="Times New Roman"/>
      <family val="1"/>
    </font>
    <font>
      <b/>
      <sz val="11"/>
      <color indexed="10"/>
      <name val="Arial"/>
      <family val="2"/>
    </font>
    <font>
      <b/>
      <sz val="10"/>
      <color rgb="FFFF0000"/>
      <name val="Arial"/>
      <family val="2"/>
    </font>
    <font>
      <sz val="10"/>
      <color rgb="FFFF0000"/>
      <name val="Times New Roman"/>
      <family val="1"/>
    </font>
    <font>
      <sz val="10"/>
      <name val="Arial"/>
      <family val="2"/>
    </font>
    <font>
      <b/>
      <sz val="12"/>
      <name val="Cambria"/>
      <family val="1"/>
    </font>
    <font>
      <b/>
      <sz val="10"/>
      <name val="Cambria"/>
      <family val="1"/>
    </font>
    <font>
      <sz val="12"/>
      <name val="Cambria"/>
      <family val="1"/>
    </font>
    <font>
      <sz val="10"/>
      <name val="Cambria"/>
      <family val="1"/>
    </font>
    <font>
      <b/>
      <u/>
      <sz val="12"/>
      <name val="Cambria"/>
      <family val="1"/>
    </font>
    <font>
      <b/>
      <u/>
      <sz val="10"/>
      <color rgb="FFFF0000"/>
      <name val="Cambria"/>
      <family val="1"/>
    </font>
    <font>
      <b/>
      <u/>
      <sz val="10"/>
      <name val="Cambria"/>
      <family val="1"/>
    </font>
    <font>
      <u/>
      <sz val="10"/>
      <name val="Cambria"/>
      <family val="1"/>
    </font>
    <font>
      <sz val="12"/>
      <name val="Tms Rmn"/>
    </font>
    <font>
      <b/>
      <sz val="12"/>
      <name val="Tms Rmn"/>
    </font>
    <font>
      <b/>
      <i/>
      <sz val="10"/>
      <color indexed="8"/>
      <name val="Arial"/>
      <family val="2"/>
    </font>
    <font>
      <b/>
      <sz val="10"/>
      <color indexed="9"/>
      <name val="Arial"/>
      <family val="2"/>
    </font>
    <font>
      <b/>
      <sz val="11"/>
      <color indexed="21"/>
      <name val="Arial"/>
      <family val="2"/>
    </font>
    <font>
      <b/>
      <sz val="22"/>
      <color indexed="21"/>
      <name val="Times New Roman"/>
      <family val="1"/>
    </font>
    <font>
      <sz val="12"/>
      <color indexed="13"/>
      <name val="Tms Rmn"/>
    </font>
    <font>
      <u/>
      <sz val="12"/>
      <name val="Cambria"/>
      <family val="1"/>
    </font>
    <font>
      <sz val="12"/>
      <color rgb="FFFF0000"/>
      <name val="Times New Roman"/>
      <family val="1"/>
    </font>
    <font>
      <sz val="12"/>
      <color theme="1"/>
      <name val="Times New Roman"/>
      <family val="1"/>
    </font>
    <font>
      <b/>
      <sz val="12"/>
      <color theme="1"/>
      <name val="Times New Roman"/>
      <family val="1"/>
    </font>
    <font>
      <b/>
      <i/>
      <sz val="12"/>
      <color theme="1"/>
      <name val="Times New Roman"/>
      <family val="1"/>
    </font>
    <font>
      <i/>
      <sz val="12"/>
      <color theme="1"/>
      <name val="Times New Roman"/>
      <family val="1"/>
    </font>
    <font>
      <b/>
      <i/>
      <sz val="12"/>
      <name val="Times New Roman"/>
      <family val="1"/>
    </font>
    <font>
      <b/>
      <u/>
      <sz val="12"/>
      <name val="Times New Roman"/>
      <family val="1"/>
    </font>
    <font>
      <u/>
      <sz val="12"/>
      <name val="Times New Roman"/>
      <family val="1"/>
    </font>
    <font>
      <b/>
      <i/>
      <u/>
      <sz val="12"/>
      <name val="Times New Roman"/>
      <family val="1"/>
    </font>
    <font>
      <sz val="12"/>
      <name val="Symbol"/>
      <family val="1"/>
      <charset val="2"/>
    </font>
    <font>
      <b/>
      <i/>
      <sz val="12"/>
      <name val="Arial"/>
      <family val="2"/>
    </font>
    <font>
      <sz val="12"/>
      <color indexed="62"/>
      <name val="Calibri"/>
      <family val="2"/>
    </font>
    <font>
      <vertAlign val="superscript"/>
      <sz val="12"/>
      <name val="Times New Roman"/>
      <family val="1"/>
    </font>
    <font>
      <b/>
      <sz val="12"/>
      <name val="Helv"/>
    </font>
    <font>
      <i/>
      <sz val="12"/>
      <name val="Times New Roman"/>
      <family val="1"/>
    </font>
    <font>
      <b/>
      <i/>
      <sz val="10.8"/>
      <name val="Times New Roman"/>
      <family val="1"/>
    </font>
    <font>
      <b/>
      <i/>
      <sz val="9"/>
      <name val="Times New Roman"/>
      <family val="1"/>
    </font>
  </fonts>
  <fills count="12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mediumGray">
        <fgColor indexed="22"/>
      </patternFill>
    </fill>
    <fill>
      <patternFill patternType="solid">
        <fgColor indexed="8"/>
      </patternFill>
    </fill>
    <fill>
      <patternFill patternType="lightGray">
        <fgColor indexed="8"/>
        <bgColor indexed="8"/>
      </patternFill>
    </fill>
    <fill>
      <patternFill patternType="solid">
        <fgColor indexed="35"/>
        <bgColor indexed="64"/>
      </patternFill>
    </fill>
    <fill>
      <patternFill patternType="gray0625">
        <fgColor indexed="8"/>
      </patternFill>
    </fill>
    <fill>
      <patternFill patternType="gray125">
        <fgColor indexed="8"/>
      </patternFill>
    </fill>
    <fill>
      <patternFill patternType="solid">
        <fgColor indexed="45"/>
        <bgColor indexed="64"/>
      </patternFill>
    </fill>
    <fill>
      <patternFill patternType="solid">
        <fgColor indexed="13"/>
        <bgColor indexed="64"/>
      </patternFill>
    </fill>
    <fill>
      <patternFill patternType="solid">
        <fgColor indexed="4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53"/>
      </patternFill>
    </fill>
    <fill>
      <patternFill patternType="solid">
        <fgColor indexed="9"/>
        <bgColor indexed="9"/>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27"/>
        <bgColor indexed="64"/>
      </patternFill>
    </fill>
    <fill>
      <patternFill patternType="solid">
        <fgColor indexed="43"/>
      </patternFill>
    </fill>
    <fill>
      <patternFill patternType="solid">
        <fgColor indexed="60"/>
      </patternFill>
    </fill>
    <fill>
      <patternFill patternType="solid">
        <fgColor indexed="26"/>
      </patternFill>
    </fill>
    <fill>
      <patternFill patternType="solid">
        <fgColor indexed="31"/>
        <bgColor indexed="64"/>
      </patternFill>
    </fill>
    <fill>
      <patternFill patternType="solid">
        <fgColor indexed="31"/>
        <bgColor indexed="31"/>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indexed="54"/>
      </patternFill>
    </fill>
    <fill>
      <patternFill patternType="solid">
        <fgColor indexed="26"/>
        <bgColor indexed="64"/>
      </patternFill>
    </fill>
    <fill>
      <patternFill patternType="solid">
        <fgColor indexed="20"/>
      </patternFill>
    </fill>
    <fill>
      <patternFill patternType="solid">
        <fgColor theme="6" tint="0.59999389629810485"/>
        <bgColor indexed="64"/>
      </patternFill>
    </fill>
    <fill>
      <patternFill patternType="solid">
        <fgColor indexed="44"/>
        <bgColor indexed="64"/>
      </patternFill>
    </fill>
    <fill>
      <patternFill patternType="solid">
        <fgColor rgb="FFFFFF00"/>
        <bgColor indexed="64"/>
      </patternFill>
    </fill>
    <fill>
      <patternFill patternType="solid">
        <fgColor rgb="FFDDDDDD"/>
        <bgColor indexed="64"/>
      </patternFill>
    </fill>
    <fill>
      <patternFill patternType="solid">
        <fgColor rgb="FFFFEE09"/>
        <bgColor indexed="64"/>
      </patternFill>
    </fill>
    <fill>
      <patternFill patternType="solid">
        <fgColor indexed="8"/>
        <bgColor indexed="64"/>
      </patternFill>
    </fill>
    <fill>
      <patternFill patternType="solid">
        <fgColor indexed="47"/>
        <bgColor indexed="64"/>
      </patternFill>
    </fill>
    <fill>
      <patternFill patternType="solid">
        <fgColor theme="9" tint="0.79998168889431442"/>
        <bgColor indexed="64"/>
      </patternFill>
    </fill>
    <fill>
      <patternFill patternType="solid">
        <fgColor indexed="13"/>
      </patternFill>
    </fill>
    <fill>
      <patternFill patternType="solid">
        <fgColor indexed="21"/>
        <bgColor indexed="64"/>
      </patternFill>
    </fill>
    <fill>
      <patternFill patternType="solid">
        <fgColor indexed="12"/>
      </patternFill>
    </fill>
    <fill>
      <patternFill patternType="solid">
        <fgColor theme="0" tint="-0.14999847407452621"/>
        <bgColor indexed="64"/>
      </patternFill>
    </fill>
  </fills>
  <borders count="11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bottom style="thin">
        <color indexed="64"/>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right/>
      <top style="hair">
        <color indexed="64"/>
      </top>
      <bottom/>
      <diagonal/>
    </border>
    <border>
      <left/>
      <right/>
      <top style="double">
        <color indexed="64"/>
      </top>
      <bottom/>
      <diagonal/>
    </border>
    <border>
      <left/>
      <right/>
      <top style="double">
        <color indexed="8"/>
      </top>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style="medium">
        <color indexed="64"/>
      </top>
      <bottom/>
      <diagonal/>
    </border>
    <border>
      <left/>
      <right/>
      <top/>
      <bottom style="double">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24"/>
      </bottom>
      <diagonal/>
    </border>
    <border>
      <left/>
      <right/>
      <top/>
      <bottom style="medium">
        <color indexed="30"/>
      </bottom>
      <diagonal/>
    </border>
    <border>
      <left/>
      <right/>
      <top/>
      <bottom style="double">
        <color indexed="5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style="thin">
        <color indexed="18"/>
      </left>
      <right style="thin">
        <color indexed="18"/>
      </right>
      <top style="thin">
        <color indexed="18"/>
      </top>
      <bottom style="thin">
        <color indexed="18"/>
      </bottom>
      <diagonal/>
    </border>
    <border>
      <left/>
      <right/>
      <top style="thin">
        <color indexed="48"/>
      </top>
      <bottom style="double">
        <color indexed="48"/>
      </bottom>
      <diagonal/>
    </border>
    <border>
      <left/>
      <right/>
      <top style="thin">
        <color indexed="62"/>
      </top>
      <bottom style="double">
        <color indexed="6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medium">
        <color indexed="64"/>
      </top>
      <bottom/>
      <diagonal/>
    </border>
    <border>
      <left/>
      <right/>
      <top style="thin">
        <color indexed="64"/>
      </top>
      <bottom style="medium">
        <color indexed="64"/>
      </bottom>
      <diagonal/>
    </border>
    <border>
      <left/>
      <right style="thin">
        <color indexed="64"/>
      </right>
      <top style="double">
        <color indexed="64"/>
      </top>
      <bottom/>
      <diagonal/>
    </border>
    <border>
      <left style="thin">
        <color indexed="64"/>
      </left>
      <right/>
      <top style="thin">
        <color indexed="64"/>
      </top>
      <bottom style="double">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style="medium">
        <color indexed="64"/>
      </right>
      <top style="hair">
        <color indexed="64"/>
      </top>
      <bottom style="medium">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8"/>
      </right>
      <top style="thin">
        <color indexed="8"/>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64"/>
      </right>
      <top style="thin">
        <color indexed="8"/>
      </top>
      <bottom/>
      <diagonal/>
    </border>
    <border>
      <left style="thin">
        <color indexed="8"/>
      </left>
      <right style="thin">
        <color indexed="64"/>
      </right>
      <top style="thin">
        <color indexed="8"/>
      </top>
      <bottom/>
      <diagonal/>
    </border>
    <border>
      <left/>
      <right style="thin">
        <color indexed="8"/>
      </right>
      <top style="thin">
        <color indexed="64"/>
      </top>
      <bottom/>
      <diagonal/>
    </border>
    <border>
      <left style="thin">
        <color indexed="64"/>
      </left>
      <right style="thin">
        <color indexed="8"/>
      </right>
      <top/>
      <bottom/>
      <diagonal/>
    </border>
    <border>
      <left style="thin">
        <color indexed="8"/>
      </left>
      <right style="thin">
        <color indexed="64"/>
      </right>
      <top/>
      <bottom/>
      <diagonal/>
    </border>
    <border>
      <left style="thin">
        <color indexed="64"/>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medium">
        <color indexed="10"/>
      </left>
      <right/>
      <top style="medium">
        <color indexed="10"/>
      </top>
      <bottom/>
      <diagonal/>
    </border>
    <border>
      <left/>
      <right/>
      <top style="medium">
        <color indexed="10"/>
      </top>
      <bottom/>
      <diagonal/>
    </border>
    <border>
      <left/>
      <right style="medium">
        <color indexed="10"/>
      </right>
      <top style="medium">
        <color indexed="10"/>
      </top>
      <bottom/>
      <diagonal/>
    </border>
    <border>
      <left style="medium">
        <color indexed="10"/>
      </left>
      <right/>
      <top/>
      <bottom/>
      <diagonal/>
    </border>
    <border>
      <left/>
      <right style="medium">
        <color indexed="10"/>
      </right>
      <top/>
      <bottom/>
      <diagonal/>
    </border>
    <border>
      <left style="medium">
        <color indexed="10"/>
      </left>
      <right/>
      <top/>
      <bottom style="medium">
        <color indexed="10"/>
      </bottom>
      <diagonal/>
    </border>
    <border>
      <left/>
      <right/>
      <top/>
      <bottom style="medium">
        <color indexed="10"/>
      </bottom>
      <diagonal/>
    </border>
    <border>
      <left/>
      <right style="medium">
        <color indexed="10"/>
      </right>
      <top/>
      <bottom style="medium">
        <color indexed="10"/>
      </bottom>
      <diagonal/>
    </border>
    <border>
      <left style="thin">
        <color indexed="8"/>
      </left>
      <right style="thin">
        <color indexed="8"/>
      </right>
      <top style="thin">
        <color indexed="8"/>
      </top>
      <bottom style="thin">
        <color indexed="8"/>
      </bottom>
      <diagonal/>
    </border>
    <border>
      <left style="thin">
        <color indexed="8"/>
      </left>
      <right style="thin">
        <color indexed="8"/>
      </right>
      <top style="double">
        <color indexed="8"/>
      </top>
      <bottom style="thin">
        <color indexed="8"/>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55"/>
      </left>
      <right style="thin">
        <color indexed="55"/>
      </right>
      <top/>
      <bottom/>
      <diagonal/>
    </border>
    <border>
      <left style="medium">
        <color indexed="64"/>
      </left>
      <right/>
      <top style="thin">
        <color indexed="64"/>
      </top>
      <bottom style="double">
        <color indexed="64"/>
      </bottom>
      <diagonal/>
    </border>
  </borders>
  <cellStyleXfs count="1966">
    <xf numFmtId="169" fontId="0" fillId="0" borderId="0">
      <alignment horizontal="left" wrapText="1"/>
    </xf>
    <xf numFmtId="0" fontId="15" fillId="0" borderId="0"/>
    <xf numFmtId="186" fontId="15" fillId="0" borderId="0">
      <alignment horizontal="left" wrapText="1"/>
    </xf>
    <xf numFmtId="169" fontId="15" fillId="0" borderId="0">
      <alignment horizontal="left" wrapText="1"/>
    </xf>
    <xf numFmtId="169" fontId="26" fillId="0" borderId="0">
      <alignment horizontal="left" wrapText="1"/>
    </xf>
    <xf numFmtId="169" fontId="26" fillId="0" borderId="0">
      <alignment horizontal="left" wrapText="1"/>
    </xf>
    <xf numFmtId="169" fontId="15" fillId="0" borderId="0">
      <alignment horizontal="left" wrapText="1"/>
    </xf>
    <xf numFmtId="169" fontId="15" fillId="0" borderId="0">
      <alignment horizontal="left" wrapText="1"/>
    </xf>
    <xf numFmtId="186" fontId="15" fillId="0" borderId="0">
      <alignment horizontal="left" wrapText="1"/>
    </xf>
    <xf numFmtId="186" fontId="26" fillId="0" borderId="0">
      <alignment horizontal="left" wrapText="1"/>
    </xf>
    <xf numFmtId="186" fontId="26" fillId="0" borderId="0">
      <alignment horizontal="left" wrapText="1"/>
    </xf>
    <xf numFmtId="186" fontId="15" fillId="0" borderId="0">
      <alignment horizontal="left" wrapText="1"/>
    </xf>
    <xf numFmtId="186" fontId="15" fillId="0" borderId="0">
      <alignment horizontal="left" wrapText="1"/>
    </xf>
    <xf numFmtId="169" fontId="15" fillId="0" borderId="0">
      <alignment horizontal="left" wrapText="1"/>
    </xf>
    <xf numFmtId="168" fontId="15" fillId="0" borderId="0">
      <alignment horizontal="left" wrapText="1"/>
    </xf>
    <xf numFmtId="186" fontId="15" fillId="0" borderId="0">
      <alignment horizontal="left" wrapText="1"/>
    </xf>
    <xf numFmtId="186" fontId="26" fillId="0" borderId="0">
      <alignment horizontal="left" wrapText="1"/>
    </xf>
    <xf numFmtId="186" fontId="26" fillId="0" borderId="0">
      <alignment horizontal="left" wrapText="1"/>
    </xf>
    <xf numFmtId="186" fontId="15" fillId="0" borderId="0">
      <alignment horizontal="left" wrapText="1"/>
    </xf>
    <xf numFmtId="186" fontId="15" fillId="0" borderId="0">
      <alignment horizontal="left" wrapText="1"/>
    </xf>
    <xf numFmtId="168" fontId="26" fillId="0" borderId="0">
      <alignment horizontal="left" wrapText="1"/>
    </xf>
    <xf numFmtId="168" fontId="26" fillId="0" borderId="0">
      <alignment horizontal="left" wrapText="1"/>
    </xf>
    <xf numFmtId="168" fontId="15" fillId="0" borderId="0">
      <alignment horizontal="left" wrapText="1"/>
    </xf>
    <xf numFmtId="186" fontId="15" fillId="0" borderId="0">
      <alignment horizontal="left" wrapText="1"/>
    </xf>
    <xf numFmtId="186" fontId="26" fillId="0" borderId="0">
      <alignment horizontal="left" wrapText="1"/>
    </xf>
    <xf numFmtId="186" fontId="26" fillId="0" borderId="0">
      <alignment horizontal="left" wrapText="1"/>
    </xf>
    <xf numFmtId="186" fontId="15" fillId="0" borderId="0">
      <alignment horizontal="left" wrapText="1"/>
    </xf>
    <xf numFmtId="186" fontId="15" fillId="0" borderId="0">
      <alignment horizontal="left" wrapText="1"/>
    </xf>
    <xf numFmtId="0" fontId="45" fillId="0" borderId="0"/>
    <xf numFmtId="0" fontId="45" fillId="0" borderId="0"/>
    <xf numFmtId="169" fontId="15" fillId="0" borderId="0">
      <alignment horizontal="left" wrapText="1"/>
    </xf>
    <xf numFmtId="169" fontId="26" fillId="0" borderId="0">
      <alignment horizontal="left" wrapText="1"/>
    </xf>
    <xf numFmtId="169" fontId="26" fillId="0" borderId="0">
      <alignment horizontal="left" wrapText="1"/>
    </xf>
    <xf numFmtId="169" fontId="15" fillId="0" borderId="0">
      <alignment horizontal="left" wrapText="1"/>
    </xf>
    <xf numFmtId="186" fontId="15" fillId="0" borderId="0">
      <alignment horizontal="left" wrapText="1"/>
    </xf>
    <xf numFmtId="186" fontId="26" fillId="0" borderId="0">
      <alignment horizontal="left" wrapText="1"/>
    </xf>
    <xf numFmtId="186" fontId="26"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26" fillId="0" borderId="0">
      <alignment horizontal="left" wrapText="1"/>
    </xf>
    <xf numFmtId="186" fontId="26"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26" fillId="0" borderId="0">
      <alignment horizontal="left" wrapText="1"/>
    </xf>
    <xf numFmtId="186" fontId="26" fillId="0" borderId="0">
      <alignment horizontal="left" wrapText="1"/>
    </xf>
    <xf numFmtId="186" fontId="15" fillId="0" borderId="0">
      <alignment horizontal="left" wrapText="1"/>
    </xf>
    <xf numFmtId="169" fontId="15" fillId="0" borderId="0">
      <alignment horizontal="left" wrapText="1"/>
    </xf>
    <xf numFmtId="169" fontId="26" fillId="0" borderId="0">
      <alignment horizontal="left" wrapText="1"/>
    </xf>
    <xf numFmtId="169" fontId="26" fillId="0" borderId="0">
      <alignment horizontal="left" wrapText="1"/>
    </xf>
    <xf numFmtId="169" fontId="15" fillId="0" borderId="0">
      <alignment horizontal="left" wrapText="1"/>
    </xf>
    <xf numFmtId="169" fontId="15" fillId="0" borderId="0">
      <alignment horizontal="left" wrapText="1"/>
    </xf>
    <xf numFmtId="169" fontId="26" fillId="0" borderId="0">
      <alignment horizontal="left" wrapText="1"/>
    </xf>
    <xf numFmtId="169" fontId="26" fillId="0" borderId="0">
      <alignment horizontal="left" wrapText="1"/>
    </xf>
    <xf numFmtId="169" fontId="15" fillId="0" borderId="0">
      <alignment horizontal="left" wrapText="1"/>
    </xf>
    <xf numFmtId="169" fontId="15" fillId="0" borderId="0">
      <alignment horizontal="left" wrapText="1"/>
    </xf>
    <xf numFmtId="186" fontId="26" fillId="0" borderId="0">
      <alignment horizontal="left" wrapText="1"/>
    </xf>
    <xf numFmtId="186" fontId="15" fillId="0" borderId="0">
      <alignment horizontal="left" wrapText="1"/>
    </xf>
    <xf numFmtId="186" fontId="15" fillId="0" borderId="0">
      <alignment horizontal="left" wrapText="1"/>
    </xf>
    <xf numFmtId="186" fontId="26" fillId="0" borderId="0">
      <alignment horizontal="left" wrapText="1"/>
    </xf>
    <xf numFmtId="186" fontId="26" fillId="0" borderId="0">
      <alignment horizontal="left" wrapText="1"/>
    </xf>
    <xf numFmtId="186" fontId="15" fillId="0" borderId="0">
      <alignment horizontal="left" wrapText="1"/>
    </xf>
    <xf numFmtId="186" fontId="26" fillId="0" borderId="0">
      <alignment horizontal="left" wrapText="1"/>
    </xf>
    <xf numFmtId="186" fontId="15" fillId="0" borderId="0">
      <alignment horizontal="left" wrapText="1"/>
    </xf>
    <xf numFmtId="186" fontId="26" fillId="0" borderId="0">
      <alignment horizontal="left" wrapText="1"/>
    </xf>
    <xf numFmtId="186" fontId="15" fillId="0" borderId="0">
      <alignment horizontal="left" wrapText="1"/>
    </xf>
    <xf numFmtId="0" fontId="45" fillId="0" borderId="0"/>
    <xf numFmtId="186" fontId="26" fillId="0" borderId="0">
      <alignment horizontal="left" wrapText="1"/>
    </xf>
    <xf numFmtId="186" fontId="15" fillId="0" borderId="0">
      <alignment horizontal="left" wrapText="1"/>
    </xf>
    <xf numFmtId="186" fontId="15" fillId="0" borderId="0">
      <alignment horizontal="left" wrapText="1"/>
    </xf>
    <xf numFmtId="169" fontId="15" fillId="0" borderId="0">
      <alignment horizontal="left" wrapText="1"/>
    </xf>
    <xf numFmtId="169" fontId="26" fillId="0" borderId="0">
      <alignment horizontal="left" wrapText="1"/>
    </xf>
    <xf numFmtId="169" fontId="26"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8"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26" fillId="0" borderId="0">
      <alignment horizontal="left" wrapText="1"/>
    </xf>
    <xf numFmtId="186" fontId="26" fillId="0" borderId="0">
      <alignment horizontal="left" wrapText="1"/>
    </xf>
    <xf numFmtId="186" fontId="15" fillId="0" borderId="0">
      <alignment horizontal="left" wrapText="1"/>
    </xf>
    <xf numFmtId="186" fontId="15" fillId="0" borderId="0">
      <alignment horizontal="left" wrapText="1"/>
    </xf>
    <xf numFmtId="169" fontId="15" fillId="0" borderId="0">
      <alignment horizontal="left" wrapText="1"/>
    </xf>
    <xf numFmtId="169" fontId="15" fillId="0" borderId="0">
      <alignment horizontal="left" wrapText="1"/>
    </xf>
    <xf numFmtId="169" fontId="26" fillId="0" borderId="0">
      <alignment horizontal="left" wrapText="1"/>
    </xf>
    <xf numFmtId="169" fontId="26"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45" fillId="0" borderId="0"/>
    <xf numFmtId="0" fontId="45" fillId="0" borderId="0"/>
    <xf numFmtId="169" fontId="15" fillId="0" borderId="0">
      <alignment horizontal="left" wrapText="1"/>
    </xf>
    <xf numFmtId="169" fontId="26" fillId="0" borderId="0">
      <alignment horizontal="left" wrapText="1"/>
    </xf>
    <xf numFmtId="169" fontId="26"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86" fontId="15" fillId="0" borderId="0">
      <alignment horizontal="left" wrapText="1"/>
    </xf>
    <xf numFmtId="186" fontId="26" fillId="0" borderId="0">
      <alignment horizontal="left" wrapText="1"/>
    </xf>
    <xf numFmtId="186" fontId="26"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26" fillId="0" borderId="0">
      <alignment horizontal="left" wrapText="1"/>
    </xf>
    <xf numFmtId="186" fontId="26"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26" fillId="0" borderId="0">
      <alignment horizontal="left" wrapText="1"/>
    </xf>
    <xf numFmtId="186" fontId="26"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26" fillId="0" borderId="0">
      <alignment horizontal="left" wrapText="1"/>
    </xf>
    <xf numFmtId="186" fontId="26" fillId="0" borderId="0">
      <alignment horizontal="left" wrapText="1"/>
    </xf>
    <xf numFmtId="186" fontId="15" fillId="0" borderId="0">
      <alignment horizontal="left" wrapText="1"/>
    </xf>
    <xf numFmtId="186" fontId="15" fillId="0" borderId="0">
      <alignment horizontal="left" wrapText="1"/>
    </xf>
    <xf numFmtId="0" fontId="45" fillId="0" borderId="0"/>
    <xf numFmtId="0" fontId="79" fillId="15"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5" borderId="0" applyNumberFormat="0" applyBorder="0" applyAlignment="0" applyProtection="0"/>
    <xf numFmtId="0" fontId="79" fillId="26"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0" fillId="36" borderId="0" applyNumberFormat="0" applyBorder="0" applyAlignment="0" applyProtection="0"/>
    <xf numFmtId="0" fontId="80" fillId="37" borderId="0" applyNumberFormat="0" applyBorder="0" applyAlignment="0" applyProtection="0"/>
    <xf numFmtId="0" fontId="80" fillId="38" borderId="0" applyNumberFormat="0" applyBorder="0" applyAlignment="0" applyProtection="0"/>
    <xf numFmtId="0" fontId="81" fillId="39" borderId="0" applyNumberFormat="0" applyBorder="0" applyAlignment="0" applyProtection="0"/>
    <xf numFmtId="190" fontId="31" fillId="0" borderId="0" applyFill="0" applyBorder="0" applyAlignment="0"/>
    <xf numFmtId="190" fontId="46" fillId="0" borderId="0" applyFill="0" applyBorder="0" applyAlignment="0"/>
    <xf numFmtId="190" fontId="46" fillId="0" borderId="0" applyFill="0" applyBorder="0" applyAlignment="0"/>
    <xf numFmtId="41" fontId="15" fillId="2" borderId="0"/>
    <xf numFmtId="0" fontId="82" fillId="40" borderId="33" applyNumberFormat="0" applyAlignment="0" applyProtection="0"/>
    <xf numFmtId="0" fontId="82" fillId="40" borderId="33" applyNumberFormat="0" applyAlignment="0" applyProtection="0"/>
    <xf numFmtId="0" fontId="83" fillId="41" borderId="34" applyNumberFormat="0" applyAlignment="0" applyProtection="0"/>
    <xf numFmtId="41" fontId="26" fillId="3" borderId="0"/>
    <xf numFmtId="41" fontId="15" fillId="3" borderId="0"/>
    <xf numFmtId="41" fontId="15" fillId="3" borderId="0"/>
    <xf numFmtId="4" fontId="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74" fillId="0" borderId="0" applyFont="0" applyFill="0" applyBorder="0" applyAlignment="0" applyProtection="0"/>
    <xf numFmtId="43" fontId="15"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5" fillId="0" borderId="0" applyFont="0" applyFill="0" applyBorder="0" applyAlignment="0" applyProtection="0"/>
    <xf numFmtId="43" fontId="47" fillId="0" borderId="0" applyFont="0" applyFill="0" applyBorder="0" applyAlignment="0" applyProtection="0"/>
    <xf numFmtId="43" fontId="62"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6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3" fontId="23" fillId="0" borderId="0" applyFont="0" applyFill="0" applyBorder="0" applyAlignment="0" applyProtection="0"/>
    <xf numFmtId="0" fontId="27" fillId="0" borderId="0"/>
    <xf numFmtId="0" fontId="27" fillId="0" borderId="0"/>
    <xf numFmtId="0" fontId="49" fillId="0" borderId="0"/>
    <xf numFmtId="0" fontId="64" fillId="0" borderId="0"/>
    <xf numFmtId="0" fontId="71" fillId="0" borderId="0"/>
    <xf numFmtId="3" fontId="48" fillId="0" borderId="0" applyFont="0" applyFill="0" applyBorder="0" applyAlignment="0" applyProtection="0"/>
    <xf numFmtId="3" fontId="48" fillId="0" borderId="0" applyFont="0" applyFill="0" applyBorder="0" applyAlignment="0" applyProtection="0"/>
    <xf numFmtId="3" fontId="61" fillId="0" borderId="0" applyFont="0" applyFill="0" applyBorder="0" applyAlignment="0" applyProtection="0"/>
    <xf numFmtId="3" fontId="63" fillId="0" borderId="0" applyFill="0" applyBorder="0" applyAlignment="0" applyProtection="0"/>
    <xf numFmtId="196" fontId="50" fillId="0" borderId="0">
      <protection locked="0"/>
    </xf>
    <xf numFmtId="0" fontId="49" fillId="0" borderId="0"/>
    <xf numFmtId="0" fontId="64" fillId="0" borderId="0"/>
    <xf numFmtId="0" fontId="71" fillId="0" borderId="0"/>
    <xf numFmtId="0" fontId="32" fillId="0" borderId="0" applyNumberFormat="0" applyAlignment="0">
      <alignment horizontal="left"/>
    </xf>
    <xf numFmtId="0" fontId="51" fillId="0" borderId="0" applyNumberFormat="0" applyAlignment="0">
      <alignment horizontal="left"/>
    </xf>
    <xf numFmtId="0" fontId="51" fillId="0" borderId="0" applyNumberFormat="0" applyAlignment="0">
      <alignment horizontal="left"/>
    </xf>
    <xf numFmtId="0" fontId="33" fillId="0" borderId="0" applyNumberFormat="0" applyAlignment="0"/>
    <xf numFmtId="0" fontId="52" fillId="0" borderId="0" applyNumberFormat="0" applyAlignment="0"/>
    <xf numFmtId="0" fontId="52" fillId="0" borderId="0" applyNumberFormat="0" applyAlignment="0"/>
    <xf numFmtId="0" fontId="27" fillId="0" borderId="0"/>
    <xf numFmtId="0" fontId="49" fillId="0" borderId="0"/>
    <xf numFmtId="0" fontId="64" fillId="0" borderId="0"/>
    <xf numFmtId="0" fontId="71" fillId="0" borderId="0"/>
    <xf numFmtId="0" fontId="27" fillId="0" borderId="0"/>
    <xf numFmtId="0" fontId="49" fillId="0" borderId="0"/>
    <xf numFmtId="0" fontId="64" fillId="0" borderId="0"/>
    <xf numFmtId="0" fontId="71" fillId="0" borderId="0"/>
    <xf numFmtId="8" fontId="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88" fontId="15" fillId="0" borderId="0" applyFont="0" applyFill="0" applyBorder="0" applyAlignment="0" applyProtection="0"/>
    <xf numFmtId="188" fontId="26" fillId="0" borderId="0" applyFont="0" applyFill="0" applyBorder="0" applyAlignment="0" applyProtection="0"/>
    <xf numFmtId="188" fontId="26" fillId="0" borderId="0" applyFont="0" applyFill="0" applyBorder="0" applyAlignment="0" applyProtection="0"/>
    <xf numFmtId="5" fontId="63" fillId="0" borderId="0" applyFill="0" applyBorder="0" applyAlignment="0" applyProtection="0"/>
    <xf numFmtId="0" fontId="23"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61" fillId="0" borderId="0" applyFont="0" applyFill="0" applyBorder="0" applyAlignment="0" applyProtection="0"/>
    <xf numFmtId="195" fontId="63" fillId="0" borderId="0" applyFill="0" applyBorder="0" applyAlignment="0" applyProtection="0"/>
    <xf numFmtId="169" fontId="15" fillId="0" borderId="0"/>
    <xf numFmtId="203" fontId="15" fillId="0" borderId="0" applyFont="0" applyFill="0" applyBorder="0" applyAlignment="0" applyProtection="0">
      <alignment horizontal="left" wrapText="1"/>
    </xf>
    <xf numFmtId="0" fontId="84" fillId="0" borderId="0" applyNumberFormat="0" applyFill="0" applyBorder="0" applyAlignment="0" applyProtection="0"/>
    <xf numFmtId="2" fontId="23" fillId="0" borderId="0" applyFont="0" applyFill="0" applyBorder="0" applyAlignment="0" applyProtection="0"/>
    <xf numFmtId="2" fontId="48" fillId="0" borderId="0" applyFont="0" applyFill="0" applyBorder="0" applyAlignment="0" applyProtection="0"/>
    <xf numFmtId="2" fontId="48" fillId="0" borderId="0" applyFont="0" applyFill="0" applyBorder="0" applyAlignment="0" applyProtection="0"/>
    <xf numFmtId="2" fontId="63" fillId="0" borderId="0" applyFill="0" applyBorder="0" applyAlignment="0" applyProtection="0"/>
    <xf numFmtId="0" fontId="27" fillId="0" borderId="0"/>
    <xf numFmtId="0" fontId="85" fillId="42" borderId="0" applyNumberFormat="0" applyBorder="0" applyAlignment="0" applyProtection="0"/>
    <xf numFmtId="38" fontId="17" fillId="3" borderId="0" applyNumberFormat="0" applyBorder="0" applyAlignment="0" applyProtection="0"/>
    <xf numFmtId="38" fontId="36" fillId="3" borderId="0" applyNumberFormat="0" applyBorder="0" applyAlignment="0" applyProtection="0"/>
    <xf numFmtId="38" fontId="36" fillId="3" borderId="0" applyNumberFormat="0" applyBorder="0" applyAlignment="0" applyProtection="0"/>
    <xf numFmtId="38" fontId="17" fillId="3" borderId="0" applyNumberFormat="0" applyBorder="0" applyAlignment="0" applyProtection="0"/>
    <xf numFmtId="0" fontId="34" fillId="0" borderId="1" applyNumberFormat="0" applyAlignment="0" applyProtection="0">
      <alignment horizontal="left"/>
    </xf>
    <xf numFmtId="0" fontId="44" fillId="0" borderId="1" applyNumberFormat="0" applyAlignment="0" applyProtection="0">
      <alignment horizontal="left"/>
    </xf>
    <xf numFmtId="0" fontId="44" fillId="0" borderId="1" applyNumberFormat="0" applyAlignment="0" applyProtection="0">
      <alignment horizontal="left"/>
    </xf>
    <xf numFmtId="0" fontId="34" fillId="0" borderId="2">
      <alignment horizontal="left"/>
    </xf>
    <xf numFmtId="0" fontId="44" fillId="0" borderId="2">
      <alignment horizontal="left"/>
    </xf>
    <xf numFmtId="0" fontId="44" fillId="0" borderId="2">
      <alignment horizontal="left"/>
    </xf>
    <xf numFmtId="0" fontId="23" fillId="0" borderId="0" applyNumberFormat="0" applyFill="0" applyBorder="0" applyAlignment="0" applyProtection="0"/>
    <xf numFmtId="0" fontId="86" fillId="0" borderId="35" applyNumberFormat="0" applyFill="0" applyAlignment="0" applyProtection="0"/>
    <xf numFmtId="0" fontId="86" fillId="0" borderId="35" applyNumberFormat="0" applyFill="0" applyAlignment="0" applyProtection="0"/>
    <xf numFmtId="0" fontId="23" fillId="0" borderId="0" applyNumberFormat="0" applyFill="0" applyBorder="0" applyAlignment="0" applyProtection="0"/>
    <xf numFmtId="0" fontId="87" fillId="0" borderId="36" applyNumberFormat="0" applyFill="0" applyAlignment="0" applyProtection="0"/>
    <xf numFmtId="0" fontId="87" fillId="0" borderId="36" applyNumberFormat="0" applyFill="0" applyAlignment="0" applyProtection="0"/>
    <xf numFmtId="0" fontId="88" fillId="0" borderId="37" applyNumberFormat="0" applyFill="0" applyAlignment="0" applyProtection="0"/>
    <xf numFmtId="0" fontId="88" fillId="0" borderId="0" applyNumberFormat="0" applyFill="0" applyBorder="0" applyAlignment="0" applyProtection="0"/>
    <xf numFmtId="38" fontId="16" fillId="0" borderId="0"/>
    <xf numFmtId="38" fontId="42" fillId="0" borderId="0"/>
    <xf numFmtId="38" fontId="42" fillId="0" borderId="0"/>
    <xf numFmtId="40" fontId="16" fillId="0" borderId="0"/>
    <xf numFmtId="40" fontId="42" fillId="0" borderId="0"/>
    <xf numFmtId="40" fontId="42" fillId="0" borderId="0"/>
    <xf numFmtId="0" fontId="89" fillId="43" borderId="33" applyNumberFormat="0" applyAlignment="0" applyProtection="0"/>
    <xf numFmtId="10" fontId="17" fillId="2" borderId="3" applyNumberFormat="0" applyBorder="0" applyAlignment="0" applyProtection="0"/>
    <xf numFmtId="10" fontId="36" fillId="2" borderId="3" applyNumberFormat="0" applyBorder="0" applyAlignment="0" applyProtection="0"/>
    <xf numFmtId="10" fontId="36" fillId="2" borderId="3" applyNumberFormat="0" applyBorder="0" applyAlignment="0" applyProtection="0"/>
    <xf numFmtId="10" fontId="17" fillId="2" borderId="3" applyNumberFormat="0" applyBorder="0" applyAlignment="0" applyProtection="0"/>
    <xf numFmtId="41" fontId="35" fillId="4" borderId="4">
      <alignment horizontal="left"/>
      <protection locked="0"/>
    </xf>
    <xf numFmtId="10" fontId="35" fillId="4" borderId="4">
      <alignment horizontal="right"/>
      <protection locked="0"/>
    </xf>
    <xf numFmtId="0" fontId="36" fillId="3" borderId="0"/>
    <xf numFmtId="0" fontId="17" fillId="3" borderId="0"/>
    <xf numFmtId="0" fontId="17" fillId="3" borderId="0"/>
    <xf numFmtId="3" fontId="53" fillId="0" borderId="0" applyFill="0" applyBorder="0" applyAlignment="0" applyProtection="0"/>
    <xf numFmtId="0" fontId="90" fillId="0" borderId="38" applyNumberFormat="0" applyFill="0" applyAlignment="0" applyProtection="0"/>
    <xf numFmtId="44" fontId="24" fillId="0" borderId="5" applyNumberFormat="0" applyFont="0" applyAlignment="0">
      <alignment horizontal="center"/>
    </xf>
    <xf numFmtId="44" fontId="28" fillId="0" borderId="5" applyNumberFormat="0" applyFont="0" applyAlignment="0">
      <alignment horizontal="center"/>
    </xf>
    <xf numFmtId="44" fontId="28" fillId="0" borderId="5" applyNumberFormat="0" applyFont="0" applyAlignment="0">
      <alignment horizontal="center"/>
    </xf>
    <xf numFmtId="44" fontId="24" fillId="0" borderId="5" applyNumberFormat="0" applyFont="0" applyAlignment="0">
      <alignment horizontal="center"/>
    </xf>
    <xf numFmtId="44" fontId="24" fillId="0" borderId="6" applyNumberFormat="0" applyFont="0" applyAlignment="0">
      <alignment horizontal="center"/>
    </xf>
    <xf numFmtId="44" fontId="28" fillId="0" borderId="6" applyNumberFormat="0" applyFont="0" applyAlignment="0">
      <alignment horizontal="center"/>
    </xf>
    <xf numFmtId="44" fontId="28" fillId="0" borderId="6" applyNumberFormat="0" applyFont="0" applyAlignment="0">
      <alignment horizontal="center"/>
    </xf>
    <xf numFmtId="44" fontId="24" fillId="0" borderId="6" applyNumberFormat="0" applyFont="0" applyAlignment="0">
      <alignment horizontal="center"/>
    </xf>
    <xf numFmtId="0" fontId="91" fillId="44" borderId="0" applyNumberFormat="0" applyBorder="0" applyAlignment="0" applyProtection="0"/>
    <xf numFmtId="37" fontId="37" fillId="0" borderId="0"/>
    <xf numFmtId="37" fontId="54" fillId="0" borderId="0"/>
    <xf numFmtId="37" fontId="54" fillId="0" borderId="0"/>
    <xf numFmtId="187" fontId="22" fillId="0" borderId="0"/>
    <xf numFmtId="194" fontId="41" fillId="0" borderId="0"/>
    <xf numFmtId="194" fontId="41" fillId="0" borderId="0"/>
    <xf numFmtId="198" fontId="15" fillId="0" borderId="0"/>
    <xf numFmtId="164" fontId="15" fillId="0" borderId="0"/>
    <xf numFmtId="0" fontId="15" fillId="0" borderId="0"/>
    <xf numFmtId="0" fontId="15" fillId="0" borderId="0"/>
    <xf numFmtId="0" fontId="74" fillId="0" borderId="0"/>
    <xf numFmtId="0" fontId="15" fillId="0" borderId="0"/>
    <xf numFmtId="0" fontId="92" fillId="0" borderId="0"/>
    <xf numFmtId="0" fontId="92" fillId="0" borderId="0"/>
    <xf numFmtId="0" fontId="10" fillId="0" borderId="0"/>
    <xf numFmtId="0" fontId="10" fillId="0" borderId="0"/>
    <xf numFmtId="0" fontId="15" fillId="0" borderId="0"/>
    <xf numFmtId="0" fontId="26" fillId="0" borderId="0"/>
    <xf numFmtId="0" fontId="22" fillId="0" borderId="0"/>
    <xf numFmtId="0" fontId="22" fillId="0" borderId="0"/>
    <xf numFmtId="0" fontId="62" fillId="0" borderId="0"/>
    <xf numFmtId="0" fontId="79" fillId="0" borderId="0"/>
    <xf numFmtId="0" fontId="47" fillId="0" borderId="0"/>
    <xf numFmtId="195" fontId="26" fillId="0" borderId="0">
      <alignment horizontal="left" wrapText="1"/>
    </xf>
    <xf numFmtId="0" fontId="92" fillId="0" borderId="0"/>
    <xf numFmtId="0" fontId="10" fillId="0" borderId="0"/>
    <xf numFmtId="0" fontId="10" fillId="0" borderId="0"/>
    <xf numFmtId="0" fontId="10" fillId="0" borderId="0"/>
    <xf numFmtId="0" fontId="15" fillId="0" borderId="0"/>
    <xf numFmtId="0" fontId="60" fillId="45" borderId="39" applyNumberFormat="0" applyFont="0" applyAlignment="0" applyProtection="0"/>
    <xf numFmtId="0" fontId="93" fillId="40" borderId="40" applyNumberFormat="0" applyAlignment="0" applyProtection="0"/>
    <xf numFmtId="0" fontId="27" fillId="0" borderId="0"/>
    <xf numFmtId="0" fontId="27" fillId="0" borderId="0"/>
    <xf numFmtId="0" fontId="49" fillId="0" borderId="0"/>
    <xf numFmtId="0" fontId="64" fillId="0" borderId="0"/>
    <xf numFmtId="0" fontId="71" fillId="0" borderId="0"/>
    <xf numFmtId="9" fontId="9" fillId="0" borderId="0" applyFont="0" applyFill="0" applyBorder="0" applyAlignment="0" applyProtection="0"/>
    <xf numFmtId="10" fontId="15" fillId="0" borderId="0" applyFont="0" applyFill="0" applyBorder="0" applyAlignment="0" applyProtection="0"/>
    <xf numFmtId="9" fontId="1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5"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26" fillId="0" borderId="0" applyFont="0" applyFill="0" applyBorder="0" applyAlignment="0" applyProtection="0"/>
    <xf numFmtId="9" fontId="67" fillId="0" borderId="0" applyFont="0" applyFill="0" applyBorder="0" applyAlignment="0" applyProtection="0"/>
    <xf numFmtId="9" fontId="74" fillId="0" borderId="0" applyFont="0" applyFill="0" applyBorder="0" applyAlignment="0" applyProtection="0"/>
    <xf numFmtId="9" fontId="76" fillId="0" borderId="0" applyFont="0" applyFill="0" applyBorder="0" applyAlignment="0" applyProtection="0"/>
    <xf numFmtId="41" fontId="26" fillId="5" borderId="4"/>
    <xf numFmtId="41" fontId="15" fillId="5" borderId="4"/>
    <xf numFmtId="41" fontId="15" fillId="5" borderId="4"/>
    <xf numFmtId="0" fontId="10" fillId="0" borderId="0" applyNumberFormat="0" applyFont="0" applyFill="0" applyBorder="0" applyAlignment="0" applyProtection="0">
      <alignment horizontal="left"/>
    </xf>
    <xf numFmtId="0" fontId="55" fillId="0" borderId="0" applyNumberFormat="0" applyFont="0" applyFill="0" applyBorder="0" applyAlignment="0" applyProtection="0">
      <alignment horizontal="left"/>
    </xf>
    <xf numFmtId="0" fontId="55" fillId="0" borderId="0" applyNumberFormat="0" applyFont="0" applyFill="0" applyBorder="0" applyAlignment="0" applyProtection="0">
      <alignment horizontal="left"/>
    </xf>
    <xf numFmtId="15" fontId="10" fillId="0" borderId="0" applyFont="0" applyFill="0" applyBorder="0" applyAlignment="0" applyProtection="0"/>
    <xf numFmtId="15" fontId="55" fillId="0" borderId="0" applyFont="0" applyFill="0" applyBorder="0" applyAlignment="0" applyProtection="0"/>
    <xf numFmtId="15" fontId="55" fillId="0" borderId="0" applyFont="0" applyFill="0" applyBorder="0" applyAlignment="0" applyProtection="0"/>
    <xf numFmtId="4" fontId="10" fillId="0" borderId="0" applyFont="0" applyFill="0" applyBorder="0" applyAlignment="0" applyProtection="0"/>
    <xf numFmtId="4" fontId="55" fillId="0" borderId="0" applyFont="0" applyFill="0" applyBorder="0" applyAlignment="0" applyProtection="0"/>
    <xf numFmtId="4" fontId="55" fillId="0" borderId="0" applyFont="0" applyFill="0" applyBorder="0" applyAlignment="0" applyProtection="0"/>
    <xf numFmtId="0" fontId="38" fillId="0" borderId="8">
      <alignment horizontal="center"/>
    </xf>
    <xf numFmtId="0" fontId="56" fillId="0" borderId="8">
      <alignment horizontal="center"/>
    </xf>
    <xf numFmtId="0" fontId="56" fillId="0" borderId="8">
      <alignment horizontal="center"/>
    </xf>
    <xf numFmtId="3" fontId="10" fillId="0" borderId="0" applyFont="0" applyFill="0" applyBorder="0" applyAlignment="0" applyProtection="0"/>
    <xf numFmtId="3" fontId="55" fillId="0" borderId="0" applyFont="0" applyFill="0" applyBorder="0" applyAlignment="0" applyProtection="0"/>
    <xf numFmtId="3" fontId="55" fillId="0" borderId="0" applyFont="0" applyFill="0" applyBorder="0" applyAlignment="0" applyProtection="0"/>
    <xf numFmtId="0" fontId="10" fillId="6" borderId="0" applyNumberFormat="0" applyFont="0" applyBorder="0" applyAlignment="0" applyProtection="0"/>
    <xf numFmtId="0" fontId="55" fillId="6" borderId="0" applyNumberFormat="0" applyFont="0" applyBorder="0" applyAlignment="0" applyProtection="0"/>
    <xf numFmtId="0" fontId="55" fillId="6" borderId="0" applyNumberFormat="0" applyFont="0" applyBorder="0" applyAlignment="0" applyProtection="0"/>
    <xf numFmtId="0" fontId="49" fillId="0" borderId="0"/>
    <xf numFmtId="0" fontId="64" fillId="0" borderId="0"/>
    <xf numFmtId="0" fontId="71" fillId="0" borderId="0"/>
    <xf numFmtId="3" fontId="57" fillId="0" borderId="0" applyFill="0" applyBorder="0" applyAlignment="0" applyProtection="0"/>
    <xf numFmtId="0" fontId="58" fillId="0" borderId="0"/>
    <xf numFmtId="0" fontId="65" fillId="0" borderId="0"/>
    <xf numFmtId="0" fontId="72" fillId="0" borderId="0"/>
    <xf numFmtId="3" fontId="57" fillId="0" borderId="0" applyFill="0" applyBorder="0" applyAlignment="0" applyProtection="0"/>
    <xf numFmtId="42" fontId="26" fillId="2" borderId="0"/>
    <xf numFmtId="0" fontId="66" fillId="7" borderId="0"/>
    <xf numFmtId="0" fontId="30" fillId="7" borderId="9"/>
    <xf numFmtId="0" fontId="8" fillId="8" borderId="10"/>
    <xf numFmtId="0" fontId="7" fillId="7" borderId="11"/>
    <xf numFmtId="42" fontId="15" fillId="2" borderId="0"/>
    <xf numFmtId="42" fontId="26" fillId="2" borderId="12">
      <alignment vertical="center"/>
    </xf>
    <xf numFmtId="42" fontId="15" fillId="2" borderId="12">
      <alignment vertical="center"/>
    </xf>
    <xf numFmtId="42" fontId="15" fillId="2" borderId="12">
      <alignment vertical="center"/>
    </xf>
    <xf numFmtId="0" fontId="28" fillId="2" borderId="13" applyNumberFormat="0">
      <alignment horizontal="center" vertical="center" wrapText="1"/>
    </xf>
    <xf numFmtId="0" fontId="24" fillId="2" borderId="13" applyNumberFormat="0">
      <alignment horizontal="center" vertical="center" wrapText="1"/>
    </xf>
    <xf numFmtId="0" fontId="24" fillId="2" borderId="13" applyNumberFormat="0">
      <alignment horizontal="center" vertical="center" wrapText="1"/>
    </xf>
    <xf numFmtId="10" fontId="26" fillId="2" borderId="0"/>
    <xf numFmtId="10" fontId="15" fillId="2" borderId="0"/>
    <xf numFmtId="10" fontId="15" fillId="2" borderId="0"/>
    <xf numFmtId="197" fontId="26" fillId="2" borderId="0"/>
    <xf numFmtId="197" fontId="15" fillId="2" borderId="0"/>
    <xf numFmtId="197" fontId="15" fillId="2" borderId="0"/>
    <xf numFmtId="177" fontId="42" fillId="0" borderId="0" applyBorder="0" applyAlignment="0"/>
    <xf numFmtId="42" fontId="26" fillId="2" borderId="14">
      <alignment horizontal="left"/>
    </xf>
    <xf numFmtId="42" fontId="15" fillId="2" borderId="14">
      <alignment horizontal="left"/>
    </xf>
    <xf numFmtId="42" fontId="15" fillId="2" borderId="14">
      <alignment horizontal="left"/>
    </xf>
    <xf numFmtId="197" fontId="29" fillId="2" borderId="14">
      <alignment horizontal="left"/>
    </xf>
    <xf numFmtId="14" fontId="22" fillId="0" borderId="0" applyNumberFormat="0" applyFill="0" applyBorder="0" applyAlignment="0" applyProtection="0">
      <alignment horizontal="left"/>
    </xf>
    <xf numFmtId="185" fontId="15" fillId="0" borderId="0" applyFont="0" applyFill="0" applyAlignment="0">
      <alignment horizontal="right"/>
    </xf>
    <xf numFmtId="185" fontId="26" fillId="0" borderId="0" applyFont="0" applyFill="0" applyAlignment="0">
      <alignment horizontal="right"/>
    </xf>
    <xf numFmtId="185" fontId="26" fillId="0" borderId="0" applyFont="0" applyFill="0" applyAlignment="0">
      <alignment horizontal="right"/>
    </xf>
    <xf numFmtId="4" fontId="73" fillId="9" borderId="7" applyNumberFormat="0" applyProtection="0">
      <alignment horizontal="right" vertical="center"/>
    </xf>
    <xf numFmtId="39" fontId="15" fillId="10" borderId="0"/>
    <xf numFmtId="39" fontId="26" fillId="10" borderId="0"/>
    <xf numFmtId="39" fontId="26" fillId="10" borderId="0"/>
    <xf numFmtId="38" fontId="17" fillId="0" borderId="15"/>
    <xf numFmtId="38" fontId="36" fillId="0" borderId="15"/>
    <xf numFmtId="38" fontId="36" fillId="0" borderId="15"/>
    <xf numFmtId="38" fontId="17" fillId="0" borderId="15"/>
    <xf numFmtId="38" fontId="16" fillId="0" borderId="14"/>
    <xf numFmtId="38" fontId="42" fillId="0" borderId="14"/>
    <xf numFmtId="38" fontId="42" fillId="0" borderId="14"/>
    <xf numFmtId="39" fontId="22" fillId="11" borderId="0"/>
    <xf numFmtId="169" fontId="15" fillId="0" borderId="0">
      <alignment horizontal="left" wrapText="1"/>
    </xf>
    <xf numFmtId="186" fontId="26" fillId="0" borderId="0">
      <alignment horizontal="left" wrapText="1"/>
    </xf>
    <xf numFmtId="169" fontId="15" fillId="0" borderId="0">
      <alignment horizontal="left" wrapText="1"/>
    </xf>
    <xf numFmtId="169" fontId="15" fillId="0" borderId="0">
      <alignment horizontal="left" wrapText="1"/>
    </xf>
    <xf numFmtId="40" fontId="39" fillId="0" borderId="0" applyBorder="0">
      <alignment horizontal="right"/>
    </xf>
    <xf numFmtId="41" fontId="43" fillId="2" borderId="0">
      <alignment horizontal="left"/>
    </xf>
    <xf numFmtId="0" fontId="15" fillId="0" borderId="0" applyNumberFormat="0" applyBorder="0" applyAlignment="0"/>
    <xf numFmtId="0" fontId="94" fillId="0" borderId="0" applyNumberFormat="0" applyFill="0" applyBorder="0" applyAlignment="0" applyProtection="0"/>
    <xf numFmtId="0" fontId="66" fillId="0" borderId="0"/>
    <xf numFmtId="0" fontId="30" fillId="7" borderId="0"/>
    <xf numFmtId="193" fontId="59" fillId="2" borderId="0">
      <alignment horizontal="left" vertical="center"/>
    </xf>
    <xf numFmtId="0" fontId="28" fillId="2" borderId="0">
      <alignment horizontal="left" wrapText="1"/>
    </xf>
    <xf numFmtId="0" fontId="24" fillId="2" borderId="0">
      <alignment horizontal="left" wrapText="1"/>
    </xf>
    <xf numFmtId="0" fontId="24" fillId="2" borderId="0">
      <alignment horizontal="left" wrapText="1"/>
    </xf>
    <xf numFmtId="0" fontId="40" fillId="0" borderId="0">
      <alignment horizontal="left" vertical="center"/>
    </xf>
    <xf numFmtId="0" fontId="23" fillId="0" borderId="16" applyNumberFormat="0" applyFont="0" applyFill="0" applyAlignment="0" applyProtection="0"/>
    <xf numFmtId="0" fontId="95" fillId="0" borderId="41" applyNumberFormat="0" applyFill="0" applyAlignment="0" applyProtection="0"/>
    <xf numFmtId="0" fontId="95" fillId="0" borderId="41" applyNumberFormat="0" applyFill="0" applyAlignment="0" applyProtection="0"/>
    <xf numFmtId="0" fontId="49" fillId="0" borderId="17"/>
    <xf numFmtId="0" fontId="64" fillId="0" borderId="17"/>
    <xf numFmtId="0" fontId="71" fillId="0" borderId="17"/>
    <xf numFmtId="0" fontId="96" fillId="0" borderId="0" applyNumberFormat="0" applyFill="0" applyBorder="0" applyAlignment="0" applyProtection="0"/>
    <xf numFmtId="0" fontId="15" fillId="0" borderId="0"/>
    <xf numFmtId="169" fontId="22" fillId="0" borderId="0">
      <alignment horizontal="left" wrapText="1"/>
    </xf>
    <xf numFmtId="4" fontId="9" fillId="0" borderId="0" applyFont="0" applyFill="0" applyBorder="0" applyAlignment="0" applyProtection="0"/>
    <xf numFmtId="8" fontId="9" fillId="0" borderId="0" applyFont="0" applyFill="0" applyBorder="0" applyAlignment="0" applyProtection="0"/>
    <xf numFmtId="9" fontId="9" fillId="0" borderId="0" applyFont="0" applyFill="0" applyBorder="0" applyAlignment="0" applyProtection="0"/>
    <xf numFmtId="186" fontId="15" fillId="0" borderId="0">
      <alignment horizontal="left" wrapText="1"/>
    </xf>
    <xf numFmtId="0" fontId="15" fillId="0" borderId="0"/>
    <xf numFmtId="0" fontId="15" fillId="0" borderId="0"/>
    <xf numFmtId="0" fontId="15" fillId="0" borderId="0"/>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0" fontId="15" fillId="0" borderId="0"/>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0" fontId="15" fillId="0" borderId="0"/>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0" fontId="15" fillId="0" borderId="0"/>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0" fontId="15" fillId="0" borderId="0"/>
    <xf numFmtId="0" fontId="15" fillId="0" borderId="0"/>
    <xf numFmtId="0" fontId="15" fillId="0" borderId="0"/>
    <xf numFmtId="0" fontId="15" fillId="0" borderId="0"/>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45" fillId="0" borderId="0"/>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45" fillId="0" borderId="0"/>
    <xf numFmtId="0" fontId="45" fillId="0" borderId="0"/>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0" fontId="15" fillId="0" borderId="0"/>
    <xf numFmtId="0" fontId="15" fillId="0" borderId="0"/>
    <xf numFmtId="0" fontId="15" fillId="0" borderId="0"/>
    <xf numFmtId="0" fontId="15" fillId="0" borderId="0"/>
    <xf numFmtId="0" fontId="15" fillId="0" borderId="0"/>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8" fontId="15" fillId="0" borderId="0">
      <alignment horizontal="left" wrapText="1"/>
    </xf>
    <xf numFmtId="169"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69" fontId="15" fillId="0" borderId="0">
      <alignment horizontal="left" wrapText="1"/>
    </xf>
    <xf numFmtId="0" fontId="15" fillId="0" borderId="0"/>
    <xf numFmtId="0" fontId="15" fillId="0" borderId="0"/>
    <xf numFmtId="0" fontId="15" fillId="0" borderId="0"/>
    <xf numFmtId="0" fontId="15" fillId="0" borderId="0"/>
    <xf numFmtId="0" fontId="15" fillId="0" borderId="0"/>
    <xf numFmtId="0" fontId="15" fillId="0" borderId="0"/>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15" fillId="0" borderId="0"/>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69"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186" fontId="15" fillId="0" borderId="0">
      <alignment horizontal="left" wrapText="1"/>
    </xf>
    <xf numFmtId="208" fontId="99" fillId="0" borderId="0">
      <alignment horizontal="left"/>
    </xf>
    <xf numFmtId="209" fontId="100" fillId="0" borderId="0">
      <alignment horizontal="left"/>
    </xf>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3" borderId="0" applyNumberFormat="0" applyBorder="0" applyAlignment="0" applyProtection="0"/>
    <xf numFmtId="0" fontId="60" fillId="53" borderId="0" applyNumberFormat="0" applyBorder="0" applyAlignment="0" applyProtection="0"/>
    <xf numFmtId="0" fontId="60" fillId="53" borderId="0" applyNumberFormat="0" applyBorder="0" applyAlignment="0" applyProtection="0"/>
    <xf numFmtId="0" fontId="60" fillId="53" borderId="0" applyNumberFormat="0" applyBorder="0" applyAlignment="0" applyProtection="0"/>
    <xf numFmtId="0" fontId="60" fillId="54" borderId="0" applyNumberFormat="0" applyBorder="0" applyAlignment="0" applyProtection="0"/>
    <xf numFmtId="0" fontId="60" fillId="54" borderId="0" applyNumberFormat="0" applyBorder="0" applyAlignment="0" applyProtection="0"/>
    <xf numFmtId="0" fontId="60" fillId="54" borderId="0" applyNumberFormat="0" applyBorder="0" applyAlignment="0" applyProtection="0"/>
    <xf numFmtId="0" fontId="60" fillId="54"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5" borderId="0" applyNumberFormat="0" applyBorder="0" applyAlignment="0" applyProtection="0"/>
    <xf numFmtId="0" fontId="60" fillId="55" borderId="0" applyNumberFormat="0" applyBorder="0" applyAlignment="0" applyProtection="0"/>
    <xf numFmtId="0" fontId="60" fillId="55" borderId="0" applyNumberFormat="0" applyBorder="0" applyAlignment="0" applyProtection="0"/>
    <xf numFmtId="0" fontId="60" fillId="55" borderId="0" applyNumberFormat="0" applyBorder="0" applyAlignment="0" applyProtection="0"/>
    <xf numFmtId="0" fontId="101" fillId="56"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01" fillId="57" borderId="0" applyNumberFormat="0" applyBorder="0" applyAlignment="0" applyProtection="0"/>
    <xf numFmtId="0" fontId="101" fillId="58" borderId="0" applyNumberFormat="0" applyBorder="0" applyAlignment="0" applyProtection="0"/>
    <xf numFmtId="0" fontId="101" fillId="59" borderId="0" applyNumberFormat="0" applyBorder="0" applyAlignment="0" applyProtection="0"/>
    <xf numFmtId="0" fontId="60" fillId="60" borderId="0" applyNumberFormat="0" applyBorder="0" applyAlignment="0" applyProtection="0"/>
    <xf numFmtId="0" fontId="60" fillId="61" borderId="0" applyNumberFormat="0" applyBorder="0" applyAlignment="0" applyProtection="0"/>
    <xf numFmtId="0" fontId="101" fillId="62" borderId="0" applyNumberFormat="0" applyBorder="0" applyAlignment="0" applyProtection="0"/>
    <xf numFmtId="0" fontId="101" fillId="63" borderId="0" applyNumberFormat="0" applyBorder="0" applyAlignment="0" applyProtection="0"/>
    <xf numFmtId="0" fontId="101" fillId="64" borderId="0" applyNumberFormat="0" applyBorder="0" applyAlignment="0" applyProtection="0"/>
    <xf numFmtId="0" fontId="60" fillId="65" borderId="0" applyNumberFormat="0" applyBorder="0" applyAlignment="0" applyProtection="0"/>
    <xf numFmtId="0" fontId="60" fillId="66" borderId="0" applyNumberFormat="0" applyBorder="0" applyAlignment="0" applyProtection="0"/>
    <xf numFmtId="0" fontId="101" fillId="67" borderId="0" applyNumberFormat="0" applyBorder="0" applyAlignment="0" applyProtection="0"/>
    <xf numFmtId="0" fontId="101" fillId="68" borderId="0" applyNumberFormat="0" applyBorder="0" applyAlignment="0" applyProtection="0"/>
    <xf numFmtId="0" fontId="101" fillId="69" borderId="0" applyNumberFormat="0" applyBorder="0" applyAlignment="0" applyProtection="0"/>
    <xf numFmtId="0" fontId="60" fillId="70" borderId="0" applyNumberFormat="0" applyBorder="0" applyAlignment="0" applyProtection="0"/>
    <xf numFmtId="0" fontId="60" fillId="71" borderId="0" applyNumberFormat="0" applyBorder="0" applyAlignment="0" applyProtection="0"/>
    <xf numFmtId="0" fontId="101" fillId="72" borderId="0" applyNumberFormat="0" applyBorder="0" applyAlignment="0" applyProtection="0"/>
    <xf numFmtId="0" fontId="101" fillId="67" borderId="0" applyNumberFormat="0" applyBorder="0" applyAlignment="0" applyProtection="0"/>
    <xf numFmtId="0" fontId="101" fillId="73" borderId="0" applyNumberFormat="0" applyBorder="0" applyAlignment="0" applyProtection="0"/>
    <xf numFmtId="0" fontId="60" fillId="71" borderId="0" applyNumberFormat="0" applyBorder="0" applyAlignment="0" applyProtection="0"/>
    <xf numFmtId="0" fontId="60" fillId="72" borderId="0" applyNumberFormat="0" applyBorder="0" applyAlignment="0" applyProtection="0"/>
    <xf numFmtId="0" fontId="101" fillId="72" borderId="0" applyNumberFormat="0" applyBorder="0" applyAlignment="0" applyProtection="0"/>
    <xf numFmtId="0" fontId="101" fillId="74" borderId="0" applyNumberFormat="0" applyBorder="0" applyAlignment="0" applyProtection="0"/>
    <xf numFmtId="0" fontId="101" fillId="57" borderId="0" applyNumberFormat="0" applyBorder="0" applyAlignment="0" applyProtection="0"/>
    <xf numFmtId="0" fontId="60" fillId="60" borderId="0" applyNumberFormat="0" applyBorder="0" applyAlignment="0" applyProtection="0"/>
    <xf numFmtId="0" fontId="60" fillId="61" borderId="0" applyNumberFormat="0" applyBorder="0" applyAlignment="0" applyProtection="0"/>
    <xf numFmtId="0" fontId="101" fillId="61" borderId="0" applyNumberFormat="0" applyBorder="0" applyAlignment="0" applyProtection="0"/>
    <xf numFmtId="0" fontId="101" fillId="75" borderId="0" applyNumberFormat="0" applyBorder="0" applyAlignment="0" applyProtection="0"/>
    <xf numFmtId="0" fontId="101" fillId="58" borderId="0" applyNumberFormat="0" applyBorder="0" applyAlignment="0" applyProtection="0"/>
    <xf numFmtId="0" fontId="60" fillId="76" borderId="0" applyNumberFormat="0" applyBorder="0" applyAlignment="0" applyProtection="0"/>
    <xf numFmtId="0" fontId="60" fillId="66" borderId="0" applyNumberFormat="0" applyBorder="0" applyAlignment="0" applyProtection="0"/>
    <xf numFmtId="0" fontId="101" fillId="77" borderId="0" applyNumberFormat="0" applyBorder="0" applyAlignment="0" applyProtection="0"/>
    <xf numFmtId="0" fontId="101" fillId="78" borderId="0" applyNumberFormat="0" applyBorder="0" applyAlignment="0" applyProtection="0"/>
    <xf numFmtId="0" fontId="101" fillId="79" borderId="0" applyNumberFormat="0" applyBorder="0" applyAlignment="0" applyProtection="0"/>
    <xf numFmtId="0" fontId="102" fillId="66" borderId="0" applyNumberFormat="0" applyBorder="0" applyAlignment="0" applyProtection="0"/>
    <xf numFmtId="0" fontId="81" fillId="39" borderId="0" applyNumberFormat="0" applyBorder="0" applyAlignment="0" applyProtection="0"/>
    <xf numFmtId="0" fontId="103" fillId="47" borderId="0" applyNumberFormat="0" applyBorder="0" applyAlignment="0" applyProtection="0"/>
    <xf numFmtId="0" fontId="100" fillId="0" borderId="0" applyFont="0" applyFill="0" applyBorder="0" applyAlignment="0" applyProtection="0">
      <alignment horizontal="right"/>
    </xf>
    <xf numFmtId="0" fontId="104" fillId="80" borderId="42" applyNumberFormat="0" applyAlignment="0" applyProtection="0"/>
    <xf numFmtId="0" fontId="105" fillId="81" borderId="42" applyNumberFormat="0" applyAlignment="0" applyProtection="0"/>
    <xf numFmtId="0" fontId="106" fillId="67" borderId="43" applyNumberFormat="0" applyAlignment="0" applyProtection="0"/>
    <xf numFmtId="0" fontId="106" fillId="82" borderId="43"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210" fontId="15" fillId="0" borderId="0" applyFont="0" applyFill="0" applyBorder="0" applyAlignment="0" applyProtection="0"/>
    <xf numFmtId="43" fontId="15" fillId="0" borderId="0" applyFont="0" applyFill="0" applyBorder="0" applyAlignment="0" applyProtection="0"/>
    <xf numFmtId="43" fontId="2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210" fontId="15"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6" fillId="0" borderId="0" applyFont="0" applyFill="0" applyBorder="0" applyAlignment="0" applyProtection="0"/>
    <xf numFmtId="210" fontId="15" fillId="0" borderId="0" applyFont="0" applyFill="0" applyBorder="0" applyAlignment="0" applyProtection="0"/>
    <xf numFmtId="43" fontId="15" fillId="0" borderId="0" applyFont="0" applyFill="0" applyBorder="0" applyAlignment="0" applyProtection="0"/>
    <xf numFmtId="211" fontId="15" fillId="0" borderId="0" applyFont="0" applyFill="0" applyBorder="0" applyAlignment="0" applyProtection="0"/>
    <xf numFmtId="43" fontId="15" fillId="0" borderId="0" applyFont="0" applyFill="0" applyBorder="0" applyAlignment="0" applyProtection="0"/>
    <xf numFmtId="43" fontId="22" fillId="0" borderId="0" applyFont="0" applyFill="0" applyBorder="0" applyAlignment="0" applyProtection="0"/>
    <xf numFmtId="212" fontId="15" fillId="0" borderId="0" applyFont="0" applyFill="0" applyBorder="0" applyAlignment="0" applyProtection="0"/>
    <xf numFmtId="212" fontId="15" fillId="0" borderId="0" applyFont="0" applyFill="0" applyBorder="0" applyAlignment="0" applyProtection="0"/>
    <xf numFmtId="212" fontId="15" fillId="0" borderId="0" applyFont="0" applyFill="0" applyBorder="0" applyAlignment="0" applyProtection="0"/>
    <xf numFmtId="212" fontId="15" fillId="0" borderId="0" applyFont="0" applyFill="0" applyBorder="0" applyAlignment="0" applyProtection="0"/>
    <xf numFmtId="43" fontId="6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 fontId="9" fillId="0" borderId="0" applyFont="0" applyFill="0" applyBorder="0" applyAlignment="0" applyProtection="0"/>
    <xf numFmtId="43" fontId="15"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0" fillId="0" borderId="0" applyFont="0" applyFill="0" applyBorder="0" applyAlignment="0" applyProtection="0"/>
    <xf numFmtId="43" fontId="6" fillId="0" borderId="0" applyFont="0" applyFill="0" applyBorder="0" applyAlignment="0" applyProtection="0"/>
    <xf numFmtId="44" fontId="15" fillId="0" borderId="0" applyFont="0" applyFill="0" applyBorder="0" applyAlignment="0" applyProtection="0"/>
    <xf numFmtId="21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60" fillId="0" borderId="0" applyFont="0" applyFill="0" applyBorder="0" applyAlignment="0" applyProtection="0"/>
    <xf numFmtId="44" fontId="10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2" fillId="0" borderId="0" applyFont="0" applyFill="0" applyBorder="0" applyAlignment="0" applyProtection="0"/>
    <xf numFmtId="213" fontId="15" fillId="0" borderId="0" applyFont="0" applyFill="0" applyBorder="0" applyAlignment="0" applyProtection="0"/>
    <xf numFmtId="21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 fillId="0" borderId="0" applyFont="0" applyFill="0" applyBorder="0" applyAlignment="0" applyProtection="0"/>
    <xf numFmtId="44" fontId="15" fillId="0" borderId="0" applyFont="0" applyFill="0" applyBorder="0" applyAlignment="0" applyProtection="0"/>
    <xf numFmtId="44" fontId="6" fillId="0" borderId="0" applyFont="0" applyFill="0" applyBorder="0" applyAlignment="0" applyProtection="0"/>
    <xf numFmtId="0" fontId="109" fillId="83" borderId="0" applyNumberFormat="0" applyBorder="0" applyAlignment="0" applyProtection="0"/>
    <xf numFmtId="0" fontId="109" fillId="84" borderId="0" applyNumberFormat="0" applyBorder="0" applyAlignment="0" applyProtection="0"/>
    <xf numFmtId="0" fontId="109" fillId="85" borderId="0" applyNumberFormat="0" applyBorder="0" applyAlignment="0" applyProtection="0"/>
    <xf numFmtId="214" fontId="15" fillId="0" borderId="0"/>
    <xf numFmtId="0" fontId="110" fillId="0" borderId="0" applyNumberFormat="0" applyFill="0" applyBorder="0" applyAlignment="0" applyProtection="0"/>
    <xf numFmtId="0" fontId="111" fillId="86" borderId="0" applyNumberFormat="0" applyBorder="0" applyAlignment="0" applyProtection="0"/>
    <xf numFmtId="0" fontId="85" fillId="42" borderId="0" applyNumberFormat="0" applyBorder="0" applyAlignment="0" applyProtection="0"/>
    <xf numFmtId="0" fontId="111" fillId="48" borderId="0" applyNumberFormat="0" applyBorder="0" applyAlignment="0" applyProtection="0"/>
    <xf numFmtId="38" fontId="17" fillId="3" borderId="0" applyNumberFormat="0" applyBorder="0" applyAlignment="0" applyProtection="0"/>
    <xf numFmtId="215" fontId="112" fillId="0" borderId="0" applyNumberFormat="0" applyFill="0" applyBorder="0" applyProtection="0">
      <alignment horizontal="right"/>
    </xf>
    <xf numFmtId="14" fontId="24" fillId="87" borderId="8">
      <alignment horizontal="center" vertical="center" wrapText="1"/>
    </xf>
    <xf numFmtId="0" fontId="113" fillId="0" borderId="44" applyNumberFormat="0" applyFill="0" applyAlignment="0" applyProtection="0"/>
    <xf numFmtId="0" fontId="114" fillId="0" borderId="45" applyNumberFormat="0" applyFill="0" applyAlignment="0" applyProtection="0"/>
    <xf numFmtId="0" fontId="115" fillId="0" borderId="46" applyNumberFormat="0" applyFill="0" applyAlignment="0" applyProtection="0"/>
    <xf numFmtId="0" fontId="116" fillId="0" borderId="46" applyNumberFormat="0" applyFill="0" applyAlignment="0" applyProtection="0"/>
    <xf numFmtId="0" fontId="117" fillId="0" borderId="47" applyNumberFormat="0" applyFill="0" applyAlignment="0" applyProtection="0"/>
    <xf numFmtId="0" fontId="118" fillId="0" borderId="48" applyNumberFormat="0" applyFill="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10" fontId="17" fillId="2" borderId="3" applyNumberFormat="0" applyBorder="0" applyAlignment="0" applyProtection="0"/>
    <xf numFmtId="0" fontId="120" fillId="77" borderId="42" applyNumberFormat="0" applyAlignment="0" applyProtection="0"/>
    <xf numFmtId="0" fontId="77" fillId="51" borderId="42" applyNumberFormat="0" applyAlignment="0" applyProtection="0"/>
    <xf numFmtId="41" fontId="35" fillId="4" borderId="4">
      <alignment horizontal="left"/>
      <protection locked="0"/>
    </xf>
    <xf numFmtId="0" fontId="121" fillId="0" borderId="49" applyNumberFormat="0" applyFill="0" applyAlignment="0" applyProtection="0"/>
    <xf numFmtId="0" fontId="122" fillId="0" borderId="50" applyNumberFormat="0" applyFill="0" applyAlignment="0" applyProtection="0"/>
    <xf numFmtId="44" fontId="24" fillId="0" borderId="5" applyNumberFormat="0" applyFont="0" applyAlignment="0">
      <alignment horizontal="center"/>
    </xf>
    <xf numFmtId="44" fontId="24" fillId="0" borderId="6" applyNumberFormat="0" applyFont="0" applyAlignment="0">
      <alignment horizontal="center"/>
    </xf>
    <xf numFmtId="0" fontId="123" fillId="77" borderId="0" applyNumberFormat="0" applyBorder="0" applyAlignment="0" applyProtection="0"/>
    <xf numFmtId="0" fontId="123" fillId="88" borderId="0" applyNumberFormat="0" applyBorder="0" applyAlignment="0" applyProtection="0"/>
    <xf numFmtId="216" fontId="124" fillId="0" borderId="0"/>
    <xf numFmtId="0" fontId="15" fillId="0" borderId="0"/>
    <xf numFmtId="0" fontId="15" fillId="0" borderId="0"/>
    <xf numFmtId="0" fontId="6" fillId="0" borderId="0"/>
    <xf numFmtId="0" fontId="17" fillId="89" borderId="0"/>
    <xf numFmtId="0" fontId="15" fillId="0" borderId="0"/>
    <xf numFmtId="0" fontId="15" fillId="0" borderId="0"/>
    <xf numFmtId="0" fontId="60" fillId="0" borderId="0"/>
    <xf numFmtId="178" fontId="15" fillId="0" borderId="0">
      <alignment horizontal="left" wrapText="1"/>
    </xf>
    <xf numFmtId="0" fontId="15" fillId="0" borderId="0"/>
    <xf numFmtId="0" fontId="15" fillId="0" borderId="0"/>
    <xf numFmtId="169" fontId="15" fillId="0" borderId="0">
      <alignment horizontal="left" wrapText="1"/>
    </xf>
    <xf numFmtId="0" fontId="6" fillId="0" borderId="0"/>
    <xf numFmtId="0" fontId="6" fillId="0" borderId="0"/>
    <xf numFmtId="0" fontId="15" fillId="0" borderId="0"/>
    <xf numFmtId="0" fontId="15" fillId="0" borderId="0"/>
    <xf numFmtId="37" fontId="15" fillId="0" borderId="0"/>
    <xf numFmtId="0" fontId="6" fillId="0" borderId="0"/>
    <xf numFmtId="198" fontId="22" fillId="0" borderId="0">
      <alignment horizontal="left" wrapText="1"/>
    </xf>
    <xf numFmtId="198" fontId="22" fillId="0" borderId="0">
      <alignment horizontal="left" wrapText="1"/>
    </xf>
    <xf numFmtId="0" fontId="6" fillId="0" borderId="0"/>
    <xf numFmtId="0" fontId="15" fillId="0" borderId="0"/>
    <xf numFmtId="198" fontId="22" fillId="0" borderId="0">
      <alignment horizontal="left" wrapText="1"/>
    </xf>
    <xf numFmtId="169" fontId="15" fillId="0" borderId="0">
      <alignment horizontal="left" wrapText="1"/>
    </xf>
    <xf numFmtId="0" fontId="15" fillId="0" borderId="0"/>
    <xf numFmtId="0" fontId="15" fillId="0" borderId="0"/>
    <xf numFmtId="0" fontId="15" fillId="0" borderId="0"/>
    <xf numFmtId="0" fontId="60" fillId="0" borderId="0"/>
    <xf numFmtId="0" fontId="6" fillId="0" borderId="0"/>
    <xf numFmtId="0" fontId="60" fillId="0" borderId="0"/>
    <xf numFmtId="0" fontId="15" fillId="0" borderId="0"/>
    <xf numFmtId="0" fontId="60" fillId="0" borderId="0"/>
    <xf numFmtId="0" fontId="60" fillId="0" borderId="0"/>
    <xf numFmtId="39" fontId="17" fillId="0" borderId="0" applyFill="0" applyBorder="0" applyAlignment="0" applyProtection="0"/>
    <xf numFmtId="0" fontId="92" fillId="0" borderId="0"/>
    <xf numFmtId="0" fontId="60" fillId="0" borderId="0"/>
    <xf numFmtId="0" fontId="15" fillId="0" borderId="0"/>
    <xf numFmtId="0" fontId="17" fillId="89" borderId="0"/>
    <xf numFmtId="0" fontId="15" fillId="0" borderId="0"/>
    <xf numFmtId="0" fontId="15" fillId="0" borderId="0"/>
    <xf numFmtId="192" fontId="15" fillId="0" borderId="0">
      <alignment horizontal="left" wrapText="1"/>
    </xf>
    <xf numFmtId="169" fontId="15" fillId="0" borderId="0">
      <alignment horizontal="left" wrapText="1"/>
    </xf>
    <xf numFmtId="167" fontId="22" fillId="0" borderId="0">
      <alignment horizontal="left" wrapText="1"/>
    </xf>
    <xf numFmtId="0" fontId="6" fillId="0" borderId="0"/>
    <xf numFmtId="0" fontId="15" fillId="0" borderId="0"/>
    <xf numFmtId="169" fontId="22" fillId="0" borderId="0">
      <alignment horizontal="left" wrapText="1"/>
    </xf>
    <xf numFmtId="0" fontId="108" fillId="0" borderId="0"/>
    <xf numFmtId="0" fontId="15" fillId="0" borderId="0"/>
    <xf numFmtId="0" fontId="125" fillId="0" borderId="0"/>
    <xf numFmtId="169" fontId="15" fillId="0" borderId="0">
      <alignment horizontal="left" wrapText="1"/>
    </xf>
    <xf numFmtId="0" fontId="17" fillId="89" borderId="0"/>
    <xf numFmtId="0" fontId="15" fillId="0" borderId="0"/>
    <xf numFmtId="0" fontId="15" fillId="0" borderId="0"/>
    <xf numFmtId="0" fontId="15" fillId="0" borderId="0"/>
    <xf numFmtId="0" fontId="15" fillId="0" borderId="0"/>
    <xf numFmtId="0" fontId="15" fillId="0" borderId="0"/>
    <xf numFmtId="169" fontId="22" fillId="0" borderId="0">
      <alignment horizontal="left" wrapText="1"/>
    </xf>
    <xf numFmtId="0" fontId="15" fillId="0" borderId="0"/>
    <xf numFmtId="178"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6" fillId="0" borderId="0"/>
    <xf numFmtId="169" fontId="15" fillId="0" borderId="0">
      <alignment horizontal="left" wrapText="1"/>
    </xf>
    <xf numFmtId="0" fontId="22" fillId="0" borderId="0"/>
    <xf numFmtId="0" fontId="15" fillId="0" borderId="0"/>
    <xf numFmtId="212" fontId="15" fillId="0" borderId="0">
      <alignment horizontal="left" wrapText="1"/>
    </xf>
    <xf numFmtId="212" fontId="15" fillId="0" borderId="0">
      <alignment horizontal="left" wrapText="1"/>
    </xf>
    <xf numFmtId="0" fontId="15" fillId="0" borderId="0"/>
    <xf numFmtId="0" fontId="15" fillId="0" borderId="0"/>
    <xf numFmtId="0" fontId="15" fillId="0" borderId="0"/>
    <xf numFmtId="169" fontId="22" fillId="0" borderId="0">
      <alignment horizontal="left" wrapText="1"/>
    </xf>
    <xf numFmtId="0" fontId="6" fillId="0" borderId="0"/>
    <xf numFmtId="169" fontId="22" fillId="0" borderId="0">
      <alignment horizontal="left" wrapText="1"/>
    </xf>
    <xf numFmtId="169" fontId="22" fillId="0" borderId="0">
      <alignment horizontal="left" wrapText="1"/>
    </xf>
    <xf numFmtId="217" fontId="22" fillId="0" borderId="0">
      <alignment horizontal="left" wrapText="1"/>
    </xf>
    <xf numFmtId="0" fontId="11" fillId="0" borderId="0"/>
    <xf numFmtId="169" fontId="15" fillId="0" borderId="0">
      <alignment horizontal="left" wrapText="1"/>
    </xf>
    <xf numFmtId="0" fontId="15" fillId="0" borderId="0"/>
    <xf numFmtId="0" fontId="15" fillId="0" borderId="0"/>
    <xf numFmtId="0" fontId="60" fillId="0" borderId="0"/>
    <xf numFmtId="0" fontId="15" fillId="0" borderId="0"/>
    <xf numFmtId="0" fontId="60" fillId="0" borderId="0"/>
    <xf numFmtId="218" fontId="15" fillId="0" borderId="0">
      <alignment horizontal="left" wrapText="1"/>
    </xf>
    <xf numFmtId="197" fontId="15" fillId="0" borderId="0">
      <alignment horizontal="left" wrapText="1"/>
    </xf>
    <xf numFmtId="197" fontId="15" fillId="0" borderId="0">
      <alignment horizontal="left" wrapText="1"/>
    </xf>
    <xf numFmtId="169" fontId="22" fillId="0" borderId="0">
      <alignment horizontal="left" wrapText="1"/>
    </xf>
    <xf numFmtId="0" fontId="6" fillId="0" borderId="0"/>
    <xf numFmtId="169" fontId="22" fillId="0" borderId="0">
      <alignment horizontal="left" wrapText="1"/>
    </xf>
    <xf numFmtId="0" fontId="6" fillId="0" borderId="0"/>
    <xf numFmtId="0" fontId="60" fillId="90" borderId="51" applyNumberFormat="0" applyFont="0" applyAlignment="0" applyProtection="0"/>
    <xf numFmtId="0" fontId="60" fillId="90" borderId="51" applyNumberFormat="0" applyFont="0" applyAlignment="0" applyProtection="0"/>
    <xf numFmtId="0" fontId="60" fillId="90" borderId="51" applyNumberFormat="0" applyFont="0" applyAlignment="0" applyProtection="0"/>
    <xf numFmtId="0" fontId="60" fillId="90" borderId="51" applyNumberFormat="0" applyFont="0" applyAlignment="0" applyProtection="0"/>
    <xf numFmtId="0" fontId="60" fillId="90" borderId="51" applyNumberFormat="0" applyFont="0" applyAlignment="0" applyProtection="0"/>
    <xf numFmtId="0" fontId="6" fillId="45" borderId="39" applyNumberFormat="0" applyFont="0" applyAlignment="0" applyProtection="0"/>
    <xf numFmtId="0" fontId="60" fillId="90" borderId="51" applyNumberFormat="0" applyFont="0" applyAlignment="0" applyProtection="0"/>
    <xf numFmtId="0" fontId="60" fillId="90" borderId="51" applyNumberFormat="0" applyFont="0" applyAlignment="0" applyProtection="0"/>
    <xf numFmtId="0" fontId="60" fillId="90" borderId="51" applyNumberFormat="0" applyFont="0" applyAlignment="0" applyProtection="0"/>
    <xf numFmtId="0" fontId="60" fillId="90" borderId="51" applyNumberFormat="0" applyFont="0" applyAlignment="0" applyProtection="0"/>
    <xf numFmtId="0" fontId="60" fillId="90" borderId="51" applyNumberFormat="0" applyFont="0" applyAlignment="0" applyProtection="0"/>
    <xf numFmtId="0" fontId="60" fillId="90" borderId="51" applyNumberFormat="0" applyFont="0" applyAlignment="0" applyProtection="0"/>
    <xf numFmtId="0" fontId="126" fillId="80" borderId="7" applyNumberFormat="0" applyAlignment="0" applyProtection="0"/>
    <xf numFmtId="0" fontId="126" fillId="81" borderId="7" applyNumberFormat="0" applyAlignment="0" applyProtection="0"/>
    <xf numFmtId="165" fontId="15" fillId="0" borderId="0" applyFont="0" applyFill="0" applyBorder="0" applyAlignment="0" applyProtection="0"/>
    <xf numFmtId="10"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0"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2"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0" fillId="0" borderId="0" applyFont="0" applyFill="0" applyBorder="0" applyAlignment="0" applyProtection="0"/>
    <xf numFmtId="9" fontId="15" fillId="0" borderId="0" applyFont="0" applyFill="0" applyBorder="0" applyAlignment="0" applyProtection="0"/>
    <xf numFmtId="9" fontId="22" fillId="0" borderId="0" applyFont="0" applyFill="0" applyBorder="0" applyAlignment="0" applyProtection="0"/>
    <xf numFmtId="9" fontId="15" fillId="0" borderId="0" applyFont="0" applyFill="0" applyBorder="0" applyAlignment="0" applyProtection="0"/>
    <xf numFmtId="9" fontId="22" fillId="0" borderId="0" applyFont="0" applyFill="0" applyBorder="0" applyAlignment="0" applyProtection="0"/>
    <xf numFmtId="9" fontId="10" fillId="0" borderId="0" applyFont="0" applyFill="0" applyBorder="0" applyAlignment="0" applyProtection="0"/>
    <xf numFmtId="9" fontId="60" fillId="0" borderId="0" applyFont="0" applyFill="0" applyBorder="0" applyAlignment="0" applyProtection="0"/>
    <xf numFmtId="9" fontId="9" fillId="0" borderId="0" applyFont="0" applyFill="0" applyBorder="0" applyAlignment="0" applyProtection="0"/>
    <xf numFmtId="9" fontId="15" fillId="0" borderId="0" applyFont="0" applyFill="0" applyBorder="0" applyAlignment="0" applyProtection="0"/>
    <xf numFmtId="9" fontId="107" fillId="0" borderId="0" applyFont="0" applyFill="0" applyBorder="0" applyAlignment="0" applyProtection="0"/>
    <xf numFmtId="9" fontId="22"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42" fontId="15" fillId="2" borderId="0"/>
    <xf numFmtId="177" fontId="16" fillId="0" borderId="0" applyBorder="0" applyAlignment="0"/>
    <xf numFmtId="4" fontId="73" fillId="4" borderId="7" applyNumberFormat="0" applyProtection="0">
      <alignment vertical="center"/>
    </xf>
    <xf numFmtId="4" fontId="127" fillId="4" borderId="7" applyNumberFormat="0" applyProtection="0">
      <alignment vertical="center"/>
    </xf>
    <xf numFmtId="4" fontId="73" fillId="4" borderId="7" applyNumberFormat="0" applyProtection="0">
      <alignment horizontal="left" vertical="center" indent="1"/>
    </xf>
    <xf numFmtId="4" fontId="73" fillId="4" borderId="7" applyNumberFormat="0" applyProtection="0">
      <alignment horizontal="left" vertical="center" indent="1"/>
    </xf>
    <xf numFmtId="0" fontId="15" fillId="91" borderId="7" applyNumberFormat="0" applyProtection="0">
      <alignment horizontal="left" vertical="center" indent="1"/>
    </xf>
    <xf numFmtId="0" fontId="15" fillId="92" borderId="0" applyNumberFormat="0" applyProtection="0">
      <alignment horizontal="left" vertical="center" indent="1"/>
    </xf>
    <xf numFmtId="0" fontId="15" fillId="91" borderId="7" applyNumberFormat="0" applyProtection="0">
      <alignment horizontal="left" vertical="center" indent="1"/>
    </xf>
    <xf numFmtId="4" fontId="73" fillId="12" borderId="7" applyNumberFormat="0" applyProtection="0">
      <alignment horizontal="right" vertical="center"/>
    </xf>
    <xf numFmtId="4" fontId="73" fillId="93" borderId="7" applyNumberFormat="0" applyProtection="0">
      <alignment horizontal="right" vertical="center"/>
    </xf>
    <xf numFmtId="4" fontId="73" fillId="94" borderId="7" applyNumberFormat="0" applyProtection="0">
      <alignment horizontal="right" vertical="center"/>
    </xf>
    <xf numFmtId="4" fontId="73" fillId="95" borderId="7" applyNumberFormat="0" applyProtection="0">
      <alignment horizontal="right" vertical="center"/>
    </xf>
    <xf numFmtId="4" fontId="73" fillId="96" borderId="7" applyNumberFormat="0" applyProtection="0">
      <alignment horizontal="right" vertical="center"/>
    </xf>
    <xf numFmtId="4" fontId="73" fillId="97" borderId="7" applyNumberFormat="0" applyProtection="0">
      <alignment horizontal="right" vertical="center"/>
    </xf>
    <xf numFmtId="4" fontId="73" fillId="98" borderId="7" applyNumberFormat="0" applyProtection="0">
      <alignment horizontal="right" vertical="center"/>
    </xf>
    <xf numFmtId="4" fontId="73" fillId="99" borderId="7" applyNumberFormat="0" applyProtection="0">
      <alignment horizontal="right" vertical="center"/>
    </xf>
    <xf numFmtId="4" fontId="73" fillId="100" borderId="7" applyNumberFormat="0" applyProtection="0">
      <alignment horizontal="right" vertical="center"/>
    </xf>
    <xf numFmtId="4" fontId="128" fillId="101" borderId="7" applyNumberFormat="0" applyProtection="0">
      <alignment horizontal="left" vertical="center" indent="1"/>
    </xf>
    <xf numFmtId="4" fontId="73" fillId="9" borderId="52" applyNumberFormat="0" applyProtection="0">
      <alignment horizontal="left" vertical="center" indent="1"/>
    </xf>
    <xf numFmtId="4" fontId="129" fillId="102" borderId="0" applyNumberFormat="0" applyProtection="0">
      <alignment horizontal="left" vertical="center" indent="1"/>
    </xf>
    <xf numFmtId="0" fontId="15" fillId="91" borderId="7" applyNumberFormat="0" applyProtection="0">
      <alignment horizontal="left" vertical="center" indent="1"/>
    </xf>
    <xf numFmtId="4" fontId="73" fillId="9" borderId="7" applyNumberFormat="0" applyProtection="0">
      <alignment horizontal="left" vertical="center" indent="1"/>
    </xf>
    <xf numFmtId="4" fontId="73" fillId="103" borderId="7" applyNumberFormat="0" applyProtection="0">
      <alignment horizontal="left" vertical="center" indent="1"/>
    </xf>
    <xf numFmtId="0" fontId="15" fillId="103" borderId="7" applyNumberFormat="0" applyProtection="0">
      <alignment horizontal="left" vertical="center" indent="1"/>
    </xf>
    <xf numFmtId="0" fontId="15" fillId="103" borderId="7" applyNumberFormat="0" applyProtection="0">
      <alignment horizontal="left" vertical="center" indent="1"/>
    </xf>
    <xf numFmtId="0" fontId="15" fillId="104" borderId="7" applyNumberFormat="0" applyProtection="0">
      <alignment horizontal="left" vertical="center" indent="1"/>
    </xf>
    <xf numFmtId="0" fontId="15" fillId="104" borderId="7" applyNumberFormat="0" applyProtection="0">
      <alignment horizontal="left" vertical="center" indent="1"/>
    </xf>
    <xf numFmtId="0" fontId="15" fillId="3" borderId="7" applyNumberFormat="0" applyProtection="0">
      <alignment horizontal="left" vertical="center" indent="1"/>
    </xf>
    <xf numFmtId="0" fontId="15" fillId="3" borderId="7" applyNumberFormat="0" applyProtection="0">
      <alignment horizontal="left" vertical="center" indent="1"/>
    </xf>
    <xf numFmtId="0" fontId="15" fillId="91" borderId="7" applyNumberFormat="0" applyProtection="0">
      <alignment horizontal="left" vertical="center" indent="1"/>
    </xf>
    <xf numFmtId="0" fontId="15" fillId="91" borderId="7" applyNumberFormat="0" applyProtection="0">
      <alignment horizontal="left" vertical="center" indent="1"/>
    </xf>
    <xf numFmtId="0" fontId="15" fillId="105" borderId="3" applyNumberFormat="0">
      <protection locked="0"/>
    </xf>
    <xf numFmtId="0" fontId="16" fillId="106" borderId="53" applyBorder="0"/>
    <xf numFmtId="4" fontId="73" fillId="107" borderId="7" applyNumberFormat="0" applyProtection="0">
      <alignment vertical="center"/>
    </xf>
    <xf numFmtId="4" fontId="127" fillId="107" borderId="7" applyNumberFormat="0" applyProtection="0">
      <alignment vertical="center"/>
    </xf>
    <xf numFmtId="4" fontId="73" fillId="107" borderId="7" applyNumberFormat="0" applyProtection="0">
      <alignment horizontal="left" vertical="center" indent="1"/>
    </xf>
    <xf numFmtId="4" fontId="73" fillId="107" borderId="7" applyNumberFormat="0" applyProtection="0">
      <alignment horizontal="left" vertical="center" indent="1"/>
    </xf>
    <xf numFmtId="4" fontId="17" fillId="0" borderId="54" applyNumberFormat="0" applyProtection="0">
      <alignment horizontal="right" vertical="center"/>
    </xf>
    <xf numFmtId="4" fontId="127" fillId="9" borderId="7" applyNumberFormat="0" applyProtection="0">
      <alignment horizontal="right" vertical="center"/>
    </xf>
    <xf numFmtId="0" fontId="15" fillId="91" borderId="7" applyNumberFormat="0" applyProtection="0">
      <alignment horizontal="left" vertical="center" indent="1"/>
    </xf>
    <xf numFmtId="4" fontId="17" fillId="58" borderId="54" applyNumberFormat="0" applyProtection="0">
      <alignment horizontal="left" vertical="center" indent="1"/>
    </xf>
    <xf numFmtId="0" fontId="15" fillId="91" borderId="7" applyNumberFormat="0" applyProtection="0">
      <alignment horizontal="left" vertical="center" indent="1"/>
    </xf>
    <xf numFmtId="0" fontId="130" fillId="0" borderId="0"/>
    <xf numFmtId="0" fontId="17" fillId="108" borderId="3"/>
    <xf numFmtId="4" fontId="131" fillId="9" borderId="7" applyNumberFormat="0" applyProtection="0">
      <alignment horizontal="right" vertical="center"/>
    </xf>
    <xf numFmtId="0" fontId="132" fillId="0" borderId="0" applyNumberFormat="0" applyFill="0" applyBorder="0" applyAlignment="0" applyProtection="0"/>
    <xf numFmtId="38" fontId="17" fillId="0" borderId="15"/>
    <xf numFmtId="219" fontId="15" fillId="0" borderId="0">
      <alignment horizontal="left" wrapText="1"/>
    </xf>
    <xf numFmtId="0" fontId="15" fillId="0" borderId="0">
      <alignment horizontal="left" wrapText="1"/>
    </xf>
    <xf numFmtId="167" fontId="15" fillId="0" borderId="0">
      <alignment horizontal="left" wrapText="1"/>
    </xf>
    <xf numFmtId="197" fontId="15" fillId="0" borderId="0">
      <alignment horizontal="left" wrapText="1"/>
    </xf>
    <xf numFmtId="197" fontId="15" fillId="0" borderId="0">
      <alignment horizontal="left" wrapText="1"/>
    </xf>
    <xf numFmtId="165" fontId="15" fillId="0" borderId="0">
      <alignment horizontal="left" wrapText="1"/>
    </xf>
    <xf numFmtId="197" fontId="15" fillId="0" borderId="0">
      <alignment horizontal="left" wrapText="1"/>
    </xf>
    <xf numFmtId="197" fontId="15" fillId="0" borderId="0">
      <alignment horizontal="left" wrapText="1"/>
    </xf>
    <xf numFmtId="196" fontId="15" fillId="0" borderId="0">
      <alignment horizontal="left" wrapText="1"/>
    </xf>
    <xf numFmtId="0" fontId="15" fillId="0" borderId="0">
      <alignment horizontal="left" wrapText="1"/>
    </xf>
    <xf numFmtId="169" fontId="15" fillId="0" borderId="0">
      <alignment horizontal="left" wrapText="1"/>
    </xf>
    <xf numFmtId="220" fontId="15" fillId="0" borderId="0">
      <alignment horizontal="left" wrapText="1"/>
    </xf>
    <xf numFmtId="169" fontId="15" fillId="0" borderId="0">
      <alignment horizontal="left" wrapText="1"/>
    </xf>
    <xf numFmtId="167" fontId="15" fillId="0" borderId="0">
      <alignment horizontal="left" wrapText="1"/>
    </xf>
    <xf numFmtId="167" fontId="15" fillId="0" borderId="0">
      <alignment horizontal="left" wrapText="1"/>
    </xf>
    <xf numFmtId="167" fontId="15" fillId="0" borderId="0">
      <alignment horizontal="left" wrapText="1"/>
    </xf>
    <xf numFmtId="167" fontId="15" fillId="0" borderId="0">
      <alignment horizontal="left" wrapText="1"/>
    </xf>
    <xf numFmtId="165" fontId="15" fillId="0" borderId="0">
      <alignment horizontal="left" wrapText="1"/>
    </xf>
    <xf numFmtId="169" fontId="15" fillId="0" borderId="0">
      <alignment horizontal="left" wrapText="1"/>
    </xf>
    <xf numFmtId="221" fontId="15" fillId="0" borderId="0">
      <alignment horizontal="left" wrapText="1"/>
    </xf>
    <xf numFmtId="0" fontId="21" fillId="0" borderId="0"/>
    <xf numFmtId="0" fontId="133" fillId="0" borderId="0" applyFill="0" applyBorder="0" applyProtection="0">
      <alignment horizontal="left" vertical="top"/>
    </xf>
    <xf numFmtId="0" fontId="134" fillId="0" borderId="0" applyNumberFormat="0" applyFill="0" applyBorder="0" applyAlignment="0" applyProtection="0"/>
    <xf numFmtId="0" fontId="109" fillId="0" borderId="55" applyNumberFormat="0" applyFill="0" applyAlignment="0" applyProtection="0"/>
    <xf numFmtId="0" fontId="109" fillId="0" borderId="56" applyNumberFormat="0" applyFill="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8" fillId="0" borderId="0"/>
    <xf numFmtId="43" fontId="138" fillId="0" borderId="0" applyFont="0" applyFill="0" applyBorder="0" applyAlignment="0" applyProtection="0"/>
    <xf numFmtId="44" fontId="138" fillId="0" borderId="0" applyFont="0" applyFill="0" applyBorder="0" applyAlignment="0" applyProtection="0"/>
    <xf numFmtId="0" fontId="15" fillId="0" borderId="0"/>
    <xf numFmtId="0" fontId="5" fillId="0" borderId="0"/>
    <xf numFmtId="39" fontId="33" fillId="0" borderId="0"/>
    <xf numFmtId="39" fontId="33" fillId="0" borderId="0"/>
    <xf numFmtId="4" fontId="9" fillId="0" borderId="0" applyFont="0" applyFill="0" applyBorder="0" applyAlignment="0" applyProtection="0"/>
    <xf numFmtId="8" fontId="9" fillId="0" borderId="0" applyFont="0" applyFill="0" applyBorder="0" applyAlignment="0" applyProtection="0"/>
    <xf numFmtId="0" fontId="157" fillId="0" borderId="0"/>
    <xf numFmtId="0" fontId="157" fillId="0" borderId="0"/>
    <xf numFmtId="169" fontId="157" fillId="0" borderId="0">
      <alignment horizontal="left" wrapText="1"/>
    </xf>
    <xf numFmtId="0" fontId="161" fillId="0" borderId="0"/>
    <xf numFmtId="0" fontId="161" fillId="0" borderId="0"/>
    <xf numFmtId="0" fontId="157" fillId="0" borderId="0"/>
    <xf numFmtId="0" fontId="161" fillId="0" borderId="0"/>
    <xf numFmtId="0" fontId="15" fillId="0" borderId="0"/>
    <xf numFmtId="0" fontId="15" fillId="0" borderId="0"/>
    <xf numFmtId="0" fontId="15" fillId="0" borderId="0"/>
    <xf numFmtId="0" fontId="4" fillId="0" borderId="0"/>
    <xf numFmtId="44" fontId="15" fillId="0" borderId="0" applyFont="0" applyFill="0" applyBorder="0" applyAlignment="0" applyProtection="0"/>
    <xf numFmtId="43" fontId="15" fillId="0" borderId="0" applyFont="0" applyFill="0" applyBorder="0" applyAlignment="0" applyProtection="0"/>
    <xf numFmtId="0" fontId="22" fillId="0" borderId="0"/>
    <xf numFmtId="0" fontId="4" fillId="0" borderId="0"/>
    <xf numFmtId="0" fontId="157" fillId="0" borderId="0"/>
    <xf numFmtId="0" fontId="157" fillId="0" borderId="0"/>
    <xf numFmtId="0" fontId="157" fillId="0" borderId="0"/>
    <xf numFmtId="0" fontId="157" fillId="0" borderId="0"/>
    <xf numFmtId="0" fontId="157"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15" fillId="0" borderId="0"/>
    <xf numFmtId="0" fontId="201" fillId="0" borderId="0"/>
    <xf numFmtId="0" fontId="2" fillId="0" borderId="0"/>
    <xf numFmtId="43" fontId="2" fillId="0" borderId="0" applyFont="0" applyFill="0" applyBorder="0" applyAlignment="0" applyProtection="0"/>
    <xf numFmtId="0" fontId="210" fillId="0" borderId="0"/>
    <xf numFmtId="0" fontId="210" fillId="0" borderId="0"/>
    <xf numFmtId="0" fontId="210" fillId="0" borderId="111"/>
    <xf numFmtId="0" fontId="211" fillId="117" borderId="111"/>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40" fontId="73" fillId="2" borderId="0">
      <alignment horizontal="right"/>
    </xf>
    <xf numFmtId="0" fontId="212" fillId="107" borderId="0">
      <alignment horizontal="center"/>
    </xf>
    <xf numFmtId="0" fontId="213" fillId="118" borderId="28"/>
    <xf numFmtId="0" fontId="214" fillId="0" borderId="0" applyBorder="0">
      <alignment horizontal="centerContinuous"/>
    </xf>
    <xf numFmtId="0" fontId="215" fillId="0" borderId="0" applyBorder="0">
      <alignment horizontal="centerContinuous"/>
    </xf>
    <xf numFmtId="0" fontId="210" fillId="0" borderId="0"/>
    <xf numFmtId="0" fontId="210" fillId="0" borderId="0"/>
    <xf numFmtId="0" fontId="210" fillId="0" borderId="111"/>
    <xf numFmtId="0" fontId="210" fillId="0" borderId="111"/>
    <xf numFmtId="0" fontId="216" fillId="119" borderId="0"/>
    <xf numFmtId="0" fontId="216" fillId="119" borderId="0"/>
    <xf numFmtId="0" fontId="211" fillId="0" borderId="112"/>
    <xf numFmtId="0" fontId="211" fillId="0" borderId="112"/>
    <xf numFmtId="0" fontId="211" fillId="0" borderId="111"/>
    <xf numFmtId="0" fontId="211" fillId="0" borderId="111"/>
    <xf numFmtId="9" fontId="15" fillId="0" borderId="0" applyFont="0" applyFill="0" applyBorder="0" applyAlignment="0" applyProtection="0"/>
    <xf numFmtId="0" fontId="63" fillId="0" borderId="0"/>
    <xf numFmtId="0" fontId="1" fillId="0" borderId="0"/>
  </cellStyleXfs>
  <cellXfs count="3039">
    <xf numFmtId="0" fontId="0" fillId="0" borderId="0" xfId="0" applyNumberFormat="1" applyAlignment="1"/>
    <xf numFmtId="0" fontId="11" fillId="0" borderId="0" xfId="0" applyNumberFormat="1" applyFont="1" applyFill="1" applyAlignment="1"/>
    <xf numFmtId="42" fontId="11" fillId="0" borderId="0" xfId="230" applyNumberFormat="1" applyFont="1" applyFill="1" applyProtection="1">
      <protection locked="0"/>
    </xf>
    <xf numFmtId="41" fontId="11" fillId="0" borderId="0" xfId="185" applyNumberFormat="1" applyFont="1" applyFill="1"/>
    <xf numFmtId="9" fontId="11" fillId="0" borderId="0" xfId="0" applyNumberFormat="1" applyFont="1" applyFill="1" applyAlignment="1">
      <alignment horizontal="center"/>
    </xf>
    <xf numFmtId="171" fontId="11" fillId="0" borderId="0" xfId="0" applyNumberFormat="1" applyFont="1" applyFill="1" applyBorder="1" applyAlignment="1"/>
    <xf numFmtId="41" fontId="11" fillId="0" borderId="0" xfId="0" applyNumberFormat="1" applyFont="1" applyFill="1" applyBorder="1" applyAlignment="1" applyProtection="1">
      <protection locked="0"/>
    </xf>
    <xf numFmtId="171" fontId="11" fillId="0" borderId="0" xfId="0" applyNumberFormat="1" applyFont="1" applyFill="1" applyAlignment="1"/>
    <xf numFmtId="42" fontId="11" fillId="0" borderId="0" xfId="230" applyNumberFormat="1" applyFont="1" applyFill="1"/>
    <xf numFmtId="42" fontId="11" fillId="0" borderId="0" xfId="0" applyNumberFormat="1" applyFont="1" applyFill="1" applyAlignment="1"/>
    <xf numFmtId="42" fontId="11" fillId="0" borderId="0" xfId="0" applyNumberFormat="1" applyFont="1" applyFill="1" applyAlignment="1">
      <alignment horizontal="left"/>
    </xf>
    <xf numFmtId="171" fontId="11" fillId="0" borderId="0" xfId="0" applyNumberFormat="1" applyFont="1" applyFill="1" applyAlignment="1">
      <alignment vertical="top"/>
    </xf>
    <xf numFmtId="42" fontId="11" fillId="0" borderId="14" xfId="230" applyNumberFormat="1" applyFont="1" applyFill="1" applyBorder="1" applyProtection="1">
      <protection locked="0"/>
    </xf>
    <xf numFmtId="42" fontId="11" fillId="0" borderId="14" xfId="230" applyNumberFormat="1" applyFont="1" applyFill="1" applyBorder="1"/>
    <xf numFmtId="41" fontId="11" fillId="0" borderId="0" xfId="0" applyNumberFormat="1" applyFont="1" applyFill="1" applyAlignment="1"/>
    <xf numFmtId="41" fontId="11" fillId="0" borderId="13" xfId="0" applyNumberFormat="1" applyFont="1" applyFill="1" applyBorder="1" applyAlignment="1"/>
    <xf numFmtId="41" fontId="11" fillId="0" borderId="0" xfId="0" applyNumberFormat="1" applyFont="1" applyFill="1" applyAlignment="1" applyProtection="1">
      <protection locked="0"/>
    </xf>
    <xf numFmtId="42" fontId="11" fillId="0" borderId="0" xfId="230" applyNumberFormat="1" applyFont="1" applyFill="1" applyBorder="1" applyProtection="1">
      <protection locked="0"/>
    </xf>
    <xf numFmtId="0" fontId="11" fillId="0" borderId="0" xfId="0" applyNumberFormat="1" applyFont="1" applyFill="1" applyAlignment="1" applyProtection="1">
      <protection locked="0"/>
    </xf>
    <xf numFmtId="41" fontId="11" fillId="0" borderId="13" xfId="0" applyNumberFormat="1" applyFont="1" applyFill="1" applyBorder="1" applyAlignment="1" applyProtection="1">
      <protection locked="0"/>
    </xf>
    <xf numFmtId="41" fontId="11" fillId="0" borderId="0" xfId="230" applyNumberFormat="1" applyFont="1" applyFill="1"/>
    <xf numFmtId="10" fontId="11" fillId="0" borderId="0" xfId="0" applyNumberFormat="1" applyFont="1" applyFill="1" applyAlignment="1"/>
    <xf numFmtId="41" fontId="11" fillId="0" borderId="0" xfId="0" applyNumberFormat="1" applyFont="1" applyFill="1" applyBorder="1" applyAlignment="1"/>
    <xf numFmtId="1" fontId="11" fillId="0" borderId="0" xfId="0" applyNumberFormat="1" applyFont="1" applyFill="1" applyAlignment="1">
      <alignment horizontal="center"/>
    </xf>
    <xf numFmtId="42" fontId="11" fillId="0" borderId="0" xfId="230" applyNumberFormat="1" applyFont="1" applyFill="1" applyAlignment="1">
      <alignment horizontal="right"/>
    </xf>
    <xf numFmtId="41" fontId="11" fillId="0" borderId="0" xfId="0" applyNumberFormat="1" applyFont="1" applyFill="1" applyAlignment="1">
      <alignment horizontal="right"/>
    </xf>
    <xf numFmtId="41" fontId="11" fillId="0" borderId="13" xfId="0" applyNumberFormat="1" applyFont="1" applyFill="1" applyBorder="1" applyAlignment="1">
      <alignment horizontal="right"/>
    </xf>
    <xf numFmtId="41" fontId="11" fillId="0" borderId="0" xfId="230" applyNumberFormat="1" applyFont="1" applyFill="1" applyAlignment="1">
      <alignment horizontal="right"/>
    </xf>
    <xf numFmtId="184" fontId="11" fillId="0" borderId="0" xfId="0" applyNumberFormat="1" applyFont="1" applyFill="1" applyAlignment="1"/>
    <xf numFmtId="41" fontId="11" fillId="0" borderId="13" xfId="185" applyNumberFormat="1" applyFont="1" applyFill="1" applyBorder="1"/>
    <xf numFmtId="37" fontId="11" fillId="0" borderId="0" xfId="185" applyNumberFormat="1" applyFont="1" applyFill="1"/>
    <xf numFmtId="37" fontId="11" fillId="0" borderId="13" xfId="185" applyNumberFormat="1" applyFont="1" applyFill="1" applyBorder="1"/>
    <xf numFmtId="37" fontId="11" fillId="0" borderId="0" xfId="185" applyNumberFormat="1" applyFont="1" applyFill="1" applyBorder="1"/>
    <xf numFmtId="41" fontId="11" fillId="0" borderId="0" xfId="0" applyNumberFormat="1" applyFont="1" applyFill="1" applyAlignment="1" applyProtection="1">
      <alignment horizontal="left"/>
      <protection locked="0"/>
    </xf>
    <xf numFmtId="0" fontId="18" fillId="0" borderId="0" xfId="0" applyNumberFormat="1" applyFont="1" applyFill="1" applyAlignment="1">
      <alignment horizontal="center"/>
    </xf>
    <xf numFmtId="171" fontId="12" fillId="0" borderId="0" xfId="0" applyNumberFormat="1" applyFont="1" applyFill="1" applyAlignment="1"/>
    <xf numFmtId="169" fontId="11" fillId="0" borderId="0" xfId="0" applyFont="1" applyFill="1" applyAlignment="1">
      <alignment horizontal="left"/>
    </xf>
    <xf numFmtId="169" fontId="12" fillId="0" borderId="0" xfId="0" applyFont="1" applyFill="1" applyAlignment="1"/>
    <xf numFmtId="169" fontId="11" fillId="0" borderId="0" xfId="0" applyFont="1" applyFill="1" applyAlignment="1"/>
    <xf numFmtId="169" fontId="12" fillId="0" borderId="0" xfId="0" applyFont="1" applyFill="1" applyAlignment="1">
      <alignment horizontal="center"/>
    </xf>
    <xf numFmtId="169" fontId="12" fillId="0" borderId="13" xfId="0" applyFont="1" applyFill="1" applyBorder="1" applyAlignment="1">
      <alignment horizontal="center"/>
    </xf>
    <xf numFmtId="42" fontId="11" fillId="0" borderId="0" xfId="230" applyNumberFormat="1" applyFont="1" applyFill="1" applyProtection="1"/>
    <xf numFmtId="41" fontId="11" fillId="0" borderId="0" xfId="0" applyNumberFormat="1" applyFont="1" applyFill="1" applyAlignment="1" applyProtection="1">
      <alignment horizontal="left"/>
    </xf>
    <xf numFmtId="41" fontId="11" fillId="0" borderId="0" xfId="0" applyNumberFormat="1" applyFont="1" applyFill="1" applyBorder="1" applyAlignment="1" applyProtection="1"/>
    <xf numFmtId="42" fontId="11" fillId="0" borderId="0" xfId="230" applyNumberFormat="1" applyFont="1" applyFill="1" applyBorder="1" applyProtection="1"/>
    <xf numFmtId="179" fontId="11" fillId="0" borderId="0" xfId="0" applyNumberFormat="1" applyFont="1" applyFill="1" applyAlignment="1" applyProtection="1">
      <alignment horizontal="left"/>
    </xf>
    <xf numFmtId="169" fontId="11" fillId="0" borderId="0" xfId="0" applyFont="1" applyFill="1" applyAlignment="1">
      <alignment horizontal="center"/>
    </xf>
    <xf numFmtId="42" fontId="11" fillId="0" borderId="12" xfId="0" applyNumberFormat="1" applyFont="1" applyFill="1" applyBorder="1" applyAlignment="1"/>
    <xf numFmtId="9" fontId="11" fillId="0" borderId="0" xfId="342" applyFont="1" applyFill="1" applyBorder="1"/>
    <xf numFmtId="169" fontId="12" fillId="0" borderId="0" xfId="0" applyNumberFormat="1" applyFont="1" applyFill="1" applyAlignment="1">
      <alignment horizontal="right"/>
    </xf>
    <xf numFmtId="0" fontId="0" fillId="0" borderId="0" xfId="0" applyNumberFormat="1" applyFill="1" applyAlignment="1"/>
    <xf numFmtId="41" fontId="11" fillId="0" borderId="0" xfId="422" applyNumberFormat="1" applyFont="1" applyFill="1" applyAlignment="1"/>
    <xf numFmtId="41" fontId="11" fillId="0" borderId="0" xfId="422" applyNumberFormat="1" applyFont="1" applyFill="1" applyBorder="1" applyAlignment="1"/>
    <xf numFmtId="169" fontId="11" fillId="0" borderId="0" xfId="422" applyFont="1" applyFill="1" applyBorder="1">
      <alignment horizontal="left" wrapText="1"/>
    </xf>
    <xf numFmtId="0" fontId="15" fillId="0" borderId="0" xfId="314" applyAlignment="1">
      <alignment horizontal="centerContinuous"/>
    </xf>
    <xf numFmtId="0" fontId="35" fillId="0" borderId="0" xfId="314" applyFont="1" applyAlignment="1">
      <alignment horizontal="left"/>
    </xf>
    <xf numFmtId="0" fontId="15" fillId="0" borderId="0" xfId="314" applyFill="1" applyAlignment="1">
      <alignment horizontal="centerContinuous"/>
    </xf>
    <xf numFmtId="0" fontId="15" fillId="0" borderId="0" xfId="314" applyBorder="1" applyAlignment="1">
      <alignment horizontal="left"/>
    </xf>
    <xf numFmtId="0" fontId="15" fillId="0" borderId="0" xfId="314"/>
    <xf numFmtId="0" fontId="15" fillId="0" borderId="0" xfId="314" applyFont="1"/>
    <xf numFmtId="0" fontId="15" fillId="0" borderId="0" xfId="314" applyAlignment="1">
      <alignment horizontal="left"/>
    </xf>
    <xf numFmtId="0" fontId="15" fillId="0" borderId="0" xfId="314" applyFill="1" applyBorder="1" applyAlignment="1">
      <alignment horizontal="centerContinuous"/>
    </xf>
    <xf numFmtId="41" fontId="15" fillId="0" borderId="0" xfId="314" applyNumberFormat="1" applyFill="1" applyAlignment="1">
      <alignment horizontal="left"/>
    </xf>
    <xf numFmtId="0" fontId="15" fillId="0" borderId="0" xfId="314" applyBorder="1" applyAlignment="1">
      <alignment horizontal="centerContinuous"/>
    </xf>
    <xf numFmtId="0" fontId="24" fillId="0" borderId="0" xfId="314" applyFont="1" applyBorder="1" applyAlignment="1">
      <alignment horizontal="left"/>
    </xf>
    <xf numFmtId="0" fontId="15" fillId="0" borderId="0" xfId="314" applyFill="1" applyAlignment="1"/>
    <xf numFmtId="0" fontId="15" fillId="0" borderId="0" xfId="314" applyAlignment="1"/>
    <xf numFmtId="0" fontId="15" fillId="0" borderId="28" xfId="314" applyBorder="1" applyAlignment="1"/>
    <xf numFmtId="0" fontId="15" fillId="0" borderId="0" xfId="314" applyBorder="1"/>
    <xf numFmtId="0" fontId="15" fillId="0" borderId="0" xfId="314" applyFill="1"/>
    <xf numFmtId="0" fontId="15" fillId="0" borderId="0" xfId="314" applyFill="1" applyAlignment="1">
      <alignment horizontal="center"/>
    </xf>
    <xf numFmtId="0" fontId="15" fillId="0" borderId="0" xfId="314" applyAlignment="1">
      <alignment horizontal="center"/>
    </xf>
    <xf numFmtId="42" fontId="15" fillId="0" borderId="0" xfId="314" applyNumberFormat="1"/>
    <xf numFmtId="0" fontId="15" fillId="0" borderId="28" xfId="314" applyBorder="1"/>
    <xf numFmtId="0" fontId="15" fillId="0" borderId="0" xfId="314" applyFill="1" applyBorder="1" applyAlignment="1">
      <alignment horizontal="center"/>
    </xf>
    <xf numFmtId="0" fontId="15" fillId="0" borderId="0" xfId="314" applyBorder="1" applyAlignment="1">
      <alignment horizontal="center"/>
    </xf>
    <xf numFmtId="0" fontId="15" fillId="0" borderId="0" xfId="314" applyFont="1" applyFill="1" applyBorder="1" applyAlignment="1">
      <alignment horizontal="center"/>
    </xf>
    <xf numFmtId="0" fontId="15" fillId="0" borderId="0" xfId="314" applyFont="1" applyBorder="1" applyAlignment="1">
      <alignment horizontal="center"/>
    </xf>
    <xf numFmtId="0" fontId="15" fillId="0" borderId="28" xfId="314" applyFont="1" applyBorder="1" applyAlignment="1">
      <alignment horizontal="center"/>
    </xf>
    <xf numFmtId="0" fontId="15" fillId="0" borderId="0" xfId="314" applyFont="1" applyBorder="1"/>
    <xf numFmtId="0" fontId="15" fillId="0" borderId="13" xfId="314" applyBorder="1" applyAlignment="1">
      <alignment horizontal="center"/>
    </xf>
    <xf numFmtId="0" fontId="15" fillId="0" borderId="13" xfId="314" applyFill="1" applyBorder="1" applyAlignment="1">
      <alignment horizontal="center"/>
    </xf>
    <xf numFmtId="0" fontId="15" fillId="0" borderId="13" xfId="314" applyFont="1" applyFill="1" applyBorder="1" applyAlignment="1">
      <alignment horizontal="center"/>
    </xf>
    <xf numFmtId="0" fontId="15" fillId="0" borderId="13" xfId="314" applyFont="1" applyBorder="1" applyAlignment="1">
      <alignment horizontal="center"/>
    </xf>
    <xf numFmtId="42" fontId="15" fillId="0" borderId="13" xfId="314" applyNumberFormat="1" applyFont="1" applyBorder="1" applyAlignment="1">
      <alignment horizontal="center"/>
    </xf>
    <xf numFmtId="42" fontId="15" fillId="0" borderId="0" xfId="314" applyNumberFormat="1" applyFont="1" applyBorder="1" applyAlignment="1">
      <alignment horizontal="center"/>
    </xf>
    <xf numFmtId="0" fontId="15" fillId="0" borderId="0" xfId="314" applyBorder="1" applyAlignment="1">
      <alignment horizontal="right"/>
    </xf>
    <xf numFmtId="42" fontId="35" fillId="0" borderId="0" xfId="314" applyNumberFormat="1" applyFont="1" applyFill="1" applyBorder="1" applyAlignment="1">
      <alignment horizontal="center"/>
    </xf>
    <xf numFmtId="42" fontId="68" fillId="0" borderId="0" xfId="314" applyNumberFormat="1" applyFont="1" applyFill="1" applyBorder="1" applyAlignment="1">
      <alignment horizontal="center"/>
    </xf>
    <xf numFmtId="42" fontId="15" fillId="0" borderId="0" xfId="314" applyNumberFormat="1" applyBorder="1" applyAlignment="1">
      <alignment horizontal="center"/>
    </xf>
    <xf numFmtId="42" fontId="68" fillId="0" borderId="28" xfId="314" applyNumberFormat="1" applyFont="1" applyFill="1" applyBorder="1" applyAlignment="1">
      <alignment horizontal="center"/>
    </xf>
    <xf numFmtId="42" fontId="68" fillId="0" borderId="0" xfId="314" applyNumberFormat="1" applyFont="1" applyBorder="1" applyAlignment="1">
      <alignment horizontal="center"/>
    </xf>
    <xf numFmtId="42" fontId="15" fillId="0" borderId="0" xfId="314" applyNumberFormat="1" applyFont="1" applyBorder="1"/>
    <xf numFmtId="41" fontId="35" fillId="0" borderId="0" xfId="314" applyNumberFormat="1" applyFont="1" applyFill="1" applyBorder="1" applyAlignment="1">
      <alignment horizontal="center"/>
    </xf>
    <xf numFmtId="41" fontId="68" fillId="0" borderId="0" xfId="314" applyNumberFormat="1" applyFont="1" applyFill="1"/>
    <xf numFmtId="41" fontId="68" fillId="0" borderId="0" xfId="314" applyNumberFormat="1" applyFont="1" applyFill="1" applyBorder="1" applyAlignment="1">
      <alignment horizontal="center"/>
    </xf>
    <xf numFmtId="41" fontId="15" fillId="0" borderId="0" xfId="314" applyNumberFormat="1" applyBorder="1" applyAlignment="1">
      <alignment horizontal="center"/>
    </xf>
    <xf numFmtId="41" fontId="68" fillId="0" borderId="28" xfId="314" applyNumberFormat="1" applyFont="1" applyFill="1" applyBorder="1" applyAlignment="1">
      <alignment horizontal="center"/>
    </xf>
    <xf numFmtId="41" fontId="68" fillId="0" borderId="0" xfId="314" applyNumberFormat="1" applyFont="1" applyBorder="1" applyAlignment="1">
      <alignment horizontal="center"/>
    </xf>
    <xf numFmtId="41" fontId="15" fillId="0" borderId="0" xfId="314" applyNumberFormat="1" applyFont="1" applyBorder="1"/>
    <xf numFmtId="0" fontId="15" fillId="0" borderId="0" xfId="314" applyFill="1" applyBorder="1" applyAlignment="1">
      <alignment horizontal="left"/>
    </xf>
    <xf numFmtId="41" fontId="35" fillId="0" borderId="0" xfId="314" applyNumberFormat="1" applyFont="1" applyFill="1"/>
    <xf numFmtId="42" fontId="15" fillId="0" borderId="14" xfId="314" applyNumberFormat="1" applyFill="1" applyBorder="1"/>
    <xf numFmtId="42" fontId="15" fillId="0" borderId="14" xfId="314" applyNumberFormat="1" applyBorder="1"/>
    <xf numFmtId="42" fontId="15" fillId="0" borderId="28" xfId="314" applyNumberFormat="1" applyFill="1" applyBorder="1"/>
    <xf numFmtId="42" fontId="15" fillId="0" borderId="0" xfId="314" applyNumberFormat="1" applyBorder="1"/>
    <xf numFmtId="42" fontId="68" fillId="0" borderId="14" xfId="314" applyNumberFormat="1" applyFont="1" applyFill="1" applyBorder="1"/>
    <xf numFmtId="42" fontId="15" fillId="0" borderId="0" xfId="314" applyNumberFormat="1" applyFill="1"/>
    <xf numFmtId="42" fontId="15" fillId="0" borderId="28" xfId="314" applyNumberFormat="1" applyBorder="1"/>
    <xf numFmtId="42" fontId="68" fillId="0" borderId="0" xfId="314" applyNumberFormat="1" applyFont="1" applyFill="1"/>
    <xf numFmtId="42" fontId="68" fillId="0" borderId="28" xfId="314" applyNumberFormat="1" applyFont="1" applyFill="1" applyBorder="1"/>
    <xf numFmtId="42" fontId="15" fillId="0" borderId="0" xfId="314" applyNumberFormat="1" applyFill="1" applyBorder="1"/>
    <xf numFmtId="42" fontId="35" fillId="0" borderId="0" xfId="314" applyNumberFormat="1" applyFont="1"/>
    <xf numFmtId="42" fontId="15" fillId="0" borderId="0" xfId="314" applyNumberFormat="1" applyFont="1"/>
    <xf numFmtId="42" fontId="15" fillId="0" borderId="14" xfId="314" applyNumberFormat="1" applyFont="1" applyFill="1" applyBorder="1"/>
    <xf numFmtId="42" fontId="15" fillId="0" borderId="28" xfId="314" applyNumberFormat="1" applyFont="1" applyFill="1" applyBorder="1"/>
    <xf numFmtId="42" fontId="35" fillId="0" borderId="0" xfId="314" applyNumberFormat="1" applyFont="1" applyFill="1" applyBorder="1"/>
    <xf numFmtId="42" fontId="15" fillId="0" borderId="0" xfId="314" applyNumberFormat="1" applyFont="1" applyFill="1" applyBorder="1"/>
    <xf numFmtId="42" fontId="68" fillId="0" borderId="0" xfId="314" applyNumberFormat="1" applyFont="1" applyFill="1" applyBorder="1"/>
    <xf numFmtId="0" fontId="15" fillId="0" borderId="0" xfId="314" applyFont="1" applyFill="1"/>
    <xf numFmtId="41" fontId="15" fillId="0" borderId="0" xfId="314" applyNumberFormat="1" applyFill="1"/>
    <xf numFmtId="41" fontId="15" fillId="0" borderId="0" xfId="314" applyNumberFormat="1"/>
    <xf numFmtId="41" fontId="15" fillId="0" borderId="0" xfId="314" applyNumberFormat="1" applyBorder="1"/>
    <xf numFmtId="0" fontId="15" fillId="0" borderId="0" xfId="314" quotePrefix="1" applyAlignment="1">
      <alignment vertical="top"/>
    </xf>
    <xf numFmtId="0" fontId="15" fillId="0" borderId="0" xfId="314" applyAlignment="1">
      <alignment vertical="top" wrapText="1"/>
    </xf>
    <xf numFmtId="0" fontId="15" fillId="0" borderId="0" xfId="314" applyFill="1" applyAlignment="1">
      <alignment vertical="top" wrapText="1"/>
    </xf>
    <xf numFmtId="0" fontId="15" fillId="0" borderId="0" xfId="314" applyFill="1" applyAlignment="1">
      <alignment vertical="top"/>
    </xf>
    <xf numFmtId="0" fontId="68" fillId="0" borderId="0" xfId="314" applyFont="1" applyAlignment="1">
      <alignment horizontal="centerContinuous"/>
    </xf>
    <xf numFmtId="0" fontId="15" fillId="0" borderId="0" xfId="314" applyFont="1" applyFill="1" applyAlignment="1">
      <alignment horizontal="center"/>
    </xf>
    <xf numFmtId="0" fontId="15" fillId="0" borderId="0" xfId="314" applyFont="1" applyAlignment="1">
      <alignment horizontal="center"/>
    </xf>
    <xf numFmtId="0" fontId="15" fillId="0" borderId="0" xfId="314" applyFont="1" applyBorder="1" applyAlignment="1">
      <alignment horizontal="left"/>
    </xf>
    <xf numFmtId="0" fontId="15" fillId="0" borderId="0" xfId="314" applyFont="1" applyBorder="1" applyAlignment="1"/>
    <xf numFmtId="37" fontId="15" fillId="0" borderId="0" xfId="314" applyNumberFormat="1" applyFont="1" applyFill="1"/>
    <xf numFmtId="0" fontId="15" fillId="0" borderId="0" xfId="314" applyFont="1" applyFill="1" applyBorder="1" applyAlignment="1"/>
    <xf numFmtId="0" fontId="15" fillId="0" borderId="0" xfId="314" applyFont="1" applyFill="1" applyAlignment="1">
      <alignment horizontal="left"/>
    </xf>
    <xf numFmtId="42" fontId="15" fillId="0" borderId="0" xfId="314" applyNumberFormat="1" applyFont="1" applyFill="1" applyBorder="1" applyAlignment="1">
      <alignment horizontal="center"/>
    </xf>
    <xf numFmtId="42" fontId="15" fillId="0" borderId="0" xfId="344" applyNumberFormat="1" applyFont="1" applyFill="1" applyBorder="1"/>
    <xf numFmtId="0" fontId="15" fillId="0" borderId="0" xfId="314" applyFont="1" applyFill="1" applyBorder="1" applyAlignment="1">
      <alignment horizontal="left"/>
    </xf>
    <xf numFmtId="41" fontId="15" fillId="0" borderId="0" xfId="314" applyNumberFormat="1" applyFont="1" applyFill="1" applyBorder="1" applyAlignment="1">
      <alignment horizontal="center"/>
    </xf>
    <xf numFmtId="0" fontId="15" fillId="0" borderId="0" xfId="314" applyFont="1" applyAlignment="1">
      <alignment horizontal="left"/>
    </xf>
    <xf numFmtId="42" fontId="15" fillId="0" borderId="0" xfId="314" applyNumberFormat="1" applyFont="1" applyFill="1"/>
    <xf numFmtId="0" fontId="15" fillId="0" borderId="0" xfId="314" applyFont="1" applyFill="1" applyBorder="1"/>
    <xf numFmtId="0" fontId="15" fillId="0" borderId="0" xfId="314" applyFill="1" applyAlignment="1">
      <alignment horizontal="left"/>
    </xf>
    <xf numFmtId="0" fontId="15" fillId="0" borderId="0" xfId="314" applyFill="1" applyBorder="1"/>
    <xf numFmtId="0" fontId="24" fillId="0" borderId="0" xfId="314" applyFont="1" applyAlignment="1">
      <alignment horizontal="left"/>
    </xf>
    <xf numFmtId="41" fontId="68" fillId="0" borderId="0" xfId="314" applyNumberFormat="1" applyFont="1"/>
    <xf numFmtId="41" fontId="15" fillId="0" borderId="0" xfId="314" applyNumberFormat="1" applyFont="1"/>
    <xf numFmtId="37" fontId="15" fillId="0" borderId="0" xfId="314" applyNumberFormat="1" applyFont="1"/>
    <xf numFmtId="42" fontId="15" fillId="0" borderId="14" xfId="314" applyNumberFormat="1" applyFont="1" applyBorder="1"/>
    <xf numFmtId="201" fontId="15" fillId="0" borderId="0" xfId="314" applyNumberFormat="1"/>
    <xf numFmtId="0" fontId="24" fillId="0" borderId="0" xfId="314" applyFont="1" applyAlignment="1">
      <alignment horizontal="left" wrapText="1"/>
    </xf>
    <xf numFmtId="0" fontId="15" fillId="0" borderId="0" xfId="0" applyNumberFormat="1" applyFont="1" applyAlignment="1"/>
    <xf numFmtId="42" fontId="15" fillId="13" borderId="14" xfId="314" applyNumberFormat="1" applyFill="1" applyBorder="1"/>
    <xf numFmtId="42" fontId="15" fillId="13" borderId="14" xfId="314" applyNumberFormat="1" applyFont="1" applyFill="1" applyBorder="1"/>
    <xf numFmtId="42" fontId="68" fillId="14" borderId="0" xfId="314" applyNumberFormat="1" applyFont="1" applyFill="1" applyBorder="1" applyAlignment="1">
      <alignment horizontal="center"/>
    </xf>
    <xf numFmtId="5" fontId="11" fillId="0" borderId="0" xfId="0" applyNumberFormat="1" applyFont="1" applyFill="1" applyAlignment="1"/>
    <xf numFmtId="6" fontId="11" fillId="0" borderId="14" xfId="230" applyNumberFormat="1" applyFont="1" applyFill="1" applyBorder="1" applyProtection="1">
      <protection locked="0"/>
    </xf>
    <xf numFmtId="6" fontId="11" fillId="0" borderId="0" xfId="0" applyNumberFormat="1" applyFont="1" applyFill="1" applyAlignment="1"/>
    <xf numFmtId="0" fontId="11" fillId="0" borderId="0" xfId="317" applyFont="1" applyFill="1" applyAlignment="1"/>
    <xf numFmtId="0" fontId="75" fillId="0" borderId="0" xfId="316" applyFont="1" applyAlignment="1">
      <alignment horizontal="centerContinuous"/>
    </xf>
    <xf numFmtId="0" fontId="74" fillId="0" borderId="0" xfId="316" applyFont="1" applyAlignment="1">
      <alignment horizontal="centerContinuous"/>
    </xf>
    <xf numFmtId="0" fontId="74" fillId="0" borderId="0" xfId="316" applyFont="1"/>
    <xf numFmtId="0" fontId="74" fillId="0" borderId="0" xfId="316" applyFont="1" applyAlignment="1"/>
    <xf numFmtId="41" fontId="74" fillId="0" borderId="0" xfId="316" applyNumberFormat="1" applyFont="1" applyAlignment="1"/>
    <xf numFmtId="0" fontId="74" fillId="0" borderId="0" xfId="316" applyFont="1" applyFill="1"/>
    <xf numFmtId="0" fontId="74" fillId="0" borderId="0" xfId="316" applyFont="1" applyBorder="1" applyAlignment="1">
      <alignment horizontal="center"/>
    </xf>
    <xf numFmtId="0" fontId="74" fillId="0" borderId="0" xfId="316" applyFont="1" applyFill="1" applyBorder="1" applyAlignment="1">
      <alignment horizontal="center"/>
    </xf>
    <xf numFmtId="0" fontId="74" fillId="0" borderId="0" xfId="316" applyFont="1" applyAlignment="1">
      <alignment horizontal="center"/>
    </xf>
    <xf numFmtId="0" fontId="74" fillId="0" borderId="0" xfId="316" applyFont="1" applyBorder="1" applyAlignment="1"/>
    <xf numFmtId="0" fontId="74" fillId="0" borderId="0" xfId="316" applyFont="1" applyBorder="1" applyAlignment="1">
      <alignment horizontal="left"/>
    </xf>
    <xf numFmtId="0" fontId="74" fillId="0" borderId="0" xfId="316" applyFont="1" applyFill="1" applyAlignment="1">
      <alignment horizontal="center"/>
    </xf>
    <xf numFmtId="0" fontId="74" fillId="0" borderId="13" xfId="316" applyFont="1" applyBorder="1" applyAlignment="1">
      <alignment horizontal="center"/>
    </xf>
    <xf numFmtId="0" fontId="74" fillId="0" borderId="13" xfId="316" applyFont="1" applyFill="1" applyBorder="1" applyAlignment="1">
      <alignment horizontal="center"/>
    </xf>
    <xf numFmtId="0" fontId="74" fillId="0" borderId="0" xfId="316" applyFont="1" applyAlignment="1">
      <alignment horizontal="left"/>
    </xf>
    <xf numFmtId="42" fontId="74" fillId="0" borderId="0" xfId="316" applyNumberFormat="1" applyFont="1" applyFill="1"/>
    <xf numFmtId="3" fontId="74" fillId="0" borderId="0" xfId="316" applyNumberFormat="1" applyFont="1"/>
    <xf numFmtId="9" fontId="74" fillId="0" borderId="0" xfId="352" applyFont="1" applyFill="1" applyBorder="1" applyAlignment="1">
      <alignment horizontal="right"/>
    </xf>
    <xf numFmtId="165" fontId="74" fillId="0" borderId="0" xfId="352" applyNumberFormat="1" applyFont="1" applyFill="1"/>
    <xf numFmtId="165" fontId="74" fillId="0" borderId="0" xfId="352" applyNumberFormat="1" applyFont="1"/>
    <xf numFmtId="42" fontId="74" fillId="0" borderId="0" xfId="316" applyNumberFormat="1" applyFont="1"/>
    <xf numFmtId="177" fontId="74" fillId="0" borderId="0" xfId="188" applyNumberFormat="1" applyFont="1" applyFill="1"/>
    <xf numFmtId="0" fontId="74" fillId="0" borderId="0" xfId="316" applyFont="1" applyFill="1" applyBorder="1" applyAlignment="1">
      <alignment horizontal="left"/>
    </xf>
    <xf numFmtId="41" fontId="74" fillId="0" borderId="0" xfId="316" applyNumberFormat="1" applyFont="1" applyFill="1"/>
    <xf numFmtId="41" fontId="74" fillId="0" borderId="0" xfId="316" applyNumberFormat="1" applyFont="1"/>
    <xf numFmtId="0" fontId="74" fillId="0" borderId="0" xfId="316" applyFont="1" applyFill="1" applyAlignment="1">
      <alignment horizontal="left"/>
    </xf>
    <xf numFmtId="165" fontId="74" fillId="0" borderId="13" xfId="352" applyNumberFormat="1" applyFont="1" applyFill="1" applyBorder="1"/>
    <xf numFmtId="166" fontId="74" fillId="0" borderId="0" xfId="352" applyNumberFormat="1" applyFont="1" applyFill="1"/>
    <xf numFmtId="42" fontId="74" fillId="0" borderId="14" xfId="316" applyNumberFormat="1" applyFont="1" applyBorder="1"/>
    <xf numFmtId="3" fontId="74" fillId="0" borderId="14" xfId="316" applyNumberFormat="1" applyFont="1" applyBorder="1"/>
    <xf numFmtId="9" fontId="74" fillId="0" borderId="14" xfId="352" applyFont="1" applyBorder="1"/>
    <xf numFmtId="42" fontId="74" fillId="0" borderId="14" xfId="316" applyNumberFormat="1" applyFont="1" applyFill="1" applyBorder="1"/>
    <xf numFmtId="165" fontId="74" fillId="0" borderId="0" xfId="352" applyNumberFormat="1" applyFont="1" applyBorder="1"/>
    <xf numFmtId="9" fontId="74" fillId="0" borderId="0" xfId="352" applyFont="1" applyBorder="1"/>
    <xf numFmtId="0" fontId="74" fillId="0" borderId="0" xfId="316" applyFont="1" applyBorder="1"/>
    <xf numFmtId="166" fontId="74" fillId="0" borderId="0" xfId="352" applyNumberFormat="1" applyFont="1"/>
    <xf numFmtId="42" fontId="74" fillId="0" borderId="0" xfId="316" applyNumberFormat="1" applyFont="1" applyFill="1" applyBorder="1"/>
    <xf numFmtId="10" fontId="74" fillId="0" borderId="0" xfId="352" applyNumberFormat="1" applyFont="1" applyFill="1" applyBorder="1"/>
    <xf numFmtId="10" fontId="74" fillId="0" borderId="0" xfId="352" applyNumberFormat="1" applyFont="1" applyFill="1"/>
    <xf numFmtId="42" fontId="74" fillId="0" borderId="0" xfId="316" applyNumberFormat="1" applyFont="1" applyBorder="1"/>
    <xf numFmtId="42" fontId="74" fillId="0" borderId="0" xfId="352" applyNumberFormat="1" applyFont="1" applyFill="1"/>
    <xf numFmtId="166" fontId="74" fillId="0" borderId="0" xfId="352" applyNumberFormat="1" applyFont="1" applyBorder="1"/>
    <xf numFmtId="0" fontId="74" fillId="0" borderId="0" xfId="316" applyFont="1" applyFill="1" applyBorder="1"/>
    <xf numFmtId="206" fontId="74" fillId="0" borderId="0" xfId="316" applyNumberFormat="1" applyFont="1" applyFill="1"/>
    <xf numFmtId="0" fontId="74" fillId="0" borderId="0" xfId="316" applyFont="1" applyFill="1" applyAlignment="1"/>
    <xf numFmtId="9" fontId="74" fillId="0" borderId="0" xfId="316" applyNumberFormat="1" applyFont="1" applyFill="1"/>
    <xf numFmtId="42" fontId="11" fillId="0" borderId="20" xfId="230" applyNumberFormat="1" applyFont="1" applyFill="1" applyBorder="1" applyAlignment="1" applyProtection="1">
      <alignment vertical="top"/>
    </xf>
    <xf numFmtId="177" fontId="11" fillId="0" borderId="0" xfId="0" applyNumberFormat="1" applyFont="1" applyFill="1" applyAlignment="1"/>
    <xf numFmtId="0" fontId="78" fillId="0" borderId="0" xfId="317" applyFont="1" applyFill="1" applyAlignment="1"/>
    <xf numFmtId="178" fontId="78" fillId="0" borderId="13" xfId="232" applyNumberFormat="1" applyFont="1" applyFill="1" applyBorder="1" applyAlignment="1" applyProtection="1">
      <protection locked="0"/>
    </xf>
    <xf numFmtId="178" fontId="78" fillId="0" borderId="0" xfId="232" applyNumberFormat="1" applyFont="1" applyFill="1" applyBorder="1" applyAlignment="1" applyProtection="1">
      <protection locked="0"/>
    </xf>
    <xf numFmtId="169" fontId="78" fillId="0" borderId="0" xfId="422" applyFont="1" applyFill="1" applyAlignment="1">
      <alignment horizontal="left"/>
    </xf>
    <xf numFmtId="177" fontId="78" fillId="0" borderId="0" xfId="189" applyNumberFormat="1" applyFont="1" applyFill="1" applyAlignment="1"/>
    <xf numFmtId="178" fontId="78" fillId="0" borderId="20" xfId="232" applyNumberFormat="1" applyFont="1" applyFill="1" applyBorder="1" applyAlignment="1" applyProtection="1">
      <protection locked="0"/>
    </xf>
    <xf numFmtId="0" fontId="78" fillId="0" borderId="0" xfId="317" applyFont="1" applyFill="1" applyAlignment="1">
      <alignment horizontal="left"/>
    </xf>
    <xf numFmtId="9" fontId="78" fillId="0" borderId="0" xfId="317" applyNumberFormat="1" applyFont="1" applyFill="1" applyAlignment="1"/>
    <xf numFmtId="42" fontId="78" fillId="0" borderId="0" xfId="232" applyNumberFormat="1" applyFont="1" applyFill="1" applyBorder="1" applyAlignment="1"/>
    <xf numFmtId="37" fontId="78" fillId="0" borderId="0" xfId="317" applyNumberFormat="1" applyFont="1" applyFill="1" applyAlignment="1"/>
    <xf numFmtId="37" fontId="78" fillId="0" borderId="12" xfId="317" applyNumberFormat="1" applyFont="1" applyFill="1" applyBorder="1" applyAlignment="1"/>
    <xf numFmtId="0" fontId="0" fillId="0" borderId="0" xfId="0" applyNumberFormat="1" applyBorder="1" applyAlignment="1"/>
    <xf numFmtId="169" fontId="11" fillId="0" borderId="0" xfId="422" applyFont="1" applyFill="1" applyAlignment="1">
      <alignment horizontal="left"/>
    </xf>
    <xf numFmtId="0" fontId="15" fillId="0" borderId="0" xfId="0" applyNumberFormat="1" applyFont="1" applyFill="1" applyAlignment="1"/>
    <xf numFmtId="178" fontId="11" fillId="0" borderId="0" xfId="231" applyNumberFormat="1" applyFont="1" applyFill="1" applyBorder="1"/>
    <xf numFmtId="177" fontId="11" fillId="0" borderId="0" xfId="186" applyNumberFormat="1" applyFont="1" applyFill="1" applyBorder="1"/>
    <xf numFmtId="10" fontId="11" fillId="0" borderId="0" xfId="186" applyNumberFormat="1" applyFont="1" applyFill="1" applyBorder="1"/>
    <xf numFmtId="42" fontId="11" fillId="0" borderId="0" xfId="422" applyNumberFormat="1" applyFont="1" applyFill="1" applyAlignment="1"/>
    <xf numFmtId="0" fontId="34" fillId="0" borderId="0" xfId="444" applyFont="1" applyFill="1"/>
    <xf numFmtId="0" fontId="24" fillId="0" borderId="13" xfId="444" applyFont="1" applyFill="1" applyBorder="1" applyAlignment="1">
      <alignment horizontal="center"/>
    </xf>
    <xf numFmtId="2" fontId="24" fillId="0" borderId="13" xfId="444" applyNumberFormat="1" applyFont="1" applyFill="1" applyBorder="1" applyAlignment="1">
      <alignment horizontal="center"/>
    </xf>
    <xf numFmtId="0" fontId="24" fillId="0" borderId="0" xfId="444" applyFont="1" applyFill="1"/>
    <xf numFmtId="0" fontId="15" fillId="0" borderId="0" xfId="444" applyFill="1"/>
    <xf numFmtId="2" fontId="15" fillId="0" borderId="0" xfId="444" applyNumberFormat="1" applyFill="1" applyAlignment="1">
      <alignment horizontal="left"/>
    </xf>
    <xf numFmtId="0" fontId="15" fillId="0" borderId="0" xfId="444" quotePrefix="1" applyFill="1"/>
    <xf numFmtId="0" fontId="15" fillId="0" borderId="0" xfId="444" applyFill="1" applyAlignment="1">
      <alignment wrapText="1"/>
    </xf>
    <xf numFmtId="169" fontId="12" fillId="0" borderId="0" xfId="445" applyFont="1" applyFill="1" applyAlignment="1"/>
    <xf numFmtId="0" fontId="11" fillId="0" borderId="0" xfId="445" applyNumberFormat="1" applyFont="1" applyFill="1" applyAlignment="1"/>
    <xf numFmtId="0" fontId="12" fillId="0" borderId="0" xfId="445" applyNumberFormat="1" applyFont="1" applyFill="1" applyAlignment="1"/>
    <xf numFmtId="14" fontId="19" fillId="0" borderId="0" xfId="445" applyNumberFormat="1" applyFont="1" applyFill="1" applyAlignment="1"/>
    <xf numFmtId="169" fontId="12" fillId="0" borderId="0" xfId="445" applyFont="1" applyFill="1" applyAlignment="1">
      <alignment horizontal="right"/>
    </xf>
    <xf numFmtId="0" fontId="22" fillId="0" borderId="0" xfId="445" applyNumberFormat="1" applyAlignment="1"/>
    <xf numFmtId="3" fontId="11" fillId="0" borderId="0" xfId="446" applyNumberFormat="1" applyFont="1" applyFill="1"/>
    <xf numFmtId="169" fontId="12" fillId="0" borderId="0" xfId="445" applyNumberFormat="1" applyFont="1" applyFill="1" applyAlignment="1">
      <alignment horizontal="right"/>
    </xf>
    <xf numFmtId="0" fontId="11" fillId="0" borderId="0" xfId="445" applyNumberFormat="1" applyFont="1" applyFill="1" applyAlignment="1">
      <alignment horizontal="centerContinuous"/>
    </xf>
    <xf numFmtId="0" fontId="12" fillId="0" borderId="18" xfId="445" applyNumberFormat="1" applyFont="1" applyFill="1" applyBorder="1" applyAlignment="1">
      <alignment horizontal="center"/>
    </xf>
    <xf numFmtId="0" fontId="12" fillId="0" borderId="0" xfId="445" applyNumberFormat="1" applyFont="1" applyFill="1" applyBorder="1" applyAlignment="1">
      <alignment horizontal="center"/>
    </xf>
    <xf numFmtId="0" fontId="12" fillId="0" borderId="0" xfId="445" applyNumberFormat="1" applyFont="1" applyFill="1" applyAlignment="1">
      <alignment horizontal="centerContinuous" vertical="center"/>
    </xf>
    <xf numFmtId="0" fontId="12" fillId="0" borderId="0" xfId="445" applyNumberFormat="1" applyFont="1" applyFill="1" applyAlignment="1">
      <alignment horizontal="centerContinuous"/>
    </xf>
    <xf numFmtId="0" fontId="12" fillId="0" borderId="0" xfId="445" quotePrefix="1" applyNumberFormat="1" applyFont="1" applyFill="1" applyAlignment="1">
      <alignment horizontal="left"/>
    </xf>
    <xf numFmtId="169" fontId="12" fillId="0" borderId="0" xfId="445" applyFont="1" applyFill="1" applyBorder="1" applyAlignment="1">
      <alignment horizontal="center"/>
    </xf>
    <xf numFmtId="0" fontId="12" fillId="0" borderId="0" xfId="445" applyNumberFormat="1" applyFont="1" applyFill="1" applyBorder="1" applyAlignment="1">
      <alignment horizontal="centerContinuous"/>
    </xf>
    <xf numFmtId="0" fontId="12" fillId="0" borderId="0" xfId="445" quotePrefix="1" applyNumberFormat="1" applyFont="1" applyFill="1" applyBorder="1" applyAlignment="1">
      <alignment horizontal="left"/>
    </xf>
    <xf numFmtId="169" fontId="25" fillId="0" borderId="0" xfId="445" applyFont="1" applyFill="1" applyBorder="1" applyAlignment="1">
      <alignment horizontal="center"/>
    </xf>
    <xf numFmtId="0" fontId="12" fillId="0" borderId="0" xfId="445" applyNumberFormat="1" applyFont="1" applyFill="1" applyAlignment="1">
      <alignment horizontal="center"/>
    </xf>
    <xf numFmtId="0" fontId="11" fillId="0" borderId="0" xfId="445" applyNumberFormat="1" applyFont="1" applyFill="1" applyBorder="1" applyAlignment="1"/>
    <xf numFmtId="0" fontId="12" fillId="0" borderId="13" xfId="445" applyNumberFormat="1" applyFont="1" applyFill="1" applyBorder="1" applyAlignment="1">
      <alignment horizontal="center"/>
    </xf>
    <xf numFmtId="0" fontId="11" fillId="0" borderId="0" xfId="445" applyNumberFormat="1" applyFont="1" applyFill="1" applyAlignment="1">
      <alignment horizontal="fill"/>
    </xf>
    <xf numFmtId="0" fontId="11" fillId="0" borderId="0" xfId="445" applyNumberFormat="1" applyFont="1" applyFill="1" applyAlignment="1">
      <alignment horizontal="center"/>
    </xf>
    <xf numFmtId="0" fontId="13" fillId="0" borderId="0" xfId="445" applyNumberFormat="1" applyFont="1" applyFill="1" applyBorder="1" applyAlignment="1">
      <alignment horizontal="left"/>
    </xf>
    <xf numFmtId="171" fontId="11" fillId="0" borderId="0" xfId="445" applyNumberFormat="1" applyFont="1" applyFill="1" applyAlignment="1"/>
    <xf numFmtId="41" fontId="11" fillId="0" borderId="19" xfId="445" applyNumberFormat="1" applyFont="1" applyFill="1" applyBorder="1" applyAlignment="1">
      <alignment horizontal="right"/>
    </xf>
    <xf numFmtId="0" fontId="11" fillId="0" borderId="0" xfId="445" applyNumberFormat="1" applyFont="1" applyFill="1" applyAlignment="1">
      <alignment horizontal="left"/>
    </xf>
    <xf numFmtId="42" fontId="11" fillId="0" borderId="0" xfId="447" applyNumberFormat="1" applyFont="1" applyFill="1"/>
    <xf numFmtId="42" fontId="11" fillId="0" borderId="0" xfId="447" applyNumberFormat="1" applyFont="1" applyFill="1" applyAlignment="1">
      <alignment horizontal="right"/>
    </xf>
    <xf numFmtId="165" fontId="25" fillId="0" borderId="29" xfId="448" applyNumberFormat="1" applyFont="1" applyFill="1" applyBorder="1"/>
    <xf numFmtId="41" fontId="11" fillId="0" borderId="0" xfId="446" applyNumberFormat="1" applyFont="1" applyFill="1"/>
    <xf numFmtId="37" fontId="11" fillId="0" borderId="0" xfId="446" applyNumberFormat="1" applyFont="1" applyFill="1"/>
    <xf numFmtId="41" fontId="11" fillId="0" borderId="0" xfId="445" applyNumberFormat="1" applyFont="1" applyFill="1" applyAlignment="1">
      <alignment horizontal="right"/>
    </xf>
    <xf numFmtId="165" fontId="25" fillId="0" borderId="29" xfId="445" applyNumberFormat="1" applyFont="1" applyFill="1" applyBorder="1" applyAlignment="1">
      <alignment horizontal="right"/>
    </xf>
    <xf numFmtId="41" fontId="11" fillId="0" borderId="13" xfId="446" applyNumberFormat="1" applyFont="1" applyFill="1" applyBorder="1"/>
    <xf numFmtId="37" fontId="11" fillId="0" borderId="13" xfId="446" applyNumberFormat="1" applyFont="1" applyFill="1" applyBorder="1"/>
    <xf numFmtId="41" fontId="11" fillId="0" borderId="13" xfId="445" applyNumberFormat="1" applyFont="1" applyFill="1" applyBorder="1" applyAlignment="1">
      <alignment horizontal="right"/>
    </xf>
    <xf numFmtId="41" fontId="11" fillId="0" borderId="0" xfId="445" applyNumberFormat="1" applyFont="1" applyFill="1" applyBorder="1" applyAlignment="1">
      <alignment horizontal="right"/>
    </xf>
    <xf numFmtId="165" fontId="11" fillId="0" borderId="30" xfId="448" applyNumberFormat="1" applyFont="1" applyFill="1" applyBorder="1" applyProtection="1">
      <protection locked="0"/>
    </xf>
    <xf numFmtId="42" fontId="11" fillId="0" borderId="14" xfId="447" applyNumberFormat="1" applyFont="1" applyFill="1" applyBorder="1" applyProtection="1">
      <protection locked="0"/>
    </xf>
    <xf numFmtId="42" fontId="11" fillId="0" borderId="0" xfId="447" applyNumberFormat="1" applyFont="1" applyFill="1" applyBorder="1" applyProtection="1">
      <protection locked="0"/>
    </xf>
    <xf numFmtId="165" fontId="25" fillId="0" borderId="30" xfId="448" applyNumberFormat="1" applyFont="1" applyFill="1" applyBorder="1" applyProtection="1">
      <protection locked="0"/>
    </xf>
    <xf numFmtId="6" fontId="11" fillId="0" borderId="14" xfId="447" applyNumberFormat="1" applyFont="1" applyFill="1" applyBorder="1" applyProtection="1">
      <protection locked="0"/>
    </xf>
    <xf numFmtId="42" fontId="11" fillId="0" borderId="0" xfId="445" applyNumberFormat="1" applyFont="1" applyFill="1" applyAlignment="1"/>
    <xf numFmtId="6" fontId="11" fillId="0" borderId="0" xfId="445" applyNumberFormat="1" applyFont="1" applyFill="1" applyAlignment="1"/>
    <xf numFmtId="171" fontId="12" fillId="0" borderId="0" xfId="445" applyNumberFormat="1" applyFont="1" applyFill="1" applyAlignment="1"/>
    <xf numFmtId="0" fontId="11" fillId="0" borderId="0" xfId="445" applyNumberFormat="1" applyFont="1" applyFill="1" applyBorder="1" applyAlignment="1">
      <alignment horizontal="left"/>
    </xf>
    <xf numFmtId="41" fontId="11" fillId="0" borderId="0" xfId="445" applyNumberFormat="1" applyFont="1" applyFill="1" applyBorder="1" applyAlignment="1">
      <alignment horizontal="left"/>
    </xf>
    <xf numFmtId="41" fontId="11" fillId="0" borderId="0" xfId="445" applyNumberFormat="1" applyFont="1" applyFill="1" applyBorder="1" applyAlignment="1"/>
    <xf numFmtId="41" fontId="11" fillId="0" borderId="0" xfId="447" applyNumberFormat="1" applyFont="1" applyFill="1"/>
    <xf numFmtId="41" fontId="11" fillId="0" borderId="0" xfId="447" applyNumberFormat="1" applyFont="1" applyFill="1" applyAlignment="1">
      <alignment horizontal="right"/>
    </xf>
    <xf numFmtId="42" fontId="11" fillId="0" borderId="0" xfId="447" applyNumberFormat="1" applyFont="1" applyFill="1" applyBorder="1" applyAlignment="1">
      <alignment horizontal="right"/>
    </xf>
    <xf numFmtId="41" fontId="11" fillId="0" borderId="13" xfId="445" applyNumberFormat="1" applyFont="1" applyFill="1" applyBorder="1" applyAlignment="1"/>
    <xf numFmtId="41" fontId="11" fillId="0" borderId="0" xfId="445" applyNumberFormat="1" applyFont="1" applyFill="1" applyAlignment="1"/>
    <xf numFmtId="42" fontId="11" fillId="0" borderId="14" xfId="447" applyNumberFormat="1" applyFont="1" applyFill="1" applyBorder="1"/>
    <xf numFmtId="42" fontId="11" fillId="0" borderId="0" xfId="447" applyNumberFormat="1" applyFont="1" applyFill="1" applyBorder="1"/>
    <xf numFmtId="0" fontId="11" fillId="0" borderId="0" xfId="445" applyNumberFormat="1" applyFont="1" applyFill="1" applyAlignment="1">
      <alignment horizontal="left" vertical="top"/>
    </xf>
    <xf numFmtId="171" fontId="11" fillId="0" borderId="0" xfId="445" applyNumberFormat="1" applyFont="1" applyFill="1" applyAlignment="1">
      <alignment vertical="top"/>
    </xf>
    <xf numFmtId="0" fontId="11" fillId="0" borderId="0" xfId="445" applyNumberFormat="1" applyFont="1" applyFill="1" applyAlignment="1">
      <alignment vertical="top"/>
    </xf>
    <xf numFmtId="0" fontId="11" fillId="0" borderId="0" xfId="445" applyNumberFormat="1" applyFont="1" applyFill="1" applyAlignment="1">
      <alignment horizontal="left" vertical="center"/>
    </xf>
    <xf numFmtId="0" fontId="11" fillId="0" borderId="0" xfId="445" applyNumberFormat="1" applyFont="1" applyFill="1" applyAlignment="1">
      <alignment vertical="center"/>
    </xf>
    <xf numFmtId="10" fontId="11" fillId="0" borderId="0" xfId="448" applyNumberFormat="1" applyFont="1" applyFill="1" applyBorder="1"/>
    <xf numFmtId="10" fontId="22" fillId="0" borderId="0" xfId="448" applyNumberFormat="1" applyFont="1" applyFill="1"/>
    <xf numFmtId="42" fontId="11" fillId="0" borderId="0" xfId="447" applyNumberFormat="1" applyFont="1" applyFill="1" applyProtection="1">
      <protection locked="0"/>
    </xf>
    <xf numFmtId="42" fontId="11" fillId="0" borderId="0" xfId="445" applyNumberFormat="1" applyFont="1" applyFill="1" applyAlignment="1">
      <alignment horizontal="left"/>
    </xf>
    <xf numFmtId="42" fontId="12" fillId="0" borderId="0" xfId="447" applyNumberFormat="1" applyFont="1" applyFill="1" applyProtection="1">
      <protection locked="0"/>
    </xf>
    <xf numFmtId="10" fontId="11" fillId="0" borderId="0" xfId="445" applyNumberFormat="1" applyFont="1" applyFill="1" applyAlignment="1"/>
    <xf numFmtId="184" fontId="11" fillId="0" borderId="0" xfId="445" applyNumberFormat="1" applyFont="1" applyFill="1" applyAlignment="1"/>
    <xf numFmtId="10" fontId="11" fillId="0" borderId="0" xfId="447" applyNumberFormat="1" applyFont="1" applyFill="1" applyProtection="1"/>
    <xf numFmtId="41" fontId="11" fillId="0" borderId="0" xfId="445" applyNumberFormat="1" applyFont="1" applyFill="1" applyAlignment="1" applyProtection="1">
      <alignment horizontal="left"/>
    </xf>
    <xf numFmtId="180" fontId="11" fillId="0" borderId="0" xfId="445" applyNumberFormat="1" applyFont="1" applyFill="1" applyAlignment="1" applyProtection="1">
      <alignment horizontal="left"/>
    </xf>
    <xf numFmtId="41" fontId="11" fillId="0" borderId="0" xfId="445" applyNumberFormat="1" applyFont="1" applyFill="1" applyAlignment="1" applyProtection="1">
      <protection locked="0"/>
    </xf>
    <xf numFmtId="42" fontId="11" fillId="0" borderId="0" xfId="447" applyNumberFormat="1" applyFont="1" applyFill="1" applyProtection="1"/>
    <xf numFmtId="37" fontId="11" fillId="0" borderId="0" xfId="446" applyNumberFormat="1" applyFont="1" applyFill="1" applyBorder="1"/>
    <xf numFmtId="41" fontId="11" fillId="0" borderId="0" xfId="445" applyNumberFormat="1" applyFont="1" applyFill="1" applyBorder="1" applyAlignment="1" applyProtection="1"/>
    <xf numFmtId="41" fontId="11" fillId="0" borderId="0" xfId="445" applyNumberFormat="1" applyFont="1" applyFill="1" applyAlignment="1" applyProtection="1">
      <alignment horizontal="left"/>
      <protection locked="0"/>
    </xf>
    <xf numFmtId="41" fontId="11" fillId="0" borderId="13" xfId="445" applyNumberFormat="1" applyFont="1" applyFill="1" applyBorder="1" applyAlignment="1" applyProtection="1">
      <protection locked="0"/>
    </xf>
    <xf numFmtId="42" fontId="11" fillId="0" borderId="0" xfId="447" applyNumberFormat="1" applyFont="1" applyFill="1" applyBorder="1" applyProtection="1"/>
    <xf numFmtId="179" fontId="11" fillId="0" borderId="0" xfId="445" applyNumberFormat="1" applyFont="1" applyFill="1" applyAlignment="1" applyProtection="1">
      <alignment horizontal="left"/>
    </xf>
    <xf numFmtId="10" fontId="11" fillId="0" borderId="0" xfId="445" applyNumberFormat="1" applyFont="1" applyFill="1" applyAlignment="1" applyProtection="1"/>
    <xf numFmtId="9" fontId="11" fillId="0" borderId="0" xfId="448" applyFont="1" applyFill="1" applyBorder="1"/>
    <xf numFmtId="42" fontId="11" fillId="0" borderId="20" xfId="447" applyNumberFormat="1" applyFont="1" applyFill="1" applyBorder="1" applyProtection="1"/>
    <xf numFmtId="44" fontId="22" fillId="0" borderId="0" xfId="445" applyNumberFormat="1" applyAlignment="1"/>
    <xf numFmtId="0" fontId="25" fillId="0" borderId="0" xfId="445" applyNumberFormat="1" applyFont="1" applyFill="1" applyAlignment="1">
      <alignment horizontal="left"/>
    </xf>
    <xf numFmtId="37" fontId="11" fillId="0" borderId="0" xfId="445" applyNumberFormat="1" applyFont="1" applyFill="1" applyAlignment="1">
      <alignment horizontal="right"/>
    </xf>
    <xf numFmtId="3" fontId="11" fillId="0" borderId="0" xfId="446" applyNumberFormat="1" applyFont="1" applyFill="1" applyAlignment="1"/>
    <xf numFmtId="0" fontId="22" fillId="0" borderId="0" xfId="445" applyNumberFormat="1" applyFill="1" applyBorder="1" applyAlignment="1"/>
    <xf numFmtId="10" fontId="11" fillId="0" borderId="0" xfId="447" applyNumberFormat="1" applyFont="1" applyFill="1" applyBorder="1" applyProtection="1"/>
    <xf numFmtId="42" fontId="11" fillId="0" borderId="0" xfId="445" applyNumberFormat="1" applyFont="1" applyFill="1" applyBorder="1" applyAlignment="1"/>
    <xf numFmtId="42" fontId="12" fillId="0" borderId="0" xfId="445" applyNumberFormat="1" applyFont="1" applyFill="1" applyBorder="1" applyAlignment="1"/>
    <xf numFmtId="41" fontId="11" fillId="0" borderId="0" xfId="445" applyNumberFormat="1" applyFont="1" applyFill="1" applyBorder="1" applyAlignment="1" applyProtection="1">
      <alignment horizontal="left"/>
    </xf>
    <xf numFmtId="10" fontId="11" fillId="0" borderId="0" xfId="448" applyNumberFormat="1" applyFont="1" applyFill="1" applyBorder="1" applyAlignment="1"/>
    <xf numFmtId="169" fontId="12" fillId="0" borderId="0" xfId="445" applyFont="1" applyFill="1" applyBorder="1" applyAlignment="1">
      <alignment horizontal="left"/>
    </xf>
    <xf numFmtId="0" fontId="20" fillId="0" borderId="0" xfId="445" applyNumberFormat="1" applyFont="1" applyFill="1" applyBorder="1" applyAlignment="1"/>
    <xf numFmtId="169" fontId="11" fillId="0" borderId="0" xfId="445" applyFont="1" applyFill="1" applyBorder="1" applyAlignment="1">
      <alignment horizontal="left"/>
    </xf>
    <xf numFmtId="169" fontId="11" fillId="0" borderId="0" xfId="445" applyFont="1" applyFill="1" applyBorder="1" applyAlignment="1"/>
    <xf numFmtId="3" fontId="11" fillId="0" borderId="0" xfId="446" applyNumberFormat="1" applyFont="1" applyFill="1" applyBorder="1" applyAlignment="1"/>
    <xf numFmtId="202" fontId="11" fillId="0" borderId="0" xfId="446" applyNumberFormat="1" applyFont="1" applyFill="1" applyBorder="1" applyAlignment="1"/>
    <xf numFmtId="2" fontId="15" fillId="109" borderId="0" xfId="444" applyNumberFormat="1" applyFill="1" applyAlignment="1">
      <alignment horizontal="left"/>
    </xf>
    <xf numFmtId="0" fontId="15" fillId="109" borderId="0" xfId="444" applyFill="1"/>
    <xf numFmtId="0" fontId="15" fillId="109" borderId="0" xfId="444" applyFill="1" applyAlignment="1">
      <alignment wrapText="1"/>
    </xf>
    <xf numFmtId="42" fontId="136" fillId="0" borderId="0" xfId="447" applyNumberFormat="1" applyFont="1" applyFill="1" applyProtection="1">
      <protection locked="0"/>
    </xf>
    <xf numFmtId="0" fontId="12" fillId="0" borderId="31" xfId="0" applyNumberFormat="1" applyFont="1" applyFill="1" applyBorder="1" applyAlignment="1">
      <alignment horizontal="right"/>
    </xf>
    <xf numFmtId="9" fontId="11" fillId="0" borderId="0" xfId="1771" applyNumberFormat="1" applyFont="1" applyFill="1" applyAlignment="1"/>
    <xf numFmtId="0" fontId="15" fillId="0" borderId="0" xfId="1717"/>
    <xf numFmtId="0" fontId="19" fillId="0" borderId="0" xfId="1717" applyFont="1" applyFill="1" applyAlignment="1"/>
    <xf numFmtId="15" fontId="11" fillId="0" borderId="0" xfId="1717" applyNumberFormat="1" applyFont="1" applyFill="1" applyAlignment="1"/>
    <xf numFmtId="0" fontId="11" fillId="0" borderId="0" xfId="1717" applyFont="1" applyFill="1" applyAlignment="1"/>
    <xf numFmtId="0" fontId="12" fillId="0" borderId="0" xfId="1717" applyFont="1" applyFill="1" applyAlignment="1"/>
    <xf numFmtId="169" fontId="12" fillId="0" borderId="0" xfId="1882" applyNumberFormat="1" applyFont="1" applyFill="1" applyAlignment="1">
      <alignment horizontal="right"/>
    </xf>
    <xf numFmtId="0" fontId="12" fillId="0" borderId="0" xfId="1717" applyFont="1" applyFill="1" applyAlignment="1" applyProtection="1">
      <alignment horizontal="centerContinuous"/>
      <protection locked="0"/>
    </xf>
    <xf numFmtId="0" fontId="12" fillId="0" borderId="0" xfId="1717" applyFont="1" applyFill="1" applyAlignment="1">
      <alignment horizontal="centerContinuous"/>
    </xf>
    <xf numFmtId="0" fontId="12" fillId="0" borderId="0" xfId="1717" applyFont="1" applyFill="1" applyAlignment="1" applyProtection="1">
      <alignment horizontal="center"/>
      <protection locked="0"/>
    </xf>
    <xf numFmtId="0" fontId="12" fillId="0" borderId="0" xfId="1717" applyFont="1" applyFill="1" applyAlignment="1" applyProtection="1">
      <protection locked="0"/>
    </xf>
    <xf numFmtId="0" fontId="12" fillId="0" borderId="13" xfId="1717" applyFont="1" applyFill="1" applyBorder="1" applyAlignment="1" applyProtection="1">
      <alignment horizontal="center"/>
      <protection locked="0"/>
    </xf>
    <xf numFmtId="0" fontId="12" fillId="0" borderId="13" xfId="1717" applyFont="1" applyFill="1" applyBorder="1" applyAlignment="1"/>
    <xf numFmtId="0" fontId="12" fillId="0" borderId="13" xfId="1717" applyFont="1" applyFill="1" applyBorder="1" applyAlignment="1">
      <alignment horizontal="right"/>
    </xf>
    <xf numFmtId="0" fontId="11" fillId="0" borderId="0" xfId="1717" applyFont="1" applyFill="1" applyAlignment="1" applyProtection="1">
      <alignment horizontal="center"/>
      <protection locked="0"/>
    </xf>
    <xf numFmtId="178" fontId="11" fillId="0" borderId="0" xfId="1717" applyNumberFormat="1" applyFont="1" applyFill="1" applyBorder="1" applyAlignment="1"/>
    <xf numFmtId="37" fontId="11" fillId="0" borderId="0" xfId="1717" applyNumberFormat="1" applyFont="1" applyFill="1" applyBorder="1" applyAlignment="1"/>
    <xf numFmtId="41" fontId="11" fillId="0" borderId="2" xfId="1717" applyNumberFormat="1" applyFont="1" applyFill="1" applyBorder="1" applyAlignment="1"/>
    <xf numFmtId="4" fontId="15" fillId="0" borderId="0" xfId="1717" applyNumberFormat="1"/>
    <xf numFmtId="169" fontId="11" fillId="0" borderId="0" xfId="0" applyNumberFormat="1" applyFont="1" applyFill="1" applyAlignment="1"/>
    <xf numFmtId="42" fontId="11" fillId="0" borderId="0" xfId="1717" applyNumberFormat="1" applyFont="1" applyFill="1" applyAlignment="1"/>
    <xf numFmtId="37" fontId="11" fillId="0" borderId="0" xfId="1717" applyNumberFormat="1" applyFont="1" applyFill="1" applyAlignment="1"/>
    <xf numFmtId="41" fontId="11" fillId="0" borderId="13" xfId="1717" applyNumberFormat="1" applyFont="1" applyFill="1" applyBorder="1" applyAlignment="1"/>
    <xf numFmtId="41" fontId="11" fillId="0" borderId="0" xfId="1717" applyNumberFormat="1" applyFont="1" applyFill="1" applyAlignment="1"/>
    <xf numFmtId="1" fontId="11" fillId="0" borderId="0" xfId="1717" quotePrefix="1" applyNumberFormat="1" applyFont="1" applyFill="1" applyAlignment="1">
      <alignment horizontal="left"/>
    </xf>
    <xf numFmtId="41" fontId="11" fillId="0" borderId="0" xfId="1717" applyNumberFormat="1" applyFont="1" applyFill="1" applyBorder="1" applyAlignment="1"/>
    <xf numFmtId="37" fontId="11" fillId="0" borderId="13" xfId="1717" applyNumberFormat="1" applyFont="1" applyFill="1" applyBorder="1" applyAlignment="1"/>
    <xf numFmtId="42" fontId="11" fillId="0" borderId="20" xfId="1717" applyNumberFormat="1" applyFont="1" applyFill="1" applyBorder="1" applyAlignment="1"/>
    <xf numFmtId="169" fontId="25" fillId="0" borderId="0" xfId="1882" applyNumberFormat="1" applyFont="1" applyFill="1" applyAlignment="1">
      <alignment horizontal="left"/>
    </xf>
    <xf numFmtId="169" fontId="11" fillId="0" borderId="0" xfId="1882" applyNumberFormat="1" applyFont="1" applyFill="1" applyAlignment="1">
      <alignment horizontal="center"/>
    </xf>
    <xf numFmtId="0" fontId="15" fillId="0" borderId="0" xfId="1717" applyFill="1" applyAlignment="1">
      <alignment horizontal="center"/>
    </xf>
    <xf numFmtId="0" fontId="11" fillId="0" borderId="0" xfId="1717" applyFont="1" applyFill="1"/>
    <xf numFmtId="0" fontId="15" fillId="0" borderId="0" xfId="1717" applyFill="1"/>
    <xf numFmtId="42" fontId="11" fillId="0" borderId="0" xfId="1717" applyNumberFormat="1" applyFont="1" applyFill="1" applyBorder="1" applyAlignment="1"/>
    <xf numFmtId="0" fontId="11" fillId="0" borderId="0" xfId="1717" applyFont="1"/>
    <xf numFmtId="0" fontId="14" fillId="0" borderId="0" xfId="1717" applyFont="1"/>
    <xf numFmtId="0" fontId="12" fillId="3" borderId="25" xfId="1717" applyFont="1" applyFill="1" applyBorder="1" applyAlignment="1">
      <alignment horizontal="center"/>
    </xf>
    <xf numFmtId="0" fontId="12" fillId="3" borderId="28" xfId="1717" applyFont="1" applyFill="1" applyBorder="1" applyAlignment="1">
      <alignment horizontal="center"/>
    </xf>
    <xf numFmtId="0" fontId="12" fillId="3" borderId="61" xfId="1717" applyFont="1" applyFill="1" applyBorder="1" applyAlignment="1">
      <alignment horizontal="center"/>
    </xf>
    <xf numFmtId="0" fontId="12" fillId="3" borderId="62" xfId="1717" applyFont="1" applyFill="1" applyBorder="1" applyAlignment="1">
      <alignment horizontal="center"/>
    </xf>
    <xf numFmtId="0" fontId="12" fillId="3" borderId="63" xfId="1717" applyFont="1" applyFill="1" applyBorder="1" applyAlignment="1">
      <alignment horizontal="center"/>
    </xf>
    <xf numFmtId="0" fontId="12" fillId="0" borderId="23" xfId="1717" applyFont="1" applyBorder="1"/>
    <xf numFmtId="44" fontId="11" fillId="0" borderId="25" xfId="1717" applyNumberFormat="1" applyFont="1" applyFill="1" applyBorder="1"/>
    <xf numFmtId="0" fontId="14" fillId="0" borderId="25" xfId="1717" applyFont="1" applyBorder="1" applyAlignment="1">
      <alignment wrapText="1"/>
    </xf>
    <xf numFmtId="43" fontId="11" fillId="0" borderId="25" xfId="1717" applyNumberFormat="1" applyFont="1" applyFill="1" applyBorder="1" applyAlignment="1">
      <alignment wrapText="1"/>
    </xf>
    <xf numFmtId="43" fontId="11" fillId="0" borderId="25" xfId="1717" applyNumberFormat="1" applyFont="1" applyBorder="1" applyAlignment="1">
      <alignment wrapText="1"/>
    </xf>
    <xf numFmtId="0" fontId="11" fillId="0" borderId="0" xfId="1717" applyFont="1" applyAlignment="1">
      <alignment wrapText="1"/>
    </xf>
    <xf numFmtId="212" fontId="11" fillId="0" borderId="25" xfId="0" applyNumberFormat="1" applyFont="1" applyBorder="1" applyAlignment="1">
      <alignment horizontal="center"/>
    </xf>
    <xf numFmtId="43" fontId="11" fillId="0" borderId="25" xfId="1717" applyNumberFormat="1" applyFont="1" applyFill="1" applyBorder="1"/>
    <xf numFmtId="43" fontId="11" fillId="0" borderId="25" xfId="1717" applyNumberFormat="1" applyFont="1" applyBorder="1"/>
    <xf numFmtId="212" fontId="11" fillId="0" borderId="25" xfId="1717" applyNumberFormat="1" applyFont="1" applyBorder="1" applyAlignment="1">
      <alignment horizontal="center"/>
    </xf>
    <xf numFmtId="212" fontId="11" fillId="0" borderId="25" xfId="1717" quotePrefix="1" applyNumberFormat="1" applyFont="1" applyBorder="1" applyAlignment="1">
      <alignment horizontal="center"/>
    </xf>
    <xf numFmtId="212" fontId="12" fillId="0" borderId="27" xfId="1717" applyNumberFormat="1" applyFont="1" applyBorder="1"/>
    <xf numFmtId="44" fontId="12" fillId="0" borderId="27" xfId="1717" applyNumberFormat="1" applyFont="1" applyBorder="1"/>
    <xf numFmtId="212" fontId="11" fillId="0" borderId="0" xfId="1717" applyNumberFormat="1" applyFont="1"/>
    <xf numFmtId="43" fontId="11" fillId="0" borderId="0" xfId="1717" applyNumberFormat="1" applyFont="1"/>
    <xf numFmtId="0" fontId="11" fillId="0" borderId="0" xfId="1717" quotePrefix="1" applyFont="1"/>
    <xf numFmtId="44" fontId="11" fillId="0" borderId="0" xfId="1717" applyNumberFormat="1" applyFont="1"/>
    <xf numFmtId="43" fontId="11" fillId="0" borderId="13" xfId="1717" applyNumberFormat="1" applyFont="1" applyBorder="1"/>
    <xf numFmtId="43" fontId="11" fillId="0" borderId="0" xfId="1717" applyNumberFormat="1" applyFont="1" applyBorder="1"/>
    <xf numFmtId="0" fontId="11" fillId="0" borderId="16" xfId="1717" applyFont="1" applyBorder="1"/>
    <xf numFmtId="0" fontId="11" fillId="0" borderId="0" xfId="1717" applyFont="1" applyBorder="1"/>
    <xf numFmtId="0" fontId="12" fillId="0" borderId="0" xfId="1717" applyFont="1"/>
    <xf numFmtId="44" fontId="12" fillId="0" borderId="0" xfId="1717" applyNumberFormat="1" applyFont="1" applyBorder="1"/>
    <xf numFmtId="0" fontId="24" fillId="0" borderId="0" xfId="1717" applyFont="1"/>
    <xf numFmtId="0" fontId="15" fillId="0" borderId="0" xfId="1717" applyFont="1"/>
    <xf numFmtId="0" fontId="12" fillId="0" borderId="0" xfId="1717" applyFont="1" applyFill="1"/>
    <xf numFmtId="0" fontId="15" fillId="3" borderId="3" xfId="1717" applyFont="1" applyFill="1" applyBorder="1"/>
    <xf numFmtId="0" fontId="15" fillId="3" borderId="3" xfId="1717" applyFont="1" applyFill="1" applyBorder="1" applyAlignment="1">
      <alignment horizontal="center"/>
    </xf>
    <xf numFmtId="43" fontId="15" fillId="0" borderId="0" xfId="1717" applyNumberFormat="1" applyFont="1" applyAlignment="1">
      <alignment horizontal="right"/>
    </xf>
    <xf numFmtId="14" fontId="15" fillId="0" borderId="0" xfId="1717" applyNumberFormat="1" applyFont="1" applyAlignment="1">
      <alignment horizontal="right"/>
    </xf>
    <xf numFmtId="0" fontId="15" fillId="0" borderId="0" xfId="1717" applyFont="1" applyAlignment="1">
      <alignment horizontal="center"/>
    </xf>
    <xf numFmtId="0" fontId="15" fillId="0" borderId="13" xfId="1717" applyFont="1" applyBorder="1"/>
    <xf numFmtId="43" fontId="15" fillId="0" borderId="13" xfId="1717" applyNumberFormat="1" applyFont="1" applyBorder="1" applyAlignment="1">
      <alignment horizontal="right"/>
    </xf>
    <xf numFmtId="14" fontId="15" fillId="0" borderId="13" xfId="1717" applyNumberFormat="1" applyFont="1" applyBorder="1" applyAlignment="1">
      <alignment horizontal="right"/>
    </xf>
    <xf numFmtId="0" fontId="15" fillId="0" borderId="13" xfId="1717" applyFont="1" applyBorder="1" applyAlignment="1">
      <alignment horizontal="center"/>
    </xf>
    <xf numFmtId="0" fontId="15" fillId="0" borderId="0" xfId="1717" applyFont="1" applyFill="1" applyBorder="1"/>
    <xf numFmtId="44" fontId="15" fillId="0" borderId="12" xfId="1717" applyNumberFormat="1" applyFont="1" applyFill="1" applyBorder="1" applyAlignment="1">
      <alignment horizontal="right"/>
    </xf>
    <xf numFmtId="14" fontId="15" fillId="0" borderId="0" xfId="1717" applyNumberFormat="1" applyFont="1" applyFill="1" applyBorder="1" applyAlignment="1">
      <alignment horizontal="right"/>
    </xf>
    <xf numFmtId="0" fontId="15" fillId="0" borderId="0" xfId="1717" applyFont="1" applyFill="1" applyBorder="1" applyAlignment="1">
      <alignment horizontal="center"/>
    </xf>
    <xf numFmtId="0" fontId="12" fillId="0" borderId="0" xfId="324" applyFont="1" applyFill="1"/>
    <xf numFmtId="0" fontId="15" fillId="0" borderId="14" xfId="1717" applyFont="1" applyFill="1" applyBorder="1"/>
    <xf numFmtId="14" fontId="15" fillId="0" borderId="14" xfId="1717" applyNumberFormat="1" applyFont="1" applyFill="1" applyBorder="1" applyAlignment="1">
      <alignment horizontal="right"/>
    </xf>
    <xf numFmtId="43" fontId="15" fillId="0" borderId="0" xfId="1717" applyNumberFormat="1" applyFont="1" applyFill="1" applyBorder="1" applyAlignment="1">
      <alignment horizontal="right"/>
    </xf>
    <xf numFmtId="44" fontId="15" fillId="0" borderId="0" xfId="1717" applyNumberFormat="1" applyFont="1"/>
    <xf numFmtId="43" fontId="15" fillId="0" borderId="13" xfId="1717" applyNumberFormat="1" applyFont="1" applyBorder="1"/>
    <xf numFmtId="44" fontId="24" fillId="0" borderId="12" xfId="1717" applyNumberFormat="1" applyFont="1" applyBorder="1"/>
    <xf numFmtId="17" fontId="24" fillId="0" borderId="0" xfId="1717" quotePrefix="1" applyNumberFormat="1" applyFont="1"/>
    <xf numFmtId="169" fontId="15" fillId="0" borderId="0" xfId="0" applyFont="1" applyAlignment="1"/>
    <xf numFmtId="169" fontId="0" fillId="3" borderId="3" xfId="0" applyFont="1" applyFill="1" applyBorder="1" applyAlignment="1"/>
    <xf numFmtId="169" fontId="0" fillId="0" borderId="0" xfId="0" applyFont="1" applyAlignment="1"/>
    <xf numFmtId="43" fontId="0" fillId="0" borderId="0" xfId="0" applyNumberFormat="1" applyFont="1" applyAlignment="1">
      <alignment horizontal="right"/>
    </xf>
    <xf numFmtId="0" fontId="138" fillId="0" borderId="0" xfId="1900"/>
    <xf numFmtId="3" fontId="11" fillId="0" borderId="0" xfId="1901" applyNumberFormat="1" applyFont="1" applyFill="1" applyAlignment="1"/>
    <xf numFmtId="0" fontId="12" fillId="0" borderId="0" xfId="1900" applyFont="1" applyFill="1" applyAlignment="1">
      <alignment horizontal="right"/>
    </xf>
    <xf numFmtId="0" fontId="12" fillId="0" borderId="0" xfId="1900" applyFont="1" applyFill="1" applyAlignment="1"/>
    <xf numFmtId="0" fontId="12" fillId="0" borderId="18" xfId="1900" quotePrefix="1" applyFont="1" applyFill="1" applyBorder="1" applyAlignment="1">
      <alignment horizontal="right"/>
    </xf>
    <xf numFmtId="0" fontId="12" fillId="0" borderId="0" xfId="1900" applyFont="1" applyFill="1" applyAlignment="1" applyProtection="1">
      <alignment horizontal="centerContinuous" vertical="center" wrapText="1"/>
      <protection locked="0"/>
    </xf>
    <xf numFmtId="0" fontId="12" fillId="0" borderId="0" xfId="1900" applyFont="1" applyFill="1" applyAlignment="1" applyProtection="1">
      <protection locked="0"/>
    </xf>
    <xf numFmtId="0" fontId="12" fillId="0" borderId="0" xfId="1900" applyFont="1" applyFill="1" applyAlignment="1">
      <alignment horizontal="center"/>
    </xf>
    <xf numFmtId="0" fontId="12" fillId="0" borderId="13" xfId="1900" applyFont="1" applyFill="1" applyBorder="1" applyAlignment="1">
      <alignment horizontal="center"/>
    </xf>
    <xf numFmtId="0" fontId="12" fillId="0" borderId="13" xfId="1900" applyFont="1" applyFill="1" applyBorder="1" applyAlignment="1" applyProtection="1">
      <protection locked="0"/>
    </xf>
    <xf numFmtId="0" fontId="12" fillId="0" borderId="13" xfId="1900" applyFont="1" applyFill="1" applyBorder="1" applyAlignment="1"/>
    <xf numFmtId="0" fontId="11" fillId="0" borderId="0" xfId="1900" applyFont="1" applyFill="1" applyAlignment="1"/>
    <xf numFmtId="0" fontId="11" fillId="0" borderId="0" xfId="1900" applyFont="1" applyFill="1" applyAlignment="1">
      <alignment horizontal="center"/>
    </xf>
    <xf numFmtId="0" fontId="11" fillId="0" borderId="0" xfId="1902" applyNumberFormat="1" applyFont="1" applyFill="1" applyAlignment="1" applyProtection="1">
      <protection locked="0"/>
    </xf>
    <xf numFmtId="42" fontId="11" fillId="0" borderId="0" xfId="1900" applyNumberFormat="1" applyFont="1" applyFill="1" applyBorder="1" applyAlignment="1" applyProtection="1">
      <protection locked="0"/>
    </xf>
    <xf numFmtId="37" fontId="11" fillId="0" borderId="0" xfId="1901" applyNumberFormat="1" applyFont="1" applyFill="1" applyBorder="1" applyAlignment="1"/>
    <xf numFmtId="0" fontId="138" fillId="0" borderId="0" xfId="1900" applyFill="1" applyAlignment="1"/>
    <xf numFmtId="37" fontId="11" fillId="0" borderId="0" xfId="1900" applyNumberFormat="1" applyFont="1" applyFill="1" applyAlignment="1">
      <alignment horizontal="right"/>
    </xf>
    <xf numFmtId="3" fontId="19" fillId="0" borderId="0" xfId="1901" applyNumberFormat="1" applyFont="1" applyFill="1" applyAlignment="1"/>
    <xf numFmtId="3" fontId="11" fillId="0" borderId="0" xfId="1901" applyNumberFormat="1" applyFont="1" applyFill="1" applyAlignment="1">
      <alignment horizontal="center"/>
    </xf>
    <xf numFmtId="37" fontId="11" fillId="0" borderId="12" xfId="1901" applyNumberFormat="1" applyFont="1" applyFill="1" applyBorder="1" applyAlignment="1"/>
    <xf numFmtId="37" fontId="138" fillId="0" borderId="0" xfId="1901" applyNumberFormat="1" applyFill="1" applyAlignment="1"/>
    <xf numFmtId="3" fontId="138" fillId="0" borderId="0" xfId="1901" applyNumberFormat="1" applyFill="1" applyAlignment="1"/>
    <xf numFmtId="0" fontId="138" fillId="0" borderId="0" xfId="1900" applyFill="1"/>
    <xf numFmtId="0" fontId="138" fillId="0" borderId="23" xfId="1900" applyBorder="1" applyAlignment="1">
      <alignment horizontal="center"/>
    </xf>
    <xf numFmtId="0" fontId="138" fillId="0" borderId="25" xfId="1900" applyBorder="1" applyAlignment="1">
      <alignment horizontal="center"/>
    </xf>
    <xf numFmtId="0" fontId="138" fillId="0" borderId="27" xfId="1900" applyBorder="1" applyAlignment="1">
      <alignment horizontal="center"/>
    </xf>
    <xf numFmtId="0" fontId="138" fillId="0" borderId="61" xfId="1900" applyBorder="1" applyAlignment="1">
      <alignment horizontal="center"/>
    </xf>
    <xf numFmtId="0" fontId="138" fillId="0" borderId="28" xfId="1900" applyBorder="1" applyAlignment="1">
      <alignment horizontal="center"/>
    </xf>
    <xf numFmtId="0" fontId="138" fillId="0" borderId="23" xfId="1900" applyBorder="1"/>
    <xf numFmtId="0" fontId="138" fillId="0" borderId="25" xfId="1900" applyBorder="1"/>
    <xf numFmtId="0" fontId="138" fillId="0" borderId="0" xfId="1900" applyFill="1" applyBorder="1"/>
    <xf numFmtId="177" fontId="138" fillId="0" borderId="0" xfId="1901" applyNumberFormat="1" applyFill="1" applyBorder="1"/>
    <xf numFmtId="177" fontId="138" fillId="0" borderId="28" xfId="1901" applyNumberFormat="1" applyFill="1" applyBorder="1"/>
    <xf numFmtId="222" fontId="138" fillId="0" borderId="0" xfId="1900" applyNumberFormat="1" applyFill="1" applyBorder="1"/>
    <xf numFmtId="0" fontId="138" fillId="0" borderId="14" xfId="1900" applyFill="1" applyBorder="1"/>
    <xf numFmtId="177" fontId="138" fillId="0" borderId="61" xfId="1901" applyNumberFormat="1" applyFill="1" applyBorder="1"/>
    <xf numFmtId="17" fontId="138" fillId="0" borderId="24" xfId="1900" applyNumberFormat="1" applyBorder="1"/>
    <xf numFmtId="4" fontId="138" fillId="0" borderId="0" xfId="1900" applyNumberFormat="1" applyFill="1" applyBorder="1"/>
    <xf numFmtId="0" fontId="138" fillId="0" borderId="24" xfId="1900" applyBorder="1"/>
    <xf numFmtId="43" fontId="138" fillId="0" borderId="0" xfId="1901" applyFill="1" applyBorder="1"/>
    <xf numFmtId="0" fontId="138" fillId="0" borderId="28" xfId="1900" applyFill="1" applyBorder="1"/>
    <xf numFmtId="0" fontId="139" fillId="0" borderId="0" xfId="1900" applyFont="1" applyFill="1"/>
    <xf numFmtId="0" fontId="139" fillId="0" borderId="3" xfId="1900" applyFont="1" applyFill="1" applyBorder="1"/>
    <xf numFmtId="0" fontId="139" fillId="0" borderId="3" xfId="1900" applyFont="1" applyFill="1" applyBorder="1" applyAlignment="1">
      <alignment horizontal="left"/>
    </xf>
    <xf numFmtId="0" fontId="139" fillId="0" borderId="3" xfId="1900" applyFont="1" applyBorder="1" applyAlignment="1">
      <alignment horizontal="center" wrapText="1"/>
    </xf>
    <xf numFmtId="4" fontId="139" fillId="0" borderId="0" xfId="1900" applyNumberFormat="1" applyFont="1" applyFill="1"/>
    <xf numFmtId="0" fontId="139" fillId="0" borderId="0" xfId="1900" applyFont="1" applyFill="1" applyBorder="1"/>
    <xf numFmtId="4" fontId="138" fillId="0" borderId="3" xfId="1900" applyNumberFormat="1" applyFill="1" applyBorder="1"/>
    <xf numFmtId="0" fontId="139" fillId="0" borderId="28" xfId="1900" applyFont="1" applyFill="1" applyBorder="1"/>
    <xf numFmtId="49" fontId="139" fillId="0" borderId="24" xfId="1900" applyNumberFormat="1" applyFont="1" applyFill="1" applyBorder="1"/>
    <xf numFmtId="4" fontId="139" fillId="0" borderId="0" xfId="1900" applyNumberFormat="1" applyFont="1" applyFill="1" applyBorder="1"/>
    <xf numFmtId="4" fontId="139" fillId="0" borderId="28" xfId="1900" applyNumberFormat="1" applyFont="1" applyFill="1" applyBorder="1"/>
    <xf numFmtId="49" fontId="139" fillId="0" borderId="26" xfId="1900" applyNumberFormat="1" applyFont="1" applyFill="1" applyBorder="1"/>
    <xf numFmtId="4" fontId="139" fillId="0" borderId="13" xfId="1900" applyNumberFormat="1" applyFont="1" applyFill="1" applyBorder="1"/>
    <xf numFmtId="0" fontId="139" fillId="0" borderId="13" xfId="1900" applyFont="1" applyFill="1" applyBorder="1"/>
    <xf numFmtId="0" fontId="139" fillId="0" borderId="64" xfId="1900" applyFont="1" applyFill="1" applyBorder="1"/>
    <xf numFmtId="0" fontId="138" fillId="0" borderId="3" xfId="1900" applyFill="1" applyBorder="1"/>
    <xf numFmtId="0" fontId="138" fillId="0" borderId="3" xfId="1900" applyFill="1" applyBorder="1" applyAlignment="1">
      <alignment horizontal="left"/>
    </xf>
    <xf numFmtId="49" fontId="138" fillId="0" borderId="3" xfId="1900" applyNumberFormat="1" applyFill="1" applyBorder="1"/>
    <xf numFmtId="217" fontId="138" fillId="0" borderId="3" xfId="1900" applyNumberFormat="1" applyFill="1" applyBorder="1"/>
    <xf numFmtId="0" fontId="24" fillId="0" borderId="26" xfId="1900" applyFont="1" applyBorder="1"/>
    <xf numFmtId="0" fontId="24" fillId="0" borderId="13" xfId="1900" applyFont="1" applyBorder="1"/>
    <xf numFmtId="0" fontId="24" fillId="0" borderId="13" xfId="1900" applyFont="1" applyFill="1" applyBorder="1"/>
    <xf numFmtId="44" fontId="24" fillId="0" borderId="13" xfId="1902" applyFont="1" applyBorder="1"/>
    <xf numFmtId="44" fontId="24" fillId="0" borderId="64" xfId="1902" applyFont="1" applyBorder="1"/>
    <xf numFmtId="0" fontId="108" fillId="0" borderId="0" xfId="1900" applyFont="1"/>
    <xf numFmtId="0" fontId="138" fillId="110" borderId="0" xfId="1900" applyFill="1"/>
    <xf numFmtId="0" fontId="138" fillId="110" borderId="0" xfId="1900" applyFill="1" applyAlignment="1">
      <alignment horizontal="right"/>
    </xf>
    <xf numFmtId="0" fontId="108" fillId="110" borderId="0" xfId="1900" applyFont="1" applyFill="1"/>
    <xf numFmtId="0" fontId="138" fillId="0" borderId="0" xfId="1900" applyAlignment="1">
      <alignment horizontal="center"/>
    </xf>
    <xf numFmtId="4" fontId="142" fillId="0" borderId="0" xfId="1900" applyNumberFormat="1" applyFont="1" applyFill="1" applyBorder="1"/>
    <xf numFmtId="3" fontId="11" fillId="0" borderId="0" xfId="186" applyNumberFormat="1" applyFont="1" applyFill="1" applyAlignment="1"/>
    <xf numFmtId="42" fontId="11" fillId="0" borderId="0" xfId="0" applyNumberFormat="1" applyFont="1" applyAlignment="1"/>
    <xf numFmtId="0" fontId="12" fillId="0" borderId="0" xfId="1717" applyFont="1" applyFill="1" applyAlignment="1">
      <alignment horizontal="right"/>
    </xf>
    <xf numFmtId="169" fontId="0" fillId="0" borderId="0" xfId="0" applyAlignment="1"/>
    <xf numFmtId="169" fontId="12" fillId="0" borderId="18" xfId="0" quotePrefix="1" applyFont="1" applyFill="1" applyBorder="1" applyAlignment="1">
      <alignment horizontal="right"/>
    </xf>
    <xf numFmtId="169" fontId="12" fillId="0" borderId="0" xfId="0" applyFont="1" applyFill="1" applyAlignment="1" applyProtection="1">
      <protection locked="0"/>
    </xf>
    <xf numFmtId="41" fontId="11" fillId="0" borderId="0" xfId="0" applyNumberFormat="1" applyFont="1" applyAlignment="1"/>
    <xf numFmtId="169" fontId="78" fillId="0" borderId="0" xfId="0" applyFont="1" applyAlignment="1"/>
    <xf numFmtId="41" fontId="12" fillId="0" borderId="0" xfId="0" applyNumberFormat="1" applyFont="1" applyAlignment="1">
      <alignment horizontal="center"/>
    </xf>
    <xf numFmtId="169" fontId="12" fillId="0" borderId="13" xfId="0" applyFont="1" applyFill="1" applyBorder="1" applyAlignment="1" applyProtection="1">
      <protection locked="0"/>
    </xf>
    <xf numFmtId="41" fontId="12" fillId="0" borderId="13" xfId="0" applyNumberFormat="1" applyFont="1" applyBorder="1" applyAlignment="1">
      <alignment horizontal="center"/>
    </xf>
    <xf numFmtId="169" fontId="12" fillId="0" borderId="13" xfId="0" applyFont="1" applyBorder="1" applyAlignment="1">
      <alignment horizontal="center"/>
    </xf>
    <xf numFmtId="0" fontId="11" fillId="0" borderId="0" xfId="231" applyNumberFormat="1" applyFont="1" applyFill="1" applyAlignment="1" applyProtection="1">
      <protection locked="0"/>
    </xf>
    <xf numFmtId="177" fontId="11" fillId="0" borderId="0" xfId="0" applyNumberFormat="1" applyFont="1" applyAlignment="1"/>
    <xf numFmtId="177" fontId="11" fillId="0" borderId="13" xfId="0" applyNumberFormat="1" applyFont="1" applyFill="1" applyBorder="1" applyAlignment="1"/>
    <xf numFmtId="177" fontId="11" fillId="0" borderId="13" xfId="0" applyNumberFormat="1" applyFont="1" applyBorder="1" applyAlignment="1"/>
    <xf numFmtId="0" fontId="11" fillId="0" borderId="0" xfId="231" applyNumberFormat="1" applyFont="1" applyFill="1" applyBorder="1" applyAlignment="1" applyProtection="1">
      <protection locked="0"/>
    </xf>
    <xf numFmtId="41" fontId="11" fillId="0" borderId="0" xfId="231" applyNumberFormat="1" applyFont="1" applyFill="1" applyBorder="1" applyProtection="1">
      <protection locked="0"/>
    </xf>
    <xf numFmtId="177" fontId="78" fillId="0" borderId="0" xfId="0" applyNumberFormat="1" applyFont="1" applyAlignment="1"/>
    <xf numFmtId="37" fontId="0" fillId="0" borderId="0" xfId="186" applyNumberFormat="1" applyFont="1" applyFill="1" applyAlignment="1"/>
    <xf numFmtId="3" fontId="0" fillId="0" borderId="0" xfId="186" applyNumberFormat="1" applyFont="1" applyFill="1" applyAlignment="1"/>
    <xf numFmtId="37" fontId="11" fillId="0" borderId="0" xfId="186" applyNumberFormat="1" applyFont="1" applyFill="1" applyBorder="1" applyAlignment="1"/>
    <xf numFmtId="42" fontId="0" fillId="0" borderId="0" xfId="0" applyNumberFormat="1" applyFill="1" applyAlignment="1"/>
    <xf numFmtId="169" fontId="0" fillId="0" borderId="0" xfId="0" applyFill="1" applyAlignment="1"/>
    <xf numFmtId="37" fontId="15" fillId="0" borderId="0" xfId="186" applyNumberFormat="1" applyFill="1" applyAlignment="1"/>
    <xf numFmtId="3" fontId="15" fillId="0" borderId="0" xfId="186" applyNumberFormat="1" applyFill="1" applyAlignment="1"/>
    <xf numFmtId="3" fontId="19" fillId="0" borderId="0" xfId="186" applyNumberFormat="1" applyFont="1" applyFill="1" applyAlignment="1"/>
    <xf numFmtId="0" fontId="34" fillId="0" borderId="0" xfId="1763" applyFont="1" applyAlignment="1">
      <alignment horizontal="centerContinuous"/>
    </xf>
    <xf numFmtId="0" fontId="34" fillId="0" borderId="0" xfId="1763" applyFont="1"/>
    <xf numFmtId="0" fontId="63" fillId="0" borderId="0" xfId="1763" applyFont="1"/>
    <xf numFmtId="0" fontId="63" fillId="0" borderId="0" xfId="1763" applyFont="1" applyAlignment="1">
      <alignment horizontal="centerContinuous"/>
    </xf>
    <xf numFmtId="223" fontId="63" fillId="0" borderId="0" xfId="1763" applyNumberFormat="1" applyFont="1" applyAlignment="1">
      <alignment horizontal="centerContinuous"/>
    </xf>
    <xf numFmtId="0" fontId="143" fillId="0" borderId="0" xfId="1763" applyFont="1" applyAlignment="1">
      <alignment horizontal="center"/>
    </xf>
    <xf numFmtId="0" fontId="63" fillId="0" borderId="0" xfId="1763" applyFont="1" applyBorder="1" applyAlignment="1">
      <alignment horizontal="center"/>
    </xf>
    <xf numFmtId="0" fontId="143" fillId="0" borderId="0" xfId="1763" applyFont="1" applyBorder="1" applyAlignment="1">
      <alignment horizontal="center"/>
    </xf>
    <xf numFmtId="0" fontId="63" fillId="0" borderId="0" xfId="1763" applyFont="1" applyBorder="1" applyAlignment="1"/>
    <xf numFmtId="44" fontId="63" fillId="0" borderId="0" xfId="1625" applyNumberFormat="1" applyFont="1" applyBorder="1" applyAlignment="1"/>
    <xf numFmtId="44" fontId="63" fillId="0" borderId="13" xfId="1625" applyNumberFormat="1" applyFont="1" applyBorder="1" applyAlignment="1"/>
    <xf numFmtId="44" fontId="63" fillId="0" borderId="0" xfId="1576" applyNumberFormat="1" applyFont="1" applyBorder="1" applyAlignment="1"/>
    <xf numFmtId="44" fontId="63" fillId="0" borderId="0" xfId="1763" applyNumberFormat="1" applyFont="1"/>
    <xf numFmtId="44" fontId="34" fillId="0" borderId="0" xfId="1763" applyNumberFormat="1" applyFont="1"/>
    <xf numFmtId="44" fontId="63" fillId="0" borderId="13" xfId="1576" applyNumberFormat="1" applyFont="1" applyBorder="1" applyAlignment="1"/>
    <xf numFmtId="0" fontId="63" fillId="0" borderId="0" xfId="1763" applyFont="1" applyBorder="1"/>
    <xf numFmtId="44" fontId="63" fillId="0" borderId="13" xfId="1763" applyNumberFormat="1" applyFont="1" applyBorder="1"/>
    <xf numFmtId="44" fontId="63" fillId="0" borderId="0" xfId="1763" applyNumberFormat="1" applyFont="1" applyBorder="1" applyAlignment="1"/>
    <xf numFmtId="43" fontId="63" fillId="0" borderId="13" xfId="1576" applyNumberFormat="1" applyFont="1" applyBorder="1" applyAlignment="1"/>
    <xf numFmtId="43" fontId="63" fillId="0" borderId="0" xfId="1625" applyNumberFormat="1" applyFont="1" applyBorder="1" applyAlignment="1"/>
    <xf numFmtId="0" fontId="63" fillId="0" borderId="0" xfId="1763" applyFont="1" applyBorder="1" applyAlignment="1">
      <alignment horizontal="right"/>
    </xf>
    <xf numFmtId="166" fontId="63" fillId="0" borderId="13" xfId="1824" applyNumberFormat="1" applyFont="1" applyBorder="1" applyAlignment="1"/>
    <xf numFmtId="178" fontId="63" fillId="0" borderId="0" xfId="1625" applyNumberFormat="1" applyFont="1" applyBorder="1" applyAlignment="1"/>
    <xf numFmtId="165" fontId="63" fillId="0" borderId="13" xfId="1824" applyNumberFormat="1" applyFont="1" applyBorder="1" applyAlignment="1"/>
    <xf numFmtId="178" fontId="63" fillId="0" borderId="0" xfId="1576" applyNumberFormat="1" applyFont="1" applyBorder="1" applyAlignment="1"/>
    <xf numFmtId="44" fontId="63" fillId="0" borderId="0" xfId="1763" applyNumberFormat="1" applyFont="1" applyBorder="1"/>
    <xf numFmtId="0" fontId="24" fillId="112" borderId="3" xfId="1757" applyFont="1" applyFill="1" applyBorder="1"/>
    <xf numFmtId="44" fontId="24" fillId="112" borderId="3" xfId="238" applyFont="1" applyFill="1" applyBorder="1"/>
    <xf numFmtId="0" fontId="15" fillId="0" borderId="0" xfId="1757" applyFont="1"/>
    <xf numFmtId="0" fontId="144" fillId="0" borderId="0" xfId="1757" applyFont="1" applyFill="1" applyBorder="1"/>
    <xf numFmtId="0" fontId="15" fillId="0" borderId="0" xfId="1757" applyFont="1" applyFill="1" applyBorder="1"/>
    <xf numFmtId="44" fontId="15" fillId="0" borderId="0" xfId="238" applyFont="1" applyFill="1" applyBorder="1"/>
    <xf numFmtId="14" fontId="15" fillId="0" borderId="0" xfId="1757" applyNumberFormat="1" applyFont="1" applyAlignment="1">
      <alignment horizontal="right"/>
    </xf>
    <xf numFmtId="44" fontId="15" fillId="0" borderId="0" xfId="238" applyFont="1" applyAlignment="1">
      <alignment horizontal="right"/>
    </xf>
    <xf numFmtId="0" fontId="24" fillId="0" borderId="0" xfId="1757" applyFont="1" applyFill="1" applyBorder="1"/>
    <xf numFmtId="44" fontId="24" fillId="113" borderId="32" xfId="238" applyFont="1" applyFill="1" applyBorder="1" applyAlignment="1">
      <alignment horizontal="right"/>
    </xf>
    <xf numFmtId="14" fontId="15" fillId="0" borderId="0" xfId="1757" applyNumberFormat="1" applyFont="1" applyFill="1" applyBorder="1" applyAlignment="1">
      <alignment horizontal="right"/>
    </xf>
    <xf numFmtId="44" fontId="15" fillId="0" borderId="0" xfId="238" applyFont="1" applyFill="1" applyBorder="1" applyAlignment="1">
      <alignment horizontal="right"/>
    </xf>
    <xf numFmtId="44" fontId="15" fillId="0" borderId="0" xfId="238" applyFont="1"/>
    <xf numFmtId="43" fontId="15" fillId="0" borderId="21" xfId="186" applyFont="1" applyBorder="1"/>
    <xf numFmtId="43" fontId="15" fillId="0" borderId="61" xfId="186" applyFont="1" applyBorder="1"/>
    <xf numFmtId="43" fontId="15" fillId="0" borderId="21" xfId="186" applyFont="1" applyBorder="1" applyAlignment="1">
      <alignment horizontal="centerContinuous"/>
    </xf>
    <xf numFmtId="43" fontId="15" fillId="0" borderId="61" xfId="186" applyFont="1" applyBorder="1" applyAlignment="1">
      <alignment horizontal="centerContinuous"/>
    </xf>
    <xf numFmtId="43" fontId="15" fillId="0" borderId="21" xfId="186" applyFont="1" applyBorder="1" applyAlignment="1">
      <alignment horizontal="left"/>
    </xf>
    <xf numFmtId="0" fontId="15" fillId="0" borderId="0" xfId="1903" applyFont="1"/>
    <xf numFmtId="43" fontId="15" fillId="0" borderId="26" xfId="186" applyFont="1" applyBorder="1" applyAlignment="1">
      <alignment horizontal="centerContinuous"/>
    </xf>
    <xf numFmtId="43" fontId="15" fillId="0" borderId="64" xfId="186" applyFont="1" applyBorder="1" applyAlignment="1">
      <alignment horizontal="centerContinuous"/>
    </xf>
    <xf numFmtId="10" fontId="15" fillId="0" borderId="22" xfId="1793" applyNumberFormat="1" applyFont="1" applyBorder="1" applyAlignment="1">
      <alignment horizontal="center"/>
    </xf>
    <xf numFmtId="10" fontId="15" fillId="0" borderId="32" xfId="1793" applyNumberFormat="1" applyFont="1" applyBorder="1" applyAlignment="1">
      <alignment horizontal="center"/>
    </xf>
    <xf numFmtId="0" fontId="15" fillId="0" borderId="0" xfId="1903" applyFont="1" applyAlignment="1">
      <alignment horizontal="center"/>
    </xf>
    <xf numFmtId="0" fontId="144" fillId="0" borderId="0" xfId="1757" applyFont="1"/>
    <xf numFmtId="43" fontId="15" fillId="0" borderId="26" xfId="186" applyFont="1" applyBorder="1" applyAlignment="1">
      <alignment horizontal="center"/>
    </xf>
    <xf numFmtId="43" fontId="15" fillId="0" borderId="64" xfId="186" applyFont="1" applyBorder="1" applyAlignment="1">
      <alignment horizontal="center"/>
    </xf>
    <xf numFmtId="43" fontId="15" fillId="0" borderId="26" xfId="186" applyFont="1" applyFill="1" applyBorder="1" applyAlignment="1">
      <alignment horizontal="center"/>
    </xf>
    <xf numFmtId="0" fontId="15" fillId="0" borderId="21" xfId="1757" applyFont="1" applyBorder="1"/>
    <xf numFmtId="0" fontId="15" fillId="0" borderId="14" xfId="1757" applyFont="1" applyBorder="1"/>
    <xf numFmtId="14" fontId="15" fillId="0" borderId="14" xfId="1757" applyNumberFormat="1" applyFont="1" applyBorder="1" applyAlignment="1">
      <alignment horizontal="right"/>
    </xf>
    <xf numFmtId="44" fontId="15" fillId="0" borderId="61" xfId="238" applyFont="1" applyFill="1" applyBorder="1" applyAlignment="1">
      <alignment horizontal="right"/>
    </xf>
    <xf numFmtId="43" fontId="15" fillId="0" borderId="24" xfId="186" applyFont="1" applyFill="1" applyBorder="1" applyAlignment="1">
      <alignment horizontal="center"/>
    </xf>
    <xf numFmtId="43" fontId="15" fillId="0" borderId="28" xfId="186" applyFont="1" applyFill="1" applyBorder="1" applyAlignment="1">
      <alignment horizontal="center"/>
    </xf>
    <xf numFmtId="43" fontId="15" fillId="0" borderId="24" xfId="186" applyFont="1" applyFill="1" applyBorder="1"/>
    <xf numFmtId="43" fontId="15" fillId="0" borderId="28" xfId="186" applyFont="1" applyBorder="1" applyAlignment="1">
      <alignment horizontal="center"/>
    </xf>
    <xf numFmtId="43" fontId="15" fillId="0" borderId="0" xfId="186" quotePrefix="1" applyFont="1" applyFill="1" applyBorder="1" applyAlignment="1">
      <alignment horizontal="center"/>
    </xf>
    <xf numFmtId="0" fontId="15" fillId="0" borderId="24" xfId="1757" applyFont="1" applyBorder="1"/>
    <xf numFmtId="0" fontId="15" fillId="0" borderId="0" xfId="1757" applyFont="1" applyBorder="1"/>
    <xf numFmtId="14" fontId="15" fillId="0" borderId="0" xfId="1757" applyNumberFormat="1" applyFont="1" applyBorder="1" applyAlignment="1">
      <alignment horizontal="right"/>
    </xf>
    <xf numFmtId="44" fontId="15" fillId="0" borderId="28" xfId="238" applyFont="1" applyBorder="1" applyAlignment="1">
      <alignment horizontal="right"/>
    </xf>
    <xf numFmtId="43" fontId="15" fillId="0" borderId="24" xfId="186" applyFont="1" applyBorder="1" applyAlignment="1">
      <alignment horizontal="center"/>
    </xf>
    <xf numFmtId="43" fontId="15" fillId="0" borderId="24" xfId="186" applyFont="1" applyBorder="1"/>
    <xf numFmtId="43" fontId="15" fillId="0" borderId="0" xfId="186" applyFont="1" applyFill="1" applyBorder="1" applyAlignment="1">
      <alignment horizontal="center"/>
    </xf>
    <xf numFmtId="43" fontId="15" fillId="0" borderId="28" xfId="186" applyFont="1" applyBorder="1"/>
    <xf numFmtId="0" fontId="15" fillId="0" borderId="0" xfId="1903" quotePrefix="1" applyFont="1" applyAlignment="1">
      <alignment horizontal="center"/>
    </xf>
    <xf numFmtId="44" fontId="15" fillId="0" borderId="28" xfId="238" applyFont="1" applyFill="1" applyBorder="1" applyAlignment="1">
      <alignment horizontal="right"/>
    </xf>
    <xf numFmtId="43" fontId="15" fillId="0" borderId="28" xfId="186" applyFont="1" applyFill="1" applyBorder="1"/>
    <xf numFmtId="0" fontId="15" fillId="0" borderId="26" xfId="1757" applyFont="1" applyBorder="1"/>
    <xf numFmtId="0" fontId="15" fillId="0" borderId="13" xfId="1757" applyFont="1" applyBorder="1"/>
    <xf numFmtId="14" fontId="15" fillId="0" borderId="13" xfId="1757" applyNumberFormat="1" applyFont="1" applyBorder="1" applyAlignment="1">
      <alignment horizontal="right"/>
    </xf>
    <xf numFmtId="44" fontId="15" fillId="0" borderId="64" xfId="238" applyFont="1" applyBorder="1" applyAlignment="1">
      <alignment horizontal="right"/>
    </xf>
    <xf numFmtId="0" fontId="24" fillId="0" borderId="2" xfId="1757" applyFont="1" applyFill="1" applyBorder="1"/>
    <xf numFmtId="0" fontId="24" fillId="0" borderId="2" xfId="1757" applyFont="1" applyBorder="1"/>
    <xf numFmtId="14" fontId="24" fillId="0" borderId="2" xfId="1757" applyNumberFormat="1" applyFont="1" applyFill="1" applyBorder="1" applyAlignment="1">
      <alignment horizontal="right"/>
    </xf>
    <xf numFmtId="44" fontId="24" fillId="0" borderId="3" xfId="238" applyFont="1" applyFill="1" applyBorder="1" applyAlignment="1">
      <alignment horizontal="right"/>
    </xf>
    <xf numFmtId="43" fontId="24" fillId="0" borderId="2" xfId="0" applyNumberFormat="1" applyFont="1" applyBorder="1" applyAlignment="1"/>
    <xf numFmtId="169" fontId="145" fillId="0" borderId="0" xfId="0" applyFont="1" applyAlignment="1"/>
    <xf numFmtId="0" fontId="24" fillId="0" borderId="0" xfId="1757" applyFont="1"/>
    <xf numFmtId="14" fontId="24" fillId="0" borderId="0" xfId="1757" applyNumberFormat="1" applyFont="1" applyFill="1" applyBorder="1" applyAlignment="1">
      <alignment horizontal="right"/>
    </xf>
    <xf numFmtId="44" fontId="24" fillId="0" borderId="28" xfId="238" applyFont="1" applyFill="1" applyBorder="1" applyAlignment="1">
      <alignment horizontal="right"/>
    </xf>
    <xf numFmtId="43" fontId="15" fillId="0" borderId="22" xfId="0" applyNumberFormat="1" applyFont="1" applyBorder="1" applyAlignment="1"/>
    <xf numFmtId="43" fontId="15" fillId="0" borderId="2" xfId="0" applyNumberFormat="1" applyFont="1" applyBorder="1" applyAlignment="1"/>
    <xf numFmtId="44" fontId="15" fillId="0" borderId="61" xfId="238" applyFont="1" applyBorder="1" applyAlignment="1">
      <alignment horizontal="right"/>
    </xf>
    <xf numFmtId="43" fontId="15" fillId="0" borderId="0" xfId="186" applyFont="1" applyBorder="1"/>
    <xf numFmtId="44" fontId="24" fillId="0" borderId="23" xfId="238" applyFont="1" applyFill="1" applyBorder="1" applyAlignment="1">
      <alignment horizontal="right"/>
    </xf>
    <xf numFmtId="44" fontId="24" fillId="0" borderId="61" xfId="238" applyFont="1" applyFill="1" applyBorder="1" applyAlignment="1">
      <alignment horizontal="right"/>
    </xf>
    <xf numFmtId="44" fontId="24" fillId="0" borderId="22" xfId="238" applyFont="1" applyFill="1" applyBorder="1" applyAlignment="1">
      <alignment horizontal="right"/>
    </xf>
    <xf numFmtId="44" fontId="24" fillId="0" borderId="2" xfId="238" applyFont="1" applyFill="1" applyBorder="1" applyAlignment="1">
      <alignment horizontal="right"/>
    </xf>
    <xf numFmtId="43" fontId="15" fillId="0" borderId="0" xfId="0" applyNumberFormat="1" applyFont="1" applyBorder="1" applyAlignment="1"/>
    <xf numFmtId="0" fontId="15" fillId="0" borderId="0" xfId="1757" applyFont="1" applyBorder="1" applyAlignment="1">
      <alignment horizontal="left"/>
    </xf>
    <xf numFmtId="0" fontId="15" fillId="0" borderId="0" xfId="1757" applyFont="1" applyAlignment="1">
      <alignment horizontal="center"/>
    </xf>
    <xf numFmtId="44" fontId="24" fillId="0" borderId="0" xfId="238" applyFont="1" applyFill="1" applyBorder="1" applyAlignment="1">
      <alignment horizontal="right"/>
    </xf>
    <xf numFmtId="43" fontId="15" fillId="0" borderId="65" xfId="0" applyNumberFormat="1" applyFont="1" applyBorder="1" applyAlignment="1"/>
    <xf numFmtId="43" fontId="15" fillId="0" borderId="0" xfId="186" applyFont="1"/>
    <xf numFmtId="177" fontId="15" fillId="0" borderId="0" xfId="186" applyNumberFormat="1" applyFont="1"/>
    <xf numFmtId="0" fontId="47" fillId="0" borderId="0" xfId="1740" applyFont="1"/>
    <xf numFmtId="169" fontId="12" fillId="0" borderId="0" xfId="1904" applyNumberFormat="1" applyFont="1" applyFill="1" applyAlignment="1">
      <alignment horizontal="right"/>
    </xf>
    <xf numFmtId="0" fontId="15" fillId="0" borderId="0" xfId="1740"/>
    <xf numFmtId="0" fontId="146" fillId="0" borderId="0" xfId="1740" applyFont="1" applyFill="1" applyAlignment="1"/>
    <xf numFmtId="0" fontId="12" fillId="0" borderId="31" xfId="1904" applyNumberFormat="1" applyFont="1" applyFill="1" applyBorder="1" applyAlignment="1">
      <alignment horizontal="right"/>
    </xf>
    <xf numFmtId="0" fontId="146" fillId="0" borderId="0" xfId="1740" applyFont="1" applyFill="1" applyAlignment="1" applyProtection="1">
      <alignment horizontal="centerContinuous"/>
      <protection locked="0"/>
    </xf>
    <xf numFmtId="0" fontId="146" fillId="0" borderId="0" xfId="1740" applyFont="1" applyFill="1" applyAlignment="1">
      <alignment horizontal="centerContinuous"/>
    </xf>
    <xf numFmtId="15" fontId="146" fillId="0" borderId="0" xfId="1740" applyNumberFormat="1" applyFont="1" applyFill="1" applyAlignment="1">
      <alignment horizontal="centerContinuous"/>
    </xf>
    <xf numFmtId="18" fontId="146" fillId="0" borderId="0" xfId="1740" applyNumberFormat="1" applyFont="1" applyFill="1" applyAlignment="1">
      <alignment horizontal="centerContinuous"/>
    </xf>
    <xf numFmtId="0" fontId="146" fillId="0" borderId="0" xfId="1740" applyFont="1" applyFill="1" applyAlignment="1">
      <alignment horizontal="left"/>
    </xf>
    <xf numFmtId="0" fontId="146" fillId="0" borderId="0" xfId="1740" applyFont="1" applyFill="1" applyAlignment="1">
      <alignment horizontal="center"/>
    </xf>
    <xf numFmtId="0" fontId="146" fillId="0" borderId="13" xfId="1740" applyFont="1" applyFill="1" applyBorder="1" applyAlignment="1">
      <alignment horizontal="center"/>
    </xf>
    <xf numFmtId="0" fontId="146" fillId="0" borderId="0" xfId="1740" applyFont="1" applyFill="1" applyBorder="1" applyAlignment="1">
      <alignment horizontal="center"/>
    </xf>
    <xf numFmtId="17" fontId="146" fillId="0" borderId="0" xfId="1740" applyNumberFormat="1" applyFont="1" applyFill="1" applyBorder="1" applyAlignment="1">
      <alignment horizontal="center"/>
    </xf>
    <xf numFmtId="0" fontId="78" fillId="0" borderId="0" xfId="1740" applyFont="1" applyFill="1" applyAlignment="1">
      <alignment horizontal="center"/>
    </xf>
    <xf numFmtId="172" fontId="11" fillId="0" borderId="0" xfId="1740" quotePrefix="1" applyNumberFormat="1" applyFont="1" applyFill="1" applyBorder="1" applyAlignment="1">
      <alignment horizontal="left"/>
    </xf>
    <xf numFmtId="42" fontId="78" fillId="0" borderId="0" xfId="1740" applyNumberFormat="1" applyFont="1" applyFill="1"/>
    <xf numFmtId="42" fontId="78" fillId="0" borderId="0" xfId="1740" applyNumberFormat="1" applyFont="1" applyFill="1" applyAlignment="1">
      <alignment horizontal="right"/>
    </xf>
    <xf numFmtId="192" fontId="11" fillId="0" borderId="0" xfId="1812" applyNumberFormat="1" applyFont="1" applyFill="1" applyBorder="1" applyAlignment="1">
      <alignment horizontal="right"/>
    </xf>
    <xf numFmtId="172" fontId="78" fillId="0" borderId="0" xfId="1740" quotePrefix="1" applyNumberFormat="1" applyFont="1" applyFill="1" applyAlignment="1">
      <alignment horizontal="left"/>
    </xf>
    <xf numFmtId="192" fontId="78" fillId="0" borderId="0" xfId="1812" applyNumberFormat="1" applyFont="1" applyFill="1" applyBorder="1" applyAlignment="1">
      <alignment horizontal="right"/>
    </xf>
    <xf numFmtId="172" fontId="78" fillId="0" borderId="0" xfId="1740" applyNumberFormat="1" applyFont="1" applyFill="1" applyAlignment="1">
      <alignment horizontal="left"/>
    </xf>
    <xf numFmtId="192" fontId="146" fillId="0" borderId="0" xfId="1812" applyNumberFormat="1" applyFont="1" applyFill="1" applyBorder="1" applyAlignment="1">
      <alignment horizontal="right"/>
    </xf>
    <xf numFmtId="42" fontId="78" fillId="0" borderId="0" xfId="1740" applyNumberFormat="1" applyFont="1" applyFill="1" applyAlignment="1"/>
    <xf numFmtId="6" fontId="78" fillId="0" borderId="0" xfId="1740" applyNumberFormat="1" applyFont="1" applyFill="1" applyAlignment="1">
      <alignment horizontal="right"/>
    </xf>
    <xf numFmtId="225" fontId="78" fillId="0" borderId="0" xfId="1812" applyNumberFormat="1" applyFont="1" applyFill="1" applyBorder="1" applyAlignment="1">
      <alignment horizontal="right"/>
    </xf>
    <xf numFmtId="0" fontId="78" fillId="0" borderId="0" xfId="1740" applyFont="1" applyFill="1" applyAlignment="1"/>
    <xf numFmtId="41" fontId="78" fillId="0" borderId="0" xfId="1740" applyNumberFormat="1" applyFont="1" applyFill="1" applyAlignment="1"/>
    <xf numFmtId="41" fontId="78" fillId="0" borderId="0" xfId="1740" applyNumberFormat="1" applyFont="1" applyFill="1" applyAlignment="1">
      <alignment horizontal="center"/>
    </xf>
    <xf numFmtId="192" fontId="78" fillId="0" borderId="13" xfId="1812" applyNumberFormat="1" applyFont="1" applyFill="1" applyBorder="1" applyAlignment="1"/>
    <xf numFmtId="0" fontId="78" fillId="0" borderId="0" xfId="1740" applyFont="1" applyFill="1" applyAlignment="1">
      <alignment horizontal="left"/>
    </xf>
    <xf numFmtId="41" fontId="78" fillId="0" borderId="0" xfId="1740" applyNumberFormat="1" applyFont="1" applyFill="1" applyAlignment="1">
      <alignment horizontal="fill"/>
    </xf>
    <xf numFmtId="1" fontId="78" fillId="0" borderId="0" xfId="1740" quotePrefix="1" applyNumberFormat="1" applyFont="1" applyFill="1" applyAlignment="1">
      <alignment horizontal="left"/>
    </xf>
    <xf numFmtId="41" fontId="78" fillId="0" borderId="14" xfId="1740" applyNumberFormat="1" applyFont="1" applyFill="1" applyBorder="1" applyAlignment="1"/>
    <xf numFmtId="1" fontId="78" fillId="0" borderId="0" xfId="1740" applyNumberFormat="1" applyFont="1" applyFill="1" applyAlignment="1"/>
    <xf numFmtId="169" fontId="78" fillId="0" borderId="0" xfId="1881" applyNumberFormat="1" applyFont="1" applyFill="1" applyAlignment="1">
      <alignment horizontal="left"/>
    </xf>
    <xf numFmtId="169" fontId="78" fillId="0" borderId="0" xfId="1881" applyNumberFormat="1" applyFont="1" applyFill="1" applyAlignment="1"/>
    <xf numFmtId="42" fontId="78" fillId="0" borderId="0" xfId="1881" applyNumberFormat="1" applyFont="1" applyFill="1" applyAlignment="1"/>
    <xf numFmtId="9" fontId="78" fillId="0" borderId="0" xfId="1812" applyFont="1" applyFill="1" applyAlignment="1"/>
    <xf numFmtId="37" fontId="78" fillId="0" borderId="13" xfId="1604" applyNumberFormat="1" applyFont="1" applyFill="1" applyBorder="1" applyAlignment="1"/>
    <xf numFmtId="169" fontId="78" fillId="0" borderId="0" xfId="1881" applyNumberFormat="1" applyFont="1" applyFill="1" applyBorder="1" applyAlignment="1">
      <alignment horizontal="left"/>
    </xf>
    <xf numFmtId="42" fontId="146" fillId="0" borderId="20" xfId="236" applyNumberFormat="1" applyFont="1" applyFill="1" applyBorder="1" applyAlignment="1"/>
    <xf numFmtId="0" fontId="24" fillId="0" borderId="0" xfId="1740" applyFont="1" applyAlignment="1">
      <alignment horizontal="centerContinuous" vertical="center"/>
    </xf>
    <xf numFmtId="0" fontId="24" fillId="0" borderId="0" xfId="1740" applyFont="1"/>
    <xf numFmtId="0" fontId="12" fillId="0" borderId="0" xfId="1740" applyFont="1" applyFill="1" applyAlignment="1">
      <alignment horizontal="centerContinuous"/>
    </xf>
    <xf numFmtId="0" fontId="12" fillId="0" borderId="0" xfId="1740" applyFont="1" applyFill="1" applyAlignment="1">
      <alignment horizontal="center"/>
    </xf>
    <xf numFmtId="0" fontId="12" fillId="0" borderId="0" xfId="1740" applyFont="1" applyFill="1"/>
    <xf numFmtId="0" fontId="12" fillId="0" borderId="0" xfId="1740" applyFont="1" applyFill="1" applyBorder="1" applyAlignment="1">
      <alignment horizontal="center"/>
    </xf>
    <xf numFmtId="0" fontId="12" fillId="0" borderId="13" xfId="1740" applyFont="1" applyFill="1" applyBorder="1" applyAlignment="1">
      <alignment horizontal="center"/>
    </xf>
    <xf numFmtId="172" fontId="11" fillId="0" borderId="69" xfId="1740" quotePrefix="1" applyNumberFormat="1" applyFont="1" applyFill="1" applyBorder="1" applyAlignment="1">
      <alignment horizontal="left"/>
    </xf>
    <xf numFmtId="41" fontId="11" fillId="0" borderId="0" xfId="1740" applyNumberFormat="1" applyFont="1" applyFill="1"/>
    <xf numFmtId="41" fontId="11" fillId="0" borderId="0" xfId="1740" applyNumberFormat="1" applyFont="1" applyFill="1" applyAlignment="1">
      <alignment horizontal="right"/>
    </xf>
    <xf numFmtId="42" fontId="11" fillId="0" borderId="0" xfId="1740" applyNumberFormat="1" applyFont="1" applyFill="1" applyBorder="1" applyAlignment="1">
      <alignment horizontal="right"/>
    </xf>
    <xf numFmtId="225" fontId="11" fillId="0" borderId="0" xfId="1812" applyNumberFormat="1" applyFont="1" applyFill="1" applyBorder="1" applyAlignment="1">
      <alignment horizontal="right"/>
    </xf>
    <xf numFmtId="41" fontId="11" fillId="0" borderId="0" xfId="1740" applyNumberFormat="1" applyFont="1" applyFill="1" applyBorder="1"/>
    <xf numFmtId="42" fontId="12" fillId="0" borderId="20" xfId="1604" applyNumberFormat="1" applyFont="1" applyBorder="1"/>
    <xf numFmtId="225" fontId="12" fillId="0" borderId="20" xfId="1812" applyNumberFormat="1" applyFont="1" applyFill="1" applyBorder="1" applyAlignment="1">
      <alignment horizontal="right"/>
    </xf>
    <xf numFmtId="42" fontId="12" fillId="0" borderId="0" xfId="1604" applyNumberFormat="1" applyFont="1" applyBorder="1"/>
    <xf numFmtId="225" fontId="12" fillId="0" borderId="0" xfId="1812" applyNumberFormat="1" applyFont="1" applyFill="1" applyBorder="1" applyAlignment="1">
      <alignment horizontal="right"/>
    </xf>
    <xf numFmtId="42" fontId="11" fillId="0" borderId="0" xfId="1740" applyNumberFormat="1" applyFont="1" applyFill="1" applyBorder="1"/>
    <xf numFmtId="225" fontId="11" fillId="0" borderId="70" xfId="1812" applyNumberFormat="1" applyFont="1" applyFill="1" applyBorder="1" applyAlignment="1">
      <alignment horizontal="right"/>
    </xf>
    <xf numFmtId="0" fontId="15" fillId="0" borderId="0" xfId="1740" applyFill="1"/>
    <xf numFmtId="172" fontId="11" fillId="0" borderId="0" xfId="1740" quotePrefix="1" applyNumberFormat="1" applyFont="1" applyFill="1" applyAlignment="1">
      <alignment horizontal="left"/>
    </xf>
    <xf numFmtId="42" fontId="11" fillId="0" borderId="0" xfId="1740" applyNumberFormat="1" applyFont="1" applyFill="1"/>
    <xf numFmtId="42" fontId="11" fillId="0" borderId="0" xfId="1740" applyNumberFormat="1" applyFont="1" applyFill="1" applyAlignment="1">
      <alignment horizontal="right"/>
    </xf>
    <xf numFmtId="37" fontId="15" fillId="0" borderId="0" xfId="1740" applyNumberFormat="1"/>
    <xf numFmtId="42" fontId="15" fillId="0" borderId="0" xfId="1740" applyNumberFormat="1"/>
    <xf numFmtId="0" fontId="109" fillId="0" borderId="0" xfId="1904" applyFont="1"/>
    <xf numFmtId="0" fontId="5" fillId="0" borderId="0" xfId="1904"/>
    <xf numFmtId="37" fontId="140" fillId="114" borderId="0" xfId="1904" applyNumberFormat="1" applyFont="1" applyFill="1"/>
    <xf numFmtId="41" fontId="139" fillId="114" borderId="0" xfId="189" applyNumberFormat="1" applyFont="1" applyFill="1"/>
    <xf numFmtId="37" fontId="147" fillId="0" borderId="21" xfId="1904" applyNumberFormat="1" applyFont="1" applyFill="1" applyBorder="1"/>
    <xf numFmtId="41" fontId="147" fillId="0" borderId="61" xfId="189" applyNumberFormat="1" applyFont="1" applyFill="1" applyBorder="1"/>
    <xf numFmtId="49" fontId="112" fillId="0" borderId="3" xfId="1904" applyNumberFormat="1" applyFont="1" applyFill="1" applyBorder="1" applyAlignment="1">
      <alignment horizontal="left"/>
    </xf>
    <xf numFmtId="41" fontId="112" fillId="0" borderId="3" xfId="189" applyNumberFormat="1" applyFont="1" applyFill="1" applyBorder="1" applyAlignment="1">
      <alignment horizontal="center"/>
    </xf>
    <xf numFmtId="37" fontId="139" fillId="0" borderId="25" xfId="1904" applyNumberFormat="1" applyFont="1" applyFill="1" applyBorder="1" applyAlignment="1">
      <alignment horizontal="left"/>
    </xf>
    <xf numFmtId="41" fontId="139" fillId="0" borderId="25" xfId="189" applyNumberFormat="1" applyFont="1" applyFill="1" applyBorder="1"/>
    <xf numFmtId="41" fontId="140" fillId="0" borderId="25" xfId="189" applyNumberFormat="1" applyFont="1" applyFill="1" applyBorder="1"/>
    <xf numFmtId="37" fontId="139" fillId="0" borderId="28" xfId="1904" applyNumberFormat="1" applyFont="1" applyFill="1" applyBorder="1"/>
    <xf numFmtId="37" fontId="140" fillId="0" borderId="28" xfId="1904" applyNumberFormat="1" applyFont="1" applyFill="1" applyBorder="1"/>
    <xf numFmtId="39" fontId="5" fillId="0" borderId="0" xfId="1904" applyNumberFormat="1"/>
    <xf numFmtId="37" fontId="139" fillId="0" borderId="3" xfId="1904" applyNumberFormat="1" applyFont="1" applyFill="1" applyBorder="1" applyAlignment="1">
      <alignment horizontal="left"/>
    </xf>
    <xf numFmtId="41" fontId="139" fillId="0" borderId="3" xfId="189" applyNumberFormat="1" applyFont="1" applyFill="1" applyBorder="1"/>
    <xf numFmtId="37" fontId="148" fillId="0" borderId="23" xfId="1904" applyNumberFormat="1" applyFont="1" applyFill="1" applyBorder="1"/>
    <xf numFmtId="41" fontId="139" fillId="0" borderId="28" xfId="189" applyNumberFormat="1" applyFont="1" applyFill="1" applyBorder="1"/>
    <xf numFmtId="37" fontId="139" fillId="0" borderId="25" xfId="1904" applyNumberFormat="1" applyFont="1" applyFill="1" applyBorder="1"/>
    <xf numFmtId="41" fontId="139" fillId="0" borderId="27" xfId="189" applyNumberFormat="1" applyFont="1" applyFill="1" applyBorder="1"/>
    <xf numFmtId="37" fontId="149" fillId="0" borderId="27" xfId="1904" applyNumberFormat="1" applyFont="1" applyFill="1" applyBorder="1"/>
    <xf numFmtId="37" fontId="139" fillId="114" borderId="0" xfId="1904" applyNumberFormat="1" applyFont="1" applyFill="1" applyBorder="1"/>
    <xf numFmtId="41" fontId="139" fillId="114" borderId="0" xfId="189" applyNumberFormat="1" applyFont="1" applyFill="1" applyBorder="1"/>
    <xf numFmtId="37" fontId="147" fillId="0" borderId="0" xfId="1904" applyNumberFormat="1" applyFont="1" applyFill="1"/>
    <xf numFmtId="0" fontId="5" fillId="0" borderId="0" xfId="1904" applyFill="1"/>
    <xf numFmtId="37" fontId="5" fillId="0" borderId="0" xfId="1904" applyNumberFormat="1"/>
    <xf numFmtId="0" fontId="15" fillId="0" borderId="0" xfId="317"/>
    <xf numFmtId="37" fontId="34" fillId="0" borderId="0" xfId="317" applyNumberFormat="1" applyFont="1" applyFill="1" applyAlignment="1">
      <alignment horizontal="center"/>
    </xf>
    <xf numFmtId="0" fontId="15" fillId="114" borderId="0" xfId="317" applyFill="1"/>
    <xf numFmtId="0" fontId="15" fillId="0" borderId="0" xfId="317" applyAlignment="1">
      <alignment wrapText="1"/>
    </xf>
    <xf numFmtId="0" fontId="150" fillId="0" borderId="0" xfId="1740" applyFont="1" applyAlignment="1">
      <alignment wrapText="1"/>
    </xf>
    <xf numFmtId="43" fontId="15" fillId="0" borderId="0" xfId="189"/>
    <xf numFmtId="177" fontId="60" fillId="0" borderId="0" xfId="189" applyNumberFormat="1" applyFont="1"/>
    <xf numFmtId="37" fontId="15" fillId="0" borderId="0" xfId="189" applyNumberFormat="1" applyBorder="1"/>
    <xf numFmtId="177" fontId="60" fillId="0" borderId="0" xfId="189" applyNumberFormat="1" applyFont="1" applyFill="1" applyBorder="1"/>
    <xf numFmtId="177" fontId="60" fillId="0" borderId="0" xfId="189" applyNumberFormat="1" applyFont="1" applyBorder="1"/>
    <xf numFmtId="177" fontId="60" fillId="0" borderId="13" xfId="189" applyNumberFormat="1" applyFont="1" applyFill="1" applyBorder="1"/>
    <xf numFmtId="177" fontId="60" fillId="0" borderId="13" xfId="189" applyNumberFormat="1" applyFont="1" applyBorder="1"/>
    <xf numFmtId="37" fontId="15" fillId="0" borderId="13" xfId="189" applyNumberFormat="1" applyBorder="1"/>
    <xf numFmtId="37" fontId="15" fillId="0" borderId="0" xfId="317" applyNumberFormat="1"/>
    <xf numFmtId="37" fontId="15" fillId="0" borderId="0" xfId="189" applyNumberFormat="1"/>
    <xf numFmtId="37" fontId="15" fillId="0" borderId="0" xfId="1746" applyNumberFormat="1" applyFont="1" applyBorder="1" applyAlignment="1"/>
    <xf numFmtId="0" fontId="15" fillId="0" borderId="0" xfId="1746" applyNumberFormat="1" applyFont="1" applyAlignment="1"/>
    <xf numFmtId="0" fontId="15" fillId="0" borderId="0" xfId="1746" applyNumberFormat="1" applyFont="1" applyAlignment="1">
      <alignment horizontal="right"/>
    </xf>
    <xf numFmtId="0" fontId="24" fillId="0" borderId="31" xfId="1746" quotePrefix="1" applyNumberFormat="1" applyFont="1" applyFill="1" applyBorder="1" applyAlignment="1">
      <alignment horizontal="right"/>
    </xf>
    <xf numFmtId="0" fontId="15" fillId="0" borderId="0" xfId="1746" applyNumberFormat="1" applyFont="1" applyAlignment="1">
      <alignment horizontal="centerContinuous" vertical="center"/>
    </xf>
    <xf numFmtId="177" fontId="15" fillId="0" borderId="0" xfId="187" applyNumberFormat="1" applyFont="1" applyAlignment="1">
      <alignment horizontal="centerContinuous" vertical="center"/>
    </xf>
    <xf numFmtId="177" fontId="15" fillId="0" borderId="0" xfId="187" applyNumberFormat="1" applyFont="1" applyAlignment="1">
      <alignment horizontal="center" vertical="center" wrapText="1"/>
    </xf>
    <xf numFmtId="0" fontId="15" fillId="0" borderId="0" xfId="1746" applyNumberFormat="1" applyFont="1" applyFill="1" applyAlignment="1">
      <alignment horizontal="center" vertical="center" wrapText="1"/>
    </xf>
    <xf numFmtId="224" fontId="15" fillId="0" borderId="0" xfId="1746" applyNumberFormat="1" applyFont="1" applyFill="1" applyBorder="1" applyAlignment="1">
      <alignment horizontal="center"/>
    </xf>
    <xf numFmtId="0" fontId="15" fillId="0" borderId="0" xfId="1746" applyNumberFormat="1" applyFill="1" applyAlignment="1"/>
    <xf numFmtId="37" fontId="15" fillId="0" borderId="13" xfId="1746" applyNumberFormat="1" applyFont="1" applyBorder="1" applyAlignment="1"/>
    <xf numFmtId="37" fontId="73" fillId="0" borderId="66" xfId="1746" applyNumberFormat="1" applyFont="1" applyFill="1" applyBorder="1" applyAlignment="1">
      <alignment horizontal="center" vertical="top" wrapText="1"/>
    </xf>
    <xf numFmtId="0" fontId="15" fillId="0" borderId="0" xfId="1746" applyNumberFormat="1" applyAlignment="1"/>
    <xf numFmtId="37" fontId="73" fillId="0" borderId="29" xfId="1746" applyNumberFormat="1" applyFont="1" applyFill="1" applyBorder="1" applyAlignment="1">
      <alignment vertical="top"/>
    </xf>
    <xf numFmtId="6" fontId="15" fillId="0" borderId="29" xfId="231" applyNumberFormat="1" applyFont="1" applyFill="1" applyBorder="1"/>
    <xf numFmtId="3" fontId="15" fillId="0" borderId="0" xfId="1746" applyNumberFormat="1" applyFont="1" applyAlignment="1"/>
    <xf numFmtId="41" fontId="15" fillId="0" borderId="29" xfId="187" applyNumberFormat="1" applyFont="1" applyFill="1" applyBorder="1"/>
    <xf numFmtId="6" fontId="15" fillId="0" borderId="29" xfId="187" applyNumberFormat="1" applyFont="1" applyFill="1" applyBorder="1"/>
    <xf numFmtId="42" fontId="15" fillId="0" borderId="0" xfId="231" applyNumberFormat="1" applyFont="1" applyFill="1" applyBorder="1" applyAlignment="1"/>
    <xf numFmtId="42" fontId="15" fillId="0" borderId="0" xfId="1746" applyNumberFormat="1" applyFont="1" applyAlignment="1"/>
    <xf numFmtId="6" fontId="15" fillId="0" borderId="0" xfId="1746" applyNumberFormat="1" applyFont="1" applyAlignment="1"/>
    <xf numFmtId="6" fontId="15" fillId="0" borderId="67" xfId="187" applyNumberFormat="1" applyFont="1" applyFill="1" applyBorder="1"/>
    <xf numFmtId="42" fontId="15" fillId="0" borderId="29" xfId="231" applyNumberFormat="1" applyFont="1" applyFill="1" applyBorder="1"/>
    <xf numFmtId="0" fontId="15" fillId="0" borderId="0" xfId="1746" applyNumberFormat="1" applyFont="1" applyFill="1" applyAlignment="1"/>
    <xf numFmtId="0" fontId="15" fillId="0" borderId="0" xfId="1746" applyNumberFormat="1" applyFont="1" applyAlignment="1">
      <alignment horizontal="left"/>
    </xf>
    <xf numFmtId="169" fontId="15" fillId="0" borderId="29" xfId="1746" applyFont="1" applyFill="1" applyBorder="1">
      <alignment horizontal="left" wrapText="1"/>
    </xf>
    <xf numFmtId="171" fontId="15" fillId="0" borderId="29" xfId="1746" applyNumberFormat="1" applyFont="1" applyFill="1" applyBorder="1">
      <alignment horizontal="left" wrapText="1"/>
    </xf>
    <xf numFmtId="4" fontId="15" fillId="0" borderId="0" xfId="1746" applyNumberFormat="1" applyFont="1" applyAlignment="1">
      <alignment wrapText="1"/>
    </xf>
    <xf numFmtId="3" fontId="15" fillId="0" borderId="0" xfId="1746" applyNumberFormat="1" applyFont="1" applyAlignment="1">
      <alignment horizontal="right"/>
    </xf>
    <xf numFmtId="4" fontId="15" fillId="0" borderId="0" xfId="1746" applyNumberFormat="1" applyFont="1" applyAlignment="1">
      <alignment horizontal="right"/>
    </xf>
    <xf numFmtId="41" fontId="15" fillId="0" borderId="13" xfId="1746" applyNumberFormat="1" applyFont="1" applyBorder="1" applyAlignment="1"/>
    <xf numFmtId="4" fontId="15" fillId="0" borderId="0" xfId="1746" applyNumberFormat="1" applyFont="1" applyAlignment="1"/>
    <xf numFmtId="6" fontId="15" fillId="0" borderId="12" xfId="1746" applyNumberFormat="1" applyFont="1" applyBorder="1" applyAlignment="1"/>
    <xf numFmtId="41" fontId="15" fillId="0" borderId="29" xfId="231" applyNumberFormat="1" applyFont="1" applyFill="1" applyBorder="1"/>
    <xf numFmtId="41" fontId="15" fillId="0" borderId="67" xfId="1746" applyNumberFormat="1" applyFont="1" applyFill="1" applyBorder="1">
      <alignment horizontal="left" wrapText="1"/>
    </xf>
    <xf numFmtId="42" fontId="15" fillId="0" borderId="68" xfId="231" applyNumberFormat="1" applyFont="1" applyFill="1" applyBorder="1"/>
    <xf numFmtId="171" fontId="15" fillId="0" borderId="29" xfId="1746" applyNumberFormat="1" applyFont="1" applyFill="1" applyBorder="1" applyAlignment="1">
      <alignment vertical="top"/>
    </xf>
    <xf numFmtId="42" fontId="15" fillId="0" borderId="67" xfId="231" applyNumberFormat="1" applyFont="1" applyFill="1" applyBorder="1"/>
    <xf numFmtId="42" fontId="15" fillId="0" borderId="29" xfId="1746" applyNumberFormat="1" applyFont="1" applyFill="1" applyBorder="1">
      <alignment horizontal="left" wrapText="1"/>
    </xf>
    <xf numFmtId="42" fontId="15" fillId="0" borderId="29" xfId="231" applyNumberFormat="1" applyFont="1" applyFill="1" applyBorder="1" applyProtection="1">
      <protection locked="0"/>
    </xf>
    <xf numFmtId="42" fontId="15" fillId="0" borderId="29" xfId="1746" applyNumberFormat="1" applyFont="1" applyFill="1" applyBorder="1" applyAlignment="1">
      <alignment horizontal="left"/>
    </xf>
    <xf numFmtId="42" fontId="15" fillId="0" borderId="29" xfId="1746" applyNumberFormat="1" applyFont="1" applyFill="1" applyBorder="1" applyAlignment="1">
      <alignment horizontal="right" wrapText="1"/>
    </xf>
    <xf numFmtId="37" fontId="15" fillId="0" borderId="0" xfId="1746" applyNumberFormat="1" applyFont="1" applyBorder="1" applyAlignment="1">
      <alignment horizontal="left"/>
    </xf>
    <xf numFmtId="37" fontId="15" fillId="0" borderId="29" xfId="1746" applyNumberFormat="1" applyFont="1" applyBorder="1" applyAlignment="1"/>
    <xf numFmtId="10" fontId="15" fillId="0" borderId="30" xfId="1746" applyNumberFormat="1" applyFont="1" applyFill="1" applyBorder="1" applyAlignment="1">
      <alignment horizontal="right" wrapText="1"/>
    </xf>
    <xf numFmtId="37" fontId="73" fillId="0" borderId="0" xfId="1746" applyNumberFormat="1" applyFont="1" applyBorder="1" applyAlignment="1"/>
    <xf numFmtId="10" fontId="15" fillId="0" borderId="0" xfId="1746" applyNumberFormat="1" applyFont="1" applyFill="1" applyBorder="1" applyAlignment="1"/>
    <xf numFmtId="42" fontId="15" fillId="0" borderId="0" xfId="1746" applyNumberFormat="1" applyFont="1" applyBorder="1" applyAlignment="1"/>
    <xf numFmtId="37" fontId="73" fillId="0" borderId="0" xfId="1746" applyNumberFormat="1" applyFont="1" applyBorder="1" applyAlignment="1">
      <alignment vertical="top"/>
    </xf>
    <xf numFmtId="0" fontId="151" fillId="0" borderId="0" xfId="1696" applyFont="1"/>
    <xf numFmtId="0" fontId="15" fillId="0" borderId="0" xfId="1696" applyFont="1"/>
    <xf numFmtId="0" fontId="15" fillId="3" borderId="3" xfId="1696" applyFont="1" applyFill="1" applyBorder="1"/>
    <xf numFmtId="43" fontId="15" fillId="0" borderId="0" xfId="1696" applyNumberFormat="1" applyFont="1" applyAlignment="1">
      <alignment horizontal="right"/>
    </xf>
    <xf numFmtId="0" fontId="15" fillId="0" borderId="0" xfId="1696" applyFont="1" applyAlignment="1">
      <alignment horizontal="center"/>
    </xf>
    <xf numFmtId="14" fontId="15" fillId="0" borderId="0" xfId="1696" applyNumberFormat="1" applyFont="1" applyAlignment="1">
      <alignment horizontal="right"/>
    </xf>
    <xf numFmtId="0" fontId="15" fillId="0" borderId="14" xfId="1696" applyFont="1" applyFill="1" applyBorder="1"/>
    <xf numFmtId="43" fontId="24" fillId="0" borderId="14" xfId="1696" applyNumberFormat="1" applyFont="1" applyFill="1" applyBorder="1" applyAlignment="1">
      <alignment horizontal="right"/>
    </xf>
    <xf numFmtId="14" fontId="15" fillId="0" borderId="14" xfId="1696" applyNumberFormat="1" applyFont="1" applyFill="1" applyBorder="1" applyAlignment="1">
      <alignment horizontal="right"/>
    </xf>
    <xf numFmtId="0" fontId="15" fillId="0" borderId="0" xfId="1696" applyFont="1" applyFill="1" applyBorder="1"/>
    <xf numFmtId="43" fontId="15" fillId="0" borderId="16" xfId="1696" applyNumberFormat="1" applyFont="1" applyFill="1" applyBorder="1" applyAlignment="1">
      <alignment horizontal="right"/>
    </xf>
    <xf numFmtId="14" fontId="15" fillId="0" borderId="0" xfId="1696" applyNumberFormat="1" applyFont="1" applyFill="1" applyBorder="1" applyAlignment="1">
      <alignment horizontal="right"/>
    </xf>
    <xf numFmtId="0" fontId="17" fillId="0" borderId="0" xfId="1691" applyFill="1" applyProtection="1"/>
    <xf numFmtId="226" fontId="152" fillId="0" borderId="0" xfId="1691" applyNumberFormat="1" applyFont="1" applyFill="1" applyProtection="1"/>
    <xf numFmtId="0" fontId="34" fillId="0" borderId="0" xfId="1691" applyFont="1" applyFill="1" applyBorder="1" applyAlignment="1" applyProtection="1">
      <alignment horizontal="centerContinuous"/>
    </xf>
    <xf numFmtId="0" fontId="24" fillId="0" borderId="0" xfId="1691" applyFont="1" applyFill="1" applyBorder="1" applyAlignment="1" applyProtection="1">
      <alignment horizontal="centerContinuous"/>
    </xf>
    <xf numFmtId="39" fontId="24" fillId="0" borderId="0" xfId="1905" applyFont="1" applyFill="1" applyAlignment="1" applyProtection="1"/>
    <xf numFmtId="0" fontId="153" fillId="0" borderId="0" xfId="1691" applyFont="1" applyFill="1" applyAlignment="1" applyProtection="1">
      <alignment horizontal="centerContinuous"/>
    </xf>
    <xf numFmtId="1" fontId="153" fillId="0" borderId="0" xfId="1691" applyNumberFormat="1" applyFont="1" applyFill="1" applyAlignment="1" applyProtection="1">
      <alignment horizontal="centerContinuous"/>
    </xf>
    <xf numFmtId="0" fontId="152" fillId="0" borderId="0" xfId="1691" applyFont="1" applyFill="1" applyAlignment="1" applyProtection="1">
      <alignment horizontal="centerContinuous"/>
    </xf>
    <xf numFmtId="39" fontId="24" fillId="0" borderId="0" xfId="1905" applyNumberFormat="1" applyFont="1" applyFill="1" applyProtection="1"/>
    <xf numFmtId="0" fontId="15" fillId="0" borderId="0" xfId="1691" applyFont="1" applyFill="1" applyProtection="1"/>
    <xf numFmtId="1" fontId="15" fillId="0" borderId="0" xfId="1691" applyNumberFormat="1" applyFont="1" applyFill="1" applyProtection="1"/>
    <xf numFmtId="177" fontId="15" fillId="0" borderId="13" xfId="1580" applyNumberFormat="1" applyFont="1" applyFill="1" applyBorder="1" applyAlignment="1" applyProtection="1">
      <alignment horizontal="centerContinuous"/>
    </xf>
    <xf numFmtId="0" fontId="15" fillId="0" borderId="13" xfId="1691" applyFont="1" applyFill="1" applyBorder="1" applyAlignment="1" applyProtection="1">
      <alignment horizontal="centerContinuous"/>
    </xf>
    <xf numFmtId="0" fontId="17" fillId="0" borderId="13" xfId="1691" applyFont="1" applyFill="1" applyBorder="1" applyAlignment="1" applyProtection="1">
      <alignment horizontal="centerContinuous"/>
    </xf>
    <xf numFmtId="10" fontId="15" fillId="0" borderId="13" xfId="1691" applyNumberFormat="1" applyFont="1" applyFill="1" applyBorder="1" applyAlignment="1" applyProtection="1">
      <alignment horizontal="centerContinuous"/>
    </xf>
    <xf numFmtId="0" fontId="17" fillId="0" borderId="0" xfId="1691" applyFont="1" applyFill="1" applyProtection="1"/>
    <xf numFmtId="0" fontId="63" fillId="0" borderId="13" xfId="1691" applyFont="1" applyFill="1" applyBorder="1" applyAlignment="1" applyProtection="1">
      <alignment horizontal="centerContinuous"/>
    </xf>
    <xf numFmtId="0" fontId="15" fillId="0" borderId="0" xfId="1691" applyFont="1" applyFill="1" applyAlignment="1" applyProtection="1">
      <alignment horizontal="center"/>
    </xf>
    <xf numFmtId="0" fontId="15" fillId="0" borderId="0" xfId="1691" applyFont="1" applyFill="1" applyAlignment="1" applyProtection="1">
      <alignment horizontal="centerContinuous"/>
    </xf>
    <xf numFmtId="177" fontId="15" fillId="0" borderId="0" xfId="1580" applyNumberFormat="1" applyFont="1" applyFill="1" applyAlignment="1" applyProtection="1">
      <alignment horizontal="centerContinuous"/>
    </xf>
    <xf numFmtId="0" fontId="17" fillId="0" borderId="0" xfId="1691" applyFont="1" applyFill="1" applyAlignment="1" applyProtection="1">
      <alignment horizontal="centerContinuous"/>
    </xf>
    <xf numFmtId="0" fontId="15" fillId="0" borderId="13" xfId="1691" applyFont="1" applyFill="1" applyBorder="1" applyAlignment="1" applyProtection="1">
      <alignment horizontal="center"/>
    </xf>
    <xf numFmtId="177" fontId="15" fillId="0" borderId="13" xfId="1580" applyNumberFormat="1" applyFont="1" applyFill="1" applyBorder="1" applyAlignment="1" applyProtection="1">
      <alignment horizontal="center"/>
    </xf>
    <xf numFmtId="10" fontId="15" fillId="0" borderId="13" xfId="1580" applyNumberFormat="1" applyFont="1" applyFill="1" applyBorder="1" applyAlignment="1" applyProtection="1">
      <alignment horizontal="center"/>
    </xf>
    <xf numFmtId="0" fontId="15" fillId="0" borderId="13" xfId="1580" applyNumberFormat="1" applyFont="1" applyFill="1" applyBorder="1" applyAlignment="1" applyProtection="1">
      <alignment horizontal="center"/>
    </xf>
    <xf numFmtId="0" fontId="154" fillId="0" borderId="0" xfId="1691" applyFont="1" applyFill="1" applyBorder="1" applyProtection="1"/>
    <xf numFmtId="0" fontId="24" fillId="0" borderId="0" xfId="1691" applyFont="1" applyFill="1" applyBorder="1" applyProtection="1"/>
    <xf numFmtId="177" fontId="15" fillId="0" borderId="0" xfId="1580" applyNumberFormat="1" applyFont="1" applyFill="1" applyProtection="1"/>
    <xf numFmtId="0" fontId="63" fillId="0" borderId="0" xfId="1691" applyFont="1" applyFill="1" applyProtection="1"/>
    <xf numFmtId="0" fontId="153" fillId="0" borderId="0" xfId="1691" applyFont="1" applyFill="1" applyProtection="1"/>
    <xf numFmtId="44" fontId="15" fillId="0" borderId="0" xfId="1632" applyNumberFormat="1" applyFont="1" applyFill="1" applyBorder="1" applyAlignment="1" applyProtection="1">
      <alignment horizontal="right"/>
    </xf>
    <xf numFmtId="0" fontId="17" fillId="0" borderId="0" xfId="1691" applyFill="1" applyAlignment="1" applyProtection="1">
      <alignment horizontal="right"/>
    </xf>
    <xf numFmtId="227" fontId="15" fillId="0" borderId="0" xfId="344" applyNumberFormat="1" applyFont="1" applyFill="1" applyAlignment="1" applyProtection="1">
      <alignment horizontal="right"/>
    </xf>
    <xf numFmtId="42" fontId="15" fillId="0" borderId="0" xfId="1691" applyNumberFormat="1" applyFont="1" applyFill="1" applyBorder="1" applyAlignment="1" applyProtection="1">
      <alignment horizontal="right"/>
    </xf>
    <xf numFmtId="228" fontId="15" fillId="0" borderId="0" xfId="1691" applyNumberFormat="1" applyFont="1" applyFill="1" applyBorder="1" applyAlignment="1" applyProtection="1">
      <alignment horizontal="right"/>
    </xf>
    <xf numFmtId="220" fontId="15" fillId="0" borderId="0" xfId="1632" applyNumberFormat="1" applyFont="1" applyFill="1" applyAlignment="1" applyProtection="1">
      <alignment horizontal="right"/>
    </xf>
    <xf numFmtId="184" fontId="15" fillId="0" borderId="0" xfId="1632" applyNumberFormat="1" applyFont="1" applyFill="1" applyAlignment="1" applyProtection="1">
      <alignment horizontal="right"/>
    </xf>
    <xf numFmtId="43" fontId="15" fillId="0" borderId="0" xfId="1580" applyNumberFormat="1" applyFont="1" applyFill="1" applyAlignment="1" applyProtection="1">
      <alignment horizontal="right"/>
    </xf>
    <xf numFmtId="0" fontId="15" fillId="0" borderId="0" xfId="1691" applyFont="1" applyFill="1" applyAlignment="1" applyProtection="1">
      <alignment horizontal="right"/>
    </xf>
    <xf numFmtId="177" fontId="15" fillId="0" borderId="0" xfId="1580" applyNumberFormat="1" applyFont="1" applyFill="1" applyAlignment="1" applyProtection="1">
      <alignment horizontal="right"/>
    </xf>
    <xf numFmtId="39" fontId="15" fillId="0" borderId="0" xfId="1691" applyNumberFormat="1" applyFont="1" applyFill="1" applyAlignment="1" applyProtection="1">
      <alignment horizontal="right"/>
    </xf>
    <xf numFmtId="211" fontId="15" fillId="0" borderId="0" xfId="1580" applyNumberFormat="1" applyFont="1" applyFill="1" applyAlignment="1" applyProtection="1">
      <alignment horizontal="right"/>
    </xf>
    <xf numFmtId="227" fontId="15" fillId="0" borderId="13" xfId="344" applyNumberFormat="1" applyFont="1" applyFill="1" applyBorder="1" applyAlignment="1" applyProtection="1">
      <alignment horizontal="right"/>
    </xf>
    <xf numFmtId="177" fontId="15" fillId="0" borderId="0" xfId="1580" applyNumberFormat="1" applyFont="1" applyFill="1" applyBorder="1" applyAlignment="1" applyProtection="1">
      <alignment horizontal="right"/>
    </xf>
    <xf numFmtId="39" fontId="15" fillId="0" borderId="0" xfId="1691" applyNumberFormat="1" applyFont="1" applyFill="1" applyBorder="1" applyAlignment="1" applyProtection="1">
      <alignment horizontal="right"/>
    </xf>
    <xf numFmtId="211" fontId="15" fillId="0" borderId="0" xfId="1580" applyNumberFormat="1" applyFont="1" applyFill="1" applyBorder="1" applyAlignment="1" applyProtection="1">
      <alignment horizontal="right"/>
    </xf>
    <xf numFmtId="177" fontId="15" fillId="0" borderId="14" xfId="1580" applyNumberFormat="1" applyFont="1" applyFill="1" applyBorder="1" applyAlignment="1" applyProtection="1">
      <alignment horizontal="right"/>
    </xf>
    <xf numFmtId="229" fontId="15" fillId="0" borderId="0" xfId="1580" applyNumberFormat="1" applyFont="1" applyFill="1" applyAlignment="1" applyProtection="1">
      <alignment horizontal="right"/>
    </xf>
    <xf numFmtId="211" fontId="15" fillId="0" borderId="14" xfId="1580" applyNumberFormat="1" applyFont="1" applyFill="1" applyBorder="1" applyAlignment="1" applyProtection="1">
      <alignment horizontal="right"/>
    </xf>
    <xf numFmtId="39" fontId="15" fillId="0" borderId="0" xfId="1691" applyNumberFormat="1" applyFont="1" applyFill="1" applyProtection="1"/>
    <xf numFmtId="211" fontId="17" fillId="0" borderId="0" xfId="1580" applyNumberFormat="1" applyFont="1" applyFill="1" applyAlignment="1" applyProtection="1">
      <alignment horizontal="right"/>
    </xf>
    <xf numFmtId="0" fontId="24" fillId="0" borderId="0" xfId="1691" applyFont="1" applyFill="1" applyProtection="1"/>
    <xf numFmtId="43" fontId="15" fillId="0" borderId="13" xfId="1580" applyNumberFormat="1" applyFont="1" applyFill="1" applyBorder="1" applyAlignment="1" applyProtection="1">
      <alignment horizontal="right"/>
    </xf>
    <xf numFmtId="229" fontId="15" fillId="0" borderId="14" xfId="1691" applyNumberFormat="1" applyFont="1" applyFill="1" applyBorder="1" applyAlignment="1" applyProtection="1">
      <alignment horizontal="right"/>
    </xf>
    <xf numFmtId="220" fontId="15" fillId="0" borderId="14" xfId="1691" applyNumberFormat="1" applyFont="1" applyFill="1" applyBorder="1" applyAlignment="1" applyProtection="1">
      <alignment horizontal="right"/>
    </xf>
    <xf numFmtId="0" fontId="63" fillId="0" borderId="0" xfId="1691" applyFont="1" applyFill="1" applyAlignment="1" applyProtection="1">
      <alignment horizontal="right"/>
    </xf>
    <xf numFmtId="0" fontId="17" fillId="0" borderId="0" xfId="1691" applyFont="1" applyFill="1" applyAlignment="1" applyProtection="1">
      <alignment horizontal="right"/>
    </xf>
    <xf numFmtId="230" fontId="15" fillId="0" borderId="0" xfId="344" applyNumberFormat="1" applyFont="1" applyFill="1" applyBorder="1" applyAlignment="1" applyProtection="1">
      <alignment horizontal="right"/>
    </xf>
    <xf numFmtId="42" fontId="15" fillId="0" borderId="0" xfId="1691" applyNumberFormat="1" applyFont="1" applyFill="1" applyAlignment="1" applyProtection="1">
      <alignment horizontal="right"/>
    </xf>
    <xf numFmtId="44" fontId="15" fillId="0" borderId="20" xfId="1632" applyNumberFormat="1" applyFont="1" applyFill="1" applyBorder="1" applyAlignment="1" applyProtection="1">
      <alignment horizontal="right"/>
    </xf>
    <xf numFmtId="227" fontId="15" fillId="0" borderId="20" xfId="344" applyNumberFormat="1" applyFont="1" applyFill="1" applyBorder="1" applyAlignment="1" applyProtection="1">
      <alignment horizontal="right"/>
    </xf>
    <xf numFmtId="43" fontId="15" fillId="0" borderId="0" xfId="1691" applyNumberFormat="1" applyFont="1" applyFill="1" applyBorder="1" applyAlignment="1" applyProtection="1">
      <alignment horizontal="right"/>
    </xf>
    <xf numFmtId="230" fontId="15" fillId="0" borderId="0" xfId="1691" applyNumberFormat="1" applyFont="1" applyFill="1" applyBorder="1" applyAlignment="1" applyProtection="1">
      <alignment horizontal="right"/>
    </xf>
    <xf numFmtId="230" fontId="15" fillId="0" borderId="0" xfId="1580" applyNumberFormat="1" applyFont="1" applyFill="1" applyAlignment="1" applyProtection="1">
      <alignment horizontal="right"/>
    </xf>
    <xf numFmtId="43" fontId="15" fillId="0" borderId="0" xfId="1691" applyNumberFormat="1" applyFont="1" applyFill="1" applyAlignment="1" applyProtection="1">
      <alignment horizontal="right"/>
    </xf>
    <xf numFmtId="231" fontId="15" fillId="0" borderId="0" xfId="1691" applyNumberFormat="1" applyFont="1" applyFill="1" applyBorder="1" applyAlignment="1" applyProtection="1">
      <alignment horizontal="right"/>
    </xf>
    <xf numFmtId="37" fontId="15" fillId="0" borderId="0" xfId="1691" applyNumberFormat="1" applyFont="1" applyFill="1" applyAlignment="1" applyProtection="1">
      <alignment horizontal="right"/>
    </xf>
    <xf numFmtId="41" fontId="15" fillId="0" borderId="0" xfId="1691" applyNumberFormat="1" applyFont="1" applyFill="1" applyAlignment="1" applyProtection="1">
      <alignment horizontal="right"/>
    </xf>
    <xf numFmtId="37" fontId="15" fillId="0" borderId="14" xfId="1691" applyNumberFormat="1" applyFont="1" applyFill="1" applyBorder="1" applyAlignment="1" applyProtection="1">
      <alignment horizontal="right"/>
    </xf>
    <xf numFmtId="231" fontId="15" fillId="0" borderId="13" xfId="1691" applyNumberFormat="1" applyFont="1" applyFill="1" applyBorder="1" applyAlignment="1" applyProtection="1">
      <alignment horizontal="right"/>
    </xf>
    <xf numFmtId="231" fontId="15" fillId="0" borderId="20" xfId="1691" applyNumberFormat="1" applyFont="1" applyFill="1" applyBorder="1" applyAlignment="1" applyProtection="1">
      <alignment horizontal="right"/>
    </xf>
    <xf numFmtId="232" fontId="15" fillId="0" borderId="0" xfId="1691" applyNumberFormat="1" applyFont="1" applyFill="1" applyBorder="1" applyAlignment="1" applyProtection="1">
      <alignment horizontal="right"/>
    </xf>
    <xf numFmtId="227" fontId="15" fillId="0" borderId="0" xfId="344" applyNumberFormat="1" applyFont="1" applyFill="1" applyBorder="1" applyAlignment="1" applyProtection="1">
      <alignment horizontal="right"/>
    </xf>
    <xf numFmtId="0" fontId="153" fillId="0" borderId="0" xfId="1691" applyFont="1" applyFill="1" applyAlignment="1" applyProtection="1"/>
    <xf numFmtId="0" fontId="17" fillId="0" borderId="0" xfId="1737" applyFill="1" applyProtection="1"/>
    <xf numFmtId="226" fontId="152" fillId="0" borderId="0" xfId="1737" applyNumberFormat="1" applyFont="1" applyFill="1" applyProtection="1"/>
    <xf numFmtId="0" fontId="34" fillId="0" borderId="0" xfId="1737" applyFont="1" applyFill="1" applyBorder="1" applyAlignment="1" applyProtection="1">
      <alignment horizontal="centerContinuous"/>
    </xf>
    <xf numFmtId="0" fontId="24" fillId="0" borderId="0" xfId="1737" applyFont="1" applyFill="1" applyBorder="1" applyAlignment="1" applyProtection="1">
      <alignment horizontal="centerContinuous"/>
    </xf>
    <xf numFmtId="39" fontId="24" fillId="0" borderId="0" xfId="1906" applyFont="1" applyFill="1" applyAlignment="1" applyProtection="1"/>
    <xf numFmtId="0" fontId="153" fillId="0" borderId="0" xfId="1737" applyFont="1" applyFill="1" applyAlignment="1" applyProtection="1">
      <alignment horizontal="centerContinuous"/>
    </xf>
    <xf numFmtId="1" fontId="153" fillId="0" borderId="0" xfId="1737" applyNumberFormat="1" applyFont="1" applyFill="1" applyAlignment="1" applyProtection="1">
      <alignment horizontal="centerContinuous"/>
    </xf>
    <xf numFmtId="0" fontId="152" fillId="0" borderId="0" xfId="1737" applyFont="1" applyFill="1" applyAlignment="1" applyProtection="1">
      <alignment horizontal="centerContinuous"/>
    </xf>
    <xf numFmtId="39" fontId="24" fillId="0" borderId="0" xfId="1906" applyNumberFormat="1" applyFont="1" applyFill="1" applyProtection="1"/>
    <xf numFmtId="0" fontId="15" fillId="0" borderId="0" xfId="1737" applyFont="1" applyFill="1" applyProtection="1"/>
    <xf numFmtId="1" fontId="15" fillId="0" borderId="0" xfId="1737" applyNumberFormat="1" applyFont="1" applyFill="1" applyProtection="1"/>
    <xf numFmtId="177" fontId="15" fillId="0" borderId="13" xfId="1584" applyNumberFormat="1" applyFont="1" applyFill="1" applyBorder="1" applyAlignment="1" applyProtection="1">
      <alignment horizontal="centerContinuous"/>
    </xf>
    <xf numFmtId="0" fontId="15" fillId="0" borderId="13" xfId="1737" applyFont="1" applyFill="1" applyBorder="1" applyAlignment="1" applyProtection="1">
      <alignment horizontal="centerContinuous"/>
    </xf>
    <xf numFmtId="0" fontId="17" fillId="0" borderId="13" xfId="1737" applyFont="1" applyFill="1" applyBorder="1" applyAlignment="1" applyProtection="1">
      <alignment horizontal="centerContinuous"/>
    </xf>
    <xf numFmtId="10" fontId="15" fillId="0" borderId="13" xfId="1737" applyNumberFormat="1" applyFont="1" applyFill="1" applyBorder="1" applyAlignment="1" applyProtection="1">
      <alignment horizontal="centerContinuous"/>
    </xf>
    <xf numFmtId="0" fontId="17" fillId="0" borderId="0" xfId="1737" applyFont="1" applyFill="1" applyProtection="1"/>
    <xf numFmtId="0" fontId="63" fillId="0" borderId="13" xfId="1737" applyFont="1" applyFill="1" applyBorder="1" applyAlignment="1" applyProtection="1">
      <alignment horizontal="centerContinuous"/>
    </xf>
    <xf numFmtId="0" fontId="15" fillId="0" borderId="0" xfId="1737" applyFont="1" applyFill="1" applyAlignment="1" applyProtection="1">
      <alignment horizontal="center"/>
    </xf>
    <xf numFmtId="0" fontId="15" fillId="0" borderId="0" xfId="1737" applyFont="1" applyFill="1" applyAlignment="1" applyProtection="1">
      <alignment horizontal="centerContinuous"/>
    </xf>
    <xf numFmtId="177" fontId="15" fillId="0" borderId="0" xfId="1584" applyNumberFormat="1" applyFont="1" applyFill="1" applyAlignment="1" applyProtection="1">
      <alignment horizontal="centerContinuous"/>
    </xf>
    <xf numFmtId="0" fontId="17" fillId="0" borderId="0" xfId="1737" applyFont="1" applyFill="1" applyAlignment="1" applyProtection="1">
      <alignment horizontal="centerContinuous"/>
    </xf>
    <xf numFmtId="0" fontId="15" fillId="0" borderId="13" xfId="1737" applyFont="1" applyFill="1" applyBorder="1" applyAlignment="1" applyProtection="1">
      <alignment horizontal="center"/>
    </xf>
    <xf numFmtId="177" fontId="15" fillId="0" borderId="13" xfId="1584" applyNumberFormat="1" applyFont="1" applyFill="1" applyBorder="1" applyAlignment="1" applyProtection="1">
      <alignment horizontal="center"/>
    </xf>
    <xf numFmtId="10" fontId="15" fillId="0" borderId="13" xfId="1584" applyNumberFormat="1" applyFont="1" applyFill="1" applyBorder="1" applyAlignment="1" applyProtection="1">
      <alignment horizontal="center"/>
    </xf>
    <xf numFmtId="0" fontId="15" fillId="0" borderId="13" xfId="1584" applyNumberFormat="1" applyFont="1" applyFill="1" applyBorder="1" applyAlignment="1" applyProtection="1">
      <alignment horizontal="center"/>
    </xf>
    <xf numFmtId="0" fontId="154" fillId="0" borderId="0" xfId="1737" applyFont="1" applyFill="1" applyBorder="1" applyProtection="1"/>
    <xf numFmtId="0" fontId="24" fillId="0" borderId="0" xfId="1737" applyFont="1" applyFill="1" applyBorder="1" applyProtection="1"/>
    <xf numFmtId="177" fontId="15" fillId="0" borderId="0" xfId="1584" applyNumberFormat="1" applyFont="1" applyFill="1" applyProtection="1"/>
    <xf numFmtId="0" fontId="63" fillId="0" borderId="0" xfId="1737" applyFont="1" applyFill="1" applyProtection="1"/>
    <xf numFmtId="0" fontId="153" fillId="0" borderId="0" xfId="1737" applyFont="1" applyFill="1" applyProtection="1"/>
    <xf numFmtId="44" fontId="15" fillId="0" borderId="0" xfId="1633" applyNumberFormat="1" applyFont="1" applyFill="1" applyBorder="1" applyAlignment="1" applyProtection="1">
      <alignment horizontal="right"/>
    </xf>
    <xf numFmtId="0" fontId="17" fillId="0" borderId="0" xfId="1737" applyFill="1" applyAlignment="1" applyProtection="1">
      <alignment horizontal="right"/>
    </xf>
    <xf numFmtId="227" fontId="15" fillId="0" borderId="0" xfId="1823" applyNumberFormat="1" applyFont="1" applyFill="1" applyAlignment="1" applyProtection="1">
      <alignment horizontal="right"/>
    </xf>
    <xf numFmtId="42" fontId="15" fillId="0" borderId="0" xfId="1737" applyNumberFormat="1" applyFont="1" applyFill="1" applyBorder="1" applyAlignment="1" applyProtection="1">
      <alignment horizontal="right"/>
    </xf>
    <xf numFmtId="228" fontId="15" fillId="0" borderId="0" xfId="1737" applyNumberFormat="1" applyFont="1" applyFill="1" applyBorder="1" applyAlignment="1" applyProtection="1">
      <alignment horizontal="right"/>
    </xf>
    <xf numFmtId="220" fontId="15" fillId="0" borderId="0" xfId="1633" applyNumberFormat="1" applyFont="1" applyFill="1" applyAlignment="1" applyProtection="1">
      <alignment horizontal="right"/>
    </xf>
    <xf numFmtId="184" fontId="15" fillId="0" borderId="0" xfId="1633" applyNumberFormat="1" applyFont="1" applyFill="1" applyAlignment="1" applyProtection="1">
      <alignment horizontal="right"/>
    </xf>
    <xf numFmtId="43" fontId="15" fillId="0" borderId="0" xfId="1584" applyNumberFormat="1" applyFont="1" applyFill="1" applyAlignment="1" applyProtection="1">
      <alignment horizontal="right"/>
    </xf>
    <xf numFmtId="0" fontId="15" fillId="0" borderId="0" xfId="1737" applyFont="1" applyFill="1" applyAlignment="1" applyProtection="1">
      <alignment horizontal="right"/>
    </xf>
    <xf numFmtId="177" fontId="15" fillId="0" borderId="0" xfId="1584" applyNumberFormat="1" applyFont="1" applyFill="1" applyAlignment="1" applyProtection="1">
      <alignment horizontal="right"/>
    </xf>
    <xf numFmtId="39" fontId="15" fillId="0" borderId="0" xfId="1737" applyNumberFormat="1" applyFont="1" applyFill="1" applyAlignment="1" applyProtection="1">
      <alignment horizontal="right"/>
    </xf>
    <xf numFmtId="211" fontId="15" fillId="0" borderId="0" xfId="1584" applyNumberFormat="1" applyFont="1" applyFill="1" applyAlignment="1" applyProtection="1">
      <alignment horizontal="right"/>
    </xf>
    <xf numFmtId="227" fontId="15" fillId="0" borderId="13" xfId="1823" applyNumberFormat="1" applyFont="1" applyFill="1" applyBorder="1" applyAlignment="1" applyProtection="1">
      <alignment horizontal="right"/>
    </xf>
    <xf numFmtId="177" fontId="15" fillId="0" borderId="0" xfId="1584" applyNumberFormat="1" applyFont="1" applyFill="1" applyBorder="1" applyAlignment="1" applyProtection="1">
      <alignment horizontal="right"/>
    </xf>
    <xf numFmtId="39" fontId="15" fillId="0" borderId="0" xfId="1737" applyNumberFormat="1" applyFont="1" applyFill="1" applyBorder="1" applyAlignment="1" applyProtection="1">
      <alignment horizontal="right"/>
    </xf>
    <xf numFmtId="211" fontId="15" fillId="0" borderId="0" xfId="1584" applyNumberFormat="1" applyFont="1" applyFill="1" applyBorder="1" applyAlignment="1" applyProtection="1">
      <alignment horizontal="right"/>
    </xf>
    <xf numFmtId="177" fontId="15" fillId="0" borderId="14" xfId="1584" applyNumberFormat="1" applyFont="1" applyFill="1" applyBorder="1" applyAlignment="1" applyProtection="1">
      <alignment horizontal="right"/>
    </xf>
    <xf numFmtId="229" fontId="15" fillId="0" borderId="0" xfId="1584" applyNumberFormat="1" applyFont="1" applyFill="1" applyAlignment="1" applyProtection="1">
      <alignment horizontal="right"/>
    </xf>
    <xf numFmtId="211" fontId="15" fillId="0" borderId="14" xfId="1584" applyNumberFormat="1" applyFont="1" applyFill="1" applyBorder="1" applyAlignment="1" applyProtection="1">
      <alignment horizontal="right"/>
    </xf>
    <xf numFmtId="39" fontId="15" fillId="0" borderId="0" xfId="1737" applyNumberFormat="1" applyFont="1" applyFill="1" applyProtection="1"/>
    <xf numFmtId="211" fontId="17" fillId="0" borderId="0" xfId="1584" applyNumberFormat="1" applyFont="1" applyFill="1" applyAlignment="1" applyProtection="1">
      <alignment horizontal="right"/>
    </xf>
    <xf numFmtId="0" fontId="24" fillId="0" borderId="0" xfId="1737" applyFont="1" applyFill="1" applyProtection="1"/>
    <xf numFmtId="43" fontId="15" fillId="0" borderId="13" xfId="1584" applyNumberFormat="1" applyFont="1" applyFill="1" applyBorder="1" applyAlignment="1" applyProtection="1">
      <alignment horizontal="right"/>
    </xf>
    <xf numFmtId="229" fontId="15" fillId="0" borderId="14" xfId="1737" applyNumberFormat="1" applyFont="1" applyFill="1" applyBorder="1" applyAlignment="1" applyProtection="1">
      <alignment horizontal="right"/>
    </xf>
    <xf numFmtId="220" fontId="15" fillId="0" borderId="14" xfId="1737" applyNumberFormat="1" applyFont="1" applyFill="1" applyBorder="1" applyAlignment="1" applyProtection="1">
      <alignment horizontal="right"/>
    </xf>
    <xf numFmtId="0" fontId="63" fillId="0" borderId="0" xfId="1737" applyFont="1" applyFill="1" applyAlignment="1" applyProtection="1">
      <alignment horizontal="right"/>
    </xf>
    <xf numFmtId="0" fontId="17" fillId="0" borderId="0" xfId="1737" applyFont="1" applyFill="1" applyAlignment="1" applyProtection="1">
      <alignment horizontal="right"/>
    </xf>
    <xf numFmtId="230" fontId="15" fillId="0" borderId="0" xfId="1823" applyNumberFormat="1" applyFont="1" applyFill="1" applyBorder="1" applyAlignment="1" applyProtection="1">
      <alignment horizontal="right"/>
    </xf>
    <xf numFmtId="42" fontId="15" fillId="0" borderId="0" xfId="1737" applyNumberFormat="1" applyFont="1" applyFill="1" applyAlignment="1" applyProtection="1">
      <alignment horizontal="right"/>
    </xf>
    <xf numFmtId="44" fontId="15" fillId="0" borderId="20" xfId="1633" applyNumberFormat="1" applyFont="1" applyFill="1" applyBorder="1" applyAlignment="1" applyProtection="1">
      <alignment horizontal="right"/>
    </xf>
    <xf numFmtId="227" fontId="15" fillId="0" borderId="20" xfId="1823" applyNumberFormat="1" applyFont="1" applyFill="1" applyBorder="1" applyAlignment="1" applyProtection="1">
      <alignment horizontal="right"/>
    </xf>
    <xf numFmtId="43" fontId="15" fillId="0" borderId="0" xfId="1737" applyNumberFormat="1" applyFont="1" applyFill="1" applyBorder="1" applyAlignment="1" applyProtection="1">
      <alignment horizontal="right"/>
    </xf>
    <xf numFmtId="230" fontId="15" fillId="0" borderId="0" xfId="1737" applyNumberFormat="1" applyFont="1" applyFill="1" applyBorder="1" applyAlignment="1" applyProtection="1">
      <alignment horizontal="right"/>
    </xf>
    <xf numFmtId="230" fontId="15" fillId="0" borderId="0" xfId="1584" applyNumberFormat="1" applyFont="1" applyFill="1" applyAlignment="1" applyProtection="1">
      <alignment horizontal="right"/>
    </xf>
    <xf numFmtId="43" fontId="15" fillId="0" borderId="0" xfId="1737" applyNumberFormat="1" applyFont="1" applyFill="1" applyAlignment="1" applyProtection="1">
      <alignment horizontal="right"/>
    </xf>
    <xf numFmtId="231" fontId="15" fillId="0" borderId="0" xfId="1737" applyNumberFormat="1" applyFont="1" applyFill="1" applyBorder="1" applyAlignment="1" applyProtection="1">
      <alignment horizontal="right"/>
    </xf>
    <xf numFmtId="37" fontId="15" fillId="0" borderId="0" xfId="1737" applyNumberFormat="1" applyFont="1" applyFill="1" applyAlignment="1" applyProtection="1">
      <alignment horizontal="right"/>
    </xf>
    <xf numFmtId="41" fontId="15" fillId="0" borderId="0" xfId="1737" applyNumberFormat="1" applyFont="1" applyFill="1" applyAlignment="1" applyProtection="1">
      <alignment horizontal="right"/>
    </xf>
    <xf numFmtId="37" fontId="15" fillId="0" borderId="14" xfId="1737" applyNumberFormat="1" applyFont="1" applyFill="1" applyBorder="1" applyAlignment="1" applyProtection="1">
      <alignment horizontal="right"/>
    </xf>
    <xf numFmtId="231" fontId="15" fillId="0" borderId="13" xfId="1737" applyNumberFormat="1" applyFont="1" applyFill="1" applyBorder="1" applyAlignment="1" applyProtection="1">
      <alignment horizontal="right"/>
    </xf>
    <xf numFmtId="231" fontId="15" fillId="0" borderId="20" xfId="1737" applyNumberFormat="1" applyFont="1" applyFill="1" applyBorder="1" applyAlignment="1" applyProtection="1">
      <alignment horizontal="right"/>
    </xf>
    <xf numFmtId="232" fontId="15" fillId="0" borderId="0" xfId="1737" applyNumberFormat="1" applyFont="1" applyFill="1" applyBorder="1" applyAlignment="1" applyProtection="1">
      <alignment horizontal="right"/>
    </xf>
    <xf numFmtId="227" fontId="15" fillId="0" borderId="0" xfId="1823" applyNumberFormat="1" applyFont="1" applyFill="1" applyBorder="1" applyAlignment="1" applyProtection="1">
      <alignment horizontal="right"/>
    </xf>
    <xf numFmtId="0" fontId="63" fillId="0" borderId="0" xfId="1738" applyFont="1" applyFill="1" applyProtection="1">
      <protection locked="0"/>
    </xf>
    <xf numFmtId="10" fontId="63" fillId="0" borderId="0" xfId="1738" applyNumberFormat="1" applyFont="1" applyFill="1" applyProtection="1">
      <protection locked="0"/>
    </xf>
    <xf numFmtId="0" fontId="152" fillId="0" borderId="0" xfId="1738" applyFont="1" applyFill="1" applyProtection="1">
      <protection locked="0"/>
    </xf>
    <xf numFmtId="0" fontId="34" fillId="0" borderId="0" xfId="1738" applyFont="1" applyFill="1" applyBorder="1" applyAlignment="1" applyProtection="1">
      <alignment horizontal="centerContinuous"/>
      <protection locked="0"/>
    </xf>
    <xf numFmtId="0" fontId="34" fillId="0" borderId="0" xfId="1738" applyFont="1" applyFill="1" applyAlignment="1" applyProtection="1">
      <alignment horizontal="centerContinuous"/>
      <protection locked="0"/>
    </xf>
    <xf numFmtId="10" fontId="34" fillId="0" borderId="0" xfId="1738" applyNumberFormat="1" applyFont="1" applyFill="1" applyAlignment="1" applyProtection="1">
      <alignment horizontal="centerContinuous"/>
      <protection locked="0"/>
    </xf>
    <xf numFmtId="0" fontId="63" fillId="0" borderId="0" xfId="1738" applyFont="1" applyFill="1" applyAlignment="1" applyProtection="1">
      <alignment horizontal="centerContinuous"/>
      <protection locked="0"/>
    </xf>
    <xf numFmtId="195" fontId="34" fillId="0" borderId="0" xfId="1738" applyNumberFormat="1" applyFont="1" applyFill="1" applyBorder="1" applyAlignment="1" applyProtection="1">
      <alignment horizontal="centerContinuous"/>
      <protection locked="0"/>
    </xf>
    <xf numFmtId="0" fontId="24" fillId="0" borderId="0" xfId="1738" applyFont="1" applyFill="1" applyBorder="1" applyAlignment="1" applyProtection="1">
      <alignment horizontal="centerContinuous"/>
      <protection locked="0"/>
    </xf>
    <xf numFmtId="0" fontId="24" fillId="0" borderId="0" xfId="1738" applyFont="1" applyFill="1" applyAlignment="1" applyProtection="1">
      <alignment horizontal="centerContinuous"/>
      <protection locked="0"/>
    </xf>
    <xf numFmtId="10" fontId="24" fillId="0" borderId="0" xfId="1738" applyNumberFormat="1" applyFont="1" applyFill="1" applyAlignment="1" applyProtection="1">
      <alignment horizontal="centerContinuous"/>
      <protection locked="0"/>
    </xf>
    <xf numFmtId="0" fontId="15" fillId="0" borderId="0" xfId="1738" applyFont="1" applyFill="1" applyAlignment="1" applyProtection="1">
      <alignment horizontal="centerContinuous"/>
      <protection locked="0"/>
    </xf>
    <xf numFmtId="0" fontId="15" fillId="0" borderId="0" xfId="1738" applyFont="1" applyFill="1" applyProtection="1">
      <protection locked="0"/>
    </xf>
    <xf numFmtId="0" fontId="153" fillId="0" borderId="0" xfId="1738" applyFont="1" applyFill="1" applyAlignment="1" applyProtection="1">
      <alignment horizontal="centerContinuous"/>
      <protection locked="0"/>
    </xf>
    <xf numFmtId="10" fontId="153" fillId="0" borderId="0" xfId="1738" applyNumberFormat="1" applyFont="1" applyFill="1" applyAlignment="1" applyProtection="1">
      <alignment horizontal="centerContinuous"/>
      <protection locked="0"/>
    </xf>
    <xf numFmtId="0" fontId="152" fillId="0" borderId="0" xfId="1738" applyFont="1" applyFill="1" applyAlignment="1" applyProtection="1">
      <alignment horizontal="centerContinuous"/>
      <protection locked="0"/>
    </xf>
    <xf numFmtId="0" fontId="150" fillId="0" borderId="0" xfId="1738" applyFont="1" applyFill="1" applyAlignment="1">
      <alignment horizontal="centerContinuous"/>
    </xf>
    <xf numFmtId="0" fontId="17" fillId="0" borderId="0" xfId="1738" applyFont="1" applyFill="1" applyAlignment="1">
      <alignment horizontal="centerContinuous"/>
    </xf>
    <xf numFmtId="10" fontId="15" fillId="0" borderId="0" xfId="1738" applyNumberFormat="1" applyFont="1" applyFill="1" applyAlignment="1" applyProtection="1">
      <alignment horizontal="centerContinuous"/>
      <protection locked="0"/>
    </xf>
    <xf numFmtId="0" fontId="17" fillId="0" borderId="0" xfId="1738" applyFont="1" applyFill="1"/>
    <xf numFmtId="0" fontId="150" fillId="0" borderId="0" xfId="1738" applyFont="1" applyFill="1" applyAlignment="1" applyProtection="1">
      <alignment horizontal="centerContinuous"/>
      <protection locked="0"/>
    </xf>
    <xf numFmtId="0" fontId="15" fillId="0" borderId="0" xfId="1738" applyFont="1" applyFill="1" applyAlignment="1" applyProtection="1">
      <alignment horizontal="center"/>
      <protection locked="0"/>
    </xf>
    <xf numFmtId="0" fontId="15" fillId="0" borderId="13" xfId="1738" applyFont="1" applyFill="1" applyBorder="1" applyAlignment="1" applyProtection="1">
      <alignment horizontal="center"/>
      <protection locked="0"/>
    </xf>
    <xf numFmtId="177" fontId="15" fillId="0" borderId="13" xfId="1594" applyNumberFormat="1" applyFont="1" applyFill="1" applyBorder="1" applyAlignment="1" applyProtection="1">
      <alignment horizontal="center"/>
      <protection locked="0"/>
    </xf>
    <xf numFmtId="10" fontId="15" fillId="0" borderId="13" xfId="1594" applyNumberFormat="1" applyFont="1" applyFill="1" applyBorder="1" applyAlignment="1" applyProtection="1">
      <alignment horizontal="center"/>
      <protection locked="0"/>
    </xf>
    <xf numFmtId="0" fontId="15" fillId="0" borderId="13" xfId="1594" applyNumberFormat="1" applyFont="1" applyFill="1" applyBorder="1" applyAlignment="1" applyProtection="1">
      <alignment horizontal="center"/>
      <protection locked="0"/>
    </xf>
    <xf numFmtId="0" fontId="15" fillId="0" borderId="13" xfId="1738" applyFont="1" applyFill="1" applyBorder="1" applyAlignment="1">
      <alignment horizontal="center"/>
    </xf>
    <xf numFmtId="0" fontId="24" fillId="0" borderId="0" xfId="1738" applyFont="1" applyFill="1" applyBorder="1" applyProtection="1">
      <protection locked="0"/>
    </xf>
    <xf numFmtId="10" fontId="15" fillId="0" borderId="0" xfId="1738" applyNumberFormat="1" applyFont="1" applyFill="1" applyProtection="1">
      <protection locked="0"/>
    </xf>
    <xf numFmtId="228" fontId="15" fillId="0" borderId="0" xfId="1738" applyNumberFormat="1" applyFont="1" applyFill="1" applyBorder="1" applyProtection="1">
      <protection locked="0"/>
    </xf>
    <xf numFmtId="178" fontId="15" fillId="0" borderId="0" xfId="1634" applyNumberFormat="1" applyFont="1" applyFill="1" applyBorder="1" applyProtection="1">
      <protection locked="0"/>
    </xf>
    <xf numFmtId="229" fontId="15" fillId="0" borderId="0" xfId="1823" applyNumberFormat="1" applyFont="1" applyFill="1" applyProtection="1">
      <protection locked="0"/>
    </xf>
    <xf numFmtId="220" fontId="15" fillId="0" borderId="0" xfId="1634" applyNumberFormat="1" applyFont="1" applyFill="1" applyProtection="1">
      <protection locked="0"/>
    </xf>
    <xf numFmtId="39" fontId="15" fillId="0" borderId="0" xfId="1738" applyNumberFormat="1" applyFont="1" applyFill="1" applyProtection="1">
      <protection locked="0"/>
    </xf>
    <xf numFmtId="177" fontId="15" fillId="0" borderId="0" xfId="1594" applyNumberFormat="1" applyFont="1" applyFill="1" applyBorder="1" applyProtection="1">
      <protection locked="0"/>
    </xf>
    <xf numFmtId="177" fontId="15" fillId="0" borderId="0" xfId="1594" applyNumberFormat="1" applyFont="1" applyFill="1"/>
    <xf numFmtId="211" fontId="15" fillId="0" borderId="0" xfId="1594" applyNumberFormat="1" applyFont="1" applyFill="1" applyProtection="1">
      <protection locked="0"/>
    </xf>
    <xf numFmtId="233" fontId="15" fillId="0" borderId="0" xfId="1594" applyNumberFormat="1" applyFont="1" applyFill="1" applyProtection="1">
      <protection locked="0"/>
    </xf>
    <xf numFmtId="39" fontId="15" fillId="0" borderId="0" xfId="1738" applyNumberFormat="1" applyFont="1" applyFill="1" applyBorder="1" applyProtection="1">
      <protection locked="0"/>
    </xf>
    <xf numFmtId="229" fontId="15" fillId="0" borderId="13" xfId="1823" applyNumberFormat="1" applyFont="1" applyFill="1" applyBorder="1" applyProtection="1">
      <protection locked="0"/>
    </xf>
    <xf numFmtId="177" fontId="15" fillId="0" borderId="14" xfId="1594" applyNumberFormat="1" applyFont="1" applyFill="1" applyBorder="1" applyProtection="1">
      <protection locked="0"/>
    </xf>
    <xf numFmtId="0" fontId="15" fillId="0" borderId="14" xfId="1738" applyFont="1" applyFill="1" applyBorder="1" applyProtection="1">
      <protection locked="0"/>
    </xf>
    <xf numFmtId="177" fontId="15" fillId="0" borderId="0" xfId="1594" applyNumberFormat="1" applyFont="1" applyFill="1" applyProtection="1">
      <protection locked="0"/>
    </xf>
    <xf numFmtId="0" fontId="24" fillId="0" borderId="0" xfId="1738" applyFont="1" applyFill="1" applyProtection="1">
      <protection locked="0"/>
    </xf>
    <xf numFmtId="229" fontId="15" fillId="0" borderId="0" xfId="1738" applyNumberFormat="1" applyFont="1" applyFill="1" applyProtection="1">
      <protection locked="0"/>
    </xf>
    <xf numFmtId="177" fontId="15" fillId="0" borderId="13" xfId="1594" applyNumberFormat="1" applyFont="1" applyFill="1" applyBorder="1" applyProtection="1">
      <protection locked="0"/>
    </xf>
    <xf numFmtId="177" fontId="15" fillId="0" borderId="14" xfId="1738" applyNumberFormat="1" applyFont="1" applyFill="1" applyBorder="1" applyProtection="1">
      <protection locked="0"/>
    </xf>
    <xf numFmtId="229" fontId="15" fillId="0" borderId="14" xfId="1738" applyNumberFormat="1" applyFont="1" applyFill="1" applyBorder="1" applyProtection="1">
      <protection locked="0"/>
    </xf>
    <xf numFmtId="39" fontId="15" fillId="0" borderId="14" xfId="1738" applyNumberFormat="1" applyFont="1" applyFill="1" applyBorder="1" applyProtection="1">
      <protection locked="0"/>
    </xf>
    <xf numFmtId="197" fontId="15" fillId="0" borderId="0" xfId="1823" applyNumberFormat="1" applyFont="1" applyFill="1" applyProtection="1">
      <protection locked="0"/>
    </xf>
    <xf numFmtId="230" fontId="15" fillId="0" borderId="0" xfId="1823" applyNumberFormat="1" applyFont="1" applyFill="1" applyBorder="1" applyProtection="1">
      <protection locked="0"/>
    </xf>
    <xf numFmtId="42" fontId="15" fillId="0" borderId="0" xfId="1738" applyNumberFormat="1" applyFont="1" applyFill="1" applyProtection="1">
      <protection locked="0"/>
    </xf>
    <xf numFmtId="43" fontId="15" fillId="0" borderId="0" xfId="1738" applyNumberFormat="1" applyFont="1" applyFill="1" applyBorder="1" applyProtection="1">
      <protection locked="0"/>
    </xf>
    <xf numFmtId="42" fontId="15" fillId="0" borderId="20" xfId="1738" applyNumberFormat="1" applyFont="1" applyFill="1" applyBorder="1" applyProtection="1">
      <protection locked="0"/>
    </xf>
    <xf numFmtId="229" fontId="15" fillId="0" borderId="20" xfId="1823" applyNumberFormat="1" applyFont="1" applyFill="1" applyBorder="1" applyProtection="1">
      <protection locked="0"/>
    </xf>
    <xf numFmtId="42" fontId="15" fillId="0" borderId="0" xfId="1738" applyNumberFormat="1" applyFont="1" applyFill="1" applyBorder="1" applyProtection="1">
      <protection locked="0"/>
    </xf>
    <xf numFmtId="230" fontId="15" fillId="0" borderId="0" xfId="1823" applyNumberFormat="1" applyFont="1" applyFill="1" applyProtection="1">
      <protection locked="0"/>
    </xf>
    <xf numFmtId="7" fontId="15" fillId="0" borderId="0" xfId="1634" applyNumberFormat="1" applyFont="1" applyFill="1" applyBorder="1" applyProtection="1">
      <protection locked="0"/>
    </xf>
    <xf numFmtId="43" fontId="15" fillId="0" borderId="0" xfId="1594" applyFont="1" applyFill="1" applyBorder="1" applyProtection="1">
      <protection locked="0"/>
    </xf>
    <xf numFmtId="43" fontId="15" fillId="0" borderId="0" xfId="1738" applyNumberFormat="1" applyFont="1" applyFill="1" applyProtection="1">
      <protection locked="0"/>
    </xf>
    <xf numFmtId="41" fontId="15" fillId="0" borderId="0" xfId="1738" applyNumberFormat="1" applyFont="1" applyFill="1" applyProtection="1">
      <protection locked="0"/>
    </xf>
    <xf numFmtId="10" fontId="15" fillId="0" borderId="0" xfId="1823" applyNumberFormat="1" applyFont="1" applyFill="1" applyProtection="1">
      <protection locked="0"/>
    </xf>
    <xf numFmtId="3" fontId="15" fillId="0" borderId="0" xfId="1738" applyNumberFormat="1" applyFont="1" applyFill="1" applyBorder="1" applyProtection="1">
      <protection locked="0"/>
    </xf>
    <xf numFmtId="177" fontId="15" fillId="0" borderId="0" xfId="1738" applyNumberFormat="1" applyFont="1" applyFill="1" applyProtection="1">
      <protection locked="0"/>
    </xf>
    <xf numFmtId="229" fontId="15" fillId="0" borderId="0" xfId="1823" applyNumberFormat="1" applyFont="1" applyFill="1" applyBorder="1" applyProtection="1">
      <protection locked="0"/>
    </xf>
    <xf numFmtId="41" fontId="15" fillId="0" borderId="14" xfId="1738" applyNumberFormat="1" applyFont="1" applyFill="1" applyBorder="1" applyProtection="1">
      <protection locked="0"/>
    </xf>
    <xf numFmtId="3" fontId="15" fillId="0" borderId="13" xfId="1738" applyNumberFormat="1" applyFont="1" applyFill="1" applyBorder="1" applyProtection="1">
      <protection locked="0"/>
    </xf>
    <xf numFmtId="0" fontId="15" fillId="0" borderId="0" xfId="1738" applyFont="1" applyFill="1" applyBorder="1" applyProtection="1">
      <protection locked="0"/>
    </xf>
    <xf numFmtId="0" fontId="152" fillId="0" borderId="0" xfId="1738" applyFont="1" applyFill="1" applyBorder="1" applyProtection="1">
      <protection locked="0"/>
    </xf>
    <xf numFmtId="3" fontId="15" fillId="0" borderId="20" xfId="1738" applyNumberFormat="1" applyFont="1" applyFill="1" applyBorder="1" applyProtection="1">
      <protection locked="0"/>
    </xf>
    <xf numFmtId="41" fontId="15" fillId="0" borderId="20" xfId="1738" applyNumberFormat="1" applyFont="1" applyFill="1" applyBorder="1" applyProtection="1">
      <protection locked="0"/>
    </xf>
    <xf numFmtId="0" fontId="153" fillId="0" borderId="0" xfId="1738" applyFont="1" applyFill="1" applyProtection="1">
      <protection locked="0"/>
    </xf>
    <xf numFmtId="0" fontId="63" fillId="0" borderId="0" xfId="1738" applyFont="1" applyFill="1" applyBorder="1" applyProtection="1">
      <protection locked="0"/>
    </xf>
    <xf numFmtId="41" fontId="63" fillId="0" borderId="0" xfId="1738" applyNumberFormat="1" applyFont="1" applyFill="1" applyBorder="1" applyAlignment="1" applyProtection="1">
      <alignment horizontal="centerContinuous"/>
      <protection locked="0"/>
    </xf>
    <xf numFmtId="41" fontId="63" fillId="0" borderId="0" xfId="1738" applyNumberFormat="1" applyFont="1" applyFill="1" applyBorder="1" applyAlignment="1" applyProtection="1">
      <alignment horizontal="center"/>
      <protection locked="0"/>
    </xf>
    <xf numFmtId="0" fontId="34" fillId="0" borderId="0" xfId="1738" applyFont="1" applyFill="1" applyBorder="1" applyProtection="1">
      <protection locked="0"/>
    </xf>
    <xf numFmtId="41" fontId="63" fillId="0" borderId="0" xfId="1738" quotePrefix="1" applyNumberFormat="1" applyFont="1" applyFill="1" applyBorder="1" applyAlignment="1" applyProtection="1">
      <alignment horizontal="center"/>
      <protection locked="0"/>
    </xf>
    <xf numFmtId="0" fontId="155" fillId="0" borderId="0" xfId="1738" applyFont="1" applyFill="1" applyBorder="1" applyProtection="1">
      <protection locked="0"/>
    </xf>
    <xf numFmtId="0" fontId="154" fillId="0" borderId="0" xfId="1738" applyFont="1" applyFill="1" applyProtection="1">
      <protection locked="0"/>
    </xf>
    <xf numFmtId="41" fontId="152" fillId="0" borderId="0" xfId="1738" applyNumberFormat="1" applyFont="1" applyFill="1" applyBorder="1" applyAlignment="1" applyProtection="1">
      <alignment horizontal="center"/>
      <protection locked="0"/>
    </xf>
    <xf numFmtId="230" fontId="153" fillId="0" borderId="0" xfId="1823" applyNumberFormat="1" applyFont="1" applyFill="1" applyProtection="1">
      <protection locked="0"/>
    </xf>
    <xf numFmtId="0" fontId="156" fillId="0" borderId="0" xfId="1738" applyFont="1" applyFill="1"/>
    <xf numFmtId="41" fontId="152" fillId="0" borderId="0" xfId="1738" applyNumberFormat="1" applyFont="1" applyFill="1" applyBorder="1" applyProtection="1">
      <protection locked="0"/>
    </xf>
    <xf numFmtId="44" fontId="153" fillId="0" borderId="0" xfId="1634" applyFont="1" applyFill="1" applyBorder="1" applyProtection="1">
      <protection locked="0"/>
    </xf>
    <xf numFmtId="10" fontId="152" fillId="0" borderId="0" xfId="1738" applyNumberFormat="1" applyFont="1" applyFill="1" applyBorder="1" applyProtection="1">
      <protection locked="0"/>
    </xf>
    <xf numFmtId="10" fontId="152" fillId="0" borderId="0" xfId="1738" applyNumberFormat="1" applyFont="1" applyFill="1" applyProtection="1">
      <protection locked="0"/>
    </xf>
    <xf numFmtId="43" fontId="15" fillId="0" borderId="0" xfId="1594" applyNumberFormat="1" applyFont="1" applyFill="1" applyProtection="1">
      <protection locked="0"/>
    </xf>
    <xf numFmtId="41" fontId="139" fillId="111" borderId="64" xfId="189" applyNumberFormat="1" applyFont="1" applyFill="1" applyBorder="1"/>
    <xf numFmtId="44" fontId="15" fillId="111" borderId="20" xfId="1632" applyNumberFormat="1" applyFont="1" applyFill="1" applyBorder="1" applyAlignment="1" applyProtection="1">
      <alignment horizontal="right"/>
    </xf>
    <xf numFmtId="44" fontId="15" fillId="111" borderId="20" xfId="1633" applyNumberFormat="1" applyFont="1" applyFill="1" applyBorder="1" applyAlignment="1" applyProtection="1">
      <alignment horizontal="right"/>
    </xf>
    <xf numFmtId="178" fontId="15" fillId="111" borderId="20" xfId="1634" applyNumberFormat="1" applyFont="1" applyFill="1" applyBorder="1" applyProtection="1">
      <protection locked="0"/>
    </xf>
    <xf numFmtId="43" fontId="15" fillId="111" borderId="13" xfId="1580" applyNumberFormat="1" applyFont="1" applyFill="1" applyBorder="1" applyAlignment="1" applyProtection="1">
      <alignment horizontal="right"/>
    </xf>
    <xf numFmtId="43" fontId="15" fillId="111" borderId="13" xfId="1584" applyNumberFormat="1" applyFont="1" applyFill="1" applyBorder="1" applyAlignment="1" applyProtection="1">
      <alignment horizontal="right"/>
    </xf>
    <xf numFmtId="177" fontId="15" fillId="111" borderId="13" xfId="1594" applyNumberFormat="1" applyFont="1" applyFill="1" applyBorder="1" applyProtection="1">
      <protection locked="0"/>
    </xf>
    <xf numFmtId="0" fontId="15" fillId="0" borderId="0" xfId="0" applyNumberFormat="1" applyFont="1" applyFill="1" applyAlignment="1">
      <alignment horizontal="center"/>
    </xf>
    <xf numFmtId="0" fontId="24" fillId="0" borderId="0" xfId="0" applyNumberFormat="1" applyFont="1" applyFill="1" applyBorder="1" applyAlignment="1">
      <alignment horizontal="centerContinuous"/>
    </xf>
    <xf numFmtId="0" fontId="24" fillId="0" borderId="0" xfId="0" applyNumberFormat="1" applyFont="1" applyFill="1" applyAlignment="1">
      <alignment horizontal="centerContinuous" vertical="center"/>
    </xf>
    <xf numFmtId="0" fontId="139" fillId="0" borderId="0" xfId="0" applyNumberFormat="1" applyFont="1" applyFill="1" applyAlignment="1"/>
    <xf numFmtId="0" fontId="139" fillId="0" borderId="0" xfId="0" applyNumberFormat="1" applyFont="1" applyFill="1" applyAlignment="1">
      <alignment horizontal="center"/>
    </xf>
    <xf numFmtId="0" fontId="140" fillId="0" borderId="13" xfId="0" applyNumberFormat="1" applyFont="1" applyFill="1" applyBorder="1" applyAlignment="1">
      <alignment horizontal="center"/>
    </xf>
    <xf numFmtId="0" fontId="140" fillId="0" borderId="0" xfId="0" applyNumberFormat="1" applyFont="1" applyFill="1" applyAlignment="1">
      <alignment horizontal="center"/>
    </xf>
    <xf numFmtId="0" fontId="148" fillId="0" borderId="0" xfId="0" applyNumberFormat="1" applyFont="1" applyFill="1" applyAlignment="1"/>
    <xf numFmtId="14" fontId="139" fillId="0" borderId="0" xfId="0" applyNumberFormat="1" applyFont="1" applyFill="1" applyAlignment="1">
      <alignment horizontal="center"/>
    </xf>
    <xf numFmtId="177" fontId="139" fillId="0" borderId="0" xfId="1907" applyNumberFormat="1" applyFont="1" applyFill="1"/>
    <xf numFmtId="0" fontId="139" fillId="0" borderId="0" xfId="0" applyNumberFormat="1" applyFont="1" applyFill="1" applyAlignment="1">
      <alignment horizontal="left"/>
    </xf>
    <xf numFmtId="10" fontId="140" fillId="0" borderId="12" xfId="1803" applyNumberFormat="1" applyFont="1" applyFill="1" applyBorder="1"/>
    <xf numFmtId="10" fontId="139" fillId="0" borderId="12" xfId="1803" applyNumberFormat="1" applyFont="1" applyFill="1" applyBorder="1"/>
    <xf numFmtId="3" fontId="139" fillId="0" borderId="0" xfId="1907" applyNumberFormat="1" applyFont="1" applyFill="1"/>
    <xf numFmtId="3" fontId="139" fillId="0" borderId="0" xfId="0" applyNumberFormat="1" applyFont="1" applyFill="1" applyAlignment="1"/>
    <xf numFmtId="0" fontId="139" fillId="0" borderId="0" xfId="0" applyNumberFormat="1" applyFont="1" applyFill="1" applyAlignment="1">
      <alignment horizontal="left" wrapText="1"/>
    </xf>
    <xf numFmtId="42" fontId="139" fillId="0" borderId="0" xfId="1908" applyNumberFormat="1" applyFont="1" applyFill="1"/>
    <xf numFmtId="41" fontId="139" fillId="0" borderId="0" xfId="1908" applyNumberFormat="1" applyFont="1" applyFill="1"/>
    <xf numFmtId="0" fontId="139" fillId="0" borderId="0" xfId="0" applyNumberFormat="1" applyFont="1" applyFill="1" applyBorder="1" applyAlignment="1">
      <alignment horizontal="center"/>
    </xf>
    <xf numFmtId="42" fontId="139" fillId="0" borderId="2" xfId="1908" applyNumberFormat="1" applyFont="1" applyFill="1" applyBorder="1"/>
    <xf numFmtId="10" fontId="139" fillId="0" borderId="2" xfId="1803" applyNumberFormat="1" applyFont="1" applyFill="1" applyBorder="1"/>
    <xf numFmtId="10" fontId="139" fillId="0" borderId="2" xfId="0" applyNumberFormat="1" applyFont="1" applyFill="1" applyBorder="1" applyAlignment="1"/>
    <xf numFmtId="178" fontId="139" fillId="0" borderId="0" xfId="0" applyNumberFormat="1" applyFont="1" applyFill="1" applyAlignment="1"/>
    <xf numFmtId="178" fontId="139" fillId="0" borderId="0" xfId="1908" applyNumberFormat="1" applyFont="1" applyFill="1"/>
    <xf numFmtId="0" fontId="139" fillId="0" borderId="0" xfId="0" applyNumberFormat="1" applyFont="1" applyFill="1" applyBorder="1" applyAlignment="1"/>
    <xf numFmtId="10" fontId="139" fillId="0" borderId="13" xfId="1803" applyNumberFormat="1" applyFont="1" applyFill="1" applyBorder="1"/>
    <xf numFmtId="4" fontId="139" fillId="0" borderId="0" xfId="1907" applyFont="1" applyFill="1"/>
    <xf numFmtId="178" fontId="139" fillId="0" borderId="2" xfId="1908" applyNumberFormat="1" applyFont="1" applyFill="1" applyBorder="1"/>
    <xf numFmtId="10" fontId="139" fillId="0" borderId="12" xfId="0" applyNumberFormat="1" applyFont="1" applyFill="1" applyBorder="1" applyAlignment="1"/>
    <xf numFmtId="4" fontId="139" fillId="0" borderId="0" xfId="0" applyNumberFormat="1" applyFont="1" applyFill="1" applyAlignment="1"/>
    <xf numFmtId="0" fontId="24" fillId="115" borderId="71" xfId="1909" applyFont="1" applyFill="1" applyBorder="1"/>
    <xf numFmtId="0" fontId="24" fillId="115" borderId="72" xfId="1909" applyFont="1" applyFill="1" applyBorder="1"/>
    <xf numFmtId="0" fontId="24" fillId="115" borderId="73" xfId="1909" applyFont="1" applyFill="1" applyBorder="1"/>
    <xf numFmtId="0" fontId="157" fillId="0" borderId="0" xfId="1909"/>
    <xf numFmtId="49" fontId="16" fillId="0" borderId="13" xfId="1910" applyNumberFormat="1" applyFont="1" applyFill="1" applyBorder="1" applyAlignment="1"/>
    <xf numFmtId="0" fontId="24" fillId="0" borderId="13" xfId="1910" applyNumberFormat="1" applyFont="1" applyFill="1" applyBorder="1" applyAlignment="1">
      <alignment horizontal="center"/>
    </xf>
    <xf numFmtId="49" fontId="24" fillId="0" borderId="3" xfId="1910" applyNumberFormat="1" applyFont="1" applyFill="1" applyBorder="1" applyAlignment="1">
      <alignment horizontal="center" wrapText="1"/>
    </xf>
    <xf numFmtId="17" fontId="24" fillId="0" borderId="13" xfId="1910" applyNumberFormat="1" applyFont="1" applyFill="1" applyBorder="1" applyAlignment="1">
      <alignment horizontal="center" wrapText="1"/>
    </xf>
    <xf numFmtId="0" fontId="15" fillId="0" borderId="0" xfId="1910" applyFont="1"/>
    <xf numFmtId="49" fontId="16" fillId="0" borderId="0" xfId="1910" applyNumberFormat="1" applyFont="1" applyFill="1" applyBorder="1" applyAlignment="1"/>
    <xf numFmtId="0" fontId="24" fillId="0" borderId="0" xfId="1910" applyNumberFormat="1" applyFont="1" applyFill="1" applyBorder="1" applyAlignment="1">
      <alignment horizontal="center"/>
    </xf>
    <xf numFmtId="17" fontId="24" fillId="0" borderId="0" xfId="1910" applyNumberFormat="1" applyFont="1" applyFill="1" applyBorder="1" applyAlignment="1">
      <alignment horizontal="center"/>
    </xf>
    <xf numFmtId="0" fontId="17" fillId="0" borderId="21" xfId="1910" applyFont="1" applyBorder="1"/>
    <xf numFmtId="0" fontId="24" fillId="0" borderId="14" xfId="1910" applyNumberFormat="1" applyFont="1" applyFill="1" applyBorder="1" applyAlignment="1">
      <alignment horizontal="center"/>
    </xf>
    <xf numFmtId="0" fontId="15" fillId="0" borderId="14" xfId="1910" applyFont="1" applyBorder="1"/>
    <xf numFmtId="17" fontId="24" fillId="0" borderId="61" xfId="1910" applyNumberFormat="1" applyFont="1" applyFill="1" applyBorder="1" applyAlignment="1">
      <alignment horizontal="center"/>
    </xf>
    <xf numFmtId="49" fontId="15" fillId="0" borderId="24" xfId="1570" applyNumberFormat="1" applyFont="1" applyFill="1" applyBorder="1" applyAlignment="1">
      <alignment horizontal="left"/>
    </xf>
    <xf numFmtId="0" fontId="15" fillId="0" borderId="0" xfId="1910" applyFont="1" applyFill="1" applyBorder="1"/>
    <xf numFmtId="49" fontId="15" fillId="0" borderId="3" xfId="1910" applyNumberFormat="1" applyFont="1" applyFill="1" applyBorder="1" applyAlignment="1">
      <alignment horizontal="center"/>
    </xf>
    <xf numFmtId="43" fontId="15" fillId="0" borderId="28" xfId="1570" applyFont="1" applyFill="1" applyBorder="1"/>
    <xf numFmtId="49" fontId="15" fillId="0" borderId="24" xfId="1910" applyNumberFormat="1" applyFont="1" applyFill="1" applyBorder="1" applyAlignment="1">
      <alignment horizontal="left"/>
    </xf>
    <xf numFmtId="0" fontId="15" fillId="0" borderId="3" xfId="1910" applyNumberFormat="1" applyFont="1" applyFill="1" applyBorder="1" applyAlignment="1">
      <alignment horizontal="center"/>
    </xf>
    <xf numFmtId="43" fontId="16" fillId="0" borderId="0" xfId="1570" applyFont="1" applyFill="1" applyBorder="1"/>
    <xf numFmtId="1" fontId="15" fillId="0" borderId="24" xfId="1570" applyNumberFormat="1" applyFont="1" applyFill="1" applyBorder="1" applyAlignment="1">
      <alignment horizontal="left"/>
    </xf>
    <xf numFmtId="43" fontId="15" fillId="0" borderId="0" xfId="1910" applyNumberFormat="1" applyFont="1"/>
    <xf numFmtId="0" fontId="17" fillId="0" borderId="26" xfId="1910" applyFont="1" applyBorder="1"/>
    <xf numFmtId="0" fontId="15" fillId="0" borderId="13" xfId="1910" applyFont="1" applyBorder="1"/>
    <xf numFmtId="43" fontId="15" fillId="0" borderId="64" xfId="1910" applyNumberFormat="1" applyFont="1" applyFill="1" applyBorder="1"/>
    <xf numFmtId="43" fontId="15" fillId="0" borderId="0" xfId="1570" applyFont="1"/>
    <xf numFmtId="0" fontId="17" fillId="0" borderId="0" xfId="1910" applyFont="1"/>
    <xf numFmtId="10" fontId="15" fillId="0" borderId="0" xfId="1803" applyNumberFormat="1" applyFont="1" applyFill="1"/>
    <xf numFmtId="0" fontId="15" fillId="0" borderId="61" xfId="1910" applyFont="1" applyFill="1" applyBorder="1"/>
    <xf numFmtId="49" fontId="131" fillId="0" borderId="3" xfId="1910" applyNumberFormat="1" applyFont="1" applyFill="1" applyBorder="1" applyAlignment="1">
      <alignment horizontal="center"/>
    </xf>
    <xf numFmtId="0" fontId="73" fillId="0" borderId="0" xfId="1910" applyFont="1" applyFill="1" applyBorder="1"/>
    <xf numFmtId="10" fontId="15" fillId="0" borderId="0" xfId="1803" applyNumberFormat="1" applyFont="1"/>
    <xf numFmtId="49" fontId="17" fillId="0" borderId="0" xfId="1570" applyNumberFormat="1" applyFont="1" applyFill="1" applyAlignment="1">
      <alignment horizontal="left"/>
    </xf>
    <xf numFmtId="169" fontId="17" fillId="0" borderId="0" xfId="0" applyFont="1" applyFill="1">
      <alignment horizontal="left" wrapText="1"/>
    </xf>
    <xf numFmtId="37" fontId="158" fillId="0" borderId="13" xfId="1911" applyNumberFormat="1" applyFont="1" applyFill="1" applyBorder="1" applyAlignment="1"/>
    <xf numFmtId="37" fontId="159" fillId="0" borderId="13" xfId="1911" quotePrefix="1" applyNumberFormat="1" applyFont="1" applyFill="1" applyBorder="1" applyAlignment="1">
      <alignment horizontal="center" vertical="top" wrapText="1"/>
    </xf>
    <xf numFmtId="37" fontId="159" fillId="0" borderId="13" xfId="1911" applyNumberFormat="1" applyFont="1" applyFill="1" applyBorder="1" applyAlignment="1">
      <alignment horizontal="center" vertical="top" wrapText="1"/>
    </xf>
    <xf numFmtId="37" fontId="159" fillId="0" borderId="74" xfId="1911" applyNumberFormat="1" applyFont="1" applyFill="1" applyBorder="1" applyAlignment="1">
      <alignment horizontal="center" vertical="top" wrapText="1"/>
    </xf>
    <xf numFmtId="37" fontId="159" fillId="0" borderId="66" xfId="1911" applyNumberFormat="1" applyFont="1" applyFill="1" applyBorder="1" applyAlignment="1">
      <alignment horizontal="center" vertical="top" wrapText="1"/>
    </xf>
    <xf numFmtId="37" fontId="158" fillId="0" borderId="0" xfId="1911" quotePrefix="1" applyNumberFormat="1" applyFont="1" applyFill="1" applyBorder="1" applyAlignment="1">
      <alignment horizontal="left"/>
    </xf>
    <xf numFmtId="37" fontId="159" fillId="0" borderId="0" xfId="1911" applyNumberFormat="1" applyFont="1" applyFill="1" applyBorder="1" applyAlignment="1">
      <alignment vertical="top"/>
    </xf>
    <xf numFmtId="37" fontId="159" fillId="0" borderId="69" xfId="1911" applyNumberFormat="1" applyFont="1" applyFill="1" applyBorder="1" applyAlignment="1">
      <alignment vertical="top"/>
    </xf>
    <xf numFmtId="37" fontId="159" fillId="0" borderId="29" xfId="1911" applyNumberFormat="1" applyFont="1" applyFill="1" applyBorder="1" applyAlignment="1">
      <alignment vertical="top"/>
    </xf>
    <xf numFmtId="234" fontId="162" fillId="0" borderId="0" xfId="1912" applyNumberFormat="1" applyFont="1" applyAlignment="1">
      <alignment horizontal="right"/>
    </xf>
    <xf numFmtId="37" fontId="159" fillId="0" borderId="0" xfId="1911" applyNumberFormat="1" applyFont="1" applyFill="1" applyBorder="1" applyAlignment="1"/>
    <xf numFmtId="37" fontId="159" fillId="0" borderId="69" xfId="1911" applyNumberFormat="1" applyFont="1" applyFill="1" applyBorder="1" applyAlignment="1"/>
    <xf numFmtId="37" fontId="159" fillId="0" borderId="29" xfId="1911" applyNumberFormat="1" applyFont="1" applyFill="1" applyBorder="1" applyAlignment="1"/>
    <xf numFmtId="37" fontId="159" fillId="0" borderId="0" xfId="1911" quotePrefix="1" applyNumberFormat="1" applyFont="1" applyFill="1" applyBorder="1" applyAlignment="1">
      <alignment horizontal="left" vertical="top"/>
    </xf>
    <xf numFmtId="234" fontId="162" fillId="0" borderId="13" xfId="1912" applyNumberFormat="1" applyFont="1" applyBorder="1" applyAlignment="1">
      <alignment horizontal="right"/>
    </xf>
    <xf numFmtId="37" fontId="159" fillId="0" borderId="13" xfId="1911" applyNumberFormat="1" applyFont="1" applyFill="1" applyBorder="1" applyAlignment="1"/>
    <xf numFmtId="37" fontId="159" fillId="0" borderId="75" xfId="1911" applyNumberFormat="1" applyFont="1" applyFill="1" applyBorder="1" applyAlignment="1"/>
    <xf numFmtId="37" fontId="159" fillId="0" borderId="67" xfId="1911" applyNumberFormat="1" applyFont="1" applyFill="1" applyBorder="1" applyAlignment="1"/>
    <xf numFmtId="37" fontId="163" fillId="0" borderId="0" xfId="1911" applyNumberFormat="1" applyFont="1" applyFill="1" applyBorder="1" applyAlignment="1"/>
    <xf numFmtId="41" fontId="163" fillId="0" borderId="0" xfId="1911" applyNumberFormat="1" applyFont="1" applyFill="1" applyBorder="1" applyAlignment="1"/>
    <xf numFmtId="234" fontId="162" fillId="0" borderId="0" xfId="1913" applyNumberFormat="1" applyFont="1" applyBorder="1" applyAlignment="1">
      <alignment horizontal="right"/>
    </xf>
    <xf numFmtId="0" fontId="139" fillId="0" borderId="0" xfId="1914" applyFont="1" applyFill="1"/>
    <xf numFmtId="43" fontId="0" fillId="0" borderId="0" xfId="1570" applyFont="1"/>
    <xf numFmtId="234" fontId="162" fillId="0" borderId="13" xfId="1913" applyNumberFormat="1" applyFont="1" applyBorder="1" applyAlignment="1">
      <alignment horizontal="right"/>
    </xf>
    <xf numFmtId="37" fontId="163" fillId="0" borderId="13" xfId="1911" applyNumberFormat="1" applyFont="1" applyFill="1" applyBorder="1" applyAlignment="1"/>
    <xf numFmtId="0" fontId="139" fillId="0" borderId="13" xfId="1914" applyFont="1" applyFill="1" applyBorder="1"/>
    <xf numFmtId="37" fontId="139" fillId="0" borderId="0" xfId="1911" applyNumberFormat="1" applyFont="1" applyFill="1" applyBorder="1" applyAlignment="1"/>
    <xf numFmtId="41" fontId="139" fillId="0" borderId="0" xfId="1911" applyNumberFormat="1" applyFont="1" applyFill="1" applyBorder="1" applyAlignment="1"/>
    <xf numFmtId="37" fontId="158" fillId="0" borderId="69" xfId="1911" applyNumberFormat="1" applyFont="1" applyFill="1" applyBorder="1" applyAlignment="1"/>
    <xf numFmtId="37" fontId="158" fillId="0" borderId="29" xfId="1911" applyNumberFormat="1" applyFont="1" applyFill="1" applyBorder="1" applyAlignment="1"/>
    <xf numFmtId="234" fontId="157" fillId="0" borderId="0" xfId="1913" applyNumberFormat="1" applyFont="1" applyAlignment="1">
      <alignment horizontal="right"/>
    </xf>
    <xf numFmtId="234" fontId="139" fillId="100" borderId="0" xfId="1915" applyNumberFormat="1" applyFont="1" applyFill="1" applyBorder="1" applyAlignment="1">
      <alignment horizontal="right"/>
    </xf>
    <xf numFmtId="234" fontId="0" fillId="0" borderId="0" xfId="0" applyNumberFormat="1" applyAlignment="1"/>
    <xf numFmtId="234" fontId="162" fillId="0" borderId="0" xfId="1912" applyNumberFormat="1" applyFont="1" applyBorder="1" applyAlignment="1">
      <alignment horizontal="right"/>
    </xf>
    <xf numFmtId="234" fontId="162" fillId="0" borderId="70" xfId="1912" applyNumberFormat="1" applyFont="1" applyBorder="1" applyAlignment="1">
      <alignment horizontal="right"/>
    </xf>
    <xf numFmtId="234" fontId="162" fillId="0" borderId="76" xfId="1912" applyNumberFormat="1" applyFont="1" applyBorder="1" applyAlignment="1">
      <alignment horizontal="right"/>
    </xf>
    <xf numFmtId="37" fontId="160" fillId="0" borderId="69" xfId="1911" applyNumberFormat="1" applyFont="1" applyFill="1" applyBorder="1" applyAlignment="1"/>
    <xf numFmtId="37" fontId="158" fillId="0" borderId="0" xfId="1911" applyNumberFormat="1" applyFont="1" applyFill="1" applyBorder="1" applyAlignment="1"/>
    <xf numFmtId="37" fontId="158" fillId="0" borderId="59" xfId="1911" quotePrefix="1" applyNumberFormat="1" applyFont="1" applyFill="1" applyBorder="1" applyAlignment="1"/>
    <xf numFmtId="37" fontId="158" fillId="0" borderId="30" xfId="1911" quotePrefix="1" applyNumberFormat="1" applyFont="1" applyFill="1" applyBorder="1" applyAlignment="1"/>
    <xf numFmtId="0" fontId="15" fillId="0" borderId="69" xfId="1916" applyBorder="1"/>
    <xf numFmtId="43" fontId="0" fillId="0" borderId="0" xfId="0" applyNumberFormat="1" applyFill="1" applyAlignment="1"/>
    <xf numFmtId="43" fontId="0" fillId="0" borderId="0" xfId="1570" applyFont="1" applyFill="1" applyAlignment="1"/>
    <xf numFmtId="169" fontId="157" fillId="0" borderId="0" xfId="0" applyFont="1">
      <alignment horizontal="left" wrapText="1"/>
    </xf>
    <xf numFmtId="43" fontId="157" fillId="0" borderId="0" xfId="1570" applyFont="1" applyAlignment="1">
      <alignment horizontal="left" wrapText="1"/>
    </xf>
    <xf numFmtId="186" fontId="0" fillId="0" borderId="0" xfId="0" applyNumberFormat="1" applyFill="1" applyAlignment="1"/>
    <xf numFmtId="43" fontId="0" fillId="0" borderId="0" xfId="1570" applyFont="1" applyAlignment="1"/>
    <xf numFmtId="49" fontId="24" fillId="0" borderId="0" xfId="1916" applyNumberFormat="1" applyFont="1"/>
    <xf numFmtId="0" fontId="15" fillId="0" borderId="0" xfId="1916"/>
    <xf numFmtId="0" fontId="165" fillId="0" borderId="0" xfId="1916" applyFont="1" applyAlignment="1">
      <alignment horizontal="right"/>
    </xf>
    <xf numFmtId="0" fontId="15" fillId="0" borderId="57" xfId="1916" applyBorder="1"/>
    <xf numFmtId="0" fontId="15" fillId="0" borderId="77" xfId="1916" applyBorder="1"/>
    <xf numFmtId="0" fontId="15" fillId="0" borderId="58" xfId="1916" applyBorder="1"/>
    <xf numFmtId="14" fontId="24" fillId="0" borderId="0" xfId="1916" applyNumberFormat="1" applyFont="1" applyFill="1"/>
    <xf numFmtId="0" fontId="15" fillId="0" borderId="0" xfId="1916" applyBorder="1"/>
    <xf numFmtId="0" fontId="166" fillId="0" borderId="0" xfId="1916" applyFont="1" applyBorder="1"/>
    <xf numFmtId="44" fontId="15" fillId="94" borderId="70" xfId="1916" applyNumberFormat="1" applyFill="1" applyBorder="1" applyAlignment="1">
      <alignment horizontal="center"/>
    </xf>
    <xf numFmtId="44" fontId="15" fillId="0" borderId="0" xfId="1916" applyNumberFormat="1" applyBorder="1" applyAlignment="1">
      <alignment horizontal="center"/>
    </xf>
    <xf numFmtId="44" fontId="15" fillId="0" borderId="0" xfId="1916" applyNumberFormat="1" applyBorder="1"/>
    <xf numFmtId="177" fontId="15" fillId="0" borderId="0" xfId="1570" applyNumberFormat="1" applyFont="1"/>
    <xf numFmtId="44" fontId="15" fillId="0" borderId="0" xfId="1916" applyNumberFormat="1"/>
    <xf numFmtId="49" fontId="15" fillId="0" borderId="0" xfId="1916" applyNumberFormat="1"/>
    <xf numFmtId="0" fontId="24" fillId="0" borderId="0" xfId="1916" applyFont="1" applyAlignment="1">
      <alignment horizontal="center"/>
    </xf>
    <xf numFmtId="44" fontId="15" fillId="0" borderId="70" xfId="1916" applyNumberFormat="1" applyBorder="1" applyAlignment="1">
      <alignment horizontal="center"/>
    </xf>
    <xf numFmtId="10" fontId="15" fillId="115" borderId="8" xfId="1916" applyNumberFormat="1" applyFill="1" applyBorder="1"/>
    <xf numFmtId="0" fontId="24" fillId="0" borderId="0" xfId="1916" applyFont="1"/>
    <xf numFmtId="0" fontId="15" fillId="0" borderId="59" xfId="1916" applyBorder="1"/>
    <xf numFmtId="0" fontId="15" fillId="0" borderId="8" xfId="1916" applyBorder="1"/>
    <xf numFmtId="0" fontId="15" fillId="0" borderId="60" xfId="1916" applyBorder="1"/>
    <xf numFmtId="10" fontId="15" fillId="115" borderId="8" xfId="1803" applyNumberFormat="1" applyFont="1" applyFill="1" applyBorder="1"/>
    <xf numFmtId="0" fontId="15" fillId="0" borderId="0" xfId="1916" applyAlignment="1">
      <alignment horizontal="center"/>
    </xf>
    <xf numFmtId="0" fontId="15" fillId="0" borderId="0" xfId="1916" applyFill="1" applyAlignment="1">
      <alignment horizontal="center"/>
    </xf>
    <xf numFmtId="0" fontId="15" fillId="0" borderId="0" xfId="1916" applyAlignment="1">
      <alignment horizontal="centerContinuous"/>
    </xf>
    <xf numFmtId="49" fontId="24" fillId="0" borderId="3" xfId="1916" applyNumberFormat="1" applyFont="1" applyBorder="1" applyAlignment="1">
      <alignment vertical="top" wrapText="1"/>
    </xf>
    <xf numFmtId="0" fontId="24" fillId="0" borderId="3" xfId="1916" applyFont="1" applyBorder="1" applyAlignment="1">
      <alignment vertical="top" wrapText="1"/>
    </xf>
    <xf numFmtId="43" fontId="24" fillId="0" borderId="3" xfId="1570" applyFont="1" applyBorder="1" applyAlignment="1">
      <alignment horizontal="center" vertical="top" wrapText="1"/>
    </xf>
    <xf numFmtId="43" fontId="24" fillId="0" borderId="3" xfId="1570" applyFont="1" applyFill="1" applyBorder="1" applyAlignment="1">
      <alignment horizontal="center" vertical="top" wrapText="1"/>
    </xf>
    <xf numFmtId="43" fontId="24" fillId="0" borderId="22" xfId="1570" applyFont="1" applyBorder="1" applyAlignment="1">
      <alignment horizontal="centerContinuous" vertical="top" wrapText="1"/>
    </xf>
    <xf numFmtId="43" fontId="24" fillId="0" borderId="32" xfId="1570" applyFont="1" applyBorder="1" applyAlignment="1">
      <alignment horizontal="centerContinuous" vertical="top" wrapText="1"/>
    </xf>
    <xf numFmtId="0" fontId="15" fillId="0" borderId="0" xfId="1916" applyAlignment="1">
      <alignment vertical="top" wrapText="1"/>
    </xf>
    <xf numFmtId="49" fontId="24" fillId="0" borderId="3" xfId="1916" applyNumberFormat="1" applyFont="1" applyBorder="1"/>
    <xf numFmtId="0" fontId="24" fillId="0" borderId="3" xfId="1916" applyFont="1" applyBorder="1" applyAlignment="1">
      <alignment horizontal="center"/>
    </xf>
    <xf numFmtId="49" fontId="15" fillId="0" borderId="3" xfId="1916" applyNumberFormat="1" applyBorder="1"/>
    <xf numFmtId="43" fontId="15" fillId="0" borderId="3" xfId="1570" applyFont="1" applyBorder="1"/>
    <xf numFmtId="43" fontId="15" fillId="0" borderId="3" xfId="1570" applyFont="1" applyFill="1" applyBorder="1"/>
    <xf numFmtId="0" fontId="15" fillId="0" borderId="3" xfId="1916" applyBorder="1"/>
    <xf numFmtId="43" fontId="15" fillId="0" borderId="22" xfId="1570" applyFont="1" applyBorder="1"/>
    <xf numFmtId="43" fontId="15" fillId="0" borderId="32" xfId="1570" applyFont="1" applyBorder="1"/>
    <xf numFmtId="0" fontId="24" fillId="0" borderId="3" xfId="1916" applyFont="1" applyBorder="1"/>
    <xf numFmtId="43" fontId="73" fillId="104" borderId="3" xfId="1570" applyFont="1" applyFill="1" applyBorder="1"/>
    <xf numFmtId="43" fontId="73" fillId="0" borderId="3" xfId="1570" applyFont="1" applyFill="1" applyBorder="1"/>
    <xf numFmtId="43" fontId="73" fillId="104" borderId="22" xfId="1570" applyFont="1" applyFill="1" applyBorder="1"/>
    <xf numFmtId="43" fontId="73" fillId="104" borderId="14" xfId="1570" applyFont="1" applyFill="1" applyBorder="1"/>
    <xf numFmtId="43" fontId="73" fillId="104" borderId="61" xfId="1570" applyFont="1" applyFill="1" applyBorder="1"/>
    <xf numFmtId="41" fontId="15" fillId="0" borderId="3" xfId="1570" applyNumberFormat="1" applyFont="1" applyFill="1" applyBorder="1"/>
    <xf numFmtId="41" fontId="15" fillId="0" borderId="3" xfId="1570" applyNumberFormat="1" applyFont="1" applyBorder="1"/>
    <xf numFmtId="41" fontId="15" fillId="0" borderId="3" xfId="1916" applyNumberFormat="1" applyFill="1" applyBorder="1"/>
    <xf numFmtId="41" fontId="15" fillId="0" borderId="3" xfId="1916" applyNumberFormat="1" applyBorder="1"/>
    <xf numFmtId="41" fontId="15" fillId="0" borderId="22" xfId="1570" applyNumberFormat="1" applyFont="1" applyBorder="1"/>
    <xf numFmtId="41" fontId="15" fillId="0" borderId="32" xfId="1570" applyNumberFormat="1" applyFont="1" applyFill="1" applyBorder="1"/>
    <xf numFmtId="165" fontId="15" fillId="0" borderId="3" xfId="1803" applyNumberFormat="1" applyFont="1" applyBorder="1"/>
    <xf numFmtId="41" fontId="15" fillId="0" borderId="32" xfId="1570" applyNumberFormat="1" applyFont="1" applyBorder="1"/>
    <xf numFmtId="41" fontId="15" fillId="0" borderId="22" xfId="1570" applyNumberFormat="1" applyFont="1" applyFill="1" applyBorder="1"/>
    <xf numFmtId="41" fontId="73" fillId="104" borderId="3" xfId="1570" applyNumberFormat="1" applyFont="1" applyFill="1" applyBorder="1"/>
    <xf numFmtId="41" fontId="15" fillId="104" borderId="3" xfId="1570" applyNumberFormat="1" applyFont="1" applyFill="1" applyBorder="1"/>
    <xf numFmtId="41" fontId="15" fillId="104" borderId="22" xfId="1570" applyNumberFormat="1" applyFont="1" applyFill="1" applyBorder="1"/>
    <xf numFmtId="41" fontId="15" fillId="104" borderId="0" xfId="1570" applyNumberFormat="1" applyFont="1" applyFill="1" applyBorder="1"/>
    <xf numFmtId="41" fontId="15" fillId="104" borderId="28" xfId="1570" applyNumberFormat="1" applyFont="1" applyFill="1" applyBorder="1"/>
    <xf numFmtId="41" fontId="15" fillId="0" borderId="22" xfId="1570" applyNumberFormat="1" applyFont="1" applyFill="1" applyBorder="1" applyAlignment="1">
      <alignment horizontal="right"/>
    </xf>
    <xf numFmtId="41" fontId="15" fillId="94" borderId="32" xfId="1570" applyNumberFormat="1" applyFont="1" applyFill="1" applyBorder="1"/>
    <xf numFmtId="165" fontId="15" fillId="0" borderId="23" xfId="1803" applyNumberFormat="1" applyFont="1" applyBorder="1"/>
    <xf numFmtId="165" fontId="15" fillId="0" borderId="22" xfId="1803" applyNumberFormat="1" applyFont="1" applyBorder="1"/>
    <xf numFmtId="165" fontId="15" fillId="0" borderId="18" xfId="1803" applyNumberFormat="1" applyFont="1" applyBorder="1"/>
    <xf numFmtId="41" fontId="15" fillId="104" borderId="23" xfId="1570" applyNumberFormat="1" applyFont="1" applyFill="1" applyBorder="1"/>
    <xf numFmtId="41" fontId="15" fillId="104" borderId="21" xfId="1570" applyNumberFormat="1" applyFont="1" applyFill="1" applyBorder="1"/>
    <xf numFmtId="41" fontId="15" fillId="104" borderId="14" xfId="1570" applyNumberFormat="1" applyFont="1" applyFill="1" applyBorder="1"/>
    <xf numFmtId="41" fontId="15" fillId="104" borderId="61" xfId="1570" applyNumberFormat="1" applyFont="1" applyFill="1" applyBorder="1"/>
    <xf numFmtId="165" fontId="15" fillId="0" borderId="27" xfId="1803" applyNumberFormat="1" applyFont="1" applyBorder="1"/>
    <xf numFmtId="41" fontId="15" fillId="104" borderId="27" xfId="1570" applyNumberFormat="1" applyFont="1" applyFill="1" applyBorder="1"/>
    <xf numFmtId="41" fontId="15" fillId="104" borderId="26" xfId="1570" applyNumberFormat="1" applyFont="1" applyFill="1" applyBorder="1"/>
    <xf numFmtId="0" fontId="15" fillId="0" borderId="3" xfId="1916" applyFont="1" applyBorder="1"/>
    <xf numFmtId="41" fontId="15" fillId="104" borderId="2" xfId="1570" applyNumberFormat="1" applyFont="1" applyFill="1" applyBorder="1"/>
    <xf numFmtId="41" fontId="15" fillId="104" borderId="32" xfId="1570" applyNumberFormat="1" applyFont="1" applyFill="1" applyBorder="1"/>
    <xf numFmtId="41" fontId="15" fillId="0" borderId="2" xfId="1570" applyNumberFormat="1" applyFont="1" applyBorder="1"/>
    <xf numFmtId="41" fontId="15" fillId="0" borderId="2" xfId="1570" applyNumberFormat="1" applyFont="1" applyFill="1" applyBorder="1"/>
    <xf numFmtId="165" fontId="15" fillId="0" borderId="32" xfId="1803" applyNumberFormat="1" applyFont="1" applyBorder="1"/>
    <xf numFmtId="41" fontId="15" fillId="104" borderId="13" xfId="1570" applyNumberFormat="1" applyFont="1" applyFill="1" applyBorder="1"/>
    <xf numFmtId="41" fontId="15" fillId="104" borderId="64" xfId="1570" applyNumberFormat="1" applyFont="1" applyFill="1" applyBorder="1"/>
    <xf numFmtId="49" fontId="15" fillId="0" borderId="3" xfId="1916" applyNumberFormat="1" applyFont="1" applyBorder="1"/>
    <xf numFmtId="0" fontId="15" fillId="0" borderId="3" xfId="1916" applyFill="1" applyBorder="1"/>
    <xf numFmtId="41" fontId="15" fillId="0" borderId="8" xfId="1570" applyNumberFormat="1" applyFont="1" applyBorder="1"/>
    <xf numFmtId="41" fontId="15" fillId="0" borderId="8" xfId="1570" applyNumberFormat="1" applyFont="1" applyFill="1" applyBorder="1"/>
    <xf numFmtId="165" fontId="15" fillId="0" borderId="78" xfId="1803" applyNumberFormat="1" applyFont="1" applyBorder="1"/>
    <xf numFmtId="43" fontId="15" fillId="0" borderId="0" xfId="1916" applyNumberFormat="1"/>
    <xf numFmtId="0" fontId="15" fillId="0" borderId="0" xfId="1916" applyFill="1"/>
    <xf numFmtId="0" fontId="15" fillId="0" borderId="0" xfId="1916" applyAlignment="1">
      <alignment horizontal="right"/>
    </xf>
    <xf numFmtId="10" fontId="15" fillId="0" borderId="0" xfId="1803" applyNumberFormat="1" applyFont="1" applyAlignment="1">
      <alignment horizontal="centerContinuous"/>
    </xf>
    <xf numFmtId="10" fontId="15" fillId="0" borderId="0" xfId="1803" applyNumberFormat="1" applyFont="1" applyAlignment="1"/>
    <xf numFmtId="10" fontId="15" fillId="0" borderId="0" xfId="0" applyNumberFormat="1" applyFont="1" applyBorder="1" applyAlignment="1"/>
    <xf numFmtId="177" fontId="15" fillId="0" borderId="13" xfId="1570" applyNumberFormat="1" applyFont="1" applyBorder="1"/>
    <xf numFmtId="10" fontId="15" fillId="0" borderId="13" xfId="1803" applyNumberFormat="1" applyFont="1" applyBorder="1"/>
    <xf numFmtId="0" fontId="15" fillId="0" borderId="13" xfId="1916" applyBorder="1"/>
    <xf numFmtId="41" fontId="15" fillId="0" borderId="14" xfId="1916" applyNumberFormat="1" applyBorder="1"/>
    <xf numFmtId="10" fontId="15" fillId="0" borderId="14" xfId="1803" applyNumberFormat="1" applyFont="1" applyBorder="1"/>
    <xf numFmtId="0" fontId="15" fillId="0" borderId="14" xfId="1916" applyBorder="1"/>
    <xf numFmtId="177" fontId="15" fillId="0" borderId="0" xfId="1916" applyNumberFormat="1" applyBorder="1"/>
    <xf numFmtId="10" fontId="15" fillId="0" borderId="0" xfId="1803" applyNumberFormat="1" applyFont="1" applyBorder="1"/>
    <xf numFmtId="41" fontId="15" fillId="0" borderId="12" xfId="1916" applyNumberFormat="1" applyBorder="1"/>
    <xf numFmtId="0" fontId="24" fillId="0" borderId="21" xfId="1916" applyFont="1" applyBorder="1"/>
    <xf numFmtId="0" fontId="15" fillId="0" borderId="61" xfId="1916" applyBorder="1"/>
    <xf numFmtId="49" fontId="15" fillId="0" borderId="0" xfId="1916" applyNumberFormat="1" applyAlignment="1">
      <alignment horizontal="left" indent="1"/>
    </xf>
    <xf numFmtId="49" fontId="15" fillId="0" borderId="0" xfId="1916" applyNumberFormat="1" applyAlignment="1">
      <alignment horizontal="center"/>
    </xf>
    <xf numFmtId="0" fontId="15" fillId="0" borderId="24" xfId="1916" applyBorder="1"/>
    <xf numFmtId="37" fontId="15" fillId="0" borderId="0" xfId="1916" applyNumberFormat="1" applyBorder="1"/>
    <xf numFmtId="10" fontId="15" fillId="0" borderId="0" xfId="1916" applyNumberFormat="1" applyBorder="1"/>
    <xf numFmtId="41" fontId="15" fillId="0" borderId="0" xfId="1916" applyNumberFormat="1" applyBorder="1" applyAlignment="1">
      <alignment horizontal="right"/>
    </xf>
    <xf numFmtId="0" fontId="0" fillId="0" borderId="28" xfId="0" applyNumberFormat="1" applyBorder="1" applyAlignment="1">
      <alignment horizontal="right"/>
    </xf>
    <xf numFmtId="37" fontId="15" fillId="0" borderId="12" xfId="1916" applyNumberFormat="1" applyBorder="1"/>
    <xf numFmtId="10" fontId="15" fillId="0" borderId="12" xfId="1916" applyNumberFormat="1" applyBorder="1"/>
    <xf numFmtId="41" fontId="15" fillId="0" borderId="0" xfId="1916" applyNumberFormat="1" applyBorder="1"/>
    <xf numFmtId="10" fontId="15" fillId="0" borderId="16" xfId="1916" applyNumberFormat="1" applyBorder="1"/>
    <xf numFmtId="43" fontId="15" fillId="0" borderId="28" xfId="1916" applyNumberFormat="1" applyBorder="1"/>
    <xf numFmtId="0" fontId="15" fillId="0" borderId="26" xfId="1916" applyBorder="1"/>
    <xf numFmtId="37" fontId="15" fillId="0" borderId="2" xfId="1916" applyNumberFormat="1" applyBorder="1"/>
    <xf numFmtId="0" fontId="15" fillId="0" borderId="64" xfId="1916" applyBorder="1"/>
    <xf numFmtId="49" fontId="15" fillId="0" borderId="0" xfId="1916" applyNumberFormat="1" applyBorder="1" applyAlignment="1">
      <alignment horizontal="left" indent="4"/>
    </xf>
    <xf numFmtId="0" fontId="168" fillId="0" borderId="0" xfId="1917" applyFont="1"/>
    <xf numFmtId="0" fontId="169" fillId="0" borderId="0" xfId="1917" applyFont="1" applyAlignment="1">
      <alignment horizontal="centerContinuous"/>
    </xf>
    <xf numFmtId="0" fontId="168" fillId="0" borderId="0" xfId="1917" applyFont="1" applyAlignment="1">
      <alignment horizontal="centerContinuous"/>
    </xf>
    <xf numFmtId="0" fontId="170" fillId="0" borderId="0" xfId="1917" applyFont="1" applyAlignment="1">
      <alignment horizontal="center"/>
    </xf>
    <xf numFmtId="0" fontId="168" fillId="0" borderId="0" xfId="1917" applyFont="1" applyAlignment="1">
      <alignment horizontal="center"/>
    </xf>
    <xf numFmtId="0" fontId="168" fillId="0" borderId="13" xfId="1917" applyFont="1" applyBorder="1" applyAlignment="1">
      <alignment horizontal="center"/>
    </xf>
    <xf numFmtId="0" fontId="168" fillId="0" borderId="0" xfId="1917" applyFont="1" applyBorder="1" applyAlignment="1">
      <alignment horizontal="center"/>
    </xf>
    <xf numFmtId="0" fontId="168" fillId="0" borderId="0" xfId="1918" applyFont="1" applyFill="1"/>
    <xf numFmtId="0" fontId="60" fillId="0" borderId="0" xfId="1919" applyFont="1"/>
    <xf numFmtId="49" fontId="168" fillId="0" borderId="0" xfId="1917" applyNumberFormat="1" applyFont="1" applyAlignment="1">
      <alignment horizontal="center"/>
    </xf>
    <xf numFmtId="44" fontId="60" fillId="0" borderId="0" xfId="1919" applyNumberFormat="1" applyFont="1"/>
    <xf numFmtId="44" fontId="168" fillId="0" borderId="0" xfId="1920" applyFont="1"/>
    <xf numFmtId="43" fontId="168" fillId="0" borderId="0" xfId="1917" applyNumberFormat="1" applyFont="1"/>
    <xf numFmtId="43" fontId="60" fillId="0" borderId="0" xfId="1919" applyNumberFormat="1" applyFont="1"/>
    <xf numFmtId="43" fontId="168" fillId="0" borderId="0" xfId="1921" applyFont="1"/>
    <xf numFmtId="43" fontId="60" fillId="0" borderId="13" xfId="1919" applyNumberFormat="1" applyFont="1" applyBorder="1"/>
    <xf numFmtId="43" fontId="109" fillId="0" borderId="0" xfId="1919" applyNumberFormat="1" applyFont="1"/>
    <xf numFmtId="43" fontId="109" fillId="0" borderId="12" xfId="1919" applyNumberFormat="1" applyFont="1" applyBorder="1"/>
    <xf numFmtId="43" fontId="109" fillId="0" borderId="2" xfId="1919" applyNumberFormat="1" applyFont="1" applyBorder="1"/>
    <xf numFmtId="43" fontId="60" fillId="0" borderId="0" xfId="1919" applyNumberFormat="1" applyFont="1" applyBorder="1"/>
    <xf numFmtId="43" fontId="168" fillId="0" borderId="13" xfId="1917" applyNumberFormat="1" applyFont="1" applyBorder="1"/>
    <xf numFmtId="43" fontId="109" fillId="0" borderId="14" xfId="1919" applyNumberFormat="1" applyFont="1" applyBorder="1"/>
    <xf numFmtId="49" fontId="168" fillId="0" borderId="0" xfId="1917" applyNumberFormat="1" applyFont="1" applyFill="1" applyAlignment="1">
      <alignment horizontal="center"/>
    </xf>
    <xf numFmtId="4" fontId="169" fillId="0" borderId="12" xfId="1918" applyNumberFormat="1" applyFont="1" applyBorder="1"/>
    <xf numFmtId="0" fontId="169" fillId="0" borderId="0" xfId="1918" applyFont="1" applyFill="1"/>
    <xf numFmtId="0" fontId="168" fillId="0" borderId="0" xfId="1917" applyFont="1" applyFill="1" applyAlignment="1">
      <alignment horizontal="center"/>
    </xf>
    <xf numFmtId="0" fontId="168" fillId="0" borderId="0" xfId="1917" applyFont="1" applyFill="1"/>
    <xf numFmtId="0" fontId="171" fillId="0" borderId="0" xfId="0" applyNumberFormat="1" applyFont="1" applyBorder="1" applyAlignment="1"/>
    <xf numFmtId="43" fontId="168" fillId="0" borderId="0" xfId="1917" applyNumberFormat="1" applyFont="1" applyFill="1"/>
    <xf numFmtId="0" fontId="172" fillId="0" borderId="0" xfId="1917" applyFont="1"/>
    <xf numFmtId="0" fontId="168" fillId="0" borderId="0" xfId="1917" applyFont="1" applyAlignment="1">
      <alignment horizontal="right"/>
    </xf>
    <xf numFmtId="43" fontId="168" fillId="0" borderId="0" xfId="1570" applyFont="1" applyFill="1"/>
    <xf numFmtId="43" fontId="168" fillId="0" borderId="13" xfId="1570" applyFont="1" applyFill="1" applyBorder="1"/>
    <xf numFmtId="0" fontId="168" fillId="0" borderId="0" xfId="1917" applyFont="1" applyAlignment="1">
      <alignment horizontal="left"/>
    </xf>
    <xf numFmtId="43" fontId="168" fillId="0" borderId="13" xfId="1917" applyNumberFormat="1" applyFont="1" applyFill="1" applyBorder="1"/>
    <xf numFmtId="43" fontId="168" fillId="0" borderId="12" xfId="1917" applyNumberFormat="1" applyFont="1" applyFill="1" applyBorder="1"/>
    <xf numFmtId="0" fontId="24" fillId="5" borderId="3" xfId="0" applyNumberFormat="1" applyFont="1" applyFill="1" applyBorder="1" applyAlignment="1">
      <alignment horizontal="centerContinuous"/>
    </xf>
    <xf numFmtId="0" fontId="24" fillId="0" borderId="21" xfId="0" applyNumberFormat="1" applyFont="1" applyBorder="1" applyAlignment="1">
      <alignment horizontal="center"/>
    </xf>
    <xf numFmtId="0" fontId="0" fillId="0" borderId="14" xfId="0" applyNumberFormat="1" applyBorder="1" applyAlignment="1"/>
    <xf numFmtId="0" fontId="24" fillId="0" borderId="14" xfId="0" applyNumberFormat="1" applyFont="1" applyBorder="1" applyAlignment="1">
      <alignment horizontal="center"/>
    </xf>
    <xf numFmtId="0" fontId="24" fillId="0" borderId="61" xfId="0" applyNumberFormat="1" applyFont="1" applyBorder="1" applyAlignment="1">
      <alignment horizontal="center"/>
    </xf>
    <xf numFmtId="43" fontId="24" fillId="0" borderId="0" xfId="0" applyNumberFormat="1" applyFont="1" applyAlignment="1"/>
    <xf numFmtId="0" fontId="24" fillId="0" borderId="24" xfId="0" applyNumberFormat="1" applyFont="1" applyBorder="1" applyAlignment="1">
      <alignment horizontal="center"/>
    </xf>
    <xf numFmtId="0" fontId="24" fillId="0" borderId="0" xfId="0" applyNumberFormat="1" applyFont="1" applyBorder="1" applyAlignment="1">
      <alignment horizontal="center"/>
    </xf>
    <xf numFmtId="0" fontId="24" fillId="0" borderId="28" xfId="0" applyNumberFormat="1" applyFont="1" applyBorder="1" applyAlignment="1">
      <alignment horizontal="center"/>
    </xf>
    <xf numFmtId="0" fontId="24" fillId="0" borderId="26" xfId="0" applyNumberFormat="1" applyFont="1" applyBorder="1" applyAlignment="1">
      <alignment horizontal="center"/>
    </xf>
    <xf numFmtId="0" fontId="24" fillId="0" borderId="13" xfId="0" applyNumberFormat="1" applyFont="1" applyBorder="1" applyAlignment="1">
      <alignment horizontal="center"/>
    </xf>
    <xf numFmtId="0" fontId="24" fillId="0" borderId="64" xfId="0" applyNumberFormat="1" applyFont="1" applyBorder="1" applyAlignment="1">
      <alignment horizontal="centerContinuous"/>
    </xf>
    <xf numFmtId="43" fontId="15" fillId="0" borderId="0" xfId="0" applyNumberFormat="1" applyFont="1" applyAlignment="1">
      <alignment horizontal="center"/>
    </xf>
    <xf numFmtId="0" fontId="24" fillId="0" borderId="24" xfId="0" applyNumberFormat="1" applyFont="1" applyBorder="1" applyAlignment="1">
      <alignment horizontal="centerContinuous"/>
    </xf>
    <xf numFmtId="0" fontId="24" fillId="0" borderId="0" xfId="0" applyNumberFormat="1" applyFont="1" applyBorder="1" applyAlignment="1">
      <alignment horizontal="centerContinuous"/>
    </xf>
    <xf numFmtId="0" fontId="24" fillId="0" borderId="28" xfId="0" applyNumberFormat="1" applyFont="1" applyBorder="1" applyAlignment="1">
      <alignment horizontal="centerContinuous"/>
    </xf>
    <xf numFmtId="43" fontId="144" fillId="0" borderId="0" xfId="0" applyNumberFormat="1" applyFont="1" applyBorder="1" applyAlignment="1" applyProtection="1">
      <alignment horizontal="left"/>
    </xf>
    <xf numFmtId="0" fontId="0" fillId="0" borderId="24" xfId="0" applyNumberFormat="1" applyBorder="1" applyAlignment="1"/>
    <xf numFmtId="0" fontId="15" fillId="0" borderId="28" xfId="0" applyNumberFormat="1" applyFont="1" applyBorder="1" applyAlignment="1">
      <alignment horizontal="center"/>
    </xf>
    <xf numFmtId="0" fontId="15" fillId="0" borderId="0" xfId="0" applyNumberFormat="1" applyFont="1" applyBorder="1" applyAlignment="1">
      <alignment horizontal="center"/>
    </xf>
    <xf numFmtId="43" fontId="15" fillId="0" borderId="0" xfId="0" applyNumberFormat="1" applyFont="1" applyAlignment="1"/>
    <xf numFmtId="0" fontId="0" fillId="0" borderId="28" xfId="0" applyNumberFormat="1" applyBorder="1" applyAlignment="1"/>
    <xf numFmtId="43" fontId="15" fillId="0" borderId="0" xfId="0" quotePrefix="1" applyNumberFormat="1" applyFont="1" applyFill="1" applyAlignment="1" applyProtection="1">
      <alignment horizontal="left"/>
    </xf>
    <xf numFmtId="44" fontId="73" fillId="0" borderId="24" xfId="1570" applyNumberFormat="1" applyFont="1" applyFill="1" applyBorder="1"/>
    <xf numFmtId="44" fontId="73" fillId="0" borderId="0" xfId="1570" applyNumberFormat="1" applyFont="1" applyFill="1" applyBorder="1"/>
    <xf numFmtId="44" fontId="73" fillId="0" borderId="28" xfId="1570" applyNumberFormat="1" applyFont="1" applyFill="1" applyBorder="1"/>
    <xf numFmtId="43" fontId="0" fillId="0" borderId="0" xfId="0" applyNumberFormat="1" applyAlignment="1"/>
    <xf numFmtId="43" fontId="15" fillId="0" borderId="0" xfId="0" applyNumberFormat="1" applyFont="1" applyFill="1" applyAlignment="1" applyProtection="1">
      <alignment horizontal="left"/>
    </xf>
    <xf numFmtId="43" fontId="73" fillId="0" borderId="0" xfId="0" applyNumberFormat="1" applyFont="1" applyFill="1" applyBorder="1" applyAlignment="1"/>
    <xf numFmtId="43" fontId="73" fillId="0" borderId="13" xfId="0" applyNumberFormat="1" applyFont="1" applyFill="1" applyBorder="1" applyAlignment="1"/>
    <xf numFmtId="43" fontId="73" fillId="0" borderId="64" xfId="0" applyNumberFormat="1" applyFont="1" applyFill="1" applyBorder="1" applyAlignment="1"/>
    <xf numFmtId="43" fontId="73" fillId="0" borderId="21" xfId="0" applyNumberFormat="1" applyFont="1" applyFill="1" applyBorder="1" applyAlignment="1"/>
    <xf numFmtId="43" fontId="73" fillId="0" borderId="28" xfId="0" applyNumberFormat="1" applyFont="1" applyFill="1" applyBorder="1" applyAlignment="1"/>
    <xf numFmtId="43" fontId="73" fillId="0" borderId="24" xfId="0" applyNumberFormat="1" applyFont="1" applyFill="1" applyBorder="1" applyAlignment="1"/>
    <xf numFmtId="43" fontId="15" fillId="0" borderId="0" xfId="0" applyNumberFormat="1" applyFont="1" applyFill="1" applyAlignment="1"/>
    <xf numFmtId="43" fontId="73" fillId="0" borderId="0" xfId="1570" applyNumberFormat="1" applyFont="1" applyFill="1" applyBorder="1"/>
    <xf numFmtId="43" fontId="73" fillId="0" borderId="28" xfId="1570" applyNumberFormat="1" applyFont="1" applyFill="1" applyBorder="1"/>
    <xf numFmtId="44" fontId="73" fillId="0" borderId="26" xfId="1570" applyNumberFormat="1" applyFont="1" applyFill="1" applyBorder="1"/>
    <xf numFmtId="43" fontId="144" fillId="0" borderId="0" xfId="0" applyNumberFormat="1" applyFont="1" applyFill="1" applyBorder="1" applyAlignment="1" applyProtection="1">
      <alignment horizontal="left"/>
    </xf>
    <xf numFmtId="43" fontId="15" fillId="0" borderId="0" xfId="0" quotePrefix="1" applyNumberFormat="1" applyFont="1" applyFill="1" applyBorder="1" applyAlignment="1" applyProtection="1">
      <alignment horizontal="left"/>
    </xf>
    <xf numFmtId="43" fontId="73" fillId="0" borderId="26" xfId="0" applyNumberFormat="1" applyFont="1" applyFill="1" applyBorder="1" applyAlignment="1"/>
    <xf numFmtId="43" fontId="73" fillId="0" borderId="14" xfId="0" applyNumberFormat="1" applyFont="1" applyFill="1" applyBorder="1" applyAlignment="1"/>
    <xf numFmtId="43" fontId="73" fillId="0" borderId="61" xfId="0" applyNumberFormat="1" applyFont="1" applyFill="1" applyBorder="1" applyAlignment="1"/>
    <xf numFmtId="43" fontId="73" fillId="0" borderId="26" xfId="1570" applyNumberFormat="1" applyFont="1" applyFill="1" applyBorder="1"/>
    <xf numFmtId="43" fontId="73" fillId="0" borderId="13" xfId="1570" applyNumberFormat="1" applyFont="1" applyFill="1" applyBorder="1"/>
    <xf numFmtId="43" fontId="73" fillId="0" borderId="64" xfId="1570" applyNumberFormat="1" applyFont="1" applyFill="1" applyBorder="1"/>
    <xf numFmtId="43" fontId="15" fillId="0" borderId="0" xfId="0" applyNumberFormat="1" applyFont="1" applyFill="1" applyBorder="1" applyAlignment="1" applyProtection="1">
      <alignment horizontal="left"/>
    </xf>
    <xf numFmtId="43" fontId="73" fillId="0" borderId="26" xfId="0" applyNumberFormat="1" applyFont="1" applyBorder="1" applyAlignment="1"/>
    <xf numFmtId="43" fontId="73" fillId="0" borderId="0" xfId="0" applyNumberFormat="1" applyFont="1" applyBorder="1" applyAlignment="1"/>
    <xf numFmtId="43" fontId="24" fillId="0" borderId="0" xfId="0" applyNumberFormat="1" applyFont="1" applyFill="1" applyAlignment="1" applyProtection="1">
      <alignment horizontal="left"/>
    </xf>
    <xf numFmtId="44" fontId="73" fillId="0" borderId="80" xfId="1570" applyNumberFormat="1" applyFont="1" applyFill="1" applyBorder="1"/>
    <xf numFmtId="44" fontId="73" fillId="0" borderId="12" xfId="1570" applyNumberFormat="1" applyFont="1" applyFill="1" applyBorder="1"/>
    <xf numFmtId="44" fontId="73" fillId="0" borderId="65" xfId="1570" applyNumberFormat="1" applyFont="1" applyFill="1" applyBorder="1"/>
    <xf numFmtId="0" fontId="0" fillId="0" borderId="26" xfId="0" applyNumberFormat="1" applyBorder="1" applyAlignment="1"/>
    <xf numFmtId="0" fontId="0" fillId="0" borderId="13" xfId="0" applyNumberFormat="1" applyBorder="1" applyAlignment="1"/>
    <xf numFmtId="0" fontId="0" fillId="0" borderId="64" xfId="0" applyNumberFormat="1" applyBorder="1" applyAlignment="1"/>
    <xf numFmtId="43" fontId="15" fillId="4" borderId="0" xfId="1922" applyNumberFormat="1" applyFont="1" applyFill="1"/>
    <xf numFmtId="43" fontId="15" fillId="4" borderId="0" xfId="0" applyNumberFormat="1" applyFont="1" applyFill="1" applyAlignment="1">
      <alignment horizontal="left" indent="4"/>
    </xf>
    <xf numFmtId="43" fontId="15" fillId="4" borderId="0" xfId="0" applyNumberFormat="1" applyFont="1" applyFill="1" applyAlignment="1"/>
    <xf numFmtId="43" fontId="15" fillId="13" borderId="0" xfId="1922" applyNumberFormat="1" applyFont="1" applyFill="1"/>
    <xf numFmtId="43" fontId="15" fillId="0" borderId="0" xfId="0" applyNumberFormat="1" applyFont="1" applyAlignment="1">
      <alignment horizontal="left" indent="4"/>
    </xf>
    <xf numFmtId="177" fontId="0" fillId="0" borderId="0" xfId="1570" applyNumberFormat="1" applyFont="1"/>
    <xf numFmtId="43" fontId="15" fillId="0" borderId="0" xfId="0" applyNumberFormat="1" applyFont="1" applyAlignment="1">
      <alignment horizontal="right"/>
    </xf>
    <xf numFmtId="177" fontId="0" fillId="0" borderId="14" xfId="1570" applyNumberFormat="1" applyFont="1" applyBorder="1"/>
    <xf numFmtId="43" fontId="139" fillId="0" borderId="23" xfId="0" applyNumberFormat="1" applyFont="1" applyBorder="1" applyAlignment="1">
      <alignment horizontal="right"/>
    </xf>
    <xf numFmtId="4" fontId="0" fillId="0" borderId="0" xfId="0" applyNumberFormat="1" applyAlignment="1"/>
    <xf numFmtId="43" fontId="139" fillId="0" borderId="25" xfId="0" applyNumberFormat="1" applyFont="1" applyBorder="1" applyAlignment="1">
      <alignment horizontal="center"/>
    </xf>
    <xf numFmtId="0" fontId="0" fillId="0" borderId="0" xfId="0" applyNumberFormat="1" applyBorder="1" applyAlignment="1">
      <alignment horizontal="right"/>
    </xf>
    <xf numFmtId="0" fontId="173" fillId="0" borderId="0" xfId="0" applyNumberFormat="1" applyFont="1" applyBorder="1" applyAlignment="1">
      <alignment horizontal="right"/>
    </xf>
    <xf numFmtId="10" fontId="0" fillId="0" borderId="0" xfId="1803" applyNumberFormat="1" applyFont="1"/>
    <xf numFmtId="0" fontId="0" fillId="0" borderId="0" xfId="0" quotePrefix="1" applyNumberFormat="1" applyAlignment="1"/>
    <xf numFmtId="177" fontId="0" fillId="0" borderId="0" xfId="0" applyNumberFormat="1" applyAlignment="1"/>
    <xf numFmtId="177" fontId="0" fillId="0" borderId="14" xfId="0" applyNumberFormat="1" applyBorder="1" applyAlignment="1"/>
    <xf numFmtId="43" fontId="139" fillId="0" borderId="27" xfId="0" applyNumberFormat="1" applyFont="1" applyBorder="1" applyAlignment="1">
      <alignment horizontal="center"/>
    </xf>
    <xf numFmtId="0" fontId="29" fillId="0" borderId="0" xfId="1917" applyFont="1" applyAlignment="1">
      <alignment horizontal="center"/>
    </xf>
    <xf numFmtId="0" fontId="15" fillId="0" borderId="0" xfId="1917" applyAlignment="1">
      <alignment horizontal="center"/>
    </xf>
    <xf numFmtId="0" fontId="15" fillId="0" borderId="0" xfId="0" applyNumberFormat="1" applyFont="1" applyAlignment="1">
      <alignment horizontal="centerContinuous"/>
    </xf>
    <xf numFmtId="44" fontId="15" fillId="0" borderId="0" xfId="0" applyNumberFormat="1" applyFont="1" applyAlignment="1">
      <alignment horizontal="center"/>
    </xf>
    <xf numFmtId="0" fontId="73" fillId="0" borderId="13" xfId="1923" applyFont="1" applyBorder="1" applyAlignment="1">
      <alignment horizontal="center"/>
    </xf>
    <xf numFmtId="0" fontId="15" fillId="0" borderId="13" xfId="1917" applyBorder="1" applyAlignment="1">
      <alignment horizontal="center"/>
    </xf>
    <xf numFmtId="44" fontId="73" fillId="0" borderId="13" xfId="1923" applyNumberFormat="1" applyFont="1" applyBorder="1" applyAlignment="1">
      <alignment horizontal="center"/>
    </xf>
    <xf numFmtId="0" fontId="73" fillId="0" borderId="0" xfId="1923" applyFont="1"/>
    <xf numFmtId="43" fontId="73" fillId="0" borderId="0" xfId="1923" applyNumberFormat="1" applyFont="1"/>
    <xf numFmtId="169" fontId="174" fillId="0" borderId="0" xfId="0" applyFont="1">
      <alignment horizontal="left" wrapText="1"/>
    </xf>
    <xf numFmtId="4" fontId="174" fillId="0" borderId="0" xfId="0" applyNumberFormat="1" applyFont="1" applyAlignment="1">
      <alignment horizontal="right" wrapText="1"/>
    </xf>
    <xf numFmtId="0" fontId="15" fillId="0" borderId="0" xfId="0" applyNumberFormat="1" applyFont="1" applyAlignment="1">
      <alignment horizontal="left"/>
    </xf>
    <xf numFmtId="169" fontId="0" fillId="0" borderId="0" xfId="0">
      <alignment horizontal="left" wrapText="1"/>
    </xf>
    <xf numFmtId="169" fontId="174" fillId="0" borderId="0" xfId="0" applyFont="1" applyAlignment="1">
      <alignment horizontal="right" wrapText="1"/>
    </xf>
    <xf numFmtId="169" fontId="162" fillId="0" borderId="0" xfId="0" applyFont="1">
      <alignment horizontal="left" wrapText="1"/>
    </xf>
    <xf numFmtId="44" fontId="15" fillId="0" borderId="0" xfId="0" applyNumberFormat="1" applyFont="1" applyAlignment="1"/>
    <xf numFmtId="0" fontId="157" fillId="0" borderId="0" xfId="1924"/>
    <xf numFmtId="43" fontId="112" fillId="0" borderId="13" xfId="1924" applyNumberFormat="1" applyFont="1" applyBorder="1" applyAlignment="1">
      <alignment horizontal="centerContinuous"/>
    </xf>
    <xf numFmtId="43" fontId="112" fillId="0" borderId="0" xfId="1924" applyNumberFormat="1" applyFont="1"/>
    <xf numFmtId="43" fontId="112" fillId="0" borderId="13" xfId="1570" applyNumberFormat="1" applyFont="1" applyBorder="1" applyAlignment="1">
      <alignment horizontal="centerContinuous"/>
    </xf>
    <xf numFmtId="43" fontId="112" fillId="0" borderId="0" xfId="1924" applyNumberFormat="1" applyFont="1" applyBorder="1" applyAlignment="1">
      <alignment horizontal="centerContinuous"/>
    </xf>
    <xf numFmtId="43" fontId="175" fillId="0" borderId="0" xfId="1924" applyNumberFormat="1" applyFont="1"/>
    <xf numFmtId="43" fontId="176" fillId="0" borderId="13" xfId="1924" applyNumberFormat="1" applyFont="1" applyBorder="1" applyAlignment="1">
      <alignment horizontal="centerContinuous"/>
    </xf>
    <xf numFmtId="43" fontId="161" fillId="0" borderId="13" xfId="1924" applyNumberFormat="1" applyFont="1" applyBorder="1" applyAlignment="1">
      <alignment horizontal="centerContinuous"/>
    </xf>
    <xf numFmtId="43" fontId="175" fillId="0" borderId="13" xfId="1924" applyNumberFormat="1" applyFont="1" applyBorder="1" applyAlignment="1">
      <alignment horizontal="centerContinuous"/>
    </xf>
    <xf numFmtId="43" fontId="177" fillId="0" borderId="13" xfId="1924" applyNumberFormat="1" applyFont="1" applyBorder="1" applyAlignment="1">
      <alignment horizontal="centerContinuous"/>
    </xf>
    <xf numFmtId="43" fontId="47" fillId="0" borderId="0" xfId="1924" applyNumberFormat="1" applyFont="1" applyBorder="1"/>
    <xf numFmtId="43" fontId="175" fillId="0" borderId="13" xfId="1570" applyFont="1" applyBorder="1" applyAlignment="1">
      <alignment horizontal="centerContinuous"/>
    </xf>
    <xf numFmtId="43" fontId="47" fillId="0" borderId="13" xfId="1924" applyNumberFormat="1" applyFont="1" applyBorder="1" applyAlignment="1">
      <alignment horizontal="centerContinuous"/>
    </xf>
    <xf numFmtId="43" fontId="47" fillId="0" borderId="0" xfId="1924" applyNumberFormat="1" applyFont="1"/>
    <xf numFmtId="43" fontId="47" fillId="0" borderId="0" xfId="1570" applyNumberFormat="1" applyFont="1"/>
    <xf numFmtId="43" fontId="177" fillId="0" borderId="0" xfId="1924" applyNumberFormat="1" applyFont="1"/>
    <xf numFmtId="43" fontId="161" fillId="0" borderId="0" xfId="1924" applyNumberFormat="1" applyFont="1"/>
    <xf numFmtId="43" fontId="177" fillId="0" borderId="0" xfId="1570" applyFont="1"/>
    <xf numFmtId="43" fontId="47" fillId="0" borderId="13" xfId="1924" applyNumberFormat="1" applyFont="1" applyBorder="1" applyAlignment="1">
      <alignment horizontal="center"/>
    </xf>
    <xf numFmtId="43" fontId="47" fillId="0" borderId="0" xfId="1924" applyNumberFormat="1" applyFont="1" applyAlignment="1">
      <alignment horizontal="center"/>
    </xf>
    <xf numFmtId="43" fontId="47" fillId="0" borderId="13" xfId="1570" applyNumberFormat="1" applyFont="1" applyBorder="1" applyAlignment="1">
      <alignment horizontal="center"/>
    </xf>
    <xf numFmtId="43" fontId="177" fillId="0" borderId="0" xfId="1924" applyNumberFormat="1" applyFont="1" applyAlignment="1">
      <alignment horizontal="center"/>
    </xf>
    <xf numFmtId="43" fontId="161" fillId="0" borderId="13" xfId="1924" applyNumberFormat="1" applyFont="1" applyBorder="1" applyAlignment="1">
      <alignment horizontal="center"/>
    </xf>
    <xf numFmtId="43" fontId="161" fillId="0" borderId="0" xfId="1924" applyNumberFormat="1" applyFont="1" applyAlignment="1">
      <alignment horizontal="center"/>
    </xf>
    <xf numFmtId="43" fontId="177" fillId="0" borderId="13" xfId="1924" applyNumberFormat="1" applyFont="1" applyBorder="1" applyAlignment="1">
      <alignment horizontal="center"/>
    </xf>
    <xf numFmtId="43" fontId="47" fillId="0" borderId="0" xfId="1924" applyNumberFormat="1" applyFont="1" applyBorder="1" applyAlignment="1">
      <alignment horizontal="center"/>
    </xf>
    <xf numFmtId="43" fontId="177" fillId="0" borderId="13" xfId="1570" applyFont="1" applyBorder="1" applyAlignment="1">
      <alignment horizontal="center"/>
    </xf>
    <xf numFmtId="43" fontId="178" fillId="0" borderId="0" xfId="1924" applyNumberFormat="1" applyFont="1" applyBorder="1" applyAlignment="1" applyProtection="1">
      <alignment horizontal="left"/>
    </xf>
    <xf numFmtId="43" fontId="47" fillId="0" borderId="0" xfId="1924" applyNumberFormat="1" applyFont="1" applyFill="1" applyBorder="1"/>
    <xf numFmtId="43" fontId="177" fillId="0" borderId="0" xfId="1924" applyNumberFormat="1" applyFont="1" applyFill="1" applyBorder="1"/>
    <xf numFmtId="43" fontId="161" fillId="0" borderId="0" xfId="1924" applyNumberFormat="1" applyFont="1" applyFill="1" applyBorder="1"/>
    <xf numFmtId="43" fontId="177" fillId="0" borderId="0" xfId="1570" applyFont="1" applyFill="1" applyBorder="1"/>
    <xf numFmtId="43" fontId="179" fillId="0" borderId="0" xfId="1924" applyNumberFormat="1" applyFont="1" applyBorder="1"/>
    <xf numFmtId="43" fontId="161" fillId="0" borderId="0" xfId="1924" applyNumberFormat="1" applyFont="1" applyBorder="1"/>
    <xf numFmtId="43" fontId="47" fillId="0" borderId="0" xfId="1924" quotePrefix="1" applyNumberFormat="1" applyFont="1" applyAlignment="1" applyProtection="1">
      <alignment horizontal="left"/>
    </xf>
    <xf numFmtId="44" fontId="47" fillId="0" borderId="0" xfId="1570" applyNumberFormat="1" applyFont="1" applyFill="1"/>
    <xf numFmtId="10" fontId="47" fillId="0" borderId="0" xfId="1803" applyNumberFormat="1" applyFont="1"/>
    <xf numFmtId="44" fontId="47" fillId="0" borderId="0" xfId="1570" applyNumberFormat="1" applyFont="1"/>
    <xf numFmtId="44" fontId="161" fillId="0" borderId="0" xfId="1570" applyNumberFormat="1" applyFont="1"/>
    <xf numFmtId="10" fontId="161" fillId="0" borderId="0" xfId="1803" applyNumberFormat="1" applyFont="1"/>
    <xf numFmtId="44" fontId="177" fillId="0" borderId="0" xfId="1570" applyNumberFormat="1" applyFont="1"/>
    <xf numFmtId="43" fontId="177" fillId="0" borderId="0" xfId="1924" applyNumberFormat="1" applyFont="1" applyBorder="1"/>
    <xf numFmtId="10" fontId="177" fillId="0" borderId="0" xfId="1803" applyNumberFormat="1" applyFont="1"/>
    <xf numFmtId="43" fontId="47" fillId="0" borderId="0" xfId="1924" applyNumberFormat="1" applyFont="1" applyAlignment="1" applyProtection="1">
      <alignment horizontal="left"/>
    </xf>
    <xf numFmtId="43" fontId="47" fillId="0" borderId="13" xfId="1570" applyNumberFormat="1" applyFont="1" applyFill="1" applyBorder="1"/>
    <xf numFmtId="10" fontId="47" fillId="0" borderId="13" xfId="1803" applyNumberFormat="1" applyFont="1" applyBorder="1"/>
    <xf numFmtId="43" fontId="47" fillId="0" borderId="13" xfId="1570" applyNumberFormat="1" applyFont="1" applyBorder="1"/>
    <xf numFmtId="43" fontId="161" fillId="0" borderId="13" xfId="1570" applyNumberFormat="1" applyFont="1" applyBorder="1"/>
    <xf numFmtId="10" fontId="161" fillId="0" borderId="13" xfId="1803" applyNumberFormat="1" applyFont="1" applyBorder="1"/>
    <xf numFmtId="43" fontId="177" fillId="0" borderId="13" xfId="1570" applyNumberFormat="1" applyFont="1" applyBorder="1"/>
    <xf numFmtId="10" fontId="177" fillId="0" borderId="13" xfId="1803" applyNumberFormat="1" applyFont="1" applyBorder="1"/>
    <xf numFmtId="43" fontId="47" fillId="0" borderId="0" xfId="1570" applyNumberFormat="1" applyFont="1" applyFill="1"/>
    <xf numFmtId="10" fontId="47" fillId="0" borderId="0" xfId="1924" applyNumberFormat="1" applyFont="1" applyBorder="1"/>
    <xf numFmtId="43" fontId="161" fillId="0" borderId="0" xfId="1570" applyNumberFormat="1" applyFont="1"/>
    <xf numFmtId="43" fontId="177" fillId="0" borderId="0" xfId="1570" applyNumberFormat="1" applyFont="1"/>
    <xf numFmtId="10" fontId="177" fillId="0" borderId="0" xfId="1924" applyNumberFormat="1" applyFont="1" applyBorder="1"/>
    <xf numFmtId="43" fontId="47" fillId="0" borderId="13" xfId="1924" applyNumberFormat="1" applyFont="1" applyBorder="1"/>
    <xf numFmtId="43" fontId="47" fillId="0" borderId="0" xfId="1924" quotePrefix="1" applyNumberFormat="1" applyFont="1" applyFill="1" applyBorder="1" applyAlignment="1">
      <alignment horizontal="center"/>
    </xf>
    <xf numFmtId="43" fontId="47" fillId="0" borderId="0" xfId="1924" applyNumberFormat="1" applyFont="1" applyFill="1"/>
    <xf numFmtId="43" fontId="47" fillId="0" borderId="0" xfId="1570" applyNumberFormat="1" applyFont="1" applyFill="1" applyBorder="1"/>
    <xf numFmtId="10" fontId="47" fillId="0" borderId="0" xfId="1803" applyNumberFormat="1" applyFont="1" applyFill="1"/>
    <xf numFmtId="43" fontId="161" fillId="0" borderId="0" xfId="1570" applyNumberFormat="1" applyFont="1" applyFill="1" applyBorder="1"/>
    <xf numFmtId="10" fontId="161" fillId="0" borderId="0" xfId="1803" applyNumberFormat="1" applyFont="1" applyFill="1"/>
    <xf numFmtId="10" fontId="47" fillId="0" borderId="13" xfId="1803" applyNumberFormat="1" applyFont="1" applyFill="1" applyBorder="1"/>
    <xf numFmtId="43" fontId="161" fillId="0" borderId="13" xfId="1570" applyNumberFormat="1" applyFont="1" applyFill="1" applyBorder="1"/>
    <xf numFmtId="10" fontId="161" fillId="0" borderId="13" xfId="1803" applyNumberFormat="1" applyFont="1" applyFill="1" applyBorder="1"/>
    <xf numFmtId="43" fontId="47" fillId="0" borderId="0" xfId="1924" quotePrefix="1" applyNumberFormat="1" applyFont="1" applyBorder="1" applyAlignment="1" applyProtection="1">
      <alignment horizontal="left"/>
    </xf>
    <xf numFmtId="43" fontId="47" fillId="0" borderId="0" xfId="1803" applyNumberFormat="1" applyFont="1" applyBorder="1"/>
    <xf numFmtId="43" fontId="47" fillId="0" borderId="0" xfId="1570" applyNumberFormat="1" applyFont="1" applyBorder="1"/>
    <xf numFmtId="43" fontId="47" fillId="0" borderId="0" xfId="1924" applyNumberFormat="1" applyFont="1" applyBorder="1" applyAlignment="1" applyProtection="1">
      <alignment horizontal="left"/>
    </xf>
    <xf numFmtId="43" fontId="112" fillId="0" borderId="0" xfId="1924" applyNumberFormat="1" applyFont="1" applyFill="1" applyAlignment="1" applyProtection="1">
      <alignment horizontal="left"/>
    </xf>
    <xf numFmtId="44" fontId="47" fillId="0" borderId="12" xfId="1570" applyNumberFormat="1" applyFont="1" applyFill="1" applyBorder="1"/>
    <xf numFmtId="10" fontId="47" fillId="0" borderId="12" xfId="1803" applyNumberFormat="1" applyFont="1" applyFill="1" applyBorder="1"/>
    <xf numFmtId="44" fontId="161" fillId="0" borderId="12" xfId="1570" applyNumberFormat="1" applyFont="1" applyFill="1" applyBorder="1"/>
    <xf numFmtId="10" fontId="161" fillId="0" borderId="12" xfId="1803" applyNumberFormat="1" applyFont="1" applyFill="1" applyBorder="1"/>
    <xf numFmtId="44" fontId="177" fillId="0" borderId="12" xfId="1570" applyNumberFormat="1" applyFont="1" applyFill="1" applyBorder="1"/>
    <xf numFmtId="10" fontId="177" fillId="0" borderId="12" xfId="1803" applyNumberFormat="1" applyFont="1" applyFill="1" applyBorder="1"/>
    <xf numFmtId="44" fontId="47" fillId="0" borderId="0" xfId="1924" applyNumberFormat="1" applyFont="1" applyBorder="1"/>
    <xf numFmtId="10" fontId="47" fillId="0" borderId="0" xfId="1803" applyNumberFormat="1" applyFont="1" applyBorder="1"/>
    <xf numFmtId="10" fontId="161" fillId="0" borderId="0" xfId="1924" applyNumberFormat="1" applyFont="1" applyBorder="1"/>
    <xf numFmtId="43" fontId="177" fillId="0" borderId="0" xfId="1570" applyFont="1" applyBorder="1"/>
    <xf numFmtId="43" fontId="175" fillId="0" borderId="0" xfId="1924" applyNumberFormat="1" applyFont="1" applyBorder="1"/>
    <xf numFmtId="43" fontId="177" fillId="0" borderId="0" xfId="1924" applyNumberFormat="1" applyFont="1" applyAlignment="1">
      <alignment horizontal="left"/>
    </xf>
    <xf numFmtId="43" fontId="47" fillId="0" borderId="0" xfId="1924" applyNumberFormat="1" applyFont="1" applyAlignment="1">
      <alignment horizontal="left"/>
    </xf>
    <xf numFmtId="0" fontId="157" fillId="0" borderId="0" xfId="1924" applyFont="1"/>
    <xf numFmtId="0" fontId="24" fillId="0" borderId="81" xfId="0" applyNumberFormat="1" applyFont="1" applyBorder="1" applyAlignment="1">
      <alignment horizontal="centerContinuous" vertical="center"/>
    </xf>
    <xf numFmtId="0" fontId="24" fillId="0" borderId="81" xfId="0" applyNumberFormat="1" applyFont="1" applyFill="1" applyBorder="1" applyAlignment="1">
      <alignment horizontal="centerContinuous" vertical="center"/>
    </xf>
    <xf numFmtId="0" fontId="24" fillId="0" borderId="82" xfId="0" applyNumberFormat="1" applyFont="1" applyBorder="1" applyAlignment="1">
      <alignment horizontal="centerContinuous" vertical="center"/>
    </xf>
    <xf numFmtId="0" fontId="24" fillId="0" borderId="83" xfId="0" applyNumberFormat="1" applyFont="1" applyBorder="1" applyAlignment="1">
      <alignment horizontal="center"/>
    </xf>
    <xf numFmtId="0" fontId="24" fillId="0" borderId="83" xfId="0" applyNumberFormat="1" applyFont="1" applyFill="1" applyBorder="1" applyAlignment="1">
      <alignment horizontal="center"/>
    </xf>
    <xf numFmtId="169" fontId="15" fillId="0" borderId="0" xfId="0" applyFont="1">
      <alignment horizontal="left" wrapText="1"/>
    </xf>
    <xf numFmtId="41" fontId="15" fillId="0" borderId="0" xfId="0" applyNumberFormat="1" applyFont="1">
      <alignment horizontal="left" wrapText="1"/>
    </xf>
    <xf numFmtId="41" fontId="15" fillId="0" borderId="0" xfId="0" applyNumberFormat="1" applyFont="1" applyFill="1">
      <alignment horizontal="left" wrapText="1"/>
    </xf>
    <xf numFmtId="0" fontId="15" fillId="0" borderId="12" xfId="0" applyNumberFormat="1" applyFont="1" applyBorder="1" applyAlignment="1"/>
    <xf numFmtId="44" fontId="24" fillId="0" borderId="12" xfId="1631" applyFont="1" applyBorder="1" applyAlignment="1">
      <alignment horizontal="right"/>
    </xf>
    <xf numFmtId="41" fontId="24" fillId="0" borderId="12" xfId="0" applyNumberFormat="1" applyFont="1" applyBorder="1" applyAlignment="1"/>
    <xf numFmtId="41" fontId="24" fillId="0" borderId="12" xfId="0" applyNumberFormat="1" applyFont="1" applyFill="1" applyBorder="1" applyAlignment="1"/>
    <xf numFmtId="41" fontId="15" fillId="0" borderId="12" xfId="0" applyNumberFormat="1" applyFont="1" applyBorder="1" applyAlignment="1"/>
    <xf numFmtId="169" fontId="157" fillId="0" borderId="0" xfId="0" applyFont="1" applyFill="1">
      <alignment horizontal="left" wrapText="1"/>
    </xf>
    <xf numFmtId="41" fontId="15" fillId="0" borderId="12" xfId="0" applyNumberFormat="1" applyFont="1" applyFill="1" applyBorder="1" applyAlignment="1"/>
    <xf numFmtId="43" fontId="15" fillId="0" borderId="0" xfId="1570" applyFont="1" applyAlignment="1"/>
    <xf numFmtId="41" fontId="139" fillId="0" borderId="0" xfId="0" applyNumberFormat="1" applyFont="1">
      <alignment horizontal="left" wrapText="1"/>
    </xf>
    <xf numFmtId="41" fontId="139" fillId="0" borderId="0" xfId="0" applyNumberFormat="1" applyFont="1" applyFill="1">
      <alignment horizontal="left" wrapText="1"/>
    </xf>
    <xf numFmtId="39" fontId="0" fillId="0" borderId="0" xfId="0" applyNumberFormat="1">
      <alignment horizontal="left" wrapText="1"/>
    </xf>
    <xf numFmtId="0" fontId="24" fillId="0" borderId="13" xfId="1925" applyFont="1" applyBorder="1" applyAlignment="1">
      <alignment horizontal="center"/>
    </xf>
    <xf numFmtId="0" fontId="24" fillId="0" borderId="13" xfId="1925" applyFont="1" applyBorder="1" applyAlignment="1">
      <alignment horizontal="center" wrapText="1"/>
    </xf>
    <xf numFmtId="0" fontId="24" fillId="0" borderId="0" xfId="1925" applyFont="1" applyAlignment="1">
      <alignment horizontal="center"/>
    </xf>
    <xf numFmtId="22" fontId="157" fillId="0" borderId="0" xfId="1925" applyNumberFormat="1" applyAlignment="1">
      <alignment horizontal="right"/>
    </xf>
    <xf numFmtId="39" fontId="157" fillId="0" borderId="0" xfId="1925" applyNumberFormat="1"/>
    <xf numFmtId="39" fontId="15" fillId="0" borderId="0" xfId="1925" applyNumberFormat="1" applyFont="1" applyBorder="1" applyAlignment="1"/>
    <xf numFmtId="39" fontId="15" fillId="0" borderId="0" xfId="1925" applyNumberFormat="1" applyFont="1" applyBorder="1" applyAlignment="1">
      <alignment horizontal="right" wrapText="1"/>
    </xf>
    <xf numFmtId="0" fontId="157" fillId="0" borderId="0" xfId="1925"/>
    <xf numFmtId="0" fontId="157" fillId="0" borderId="0" xfId="1925" applyAlignment="1">
      <alignment horizontal="right"/>
    </xf>
    <xf numFmtId="43" fontId="157" fillId="0" borderId="0" xfId="1570" applyFont="1"/>
    <xf numFmtId="0" fontId="24" fillId="0" borderId="84" xfId="0" applyNumberFormat="1" applyFont="1" applyBorder="1" applyAlignment="1">
      <alignment horizontal="centerContinuous" vertical="center"/>
    </xf>
    <xf numFmtId="0" fontId="24" fillId="0" borderId="84" xfId="0" applyNumberFormat="1" applyFont="1" applyFill="1" applyBorder="1" applyAlignment="1">
      <alignment horizontal="centerContinuous" vertical="center"/>
    </xf>
    <xf numFmtId="0" fontId="24" fillId="0" borderId="85" xfId="0" applyNumberFormat="1" applyFont="1" applyBorder="1" applyAlignment="1">
      <alignment horizontal="centerContinuous" vertical="center"/>
    </xf>
    <xf numFmtId="41" fontId="15" fillId="0" borderId="0" xfId="0" applyNumberFormat="1" applyFont="1" applyAlignment="1"/>
    <xf numFmtId="177" fontId="139" fillId="0" borderId="0" xfId="1570" applyNumberFormat="1" applyFont="1" applyAlignment="1"/>
    <xf numFmtId="177" fontId="0" fillId="0" borderId="0" xfId="0" applyNumberFormat="1">
      <alignment horizontal="left" wrapText="1"/>
    </xf>
    <xf numFmtId="43" fontId="139" fillId="0" borderId="0" xfId="1570" applyFont="1" applyAlignment="1"/>
    <xf numFmtId="0" fontId="24" fillId="0" borderId="0" xfId="1925" applyFont="1" applyAlignment="1">
      <alignment horizontal="center" wrapText="1"/>
    </xf>
    <xf numFmtId="39" fontId="15" fillId="0" borderId="0" xfId="1925" applyNumberFormat="1" applyFont="1" applyAlignment="1">
      <alignment horizontal="right"/>
    </xf>
    <xf numFmtId="39" fontId="15" fillId="0" borderId="0" xfId="1925" applyNumberFormat="1" applyFont="1" applyAlignment="1">
      <alignment horizontal="right" wrapText="1"/>
    </xf>
    <xf numFmtId="15" fontId="180" fillId="0" borderId="0" xfId="1926" quotePrefix="1" applyNumberFormat="1" applyFont="1" applyFill="1"/>
    <xf numFmtId="0" fontId="180" fillId="0" borderId="0" xfId="1926" applyFont="1" applyFill="1"/>
    <xf numFmtId="0" fontId="181" fillId="0" borderId="0" xfId="1926" applyFont="1" applyFill="1"/>
    <xf numFmtId="0" fontId="181" fillId="0" borderId="0" xfId="1926" applyFont="1"/>
    <xf numFmtId="0" fontId="181" fillId="0" borderId="0" xfId="1926" applyFont="1" applyBorder="1"/>
    <xf numFmtId="14" fontId="183" fillId="0" borderId="0" xfId="1926" quotePrefix="1" applyNumberFormat="1" applyFont="1" applyBorder="1" applyAlignment="1">
      <alignment horizontal="left"/>
    </xf>
    <xf numFmtId="14" fontId="182" fillId="0" borderId="0" xfId="1926" quotePrefix="1" applyNumberFormat="1" applyFont="1" applyAlignment="1">
      <alignment horizontal="centerContinuous"/>
    </xf>
    <xf numFmtId="0" fontId="184" fillId="0" borderId="0" xfId="1926" applyFont="1" applyAlignment="1">
      <alignment horizontal="centerContinuous"/>
    </xf>
    <xf numFmtId="0" fontId="184" fillId="0" borderId="0" xfId="1926" applyFont="1" applyFill="1" applyAlignment="1">
      <alignment horizontal="centerContinuous"/>
    </xf>
    <xf numFmtId="0" fontId="184" fillId="0" borderId="0" xfId="1926" applyFont="1"/>
    <xf numFmtId="0" fontId="187" fillId="0" borderId="0" xfId="1926" applyFont="1" applyBorder="1"/>
    <xf numFmtId="0" fontId="187" fillId="0" borderId="0" xfId="1926" applyFont="1"/>
    <xf numFmtId="0" fontId="186" fillId="0" borderId="0" xfId="1926" applyFont="1"/>
    <xf numFmtId="169" fontId="186" fillId="0" borderId="0" xfId="0" applyFont="1" applyBorder="1">
      <alignment horizontal="left" wrapText="1"/>
    </xf>
    <xf numFmtId="0" fontId="185" fillId="0" borderId="0" xfId="1926" applyFont="1"/>
    <xf numFmtId="37" fontId="185" fillId="0" borderId="0" xfId="1926" applyNumberFormat="1" applyFont="1" applyAlignment="1">
      <alignment horizontal="center"/>
    </xf>
    <xf numFmtId="37" fontId="185" fillId="0" borderId="0" xfId="1926" applyNumberFormat="1" applyFont="1" applyFill="1" applyAlignment="1">
      <alignment horizontal="center"/>
    </xf>
    <xf numFmtId="37" fontId="185" fillId="0" borderId="0" xfId="0" applyNumberFormat="1" applyFont="1" applyBorder="1" applyAlignment="1">
      <alignment horizontal="center"/>
    </xf>
    <xf numFmtId="0" fontId="184" fillId="0" borderId="0" xfId="1926" applyFont="1" applyAlignment="1">
      <alignment horizontal="center"/>
    </xf>
    <xf numFmtId="41" fontId="184" fillId="0" borderId="0" xfId="1570" applyNumberFormat="1" applyFont="1"/>
    <xf numFmtId="41" fontId="184" fillId="0" borderId="0" xfId="1570" applyNumberFormat="1" applyFont="1" applyFill="1"/>
    <xf numFmtId="235" fontId="188" fillId="0" borderId="0" xfId="1926" applyNumberFormat="1" applyFont="1" applyProtection="1">
      <protection locked="0"/>
    </xf>
    <xf numFmtId="41" fontId="184" fillId="0" borderId="0" xfId="1570" applyNumberFormat="1" applyFont="1" applyBorder="1"/>
    <xf numFmtId="41" fontId="184" fillId="0" borderId="0" xfId="1570" applyNumberFormat="1" applyFont="1" applyFill="1" applyBorder="1"/>
    <xf numFmtId="41" fontId="189" fillId="0" borderId="0" xfId="1570" applyNumberFormat="1" applyFont="1"/>
    <xf numFmtId="0" fontId="190" fillId="0" borderId="0" xfId="1926" applyFont="1" applyAlignment="1">
      <alignment horizontal="center"/>
    </xf>
    <xf numFmtId="37" fontId="184" fillId="0" borderId="0" xfId="1926" applyNumberFormat="1" applyFont="1"/>
    <xf numFmtId="41" fontId="184" fillId="0" borderId="13" xfId="1570" applyNumberFormat="1" applyFont="1" applyFill="1" applyBorder="1"/>
    <xf numFmtId="41" fontId="184" fillId="0" borderId="13" xfId="1570" applyNumberFormat="1" applyFont="1" applyBorder="1"/>
    <xf numFmtId="235" fontId="188" fillId="0" borderId="13" xfId="1926" applyNumberFormat="1" applyFont="1" applyBorder="1" applyProtection="1">
      <protection locked="0"/>
    </xf>
    <xf numFmtId="37" fontId="184" fillId="0" borderId="0" xfId="1926" applyNumberFormat="1" applyFont="1" applyFill="1"/>
    <xf numFmtId="37" fontId="184" fillId="0" borderId="0" xfId="0" applyNumberFormat="1" applyFont="1" applyBorder="1">
      <alignment horizontal="left" wrapText="1"/>
    </xf>
    <xf numFmtId="0" fontId="184" fillId="0" borderId="13" xfId="1926" applyFont="1" applyBorder="1"/>
    <xf numFmtId="0" fontId="184" fillId="0" borderId="13" xfId="1926" applyFont="1" applyFill="1" applyBorder="1"/>
    <xf numFmtId="169" fontId="184" fillId="0" borderId="0" xfId="0" applyFont="1" applyBorder="1">
      <alignment horizontal="left" wrapText="1"/>
    </xf>
    <xf numFmtId="0" fontId="184" fillId="0" borderId="0" xfId="1926" applyFont="1" applyBorder="1"/>
    <xf numFmtId="0" fontId="184" fillId="0" borderId="0" xfId="1926" applyFont="1" applyFill="1" applyBorder="1"/>
    <xf numFmtId="41" fontId="184" fillId="0" borderId="0" xfId="1926" applyNumberFormat="1" applyFont="1" applyBorder="1"/>
    <xf numFmtId="41" fontId="184" fillId="0" borderId="0" xfId="1926" applyNumberFormat="1" applyFont="1" applyFill="1" applyBorder="1"/>
    <xf numFmtId="41" fontId="184" fillId="0" borderId="0" xfId="0" applyNumberFormat="1" applyFont="1" applyBorder="1">
      <alignment horizontal="left" wrapText="1"/>
    </xf>
    <xf numFmtId="0" fontId="184" fillId="0" borderId="0" xfId="1926" applyFont="1" applyFill="1"/>
    <xf numFmtId="14" fontId="184" fillId="0" borderId="0" xfId="1926" applyNumberFormat="1" applyFont="1"/>
    <xf numFmtId="0" fontId="191" fillId="0" borderId="0" xfId="1927" applyFont="1"/>
    <xf numFmtId="15" fontId="192" fillId="0" borderId="0" xfId="1927" quotePrefix="1" applyNumberFormat="1" applyFont="1" applyFill="1"/>
    <xf numFmtId="0" fontId="192" fillId="0" borderId="0" xfId="1927" applyFont="1" applyFill="1"/>
    <xf numFmtId="0" fontId="191" fillId="0" borderId="0" xfId="1927" applyFont="1" applyFill="1"/>
    <xf numFmtId="14" fontId="194" fillId="0" borderId="0" xfId="1927" quotePrefix="1" applyNumberFormat="1" applyFont="1" applyAlignment="1">
      <alignment horizontal="centerContinuous"/>
    </xf>
    <xf numFmtId="0" fontId="15" fillId="0" borderId="0" xfId="1927" applyFont="1" applyAlignment="1">
      <alignment horizontal="centerContinuous"/>
    </xf>
    <xf numFmtId="0" fontId="15" fillId="0" borderId="0" xfId="1927" applyFont="1" applyFill="1" applyAlignment="1">
      <alignment horizontal="centerContinuous"/>
    </xf>
    <xf numFmtId="0" fontId="187" fillId="0" borderId="0" xfId="1927" applyFont="1"/>
    <xf numFmtId="0" fontId="195" fillId="0" borderId="0" xfId="1927" applyFont="1"/>
    <xf numFmtId="0" fontId="186" fillId="0" borderId="0" xfId="1927" applyFont="1" applyAlignment="1"/>
    <xf numFmtId="0" fontId="185" fillId="0" borderId="0" xfId="1927" applyFont="1"/>
    <xf numFmtId="37" fontId="185" fillId="0" borderId="0" xfId="1927" applyNumberFormat="1" applyFont="1" applyAlignment="1">
      <alignment horizontal="center"/>
    </xf>
    <xf numFmtId="37" fontId="185" fillId="0" borderId="0" xfId="1927" applyNumberFormat="1" applyFont="1" applyFill="1" applyAlignment="1">
      <alignment horizontal="center"/>
    </xf>
    <xf numFmtId="0" fontId="181" fillId="0" borderId="0" xfId="1927" applyFont="1"/>
    <xf numFmtId="0" fontId="184" fillId="0" borderId="0" xfId="1927" applyFont="1"/>
    <xf numFmtId="236" fontId="188" fillId="0" borderId="0" xfId="1927" applyNumberFormat="1" applyFont="1" applyAlignment="1" applyProtection="1">
      <alignment horizontal="right"/>
      <protection locked="0"/>
    </xf>
    <xf numFmtId="0" fontId="181" fillId="0" borderId="0" xfId="1927" applyFont="1" applyFill="1"/>
    <xf numFmtId="236" fontId="188" fillId="0" borderId="13" xfId="1927" applyNumberFormat="1" applyFont="1" applyBorder="1" applyAlignment="1" applyProtection="1">
      <alignment horizontal="right"/>
      <protection locked="0"/>
    </xf>
    <xf numFmtId="37" fontId="184" fillId="0" borderId="0" xfId="1927" applyNumberFormat="1" applyFont="1"/>
    <xf numFmtId="37" fontId="184" fillId="0" borderId="0" xfId="1927" applyNumberFormat="1" applyFont="1" applyFill="1"/>
    <xf numFmtId="0" fontId="184" fillId="0" borderId="13" xfId="1927" applyFont="1" applyBorder="1"/>
    <xf numFmtId="0" fontId="184" fillId="0" borderId="13" xfId="1927" applyFont="1" applyFill="1" applyBorder="1"/>
    <xf numFmtId="236" fontId="184" fillId="0" borderId="13" xfId="1927" applyNumberFormat="1" applyFont="1" applyBorder="1"/>
    <xf numFmtId="0" fontId="184" fillId="0" borderId="0" xfId="1927" applyFont="1" applyFill="1" applyBorder="1"/>
    <xf numFmtId="0" fontId="184" fillId="0" borderId="0" xfId="1927" applyFont="1" applyBorder="1"/>
    <xf numFmtId="236" fontId="184" fillId="0" borderId="0" xfId="1927" applyNumberFormat="1" applyFont="1" applyBorder="1"/>
    <xf numFmtId="0" fontId="186" fillId="0" borderId="0" xfId="1927" applyFont="1"/>
    <xf numFmtId="0" fontId="186" fillId="0" borderId="0" xfId="1927" applyFont="1" applyFill="1" applyAlignment="1">
      <alignment horizontal="centerContinuous"/>
    </xf>
    <xf numFmtId="41" fontId="184" fillId="0" borderId="0" xfId="1927" applyNumberFormat="1" applyFont="1" applyBorder="1"/>
    <xf numFmtId="41" fontId="184" fillId="0" borderId="0" xfId="1927" applyNumberFormat="1" applyFont="1" applyFill="1" applyBorder="1"/>
    <xf numFmtId="0" fontId="181" fillId="0" borderId="13" xfId="1927" applyFont="1" applyBorder="1"/>
    <xf numFmtId="0" fontId="181" fillId="0" borderId="13" xfId="1927" applyFont="1" applyFill="1" applyBorder="1"/>
    <xf numFmtId="0" fontId="181" fillId="0" borderId="0" xfId="1927" applyFont="1" applyFill="1" applyBorder="1"/>
    <xf numFmtId="0" fontId="184" fillId="0" borderId="0" xfId="1927" applyFont="1" applyFill="1"/>
    <xf numFmtId="0" fontId="186" fillId="0" borderId="0" xfId="1927" applyFont="1" applyFill="1" applyAlignment="1"/>
    <xf numFmtId="0" fontId="144" fillId="0" borderId="0" xfId="1927" applyFont="1" applyAlignment="1">
      <alignment horizontal="center"/>
    </xf>
    <xf numFmtId="0" fontId="112" fillId="0" borderId="0" xfId="1927" applyFont="1"/>
    <xf numFmtId="0" fontId="47" fillId="0" borderId="0" xfId="1927" applyFont="1"/>
    <xf numFmtId="237" fontId="47" fillId="0" borderId="0" xfId="1927" applyNumberFormat="1" applyFont="1"/>
    <xf numFmtId="0" fontId="139" fillId="0" borderId="0" xfId="1927" applyFont="1"/>
    <xf numFmtId="0" fontId="17" fillId="0" borderId="0" xfId="1927" applyFont="1"/>
    <xf numFmtId="10" fontId="141" fillId="115" borderId="8" xfId="1916" applyNumberFormat="1" applyFont="1" applyFill="1" applyBorder="1"/>
    <xf numFmtId="177" fontId="142" fillId="0" borderId="0" xfId="1907" applyNumberFormat="1" applyFont="1" applyFill="1"/>
    <xf numFmtId="0" fontId="142" fillId="0" borderId="0" xfId="0" applyNumberFormat="1" applyFont="1" applyFill="1" applyAlignment="1"/>
    <xf numFmtId="0" fontId="141" fillId="0" borderId="0" xfId="1916" applyFont="1" applyAlignment="1">
      <alignment horizontal="right"/>
    </xf>
    <xf numFmtId="0" fontId="196" fillId="0" borderId="0" xfId="1928" quotePrefix="1" applyFont="1" applyFill="1" applyAlignment="1"/>
    <xf numFmtId="0" fontId="12" fillId="0" borderId="0" xfId="1928" applyFont="1" applyFill="1"/>
    <xf numFmtId="0" fontId="12" fillId="0" borderId="0" xfId="1928" quotePrefix="1" applyFont="1" applyFill="1" applyBorder="1" applyAlignment="1">
      <alignment horizontal="right"/>
    </xf>
    <xf numFmtId="0" fontId="157" fillId="0" borderId="0" xfId="1928"/>
    <xf numFmtId="0" fontId="12" fillId="0" borderId="0" xfId="1928" applyFont="1"/>
    <xf numFmtId="0" fontId="12" fillId="0" borderId="31" xfId="1928" applyFont="1" applyFill="1" applyBorder="1" applyAlignment="1">
      <alignment horizontal="center"/>
    </xf>
    <xf numFmtId="0" fontId="12" fillId="0" borderId="0" xfId="1928" applyFont="1" applyFill="1" applyBorder="1" applyAlignment="1">
      <alignment horizontal="center"/>
    </xf>
    <xf numFmtId="0" fontId="11" fillId="0" borderId="0" xfId="1928" applyFont="1"/>
    <xf numFmtId="0" fontId="11" fillId="0" borderId="0" xfId="1928" applyFont="1" applyFill="1" applyAlignment="1">
      <alignment horizontal="center"/>
    </xf>
    <xf numFmtId="0" fontId="12" fillId="0" borderId="0" xfId="1928" applyFont="1" applyFill="1" applyAlignment="1" applyProtection="1">
      <alignment horizontal="center"/>
      <protection locked="0"/>
    </xf>
    <xf numFmtId="0" fontId="12" fillId="0" borderId="0" xfId="1928" applyFont="1" applyAlignment="1">
      <alignment horizontal="center"/>
    </xf>
    <xf numFmtId="0" fontId="21" fillId="0" borderId="0" xfId="1928" applyFont="1" applyFill="1" applyAlignment="1">
      <alignment horizontal="center"/>
    </xf>
    <xf numFmtId="0" fontId="12" fillId="0" borderId="0" xfId="1928" applyFont="1" applyFill="1" applyAlignment="1">
      <alignment horizontal="center"/>
    </xf>
    <xf numFmtId="0" fontId="12" fillId="0" borderId="13" xfId="1928" applyFont="1" applyFill="1" applyBorder="1" applyAlignment="1">
      <alignment horizontal="center"/>
    </xf>
    <xf numFmtId="0" fontId="12" fillId="0" borderId="13" xfId="1928" applyFont="1" applyFill="1" applyBorder="1"/>
    <xf numFmtId="0" fontId="11" fillId="0" borderId="0" xfId="1928" applyFont="1" applyFill="1"/>
    <xf numFmtId="0" fontId="11" fillId="0" borderId="13" xfId="1928" applyFont="1" applyFill="1" applyBorder="1" applyAlignment="1">
      <alignment horizontal="left"/>
    </xf>
    <xf numFmtId="0" fontId="157" fillId="0" borderId="0" xfId="1928" applyBorder="1"/>
    <xf numFmtId="177" fontId="11" fillId="0" borderId="2" xfId="186" applyNumberFormat="1" applyFont="1" applyFill="1" applyBorder="1"/>
    <xf numFmtId="0" fontId="11" fillId="0" borderId="0" xfId="1928" applyFont="1" applyFill="1" applyAlignment="1">
      <alignment horizontal="left"/>
    </xf>
    <xf numFmtId="42" fontId="11" fillId="0" borderId="14" xfId="1928" applyNumberFormat="1" applyFont="1" applyBorder="1"/>
    <xf numFmtId="0" fontId="15" fillId="0" borderId="0" xfId="1928" applyFont="1"/>
    <xf numFmtId="0" fontId="15" fillId="0" borderId="0" xfId="1928" applyFont="1" applyFill="1"/>
    <xf numFmtId="0" fontId="133" fillId="0" borderId="0" xfId="1928" applyFont="1"/>
    <xf numFmtId="0" fontId="11" fillId="0" borderId="0" xfId="1928" quotePrefix="1" applyFont="1" applyFill="1" applyAlignment="1">
      <alignment horizontal="left"/>
    </xf>
    <xf numFmtId="37" fontId="11" fillId="0" borderId="0" xfId="231" applyNumberFormat="1" applyFont="1" applyFill="1" applyBorder="1"/>
    <xf numFmtId="37" fontId="11" fillId="0" borderId="0" xfId="1928" applyNumberFormat="1" applyFont="1" applyFill="1"/>
    <xf numFmtId="37" fontId="11" fillId="0" borderId="0" xfId="1928" applyNumberFormat="1" applyFont="1" applyFill="1" applyBorder="1"/>
    <xf numFmtId="0" fontId="157" fillId="100" borderId="0" xfId="1928" applyFill="1"/>
    <xf numFmtId="0" fontId="11" fillId="0" borderId="0" xfId="1928" applyFont="1" applyFill="1" applyBorder="1"/>
    <xf numFmtId="0" fontId="15" fillId="0" borderId="0" xfId="1928" applyFont="1" applyBorder="1"/>
    <xf numFmtId="0" fontId="11" fillId="0" borderId="2" xfId="1928" applyFont="1" applyBorder="1" applyAlignment="1">
      <alignment horizontal="left"/>
    </xf>
    <xf numFmtId="0" fontId="11" fillId="0" borderId="2" xfId="1928" applyFont="1" applyFill="1" applyBorder="1"/>
    <xf numFmtId="0" fontId="11" fillId="0" borderId="2" xfId="1928" applyFont="1" applyBorder="1"/>
    <xf numFmtId="42" fontId="11" fillId="0" borderId="14" xfId="231" applyNumberFormat="1" applyFont="1" applyFill="1" applyBorder="1"/>
    <xf numFmtId="0" fontId="157" fillId="0" borderId="14" xfId="1928" applyBorder="1"/>
    <xf numFmtId="0" fontId="24" fillId="0" borderId="0" xfId="1760" applyNumberFormat="1" applyFont="1" applyFill="1" applyAlignment="1">
      <alignment horizontal="centerContinuous" vertical="center"/>
    </xf>
    <xf numFmtId="0" fontId="157" fillId="0" borderId="13" xfId="1928" applyBorder="1"/>
    <xf numFmtId="42" fontId="15" fillId="0" borderId="0" xfId="231" applyNumberFormat="1" applyFont="1" applyBorder="1"/>
    <xf numFmtId="10" fontId="15" fillId="0" borderId="0" xfId="1793" applyNumberFormat="1" applyFont="1" applyBorder="1"/>
    <xf numFmtId="42" fontId="0" fillId="0" borderId="0" xfId="231" applyNumberFormat="1" applyFont="1" applyBorder="1"/>
    <xf numFmtId="44" fontId="157" fillId="0" borderId="0" xfId="1928" applyNumberFormat="1"/>
    <xf numFmtId="0" fontId="34" fillId="0" borderId="0" xfId="1928" applyFont="1"/>
    <xf numFmtId="6" fontId="24" fillId="0" borderId="86" xfId="1928" applyNumberFormat="1" applyFont="1" applyFill="1" applyBorder="1" applyAlignment="1"/>
    <xf numFmtId="6" fontId="24" fillId="0" borderId="87" xfId="1928" applyNumberFormat="1" applyFont="1" applyFill="1" applyBorder="1" applyAlignment="1"/>
    <xf numFmtId="6" fontId="24" fillId="0" borderId="88" xfId="1928" applyNumberFormat="1" applyFont="1" applyFill="1" applyBorder="1" applyAlignment="1"/>
    <xf numFmtId="6" fontId="24" fillId="0" borderId="0" xfId="1928" applyNumberFormat="1" applyFont="1" applyFill="1" applyBorder="1" applyAlignment="1"/>
    <xf numFmtId="0" fontId="24" fillId="0" borderId="89" xfId="1928" applyFont="1" applyFill="1" applyBorder="1" applyAlignment="1"/>
    <xf numFmtId="177" fontId="157" fillId="0" borderId="90" xfId="1928" applyNumberFormat="1" applyBorder="1"/>
    <xf numFmtId="177" fontId="157" fillId="0" borderId="91" xfId="1928" applyNumberFormat="1" applyBorder="1"/>
    <xf numFmtId="177" fontId="157" fillId="0" borderId="0" xfId="1928" applyNumberFormat="1"/>
    <xf numFmtId="178" fontId="0" fillId="0" borderId="0" xfId="231" applyNumberFormat="1" applyFont="1" applyFill="1" applyBorder="1"/>
    <xf numFmtId="6" fontId="157" fillId="0" borderId="0" xfId="1928" applyNumberFormat="1" applyFill="1" applyBorder="1"/>
    <xf numFmtId="0" fontId="157" fillId="0" borderId="0" xfId="1928" applyFill="1" applyBorder="1"/>
    <xf numFmtId="0" fontId="24" fillId="0" borderId="0" xfId="1928" applyFont="1" applyFill="1" applyBorder="1" applyAlignment="1"/>
    <xf numFmtId="177" fontId="157" fillId="0" borderId="0" xfId="1928" applyNumberFormat="1" applyBorder="1"/>
    <xf numFmtId="10" fontId="0" fillId="0" borderId="91" xfId="1793" applyNumberFormat="1" applyFont="1" applyBorder="1"/>
    <xf numFmtId="0" fontId="17" fillId="0" borderId="0" xfId="1724" applyFill="1" applyBorder="1"/>
    <xf numFmtId="0" fontId="17" fillId="0" borderId="92" xfId="1724" applyFill="1" applyBorder="1"/>
    <xf numFmtId="0" fontId="17" fillId="0" borderId="93" xfId="1724" applyFill="1" applyBorder="1"/>
    <xf numFmtId="0" fontId="17" fillId="0" borderId="94" xfId="1724" applyFill="1" applyBorder="1"/>
    <xf numFmtId="0" fontId="17" fillId="0" borderId="95" xfId="1724" applyFill="1" applyBorder="1"/>
    <xf numFmtId="0" fontId="17" fillId="0" borderId="93" xfId="1724" applyFont="1" applyFill="1" applyBorder="1"/>
    <xf numFmtId="0" fontId="17" fillId="0" borderId="96" xfId="1724" applyFill="1" applyBorder="1"/>
    <xf numFmtId="193" fontId="17" fillId="0" borderId="93" xfId="1724" applyNumberFormat="1" applyFill="1" applyBorder="1"/>
    <xf numFmtId="0" fontId="157" fillId="0" borderId="97" xfId="1928" applyBorder="1"/>
    <xf numFmtId="193" fontId="17" fillId="0" borderId="96" xfId="1724" applyNumberFormat="1" applyFill="1" applyBorder="1"/>
    <xf numFmtId="0" fontId="17" fillId="0" borderId="98" xfId="1724" applyFill="1" applyBorder="1"/>
    <xf numFmtId="193" fontId="17" fillId="0" borderId="0" xfId="1724" applyNumberFormat="1" applyFill="1" applyBorder="1"/>
    <xf numFmtId="193" fontId="17" fillId="0" borderId="99" xfId="1724" applyNumberFormat="1" applyFill="1" applyBorder="1"/>
    <xf numFmtId="0" fontId="17" fillId="0" borderId="100" xfId="1724" applyFill="1" applyBorder="1"/>
    <xf numFmtId="193" fontId="17" fillId="0" borderId="101" xfId="1724" applyNumberFormat="1" applyFill="1" applyBorder="1"/>
    <xf numFmtId="193" fontId="17" fillId="0" borderId="10" xfId="1724" applyNumberFormat="1" applyFill="1" applyBorder="1"/>
    <xf numFmtId="177" fontId="157" fillId="0" borderId="0" xfId="1928" applyNumberFormat="1" applyFill="1" applyBorder="1"/>
    <xf numFmtId="0" fontId="146" fillId="0" borderId="0" xfId="317" applyFont="1" applyFill="1" applyAlignment="1">
      <alignment horizontal="right"/>
    </xf>
    <xf numFmtId="0" fontId="47" fillId="0" borderId="0" xfId="317" applyFont="1"/>
    <xf numFmtId="0" fontId="146" fillId="0" borderId="0" xfId="317" quotePrefix="1" applyFont="1" applyFill="1" applyBorder="1" applyAlignment="1">
      <alignment horizontal="right"/>
    </xf>
    <xf numFmtId="0" fontId="146" fillId="0" borderId="18" xfId="317" quotePrefix="1" applyFont="1" applyFill="1" applyBorder="1" applyAlignment="1">
      <alignment horizontal="right"/>
    </xf>
    <xf numFmtId="0" fontId="146" fillId="0" borderId="0" xfId="317" applyFont="1" applyFill="1" applyAlignment="1" applyProtection="1">
      <alignment horizontal="centerContinuous"/>
      <protection locked="0"/>
    </xf>
    <xf numFmtId="0" fontId="146" fillId="0" borderId="0" xfId="317" quotePrefix="1" applyFont="1" applyFill="1" applyAlignment="1">
      <alignment horizontal="centerContinuous"/>
    </xf>
    <xf numFmtId="0" fontId="146" fillId="0" borderId="0" xfId="317" applyFont="1" applyFill="1" applyAlignment="1">
      <alignment horizontal="centerContinuous"/>
    </xf>
    <xf numFmtId="15" fontId="146" fillId="0" borderId="0" xfId="317" applyNumberFormat="1" applyFont="1" applyFill="1" applyAlignment="1">
      <alignment horizontal="centerContinuous"/>
    </xf>
    <xf numFmtId="18" fontId="146" fillId="0" borderId="0" xfId="317" quotePrefix="1" applyNumberFormat="1" applyFont="1" applyFill="1" applyAlignment="1">
      <alignment horizontal="centerContinuous"/>
    </xf>
    <xf numFmtId="18" fontId="146" fillId="0" borderId="0" xfId="317" applyNumberFormat="1" applyFont="1" applyFill="1" applyAlignment="1">
      <alignment horizontal="centerContinuous"/>
    </xf>
    <xf numFmtId="0" fontId="146" fillId="0" borderId="0" xfId="317" applyFont="1" applyFill="1" applyAlignment="1"/>
    <xf numFmtId="0" fontId="146" fillId="0" borderId="0" xfId="317" applyFont="1" applyFill="1" applyAlignment="1" applyProtection="1">
      <alignment horizontal="center"/>
      <protection locked="0"/>
    </xf>
    <xf numFmtId="0" fontId="146" fillId="0" borderId="13" xfId="317" applyFont="1" applyFill="1" applyBorder="1" applyAlignment="1">
      <alignment horizontal="center"/>
    </xf>
    <xf numFmtId="0" fontId="146" fillId="0" borderId="13" xfId="317" applyFont="1" applyFill="1" applyBorder="1" applyAlignment="1">
      <alignment horizontal="left"/>
    </xf>
    <xf numFmtId="0" fontId="146" fillId="0" borderId="13" xfId="317" applyFont="1" applyFill="1" applyBorder="1" applyAlignment="1" applyProtection="1">
      <alignment horizontal="center"/>
      <protection locked="0"/>
    </xf>
    <xf numFmtId="0" fontId="78" fillId="0" borderId="0" xfId="317" applyFont="1" applyFill="1" applyAlignment="1">
      <alignment horizontal="center"/>
    </xf>
    <xf numFmtId="0" fontId="197" fillId="0" borderId="0" xfId="317" applyFont="1" applyFill="1" applyAlignment="1"/>
    <xf numFmtId="177" fontId="78" fillId="0" borderId="0" xfId="189" applyNumberFormat="1" applyFont="1" applyFill="1" applyBorder="1" applyAlignment="1" applyProtection="1">
      <protection locked="0"/>
    </xf>
    <xf numFmtId="42" fontId="78" fillId="0" borderId="0" xfId="232" applyNumberFormat="1" applyFont="1" applyFill="1" applyBorder="1" applyAlignment="1" applyProtection="1">
      <protection locked="0"/>
    </xf>
    <xf numFmtId="9" fontId="78" fillId="0" borderId="0" xfId="1929" applyFont="1" applyFill="1" applyBorder="1" applyAlignment="1" applyProtection="1">
      <protection locked="0"/>
    </xf>
    <xf numFmtId="0" fontId="11" fillId="0" borderId="0" xfId="317" applyFont="1" applyFill="1" applyAlignment="1">
      <alignment horizontal="center"/>
    </xf>
    <xf numFmtId="0" fontId="3" fillId="0" borderId="0" xfId="1930"/>
    <xf numFmtId="17" fontId="3" fillId="0" borderId="0" xfId="1930" applyNumberFormat="1" applyAlignment="1">
      <alignment horizontal="center"/>
    </xf>
    <xf numFmtId="0" fontId="3" fillId="0" borderId="0" xfId="1930" applyAlignment="1">
      <alignment horizontal="center"/>
    </xf>
    <xf numFmtId="0" fontId="95" fillId="0" borderId="0" xfId="1930" applyFont="1"/>
    <xf numFmtId="177" fontId="3" fillId="0" borderId="0" xfId="1931" applyNumberFormat="1" applyFont="1"/>
    <xf numFmtId="177" fontId="3" fillId="0" borderId="14" xfId="1930" applyNumberFormat="1" applyBorder="1"/>
    <xf numFmtId="0" fontId="3" fillId="0" borderId="13" xfId="1930" applyBorder="1"/>
    <xf numFmtId="238" fontId="3" fillId="0" borderId="13" xfId="1930" applyNumberFormat="1" applyBorder="1"/>
    <xf numFmtId="10" fontId="3" fillId="0" borderId="0" xfId="1930" applyNumberFormat="1"/>
    <xf numFmtId="177" fontId="3" fillId="0" borderId="12" xfId="1931" applyNumberFormat="1" applyFont="1" applyBorder="1"/>
    <xf numFmtId="177" fontId="3" fillId="0" borderId="0" xfId="1930" applyNumberFormat="1"/>
    <xf numFmtId="10" fontId="3" fillId="0" borderId="0" xfId="1929" applyNumberFormat="1" applyFont="1"/>
    <xf numFmtId="17" fontId="3" fillId="0" borderId="0" xfId="1930" applyNumberFormat="1"/>
    <xf numFmtId="177" fontId="3" fillId="0" borderId="3" xfId="1931" applyNumberFormat="1" applyFont="1" applyBorder="1"/>
    <xf numFmtId="169" fontId="12" fillId="0" borderId="0" xfId="1878" applyNumberFormat="1" applyFont="1" applyFill="1" applyAlignment="1"/>
    <xf numFmtId="169" fontId="11" fillId="0" borderId="0" xfId="1878" applyNumberFormat="1" applyFont="1" applyFill="1" applyAlignment="1"/>
    <xf numFmtId="169" fontId="11" fillId="0" borderId="0" xfId="1878" applyNumberFormat="1" applyFont="1" applyFill="1">
      <alignment horizontal="left" wrapText="1"/>
    </xf>
    <xf numFmtId="169" fontId="12" fillId="0" borderId="0" xfId="1878" applyNumberFormat="1" applyFont="1" applyFill="1" applyBorder="1" applyAlignment="1">
      <alignment horizontal="right"/>
    </xf>
    <xf numFmtId="169" fontId="12" fillId="0" borderId="0" xfId="1878" quotePrefix="1" applyNumberFormat="1" applyFont="1" applyFill="1" applyBorder="1" applyAlignment="1">
      <alignment horizontal="right"/>
    </xf>
    <xf numFmtId="169" fontId="12" fillId="0" borderId="0" xfId="1878" applyNumberFormat="1" applyFont="1" applyFill="1" applyAlignment="1" applyProtection="1">
      <alignment horizontal="centerContinuous"/>
      <protection locked="0"/>
    </xf>
    <xf numFmtId="169" fontId="12" fillId="0" borderId="0" xfId="1878" applyNumberFormat="1" applyFont="1" applyFill="1" applyAlignment="1">
      <alignment horizontal="centerContinuous"/>
    </xf>
    <xf numFmtId="169" fontId="12" fillId="0" borderId="31" xfId="1878" applyNumberFormat="1" applyFont="1" applyFill="1" applyBorder="1" applyAlignment="1">
      <alignment horizontal="right"/>
    </xf>
    <xf numFmtId="3" fontId="12" fillId="0" borderId="0" xfId="189" applyNumberFormat="1" applyFont="1" applyFill="1" applyAlignment="1">
      <alignment horizontal="centerContinuous"/>
    </xf>
    <xf numFmtId="169" fontId="12" fillId="0" borderId="0" xfId="1878" applyNumberFormat="1" applyFont="1" applyFill="1" applyAlignment="1" applyProtection="1">
      <alignment horizontal="center"/>
      <protection locked="0"/>
    </xf>
    <xf numFmtId="169" fontId="12" fillId="0" borderId="0" xfId="1878" applyNumberFormat="1" applyFont="1" applyFill="1" applyAlignment="1">
      <alignment horizontal="center"/>
    </xf>
    <xf numFmtId="169" fontId="12" fillId="0" borderId="13" xfId="1878" applyNumberFormat="1" applyFont="1" applyFill="1" applyBorder="1" applyAlignment="1" applyProtection="1">
      <alignment horizontal="center"/>
      <protection locked="0"/>
    </xf>
    <xf numFmtId="169" fontId="12" fillId="0" borderId="13" xfId="1878" applyNumberFormat="1" applyFont="1" applyFill="1" applyBorder="1" applyAlignment="1"/>
    <xf numFmtId="169" fontId="12" fillId="0" borderId="13" xfId="1878" applyNumberFormat="1" applyFont="1" applyFill="1" applyBorder="1" applyAlignment="1">
      <alignment horizontal="centerContinuous"/>
    </xf>
    <xf numFmtId="169" fontId="12" fillId="0" borderId="0" xfId="1878" applyNumberFormat="1" applyFont="1" applyFill="1" applyBorder="1" applyAlignment="1"/>
    <xf numFmtId="169" fontId="12" fillId="0" borderId="0" xfId="1878" applyNumberFormat="1" applyFont="1" applyFill="1" applyBorder="1" applyAlignment="1">
      <alignment horizontal="center"/>
    </xf>
    <xf numFmtId="1" fontId="11" fillId="0" borderId="0" xfId="1878" applyNumberFormat="1" applyFont="1" applyFill="1" applyAlignment="1">
      <alignment horizontal="center"/>
    </xf>
    <xf numFmtId="169" fontId="11" fillId="0" borderId="0" xfId="1878" applyNumberFormat="1" applyFont="1" applyFill="1" applyBorder="1" applyAlignment="1">
      <alignment horizontal="left" indent="1"/>
    </xf>
    <xf numFmtId="3" fontId="11" fillId="0" borderId="0" xfId="189" applyNumberFormat="1" applyFont="1" applyFill="1" applyBorder="1" applyAlignment="1"/>
    <xf numFmtId="178" fontId="11" fillId="0" borderId="0" xfId="232" applyNumberFormat="1" applyFont="1" applyFill="1" applyBorder="1" applyAlignment="1"/>
    <xf numFmtId="169" fontId="11" fillId="0" borderId="0" xfId="1878" applyNumberFormat="1" applyFont="1" applyFill="1" applyAlignment="1">
      <alignment horizontal="left" indent="1"/>
    </xf>
    <xf numFmtId="41" fontId="11" fillId="0" borderId="0" xfId="189" applyNumberFormat="1" applyFont="1" applyFill="1" applyAlignment="1"/>
    <xf numFmtId="169" fontId="11" fillId="0" borderId="0" xfId="1878" applyNumberFormat="1" applyFont="1" applyFill="1" applyAlignment="1">
      <alignment horizontal="left" indent="2"/>
    </xf>
    <xf numFmtId="43" fontId="11" fillId="0" borderId="0" xfId="189" applyFont="1" applyFill="1" applyAlignment="1"/>
    <xf numFmtId="41" fontId="11" fillId="0" borderId="0" xfId="1878" applyNumberFormat="1" applyFont="1" applyFill="1" applyAlignment="1"/>
    <xf numFmtId="169" fontId="11" fillId="0" borderId="0" xfId="314" applyNumberFormat="1" applyFont="1" applyFill="1" applyAlignment="1">
      <alignment horizontal="left" indent="2"/>
    </xf>
    <xf numFmtId="0" fontId="198" fillId="0" borderId="0" xfId="314" applyFont="1"/>
    <xf numFmtId="169" fontId="11" fillId="0" borderId="0" xfId="1878" applyNumberFormat="1" applyFont="1" applyFill="1" applyAlignment="1">
      <alignment horizontal="left" indent="3"/>
    </xf>
    <xf numFmtId="41" fontId="11" fillId="0" borderId="14" xfId="1878" applyNumberFormat="1" applyFont="1" applyFill="1" applyBorder="1" applyAlignment="1"/>
    <xf numFmtId="169" fontId="11" fillId="0" borderId="14" xfId="1878" applyNumberFormat="1" applyFont="1" applyFill="1" applyBorder="1" applyAlignment="1"/>
    <xf numFmtId="42" fontId="11" fillId="0" borderId="0" xfId="1878" applyNumberFormat="1" applyFont="1" applyFill="1" applyBorder="1" applyAlignment="1"/>
    <xf numFmtId="169" fontId="11" fillId="0" borderId="0" xfId="1878" applyNumberFormat="1" applyFont="1" applyFill="1" applyBorder="1" applyAlignment="1"/>
    <xf numFmtId="169" fontId="12" fillId="0" borderId="0" xfId="1878" applyNumberFormat="1" applyFont="1" applyFill="1" applyAlignment="1">
      <alignment horizontal="left"/>
    </xf>
    <xf numFmtId="169" fontId="11" fillId="0" borderId="0" xfId="1878" applyNumberFormat="1" applyFont="1" applyFill="1" applyBorder="1" applyAlignment="1">
      <alignment horizontal="left" indent="2"/>
    </xf>
    <xf numFmtId="178" fontId="11" fillId="0" borderId="0" xfId="189" applyNumberFormat="1" applyFont="1" applyFill="1" applyBorder="1" applyAlignment="1"/>
    <xf numFmtId="41" fontId="11" fillId="0" borderId="0" xfId="1878" applyNumberFormat="1" applyFont="1" applyFill="1" applyBorder="1" applyAlignment="1"/>
    <xf numFmtId="41" fontId="11" fillId="0" borderId="13" xfId="1878" applyNumberFormat="1" applyFont="1" applyFill="1" applyBorder="1" applyAlignment="1"/>
    <xf numFmtId="42" fontId="11" fillId="0" borderId="0" xfId="232" applyNumberFormat="1" applyFont="1" applyFill="1" applyBorder="1" applyAlignment="1"/>
    <xf numFmtId="42" fontId="11" fillId="0" borderId="0" xfId="232" applyNumberFormat="1" applyFont="1" applyFill="1" applyBorder="1" applyAlignment="1">
      <alignment horizontal="right"/>
    </xf>
    <xf numFmtId="41" fontId="11" fillId="0" borderId="0" xfId="232" applyNumberFormat="1" applyFont="1" applyFill="1" applyBorder="1" applyAlignment="1">
      <alignment horizontal="right"/>
    </xf>
    <xf numFmtId="37" fontId="11" fillId="0" borderId="0" xfId="232" applyNumberFormat="1" applyFont="1" applyFill="1" applyBorder="1" applyAlignment="1">
      <alignment horizontal="right"/>
    </xf>
    <xf numFmtId="169" fontId="11" fillId="0" borderId="0" xfId="1878" applyNumberFormat="1" applyFont="1" applyFill="1" applyAlignment="1">
      <alignment horizontal="left"/>
    </xf>
    <xf numFmtId="222" fontId="11" fillId="0" borderId="0" xfId="1878" applyNumberFormat="1" applyFont="1" applyFill="1" applyAlignment="1"/>
    <xf numFmtId="169" fontId="12" fillId="0" borderId="0" xfId="1878" quotePrefix="1" applyNumberFormat="1" applyFont="1" applyFill="1" applyAlignment="1">
      <alignment horizontal="left"/>
    </xf>
    <xf numFmtId="37" fontId="11" fillId="0" borderId="14" xfId="1878" applyNumberFormat="1" applyFont="1" applyFill="1" applyBorder="1" applyAlignment="1"/>
    <xf numFmtId="37" fontId="11" fillId="0" borderId="0" xfId="1878" applyNumberFormat="1" applyFont="1" applyFill="1" applyBorder="1" applyAlignment="1"/>
    <xf numFmtId="169" fontId="11" fillId="0" borderId="0" xfId="314" applyNumberFormat="1" applyFont="1" applyFill="1" applyAlignment="1">
      <alignment horizontal="left"/>
    </xf>
    <xf numFmtId="169" fontId="11" fillId="0" borderId="0" xfId="314" quotePrefix="1" applyNumberFormat="1" applyFont="1" applyFill="1" applyAlignment="1">
      <alignment horizontal="left"/>
    </xf>
    <xf numFmtId="41" fontId="11" fillId="0" borderId="0" xfId="232" applyNumberFormat="1" applyFont="1" applyFill="1" applyBorder="1" applyAlignment="1"/>
    <xf numFmtId="37" fontId="11" fillId="0" borderId="0" xfId="1878" applyNumberFormat="1" applyFont="1" applyFill="1" applyAlignment="1"/>
    <xf numFmtId="37" fontId="11" fillId="0" borderId="13" xfId="1878" applyNumberFormat="1" applyFont="1" applyFill="1" applyBorder="1" applyAlignment="1"/>
    <xf numFmtId="169" fontId="12" fillId="0" borderId="0" xfId="314" quotePrefix="1" applyNumberFormat="1" applyFont="1" applyFill="1" applyAlignment="1">
      <alignment horizontal="left"/>
    </xf>
    <xf numFmtId="41" fontId="11" fillId="0" borderId="13" xfId="232" applyNumberFormat="1" applyFont="1" applyFill="1" applyBorder="1" applyAlignment="1"/>
    <xf numFmtId="169" fontId="11" fillId="0" borderId="0" xfId="1878" applyNumberFormat="1" applyFont="1" applyFill="1" applyBorder="1">
      <alignment horizontal="left" wrapText="1"/>
    </xf>
    <xf numFmtId="169" fontId="11" fillId="0" borderId="0" xfId="1878" applyNumberFormat="1" applyFont="1" applyFill="1" applyBorder="1" applyAlignment="1">
      <alignment horizontal="left"/>
    </xf>
    <xf numFmtId="9" fontId="11" fillId="0" borderId="0" xfId="1878" applyNumberFormat="1" applyFont="1" applyFill="1" applyAlignment="1">
      <alignment horizontal="right"/>
    </xf>
    <xf numFmtId="169" fontId="12" fillId="0" borderId="0" xfId="314" applyNumberFormat="1" applyFont="1" applyFill="1" applyAlignment="1">
      <alignment horizontal="left"/>
    </xf>
    <xf numFmtId="42" fontId="15" fillId="0" borderId="12" xfId="314" applyNumberFormat="1" applyFill="1" applyBorder="1"/>
    <xf numFmtId="1" fontId="15" fillId="0" borderId="0" xfId="314" applyNumberFormat="1"/>
    <xf numFmtId="0" fontId="35" fillId="0" borderId="0" xfId="314" applyFont="1"/>
    <xf numFmtId="0" fontId="15" fillId="0" borderId="0" xfId="314" applyFill="1" applyBorder="1" applyAlignment="1"/>
    <xf numFmtId="0" fontId="15" fillId="0" borderId="0" xfId="314" quotePrefix="1" applyFill="1" applyBorder="1" applyAlignment="1">
      <alignment horizontal="center"/>
    </xf>
    <xf numFmtId="0" fontId="15" fillId="0" borderId="103" xfId="314" applyFill="1" applyBorder="1" applyAlignment="1">
      <alignment horizontal="center"/>
    </xf>
    <xf numFmtId="0" fontId="15" fillId="0" borderId="104" xfId="314" applyFill="1" applyBorder="1" applyAlignment="1">
      <alignment horizontal="center"/>
    </xf>
    <xf numFmtId="0" fontId="15" fillId="0" borderId="105" xfId="314" applyFill="1" applyBorder="1" applyAlignment="1">
      <alignment horizontal="center"/>
    </xf>
    <xf numFmtId="0" fontId="15" fillId="0" borderId="106" xfId="314" applyFill="1" applyBorder="1" applyAlignment="1">
      <alignment horizontal="center"/>
    </xf>
    <xf numFmtId="0" fontId="15" fillId="0" borderId="107" xfId="314" applyBorder="1" applyAlignment="1"/>
    <xf numFmtId="37" fontId="15" fillId="0" borderId="106" xfId="314" applyNumberFormat="1" applyBorder="1"/>
    <xf numFmtId="37" fontId="15" fillId="0" borderId="0" xfId="314" applyNumberFormat="1" applyBorder="1"/>
    <xf numFmtId="37" fontId="15" fillId="0" borderId="107" xfId="314" applyNumberFormat="1" applyBorder="1"/>
    <xf numFmtId="0" fontId="15" fillId="0" borderId="106" xfId="314" applyBorder="1"/>
    <xf numFmtId="0" fontId="15" fillId="0" borderId="107" xfId="314" applyBorder="1"/>
    <xf numFmtId="44" fontId="35" fillId="0" borderId="0" xfId="314" applyNumberFormat="1" applyFont="1" applyFill="1"/>
    <xf numFmtId="42" fontId="15" fillId="0" borderId="107" xfId="314" applyNumberFormat="1" applyFill="1" applyBorder="1"/>
    <xf numFmtId="42" fontId="35" fillId="0" borderId="0" xfId="314" applyNumberFormat="1" applyFont="1" applyFill="1"/>
    <xf numFmtId="0" fontId="15" fillId="0" borderId="107" xfId="314" applyFill="1" applyBorder="1"/>
    <xf numFmtId="37" fontId="15" fillId="0" borderId="108" xfId="314" applyNumberFormat="1" applyBorder="1"/>
    <xf numFmtId="37" fontId="15" fillId="0" borderId="109" xfId="314" applyNumberFormat="1" applyBorder="1"/>
    <xf numFmtId="0" fontId="15" fillId="0" borderId="110" xfId="314" applyFill="1" applyBorder="1"/>
    <xf numFmtId="182" fontId="15" fillId="0" borderId="0" xfId="314" applyNumberFormat="1" applyBorder="1"/>
    <xf numFmtId="37" fontId="15" fillId="0" borderId="0" xfId="314" applyNumberFormat="1"/>
    <xf numFmtId="239" fontId="15" fillId="0" borderId="0" xfId="314" applyNumberFormat="1" applyFill="1" applyBorder="1"/>
    <xf numFmtId="0" fontId="15" fillId="0" borderId="103" xfId="314" applyBorder="1"/>
    <xf numFmtId="42" fontId="15" fillId="0" borderId="104" xfId="314" applyNumberFormat="1" applyBorder="1"/>
    <xf numFmtId="42" fontId="15" fillId="0" borderId="104" xfId="314" applyNumberFormat="1" applyFill="1" applyBorder="1"/>
    <xf numFmtId="42" fontId="15" fillId="0" borderId="105" xfId="314" applyNumberFormat="1" applyBorder="1"/>
    <xf numFmtId="42" fontId="15" fillId="0" borderId="107" xfId="314" applyNumberFormat="1" applyBorder="1"/>
    <xf numFmtId="0" fontId="15" fillId="0" borderId="108" xfId="314" applyBorder="1"/>
    <xf numFmtId="0" fontId="15" fillId="0" borderId="109" xfId="314" applyFill="1" applyBorder="1"/>
    <xf numFmtId="0" fontId="15" fillId="0" borderId="109" xfId="314" applyBorder="1"/>
    <xf numFmtId="183" fontId="15" fillId="0" borderId="109" xfId="314" applyNumberFormat="1" applyBorder="1"/>
    <xf numFmtId="183" fontId="15" fillId="0" borderId="110" xfId="314" applyNumberFormat="1" applyBorder="1"/>
    <xf numFmtId="201" fontId="15" fillId="0" borderId="0" xfId="314" applyNumberFormat="1" applyBorder="1"/>
    <xf numFmtId="169" fontId="12" fillId="0" borderId="0" xfId="314" applyNumberFormat="1" applyFont="1" applyFill="1" applyAlignment="1">
      <alignment horizontal="right"/>
    </xf>
    <xf numFmtId="169" fontId="12" fillId="0" borderId="0" xfId="422" applyFont="1" applyFill="1" applyAlignment="1" applyProtection="1">
      <alignment horizontal="left"/>
      <protection locked="0"/>
    </xf>
    <xf numFmtId="0" fontId="12" fillId="0" borderId="31" xfId="314" applyNumberFormat="1" applyFont="1" applyFill="1" applyBorder="1" applyAlignment="1">
      <alignment horizontal="right"/>
    </xf>
    <xf numFmtId="169" fontId="12" fillId="0" borderId="0" xfId="422" applyFont="1" applyFill="1" applyAlignment="1" applyProtection="1">
      <protection locked="0"/>
    </xf>
    <xf numFmtId="169" fontId="12" fillId="0" borderId="0" xfId="422" applyFont="1" applyFill="1" applyAlignment="1" applyProtection="1">
      <alignment horizontal="centerContinuous"/>
      <protection locked="0"/>
    </xf>
    <xf numFmtId="169" fontId="12" fillId="0" borderId="0" xfId="422" applyFont="1" applyFill="1" applyAlignment="1">
      <alignment horizontal="centerContinuous"/>
    </xf>
    <xf numFmtId="18" fontId="12" fillId="0" borderId="0" xfId="422" applyNumberFormat="1" applyFont="1" applyFill="1">
      <alignment horizontal="left" wrapText="1"/>
    </xf>
    <xf numFmtId="169" fontId="12" fillId="0" borderId="0" xfId="422" applyFont="1" applyFill="1" applyAlignment="1">
      <alignment horizontal="center"/>
    </xf>
    <xf numFmtId="169" fontId="12" fillId="0" borderId="0" xfId="422" applyFont="1" applyFill="1">
      <alignment horizontal="left" wrapText="1"/>
    </xf>
    <xf numFmtId="169" fontId="12" fillId="0" borderId="0" xfId="422" applyFont="1" applyFill="1" applyAlignment="1" applyProtection="1">
      <alignment horizontal="center"/>
      <protection locked="0"/>
    </xf>
    <xf numFmtId="169" fontId="12" fillId="0" borderId="0" xfId="422" applyFont="1" applyFill="1" applyBorder="1" applyAlignment="1" applyProtection="1">
      <alignment horizontal="center"/>
      <protection locked="0"/>
    </xf>
    <xf numFmtId="169" fontId="12" fillId="0" borderId="13" xfId="422" applyFont="1" applyFill="1" applyBorder="1" applyAlignment="1">
      <alignment horizontal="center"/>
    </xf>
    <xf numFmtId="169" fontId="12" fillId="0" borderId="13" xfId="422" applyFont="1" applyFill="1" applyBorder="1" applyAlignment="1">
      <alignment horizontal="left"/>
    </xf>
    <xf numFmtId="169" fontId="12" fillId="0" borderId="13" xfId="422" applyFont="1" applyFill="1" applyBorder="1">
      <alignment horizontal="left" wrapText="1"/>
    </xf>
    <xf numFmtId="169" fontId="12" fillId="0" borderId="13" xfId="422" applyFont="1" applyFill="1" applyBorder="1" applyAlignment="1" applyProtection="1">
      <alignment horizontal="center"/>
      <protection locked="0"/>
    </xf>
    <xf numFmtId="169" fontId="11" fillId="0" borderId="0" xfId="422" applyFont="1" applyFill="1" applyAlignment="1">
      <alignment horizontal="center"/>
    </xf>
    <xf numFmtId="169" fontId="13" fillId="0" borderId="0" xfId="422" applyFont="1" applyFill="1" applyAlignment="1">
      <alignment horizontal="left"/>
    </xf>
    <xf numFmtId="9" fontId="11" fillId="0" borderId="0" xfId="422" applyNumberFormat="1" applyFont="1" applyFill="1" applyBorder="1" applyAlignment="1" applyProtection="1">
      <alignment horizontal="left"/>
      <protection locked="0"/>
    </xf>
    <xf numFmtId="1" fontId="11" fillId="0" borderId="0" xfId="422" applyNumberFormat="1" applyFont="1" applyFill="1" applyAlignment="1">
      <alignment horizontal="center"/>
    </xf>
    <xf numFmtId="169" fontId="13" fillId="0" borderId="0" xfId="422" applyFont="1" applyFill="1" applyBorder="1" applyAlignment="1" applyProtection="1">
      <alignment horizontal="left"/>
      <protection locked="0"/>
    </xf>
    <xf numFmtId="169" fontId="11" fillId="0" borderId="0" xfId="422" applyFont="1" applyFill="1">
      <alignment horizontal="left" wrapText="1"/>
    </xf>
    <xf numFmtId="171" fontId="11" fillId="0" borderId="0" xfId="422" applyNumberFormat="1" applyFont="1" applyFill="1" applyBorder="1" applyAlignment="1" applyProtection="1">
      <protection locked="0"/>
    </xf>
    <xf numFmtId="178" fontId="11" fillId="0" borderId="2" xfId="231" applyNumberFormat="1" applyFont="1" applyFill="1" applyBorder="1" applyAlignment="1"/>
    <xf numFmtId="169" fontId="13" fillId="0" borderId="0" xfId="422" applyFont="1" applyBorder="1" applyAlignment="1">
      <alignment horizontal="left"/>
    </xf>
    <xf numFmtId="169" fontId="11" fillId="0" borderId="0" xfId="422" applyNumberFormat="1" applyFont="1" applyFill="1">
      <alignment horizontal="left" wrapText="1"/>
    </xf>
    <xf numFmtId="178" fontId="11" fillId="0" borderId="0" xfId="231" applyNumberFormat="1" applyFont="1" applyFill="1" applyAlignment="1">
      <alignment horizontal="right" wrapText="1"/>
    </xf>
    <xf numFmtId="169" fontId="11" fillId="0" borderId="0" xfId="422" quotePrefix="1" applyFont="1" applyFill="1" applyAlignment="1">
      <alignment horizontal="left"/>
    </xf>
    <xf numFmtId="37" fontId="11" fillId="0" borderId="0" xfId="422" applyNumberFormat="1" applyFont="1" applyFill="1" applyAlignment="1">
      <alignment horizontal="right" wrapText="1"/>
    </xf>
    <xf numFmtId="169" fontId="11" fillId="0" borderId="13" xfId="422" quotePrefix="1" applyFont="1" applyFill="1" applyBorder="1" applyAlignment="1">
      <alignment horizontal="left"/>
    </xf>
    <xf numFmtId="169" fontId="11" fillId="0" borderId="13" xfId="422" applyNumberFormat="1" applyFont="1" applyFill="1" applyBorder="1">
      <alignment horizontal="left" wrapText="1"/>
    </xf>
    <xf numFmtId="0" fontId="15" fillId="0" borderId="13" xfId="314" applyBorder="1"/>
    <xf numFmtId="169" fontId="11" fillId="0" borderId="0" xfId="422" quotePrefix="1" applyFont="1" applyFill="1" applyBorder="1" applyAlignment="1">
      <alignment horizontal="left"/>
    </xf>
    <xf numFmtId="240" fontId="11" fillId="0" borderId="0" xfId="422" applyNumberFormat="1" applyFont="1" applyFill="1" applyBorder="1" applyAlignment="1">
      <alignment horizontal="right" wrapText="1"/>
    </xf>
    <xf numFmtId="178" fontId="11" fillId="0" borderId="14" xfId="231" applyNumberFormat="1" applyFont="1" applyFill="1" applyBorder="1" applyAlignment="1">
      <alignment horizontal="right" wrapText="1"/>
    </xf>
    <xf numFmtId="0" fontId="15" fillId="100" borderId="0" xfId="314" applyFill="1"/>
    <xf numFmtId="0" fontId="15" fillId="13" borderId="0" xfId="314" applyFill="1"/>
    <xf numFmtId="0" fontId="15" fillId="13" borderId="0" xfId="314" applyFill="1" applyBorder="1"/>
    <xf numFmtId="171" fontId="13" fillId="0" borderId="0" xfId="422" applyNumberFormat="1" applyFont="1" applyFill="1" applyBorder="1" applyAlignment="1" applyProtection="1">
      <protection locked="0"/>
    </xf>
    <xf numFmtId="178" fontId="11" fillId="0" borderId="2" xfId="231" applyNumberFormat="1" applyFont="1" applyFill="1" applyBorder="1" applyAlignment="1">
      <alignment horizontal="right" wrapText="1"/>
    </xf>
    <xf numFmtId="4" fontId="15" fillId="0" borderId="0" xfId="314" applyNumberFormat="1"/>
    <xf numFmtId="169" fontId="11" fillId="0" borderId="0" xfId="422" applyFont="1" applyFill="1" applyBorder="1" applyAlignment="1"/>
    <xf numFmtId="178" fontId="11" fillId="0" borderId="0" xfId="231" applyNumberFormat="1" applyFont="1" applyFill="1" applyBorder="1" applyAlignment="1" applyProtection="1">
      <protection locked="0"/>
    </xf>
    <xf numFmtId="41" fontId="11" fillId="0" borderId="0" xfId="186" applyNumberFormat="1" applyFont="1"/>
    <xf numFmtId="178" fontId="11" fillId="0" borderId="12" xfId="231" applyNumberFormat="1" applyFont="1" applyBorder="1"/>
    <xf numFmtId="0" fontId="15" fillId="112" borderId="3" xfId="1696" applyFont="1" applyFill="1" applyBorder="1"/>
    <xf numFmtId="44" fontId="24" fillId="0" borderId="12" xfId="1696" applyNumberFormat="1" applyFont="1" applyFill="1" applyBorder="1" applyAlignment="1">
      <alignment horizontal="right"/>
    </xf>
    <xf numFmtId="42" fontId="15" fillId="0" borderId="3" xfId="314" applyNumberFormat="1" applyFont="1" applyFill="1" applyBorder="1"/>
    <xf numFmtId="0" fontId="15" fillId="0" borderId="0" xfId="1696" applyFill="1"/>
    <xf numFmtId="0" fontId="43" fillId="0" borderId="0" xfId="1696" applyFont="1" applyFill="1" applyAlignment="1"/>
    <xf numFmtId="0" fontId="43" fillId="0" borderId="0" xfId="1696" applyFont="1" applyFill="1" applyAlignment="1">
      <alignment horizontal="center"/>
    </xf>
    <xf numFmtId="17" fontId="15" fillId="0" borderId="0" xfId="1696" applyNumberFormat="1" applyFont="1" applyFill="1" applyAlignment="1">
      <alignment horizontal="center"/>
    </xf>
    <xf numFmtId="44" fontId="15" fillId="0" borderId="0" xfId="236" applyNumberFormat="1" applyFont="1" applyFill="1"/>
    <xf numFmtId="44" fontId="15" fillId="0" borderId="0" xfId="236" applyNumberFormat="1" applyFont="1" applyFill="1" applyBorder="1"/>
    <xf numFmtId="43" fontId="15" fillId="0" borderId="0" xfId="1604" applyNumberFormat="1" applyFont="1" applyFill="1"/>
    <xf numFmtId="43" fontId="15" fillId="0" borderId="0" xfId="1604" applyNumberFormat="1" applyFont="1" applyFill="1" applyBorder="1"/>
    <xf numFmtId="44" fontId="15" fillId="0" borderId="12" xfId="1696" applyNumberFormat="1" applyFill="1" applyBorder="1"/>
    <xf numFmtId="44" fontId="15" fillId="0" borderId="0" xfId="1696" applyNumberFormat="1" applyFill="1"/>
    <xf numFmtId="44" fontId="35" fillId="0" borderId="0" xfId="236" applyNumberFormat="1" applyFont="1" applyFill="1" applyBorder="1"/>
    <xf numFmtId="43" fontId="35" fillId="0" borderId="0" xfId="1604" applyNumberFormat="1" applyFont="1" applyFill="1" applyBorder="1"/>
    <xf numFmtId="44" fontId="35" fillId="0" borderId="0" xfId="1604" applyNumberFormat="1" applyFont="1" applyFill="1" applyBorder="1"/>
    <xf numFmtId="0" fontId="15" fillId="0" borderId="0" xfId="1696" applyFill="1" applyBorder="1"/>
    <xf numFmtId="44" fontId="35" fillId="0" borderId="0" xfId="1696" applyNumberFormat="1" applyFont="1" applyFill="1" applyBorder="1"/>
    <xf numFmtId="0" fontId="3" fillId="0" borderId="0" xfId="1932"/>
    <xf numFmtId="0" fontId="95" fillId="0" borderId="0" xfId="1932" applyFont="1"/>
    <xf numFmtId="43" fontId="3" fillId="0" borderId="0" xfId="1932" applyNumberFormat="1"/>
    <xf numFmtId="43" fontId="95" fillId="0" borderId="0" xfId="1932" applyNumberFormat="1" applyFont="1"/>
    <xf numFmtId="0" fontId="15" fillId="0" borderId="0" xfId="1696" applyFill="1" applyProtection="1"/>
    <xf numFmtId="226" fontId="152" fillId="0" borderId="0" xfId="1696" applyNumberFormat="1" applyFont="1" applyFill="1" applyProtection="1"/>
    <xf numFmtId="0" fontId="15" fillId="0" borderId="0" xfId="1696" applyProtection="1"/>
    <xf numFmtId="0" fontId="34" fillId="0" borderId="0" xfId="1696" applyFont="1" applyFill="1" applyBorder="1" applyAlignment="1" applyProtection="1">
      <alignment horizontal="centerContinuous"/>
    </xf>
    <xf numFmtId="0" fontId="24" fillId="0" borderId="0" xfId="1696" applyFont="1" applyFill="1" applyBorder="1" applyAlignment="1" applyProtection="1">
      <alignment horizontal="centerContinuous"/>
    </xf>
    <xf numFmtId="0" fontId="153" fillId="0" borderId="0" xfId="1696" applyFont="1" applyFill="1" applyAlignment="1" applyProtection="1">
      <alignment horizontal="centerContinuous"/>
    </xf>
    <xf numFmtId="1" fontId="153" fillId="0" borderId="0" xfId="1696" applyNumberFormat="1" applyFont="1" applyFill="1" applyAlignment="1" applyProtection="1">
      <alignment horizontal="centerContinuous"/>
    </xf>
    <xf numFmtId="0" fontId="152" fillId="0" borderId="0" xfId="1696" applyFont="1" applyFill="1" applyAlignment="1" applyProtection="1">
      <alignment horizontal="centerContinuous"/>
    </xf>
    <xf numFmtId="0" fontId="15" fillId="0" borderId="0" xfId="1696" applyFont="1" applyFill="1" applyProtection="1"/>
    <xf numFmtId="1" fontId="15" fillId="0" borderId="0" xfId="1696" applyNumberFormat="1" applyFont="1" applyFill="1" applyProtection="1"/>
    <xf numFmtId="177" fontId="15" fillId="0" borderId="13" xfId="1568" applyNumberFormat="1" applyFont="1" applyFill="1" applyBorder="1" applyAlignment="1" applyProtection="1">
      <alignment horizontal="centerContinuous"/>
    </xf>
    <xf numFmtId="0" fontId="15" fillId="0" borderId="13" xfId="1696" applyFont="1" applyFill="1" applyBorder="1" applyAlignment="1" applyProtection="1">
      <alignment horizontal="centerContinuous"/>
    </xf>
    <xf numFmtId="0" fontId="17" fillId="0" borderId="13" xfId="1696" applyFont="1" applyFill="1" applyBorder="1" applyAlignment="1" applyProtection="1">
      <alignment horizontal="centerContinuous"/>
    </xf>
    <xf numFmtId="10" fontId="15" fillId="0" borderId="13" xfId="1696" applyNumberFormat="1" applyFont="1" applyFill="1" applyBorder="1" applyAlignment="1" applyProtection="1">
      <alignment horizontal="centerContinuous"/>
    </xf>
    <xf numFmtId="0" fontId="17" fillId="0" borderId="0" xfId="1696" applyFont="1" applyFill="1" applyProtection="1"/>
    <xf numFmtId="0" fontId="63" fillId="0" borderId="13" xfId="1696" applyFont="1" applyFill="1" applyBorder="1" applyAlignment="1" applyProtection="1">
      <alignment horizontal="centerContinuous"/>
    </xf>
    <xf numFmtId="0" fontId="15" fillId="0" borderId="0" xfId="1696" applyFont="1" applyFill="1" applyAlignment="1" applyProtection="1">
      <alignment horizontal="center"/>
    </xf>
    <xf numFmtId="0" fontId="15" fillId="0" borderId="0" xfId="1696" applyFont="1" applyFill="1" applyAlignment="1" applyProtection="1">
      <alignment horizontal="centerContinuous"/>
    </xf>
    <xf numFmtId="177" fontId="15" fillId="0" borderId="0" xfId="1568" applyNumberFormat="1" applyFont="1" applyFill="1" applyAlignment="1" applyProtection="1">
      <alignment horizontal="centerContinuous"/>
    </xf>
    <xf numFmtId="0" fontId="17" fillId="0" borderId="0" xfId="1696" applyFont="1" applyFill="1" applyAlignment="1" applyProtection="1">
      <alignment horizontal="centerContinuous"/>
    </xf>
    <xf numFmtId="0" fontId="15" fillId="0" borderId="13" xfId="1696" applyFont="1" applyFill="1" applyBorder="1" applyAlignment="1" applyProtection="1">
      <alignment horizontal="center"/>
    </xf>
    <xf numFmtId="177" fontId="15" fillId="0" borderId="13" xfId="1568" applyNumberFormat="1" applyFont="1" applyFill="1" applyBorder="1" applyAlignment="1" applyProtection="1">
      <alignment horizontal="center"/>
    </xf>
    <xf numFmtId="10" fontId="15" fillId="0" borderId="13" xfId="1568" applyNumberFormat="1" applyFont="1" applyFill="1" applyBorder="1" applyAlignment="1" applyProtection="1">
      <alignment horizontal="center"/>
    </xf>
    <xf numFmtId="0" fontId="15" fillId="0" borderId="13" xfId="1568" applyNumberFormat="1" applyFont="1" applyFill="1" applyBorder="1" applyAlignment="1" applyProtection="1">
      <alignment horizontal="center"/>
    </xf>
    <xf numFmtId="0" fontId="154" fillId="0" borderId="0" xfId="1696" applyFont="1" applyFill="1" applyBorder="1" applyProtection="1"/>
    <xf numFmtId="0" fontId="24" fillId="0" borderId="0" xfId="1696" applyFont="1" applyFill="1" applyBorder="1" applyProtection="1"/>
    <xf numFmtId="177" fontId="15" fillId="0" borderId="0" xfId="1568" applyNumberFormat="1" applyFont="1" applyFill="1" applyProtection="1"/>
    <xf numFmtId="0" fontId="63" fillId="0" borderId="0" xfId="1696" applyFont="1" applyFill="1" applyProtection="1"/>
    <xf numFmtId="0" fontId="153" fillId="0" borderId="0" xfId="1696" applyFont="1" applyFill="1" applyProtection="1"/>
    <xf numFmtId="44" fontId="15" fillId="0" borderId="0" xfId="1618" applyNumberFormat="1" applyFont="1" applyFill="1" applyBorder="1" applyAlignment="1" applyProtection="1">
      <alignment horizontal="right"/>
    </xf>
    <xf numFmtId="0" fontId="15" fillId="0" borderId="0" xfId="1696" applyFill="1" applyAlignment="1" applyProtection="1">
      <alignment horizontal="right"/>
    </xf>
    <xf numFmtId="42" fontId="15" fillId="0" borderId="0" xfId="1696" applyNumberFormat="1" applyFont="1" applyFill="1" applyBorder="1" applyAlignment="1" applyProtection="1">
      <alignment horizontal="right"/>
    </xf>
    <xf numFmtId="228" fontId="15" fillId="0" borderId="0" xfId="1696" applyNumberFormat="1" applyFont="1" applyFill="1" applyBorder="1" applyAlignment="1" applyProtection="1">
      <alignment horizontal="right"/>
    </xf>
    <xf numFmtId="220" fontId="15" fillId="0" borderId="0" xfId="1618" applyNumberFormat="1" applyFont="1" applyFill="1" applyAlignment="1" applyProtection="1">
      <alignment horizontal="right"/>
    </xf>
    <xf numFmtId="184" fontId="15" fillId="0" borderId="0" xfId="1618" applyNumberFormat="1" applyFont="1" applyFill="1" applyAlignment="1" applyProtection="1">
      <alignment horizontal="right"/>
    </xf>
    <xf numFmtId="43" fontId="15" fillId="0" borderId="0" xfId="1568" applyNumberFormat="1" applyFont="1" applyFill="1" applyAlignment="1" applyProtection="1">
      <alignment horizontal="right"/>
    </xf>
    <xf numFmtId="0" fontId="15" fillId="0" borderId="0" xfId="1696" applyFont="1" applyFill="1" applyAlignment="1" applyProtection="1">
      <alignment horizontal="right"/>
    </xf>
    <xf numFmtId="177" fontId="15" fillId="0" borderId="0" xfId="1568" applyNumberFormat="1" applyFont="1" applyFill="1" applyAlignment="1" applyProtection="1">
      <alignment horizontal="right"/>
    </xf>
    <xf numFmtId="39" fontId="15" fillId="0" borderId="0" xfId="1696" applyNumberFormat="1" applyFont="1" applyFill="1" applyAlignment="1" applyProtection="1">
      <alignment horizontal="right"/>
    </xf>
    <xf numFmtId="211" fontId="15" fillId="0" borderId="0" xfId="1568" applyNumberFormat="1" applyFont="1" applyFill="1" applyAlignment="1" applyProtection="1">
      <alignment horizontal="right"/>
    </xf>
    <xf numFmtId="177" fontId="15" fillId="0" borderId="0" xfId="1568" applyNumberFormat="1" applyFont="1" applyFill="1" applyBorder="1" applyAlignment="1" applyProtection="1">
      <alignment horizontal="right"/>
    </xf>
    <xf numFmtId="39" fontId="15" fillId="0" borderId="0" xfId="1696" applyNumberFormat="1" applyFont="1" applyFill="1" applyBorder="1" applyAlignment="1" applyProtection="1">
      <alignment horizontal="right"/>
    </xf>
    <xf numFmtId="211" fontId="15" fillId="0" borderId="0" xfId="1568" applyNumberFormat="1" applyFont="1" applyFill="1" applyBorder="1" applyAlignment="1" applyProtection="1">
      <alignment horizontal="right"/>
    </xf>
    <xf numFmtId="177" fontId="15" fillId="0" borderId="14" xfId="1568" applyNumberFormat="1" applyFont="1" applyFill="1" applyBorder="1" applyAlignment="1" applyProtection="1">
      <alignment horizontal="right"/>
    </xf>
    <xf numFmtId="229" fontId="15" fillId="0" borderId="0" xfId="1568" applyNumberFormat="1" applyFont="1" applyFill="1" applyAlignment="1" applyProtection="1">
      <alignment horizontal="right"/>
    </xf>
    <xf numFmtId="211" fontId="15" fillId="0" borderId="14" xfId="1568" applyNumberFormat="1" applyFont="1" applyFill="1" applyBorder="1" applyAlignment="1" applyProtection="1">
      <alignment horizontal="right"/>
    </xf>
    <xf numFmtId="39" fontId="15" fillId="0" borderId="0" xfId="1696" applyNumberFormat="1" applyFont="1" applyFill="1" applyProtection="1"/>
    <xf numFmtId="211" fontId="17" fillId="0" borderId="0" xfId="1568" applyNumberFormat="1" applyFont="1" applyFill="1" applyAlignment="1" applyProtection="1">
      <alignment horizontal="right"/>
    </xf>
    <xf numFmtId="0" fontId="24" fillId="0" borderId="0" xfId="1696" applyFont="1" applyFill="1" applyProtection="1"/>
    <xf numFmtId="43" fontId="15" fillId="0" borderId="13" xfId="1568" applyNumberFormat="1" applyFont="1" applyFill="1" applyBorder="1" applyAlignment="1" applyProtection="1">
      <alignment horizontal="right"/>
    </xf>
    <xf numFmtId="229" fontId="15" fillId="0" borderId="14" xfId="1696" applyNumberFormat="1" applyFont="1" applyFill="1" applyBorder="1" applyAlignment="1" applyProtection="1">
      <alignment horizontal="right"/>
    </xf>
    <xf numFmtId="220" fontId="15" fillId="0" borderId="14" xfId="1696" applyNumberFormat="1" applyFont="1" applyFill="1" applyBorder="1" applyAlignment="1" applyProtection="1">
      <alignment horizontal="right"/>
    </xf>
    <xf numFmtId="0" fontId="63" fillId="0" borderId="0" xfId="1696" applyFont="1" applyFill="1" applyAlignment="1" applyProtection="1">
      <alignment horizontal="right"/>
    </xf>
    <xf numFmtId="0" fontId="17" fillId="0" borderId="0" xfId="1696" applyFont="1" applyFill="1" applyAlignment="1" applyProtection="1">
      <alignment horizontal="right"/>
    </xf>
    <xf numFmtId="42" fontId="15" fillId="0" borderId="0" xfId="1696" applyNumberFormat="1" applyFont="1" applyFill="1" applyAlignment="1" applyProtection="1">
      <alignment horizontal="right"/>
    </xf>
    <xf numFmtId="44" fontId="15" fillId="0" borderId="20" xfId="1618" applyNumberFormat="1" applyFont="1" applyFill="1" applyBorder="1" applyAlignment="1" applyProtection="1">
      <alignment horizontal="right"/>
    </xf>
    <xf numFmtId="43" fontId="15" fillId="0" borderId="0" xfId="1696" applyNumberFormat="1" applyFont="1" applyFill="1" applyBorder="1" applyAlignment="1" applyProtection="1">
      <alignment horizontal="right"/>
    </xf>
    <xf numFmtId="230" fontId="15" fillId="0" borderId="0" xfId="1696" applyNumberFormat="1" applyFont="1" applyFill="1" applyBorder="1" applyAlignment="1" applyProtection="1">
      <alignment horizontal="right"/>
    </xf>
    <xf numFmtId="230" fontId="15" fillId="0" borderId="0" xfId="1568" applyNumberFormat="1" applyFont="1" applyFill="1" applyAlignment="1" applyProtection="1">
      <alignment horizontal="right"/>
    </xf>
    <xf numFmtId="43" fontId="15" fillId="0" borderId="0" xfId="1696" applyNumberFormat="1" applyFont="1" applyFill="1" applyAlignment="1" applyProtection="1">
      <alignment horizontal="right"/>
    </xf>
    <xf numFmtId="44" fontId="15" fillId="0" borderId="0" xfId="1696" applyNumberFormat="1" applyFill="1" applyAlignment="1" applyProtection="1">
      <alignment horizontal="right"/>
    </xf>
    <xf numFmtId="231" fontId="15" fillId="0" borderId="0" xfId="1696" applyNumberFormat="1" applyFont="1" applyFill="1" applyBorder="1" applyAlignment="1" applyProtection="1">
      <alignment horizontal="right"/>
    </xf>
    <xf numFmtId="37" fontId="15" fillId="0" borderId="0" xfId="1696" applyNumberFormat="1" applyFont="1" applyFill="1" applyAlignment="1" applyProtection="1">
      <alignment horizontal="right"/>
    </xf>
    <xf numFmtId="41" fontId="15" fillId="0" borderId="0" xfId="1696" applyNumberFormat="1" applyFont="1" applyFill="1" applyAlignment="1" applyProtection="1">
      <alignment horizontal="right"/>
    </xf>
    <xf numFmtId="37" fontId="15" fillId="0" borderId="14" xfId="1696" applyNumberFormat="1" applyFont="1" applyFill="1" applyBorder="1" applyAlignment="1" applyProtection="1">
      <alignment horizontal="right"/>
    </xf>
    <xf numFmtId="231" fontId="15" fillId="0" borderId="13" xfId="1696" applyNumberFormat="1" applyFont="1" applyFill="1" applyBorder="1" applyAlignment="1" applyProtection="1">
      <alignment horizontal="right"/>
    </xf>
    <xf numFmtId="231" fontId="15" fillId="0" borderId="20" xfId="1696" applyNumberFormat="1" applyFont="1" applyFill="1" applyBorder="1" applyAlignment="1" applyProtection="1">
      <alignment horizontal="right"/>
    </xf>
    <xf numFmtId="232" fontId="15" fillId="0" borderId="0" xfId="1696" applyNumberFormat="1" applyFont="1" applyFill="1" applyBorder="1" applyAlignment="1" applyProtection="1">
      <alignment horizontal="right"/>
    </xf>
    <xf numFmtId="0" fontId="153" fillId="0" borderId="0" xfId="1696" applyFont="1" applyFill="1" applyAlignment="1" applyProtection="1"/>
    <xf numFmtId="37" fontId="15" fillId="0" borderId="0" xfId="1728" applyNumberFormat="1" applyFont="1" applyBorder="1" applyAlignment="1"/>
    <xf numFmtId="0" fontId="15" fillId="0" borderId="0" xfId="1728" applyNumberFormat="1" applyFont="1" applyAlignment="1"/>
    <xf numFmtId="0" fontId="15" fillId="0" borderId="0" xfId="1728" applyNumberFormat="1" applyFont="1" applyAlignment="1">
      <alignment horizontal="right"/>
    </xf>
    <xf numFmtId="0" fontId="24" fillId="0" borderId="31" xfId="1728" quotePrefix="1" applyNumberFormat="1" applyFont="1" applyFill="1" applyBorder="1" applyAlignment="1">
      <alignment horizontal="right"/>
    </xf>
    <xf numFmtId="0" fontId="15" fillId="0" borderId="0" xfId="1728" applyNumberFormat="1" applyFont="1" applyAlignment="1">
      <alignment horizontal="centerContinuous" vertical="center"/>
    </xf>
    <xf numFmtId="177" fontId="15" fillId="0" borderId="0" xfId="1594" applyNumberFormat="1" applyFont="1" applyAlignment="1">
      <alignment horizontal="centerContinuous" vertical="center"/>
    </xf>
    <xf numFmtId="177" fontId="15" fillId="0" borderId="0" xfId="1594" applyNumberFormat="1" applyFont="1" applyAlignment="1">
      <alignment horizontal="center" vertical="center" wrapText="1"/>
    </xf>
    <xf numFmtId="0" fontId="15" fillId="0" borderId="0" xfId="1728" applyNumberFormat="1" applyFont="1" applyFill="1" applyAlignment="1">
      <alignment horizontal="center" vertical="center" wrapText="1"/>
    </xf>
    <xf numFmtId="224" fontId="15" fillId="0" borderId="0" xfId="1728" applyNumberFormat="1" applyFont="1" applyFill="1" applyBorder="1" applyAlignment="1">
      <alignment horizontal="center"/>
    </xf>
    <xf numFmtId="0" fontId="15" fillId="0" borderId="0" xfId="1728" applyNumberFormat="1" applyFill="1" applyAlignment="1"/>
    <xf numFmtId="37" fontId="15" fillId="0" borderId="13" xfId="1728" applyNumberFormat="1" applyFont="1" applyBorder="1" applyAlignment="1"/>
    <xf numFmtId="37" fontId="73" fillId="0" borderId="66" xfId="1728" applyNumberFormat="1" applyFont="1" applyFill="1" applyBorder="1" applyAlignment="1">
      <alignment horizontal="center" vertical="top" wrapText="1"/>
    </xf>
    <xf numFmtId="0" fontId="15" fillId="0" borderId="0" xfId="1728" applyNumberFormat="1" applyAlignment="1"/>
    <xf numFmtId="37" fontId="73" fillId="0" borderId="29" xfId="1728" applyNumberFormat="1" applyFont="1" applyFill="1" applyBorder="1" applyAlignment="1">
      <alignment vertical="top"/>
    </xf>
    <xf numFmtId="6" fontId="15" fillId="0" borderId="29" xfId="1634" applyNumberFormat="1" applyFont="1" applyFill="1" applyBorder="1"/>
    <xf numFmtId="42" fontId="15" fillId="0" borderId="0" xfId="1634" applyNumberFormat="1" applyFont="1" applyFill="1" applyBorder="1" applyAlignment="1"/>
    <xf numFmtId="41" fontId="15" fillId="0" borderId="29" xfId="1594" applyNumberFormat="1" applyFont="1" applyFill="1" applyBorder="1"/>
    <xf numFmtId="6" fontId="15" fillId="0" borderId="29" xfId="1594" applyNumberFormat="1" applyFont="1" applyFill="1" applyBorder="1"/>
    <xf numFmtId="6" fontId="15" fillId="0" borderId="67" xfId="1594" applyNumberFormat="1" applyFont="1" applyFill="1" applyBorder="1"/>
    <xf numFmtId="42" fontId="15" fillId="0" borderId="29" xfId="1634" applyNumberFormat="1" applyFont="1" applyFill="1" applyBorder="1"/>
    <xf numFmtId="0" fontId="15" fillId="0" borderId="0" xfId="1728" applyNumberFormat="1" applyFont="1" applyFill="1" applyAlignment="1"/>
    <xf numFmtId="0" fontId="15" fillId="0" borderId="0" xfId="1728" applyNumberFormat="1" applyFont="1" applyAlignment="1">
      <alignment horizontal="left"/>
    </xf>
    <xf numFmtId="169" fontId="15" fillId="0" borderId="29" xfId="1728" applyFont="1" applyFill="1" applyBorder="1">
      <alignment horizontal="left" wrapText="1"/>
    </xf>
    <xf numFmtId="171" fontId="15" fillId="0" borderId="29" xfId="1728" applyNumberFormat="1" applyFont="1" applyFill="1" applyBorder="1">
      <alignment horizontal="left" wrapText="1"/>
    </xf>
    <xf numFmtId="4" fontId="15" fillId="0" borderId="0" xfId="1728" applyNumberFormat="1" applyFont="1" applyAlignment="1">
      <alignment wrapText="1"/>
    </xf>
    <xf numFmtId="3" fontId="15" fillId="0" borderId="0" xfId="1728" applyNumberFormat="1" applyFont="1" applyAlignment="1"/>
    <xf numFmtId="4" fontId="15" fillId="0" borderId="0" xfId="1728" applyNumberFormat="1" applyFont="1" applyAlignment="1"/>
    <xf numFmtId="41" fontId="15" fillId="0" borderId="29" xfId="1634" applyNumberFormat="1" applyFont="1" applyFill="1" applyBorder="1"/>
    <xf numFmtId="41" fontId="15" fillId="0" borderId="67" xfId="1728" applyNumberFormat="1" applyFont="1" applyFill="1" applyBorder="1">
      <alignment horizontal="left" wrapText="1"/>
    </xf>
    <xf numFmtId="42" fontId="15" fillId="0" borderId="68" xfId="1634" applyNumberFormat="1" applyFont="1" applyFill="1" applyBorder="1"/>
    <xf numFmtId="171" fontId="15" fillId="0" borderId="29" xfId="1728" applyNumberFormat="1" applyFont="1" applyFill="1" applyBorder="1" applyAlignment="1">
      <alignment vertical="top"/>
    </xf>
    <xf numFmtId="42" fontId="15" fillId="0" borderId="67" xfId="1634" applyNumberFormat="1" applyFont="1" applyFill="1" applyBorder="1"/>
    <xf numFmtId="42" fontId="15" fillId="0" borderId="29" xfId="1728" applyNumberFormat="1" applyFont="1" applyFill="1" applyBorder="1">
      <alignment horizontal="left" wrapText="1"/>
    </xf>
    <xf numFmtId="42" fontId="15" fillId="0" borderId="29" xfId="1634" applyNumberFormat="1" applyFont="1" applyFill="1" applyBorder="1" applyProtection="1">
      <protection locked="0"/>
    </xf>
    <xf numFmtId="42" fontId="15" fillId="0" borderId="29" xfId="1728" applyNumberFormat="1" applyFont="1" applyFill="1" applyBorder="1" applyAlignment="1">
      <alignment horizontal="left"/>
    </xf>
    <xf numFmtId="42" fontId="15" fillId="0" borderId="29" xfId="1728" applyNumberFormat="1" applyFont="1" applyFill="1" applyBorder="1" applyAlignment="1">
      <alignment horizontal="right" wrapText="1"/>
    </xf>
    <xf numFmtId="37" fontId="15" fillId="0" borderId="0" xfId="1728" applyNumberFormat="1" applyFont="1" applyBorder="1" applyAlignment="1">
      <alignment horizontal="left"/>
    </xf>
    <xf numFmtId="37" fontId="15" fillId="0" borderId="29" xfId="1728" applyNumberFormat="1" applyFont="1" applyBorder="1" applyAlignment="1"/>
    <xf numFmtId="10" fontId="15" fillId="0" borderId="30" xfId="1728" applyNumberFormat="1" applyFont="1" applyFill="1" applyBorder="1" applyAlignment="1">
      <alignment horizontal="right" wrapText="1"/>
    </xf>
    <xf numFmtId="37" fontId="73" fillId="0" borderId="0" xfId="1728" applyNumberFormat="1" applyFont="1" applyBorder="1" applyAlignment="1"/>
    <xf numFmtId="10" fontId="15" fillId="0" borderId="0" xfId="1728" applyNumberFormat="1" applyFont="1" applyFill="1" applyBorder="1" applyAlignment="1"/>
    <xf numFmtId="37" fontId="73" fillId="0" borderId="0" xfId="1728" applyNumberFormat="1" applyFont="1" applyBorder="1" applyAlignment="1">
      <alignment vertical="top"/>
    </xf>
    <xf numFmtId="0" fontId="95" fillId="0" borderId="0" xfId="1932" applyFont="1" applyAlignment="1">
      <alignment horizontal="center"/>
    </xf>
    <xf numFmtId="169" fontId="3" fillId="0" borderId="0" xfId="1932" applyNumberFormat="1" applyBorder="1"/>
    <xf numFmtId="43" fontId="3" fillId="0" borderId="0" xfId="1932" applyNumberFormat="1" applyBorder="1"/>
    <xf numFmtId="43" fontId="3" fillId="0" borderId="13" xfId="1932" applyNumberFormat="1" applyBorder="1"/>
    <xf numFmtId="49" fontId="140" fillId="0" borderId="0" xfId="1932" applyNumberFormat="1" applyFont="1" applyFill="1" applyBorder="1" applyAlignment="1">
      <alignment horizontal="left" wrapText="1"/>
    </xf>
    <xf numFmtId="41" fontId="12" fillId="0" borderId="0" xfId="422" applyNumberFormat="1" applyFont="1" applyFill="1" applyAlignment="1">
      <alignment horizontal="centerContinuous"/>
    </xf>
    <xf numFmtId="0" fontId="139" fillId="0" borderId="0" xfId="314" applyFont="1" applyFill="1" applyAlignment="1">
      <alignment horizontal="center"/>
    </xf>
    <xf numFmtId="0" fontId="139" fillId="0" borderId="0" xfId="314" applyFont="1"/>
    <xf numFmtId="0" fontId="139" fillId="0" borderId="0" xfId="314" applyFont="1" applyFill="1" applyBorder="1" applyAlignment="1">
      <alignment horizontal="center"/>
    </xf>
    <xf numFmtId="0" fontId="139" fillId="0" borderId="0" xfId="314" applyFont="1" applyBorder="1" applyAlignment="1">
      <alignment horizontal="center"/>
    </xf>
    <xf numFmtId="0" fontId="139" fillId="0" borderId="13" xfId="314" applyFont="1" applyBorder="1" applyAlignment="1">
      <alignment horizontal="center"/>
    </xf>
    <xf numFmtId="0" fontId="139" fillId="0" borderId="13" xfId="314" applyFont="1" applyFill="1" applyBorder="1" applyAlignment="1">
      <alignment horizontal="center"/>
    </xf>
    <xf numFmtId="0" fontId="139" fillId="0" borderId="0" xfId="314" applyFont="1" applyBorder="1" applyAlignment="1">
      <alignment horizontal="right"/>
    </xf>
    <xf numFmtId="0" fontId="139" fillId="0" borderId="0" xfId="314" applyFont="1" applyAlignment="1">
      <alignment horizontal="left"/>
    </xf>
    <xf numFmtId="42" fontId="139" fillId="0" borderId="0" xfId="314" applyNumberFormat="1" applyFont="1" applyFill="1" applyBorder="1" applyAlignment="1">
      <alignment horizontal="center"/>
    </xf>
    <xf numFmtId="0" fontId="139" fillId="0" borderId="0" xfId="314" applyFont="1" applyFill="1" applyBorder="1" applyAlignment="1">
      <alignment horizontal="left"/>
    </xf>
    <xf numFmtId="0" fontId="15" fillId="0" borderId="0" xfId="1933" applyAlignment="1">
      <alignment horizontal="left"/>
    </xf>
    <xf numFmtId="0" fontId="140" fillId="0" borderId="12" xfId="314" applyFont="1" applyBorder="1" applyAlignment="1">
      <alignment horizontal="left"/>
    </xf>
    <xf numFmtId="42" fontId="140" fillId="0" borderId="12" xfId="314" applyNumberFormat="1" applyFont="1" applyFill="1" applyBorder="1"/>
    <xf numFmtId="9" fontId="15" fillId="0" borderId="0" xfId="314" applyNumberFormat="1"/>
    <xf numFmtId="177" fontId="141" fillId="116" borderId="91" xfId="1928" applyNumberFormat="1" applyFont="1" applyFill="1" applyBorder="1"/>
    <xf numFmtId="0" fontId="199" fillId="116" borderId="89" xfId="1928" applyFont="1" applyFill="1" applyBorder="1" applyAlignment="1"/>
    <xf numFmtId="193" fontId="16" fillId="0" borderId="102" xfId="1724" applyNumberFormat="1" applyFont="1" applyFill="1" applyBorder="1"/>
    <xf numFmtId="43" fontId="3" fillId="0" borderId="0" xfId="1931" applyNumberFormat="1" applyFont="1"/>
    <xf numFmtId="177" fontId="95" fillId="0" borderId="12" xfId="1930" applyNumberFormat="1" applyFont="1" applyBorder="1"/>
    <xf numFmtId="44" fontId="24" fillId="0" borderId="12" xfId="1696" applyNumberFormat="1" applyFont="1" applyFill="1" applyBorder="1"/>
    <xf numFmtId="44" fontId="15" fillId="0" borderId="0" xfId="1696" applyNumberFormat="1" applyFont="1"/>
    <xf numFmtId="0" fontId="141" fillId="111" borderId="0" xfId="1696" applyFont="1" applyFill="1"/>
    <xf numFmtId="43" fontId="141" fillId="111" borderId="0" xfId="1696" applyNumberFormat="1" applyFont="1" applyFill="1" applyAlignment="1">
      <alignment horizontal="right"/>
    </xf>
    <xf numFmtId="14" fontId="141" fillId="111" borderId="0" xfId="1696" applyNumberFormat="1" applyFont="1" applyFill="1" applyAlignment="1">
      <alignment horizontal="right"/>
    </xf>
    <xf numFmtId="43" fontId="3" fillId="0" borderId="2" xfId="1932" applyNumberFormat="1" applyBorder="1"/>
    <xf numFmtId="17" fontId="141" fillId="111" borderId="24" xfId="1900" applyNumberFormat="1" applyFont="1" applyFill="1" applyBorder="1"/>
    <xf numFmtId="4" fontId="141" fillId="111" borderId="0" xfId="1900" applyNumberFormat="1" applyFont="1" applyFill="1" applyBorder="1"/>
    <xf numFmtId="0" fontId="141" fillId="111" borderId="0" xfId="1900" applyFont="1" applyFill="1" applyBorder="1"/>
    <xf numFmtId="222" fontId="141" fillId="111" borderId="0" xfId="1900" applyNumberFormat="1" applyFont="1" applyFill="1" applyBorder="1"/>
    <xf numFmtId="177" fontId="141" fillId="111" borderId="0" xfId="1901" applyNumberFormat="1" applyFont="1" applyFill="1" applyBorder="1"/>
    <xf numFmtId="177" fontId="141" fillId="111" borderId="28" xfId="1901" applyNumberFormat="1" applyFont="1" applyFill="1" applyBorder="1"/>
    <xf numFmtId="6" fontId="12" fillId="0" borderId="0" xfId="447" applyNumberFormat="1" applyFont="1" applyFill="1" applyProtection="1">
      <protection locked="0"/>
    </xf>
    <xf numFmtId="0" fontId="141" fillId="111" borderId="0" xfId="1717" applyFont="1" applyFill="1"/>
    <xf numFmtId="43" fontId="141" fillId="111" borderId="0" xfId="1717" applyNumberFormat="1" applyFont="1" applyFill="1" applyAlignment="1">
      <alignment horizontal="right"/>
    </xf>
    <xf numFmtId="14" fontId="141" fillId="111" borderId="0" xfId="1717" applyNumberFormat="1" applyFont="1" applyFill="1" applyAlignment="1">
      <alignment horizontal="right"/>
    </xf>
    <xf numFmtId="0" fontId="141" fillId="111" borderId="0" xfId="1717" applyFont="1" applyFill="1" applyAlignment="1">
      <alignment horizontal="center"/>
    </xf>
    <xf numFmtId="0" fontId="206" fillId="0" borderId="0" xfId="1934" applyFont="1" applyAlignment="1">
      <alignment wrapText="1"/>
    </xf>
    <xf numFmtId="0" fontId="204" fillId="0" borderId="0" xfId="1934" applyFont="1"/>
    <xf numFmtId="15" fontId="204" fillId="0" borderId="0" xfId="1934" applyNumberFormat="1" applyFont="1"/>
    <xf numFmtId="0" fontId="207" fillId="0" borderId="0" xfId="1934" applyFont="1" applyFill="1" applyBorder="1" applyAlignment="1">
      <alignment wrapText="1"/>
    </xf>
    <xf numFmtId="0" fontId="208" fillId="0" borderId="0" xfId="1934" applyFont="1" applyFill="1" applyBorder="1" applyAlignment="1">
      <alignment horizontal="center"/>
    </xf>
    <xf numFmtId="0" fontId="205" fillId="0" borderId="0" xfId="1934" applyFont="1"/>
    <xf numFmtId="0" fontId="208" fillId="0" borderId="0" xfId="1934" applyFont="1" applyFill="1" applyBorder="1" applyAlignment="1"/>
    <xf numFmtId="0" fontId="208" fillId="0" borderId="0" xfId="1934" applyFont="1" applyFill="1" applyBorder="1" applyAlignment="1">
      <alignment wrapText="1"/>
    </xf>
    <xf numFmtId="221" fontId="203" fillId="0" borderId="0" xfId="1934" applyNumberFormat="1" applyFont="1" applyFill="1" applyBorder="1" applyAlignment="1"/>
    <xf numFmtId="0" fontId="205" fillId="0" borderId="0" xfId="1934" applyFont="1" applyAlignment="1">
      <alignment horizontal="right" wrapText="1"/>
    </xf>
    <xf numFmtId="0" fontId="209" fillId="0" borderId="0" xfId="1934" applyFont="1" applyAlignment="1">
      <alignment horizontal="right"/>
    </xf>
    <xf numFmtId="0" fontId="205" fillId="0" borderId="23" xfId="1934" applyFont="1" applyBorder="1" applyAlignment="1"/>
    <xf numFmtId="0" fontId="205" fillId="0" borderId="23" xfId="1934" applyFont="1" applyBorder="1" applyAlignment="1">
      <alignment horizontal="right"/>
    </xf>
    <xf numFmtId="0" fontId="209" fillId="0" borderId="23" xfId="1934" applyFont="1" applyBorder="1" applyAlignment="1">
      <alignment horizontal="right"/>
    </xf>
    <xf numFmtId="0" fontId="203" fillId="0" borderId="23" xfId="1934" applyFont="1" applyBorder="1" applyAlignment="1">
      <alignment horizontal="center"/>
    </xf>
    <xf numFmtId="0" fontId="203" fillId="0" borderId="23" xfId="1934" applyFont="1" applyFill="1" applyBorder="1" applyAlignment="1">
      <alignment horizontal="center"/>
    </xf>
    <xf numFmtId="0" fontId="203" fillId="0" borderId="25" xfId="1934" applyFont="1" applyBorder="1" applyAlignment="1"/>
    <xf numFmtId="0" fontId="203" fillId="0" borderId="25" xfId="1934" applyFont="1" applyBorder="1" applyAlignment="1">
      <alignment horizontal="center"/>
    </xf>
    <xf numFmtId="0" fontId="203" fillId="0" borderId="25" xfId="1934" applyFont="1" applyFill="1" applyBorder="1" applyAlignment="1">
      <alignment horizontal="center"/>
    </xf>
    <xf numFmtId="0" fontId="203" fillId="0" borderId="27" xfId="1934" applyFont="1" applyBorder="1" applyAlignment="1"/>
    <xf numFmtId="0" fontId="203" fillId="0" borderId="27" xfId="1934" applyFont="1" applyBorder="1" applyAlignment="1">
      <alignment horizontal="center"/>
    </xf>
    <xf numFmtId="0" fontId="203" fillId="0" borderId="27" xfId="1934" applyFont="1" applyFill="1" applyBorder="1" applyAlignment="1">
      <alignment horizontal="center"/>
    </xf>
    <xf numFmtId="0" fontId="205" fillId="0" borderId="3" xfId="1934" applyFont="1" applyBorder="1" applyAlignment="1">
      <alignment horizontal="center"/>
    </xf>
    <xf numFmtId="42" fontId="205" fillId="0" borderId="3" xfId="1934" applyNumberFormat="1" applyFont="1" applyBorder="1" applyAlignment="1"/>
    <xf numFmtId="10" fontId="205" fillId="0" borderId="3" xfId="1934" applyNumberFormat="1" applyFont="1" applyBorder="1" applyAlignment="1"/>
    <xf numFmtId="177" fontId="205" fillId="0" borderId="3" xfId="186" applyNumberFormat="1" applyFont="1" applyBorder="1" applyAlignment="1"/>
    <xf numFmtId="0" fontId="205" fillId="0" borderId="3" xfId="1934" applyFont="1" applyBorder="1" applyAlignment="1">
      <alignment vertical="center"/>
    </xf>
    <xf numFmtId="0" fontId="205" fillId="0" borderId="3" xfId="1934" applyFont="1" applyBorder="1" applyAlignment="1">
      <alignment horizontal="left"/>
    </xf>
    <xf numFmtId="0" fontId="205" fillId="0" borderId="3" xfId="1934" applyFont="1" applyBorder="1" applyAlignment="1">
      <alignment horizontal="center" vertical="center"/>
    </xf>
    <xf numFmtId="5" fontId="205" fillId="0" borderId="3" xfId="1934" applyNumberFormat="1" applyFont="1" applyBorder="1" applyAlignment="1"/>
    <xf numFmtId="0" fontId="205" fillId="0" borderId="0" xfId="1934" applyFont="1" applyBorder="1" applyAlignment="1">
      <alignment vertical="center"/>
    </xf>
    <xf numFmtId="168" fontId="205" fillId="0" borderId="0" xfId="186" applyNumberFormat="1" applyFont="1" applyBorder="1" applyAlignment="1">
      <alignment horizontal="center"/>
    </xf>
    <xf numFmtId="0" fontId="205" fillId="0" borderId="0" xfId="1934" applyFont="1" applyBorder="1" applyAlignment="1">
      <alignment horizontal="right"/>
    </xf>
    <xf numFmtId="0" fontId="205" fillId="0" borderId="0" xfId="1934" applyFont="1" applyFill="1" applyBorder="1" applyAlignment="1">
      <alignment horizontal="left"/>
    </xf>
    <xf numFmtId="0" fontId="205" fillId="0" borderId="0" xfId="1934" applyFont="1" applyAlignment="1"/>
    <xf numFmtId="5" fontId="205" fillId="0" borderId="0" xfId="1934" applyNumberFormat="1" applyFont="1" applyFill="1" applyBorder="1" applyAlignment="1"/>
    <xf numFmtId="0" fontId="205" fillId="0" borderId="0" xfId="1934" applyFont="1" applyAlignment="1">
      <alignment vertical="center"/>
    </xf>
    <xf numFmtId="0" fontId="204" fillId="0" borderId="0" xfId="1934" applyFont="1" applyAlignment="1">
      <alignment vertical="center"/>
    </xf>
    <xf numFmtId="0" fontId="204" fillId="0" borderId="0" xfId="1934" applyFont="1" applyAlignment="1">
      <alignment wrapText="1"/>
    </xf>
    <xf numFmtId="5" fontId="205" fillId="0" borderId="0" xfId="1934" applyNumberFormat="1" applyFont="1" applyBorder="1" applyAlignment="1"/>
    <xf numFmtId="10" fontId="205" fillId="0" borderId="0" xfId="1934" applyNumberFormat="1" applyFont="1" applyBorder="1" applyAlignment="1"/>
    <xf numFmtId="0" fontId="205" fillId="0" borderId="3" xfId="1934" applyFont="1" applyBorder="1" applyAlignment="1">
      <alignment horizontal="left" vertical="center"/>
    </xf>
    <xf numFmtId="0" fontId="205" fillId="0" borderId="27" xfId="1934" applyFont="1" applyBorder="1" applyAlignment="1">
      <alignment horizontal="left" vertical="center"/>
    </xf>
    <xf numFmtId="0" fontId="205" fillId="0" borderId="27" xfId="1934" applyFont="1" applyBorder="1" applyAlignment="1">
      <alignment vertical="center"/>
    </xf>
    <xf numFmtId="0" fontId="205" fillId="0" borderId="13" xfId="1934" applyFont="1" applyBorder="1" applyAlignment="1">
      <alignment vertical="center"/>
    </xf>
    <xf numFmtId="0" fontId="205" fillId="0" borderId="13" xfId="1934" applyFont="1" applyBorder="1" applyAlignment="1">
      <alignment horizontal="left"/>
    </xf>
    <xf numFmtId="0" fontId="205" fillId="0" borderId="61" xfId="1934" applyFont="1" applyBorder="1" applyAlignment="1">
      <alignment horizontal="right"/>
    </xf>
    <xf numFmtId="49" fontId="141" fillId="111" borderId="3" xfId="1900" applyNumberFormat="1" applyFont="1" applyFill="1" applyBorder="1"/>
    <xf numFmtId="4" fontId="141" fillId="111" borderId="3" xfId="1900" applyNumberFormat="1" applyFont="1" applyFill="1" applyBorder="1"/>
    <xf numFmtId="217" fontId="141" fillId="111" borderId="3" xfId="1900" applyNumberFormat="1" applyFont="1" applyFill="1" applyBorder="1"/>
    <xf numFmtId="0" fontId="205" fillId="0" borderId="0" xfId="1934" applyFont="1" applyFill="1" applyBorder="1" applyAlignment="1"/>
    <xf numFmtId="0" fontId="205" fillId="0" borderId="0" xfId="1934" applyFont="1" applyBorder="1" applyAlignment="1">
      <alignment horizontal="left" vertical="center"/>
    </xf>
    <xf numFmtId="0" fontId="205" fillId="0" borderId="13" xfId="1934" applyFont="1" applyBorder="1" applyAlignment="1">
      <alignment horizontal="left" vertical="center"/>
    </xf>
    <xf numFmtId="2" fontId="205" fillId="0" borderId="3" xfId="1934" applyNumberFormat="1" applyFont="1" applyBorder="1" applyAlignment="1">
      <alignment horizontal="center" vertical="center"/>
    </xf>
    <xf numFmtId="0" fontId="24" fillId="0" borderId="0" xfId="1934" applyFont="1" applyAlignment="1"/>
    <xf numFmtId="0" fontId="205" fillId="120" borderId="0" xfId="1934" applyFont="1" applyFill="1"/>
    <xf numFmtId="44" fontId="24" fillId="0" borderId="20" xfId="1618" applyNumberFormat="1" applyFont="1" applyFill="1" applyBorder="1" applyAlignment="1" applyProtection="1">
      <alignment horizontal="right"/>
    </xf>
    <xf numFmtId="0" fontId="15" fillId="111" borderId="0" xfId="314" applyFill="1" applyBorder="1" applyAlignment="1">
      <alignment horizontal="center"/>
    </xf>
    <xf numFmtId="0" fontId="15" fillId="111" borderId="13" xfId="314" applyFill="1" applyBorder="1" applyAlignment="1">
      <alignment horizontal="center"/>
    </xf>
    <xf numFmtId="42" fontId="68" fillId="111" borderId="0" xfId="314" applyNumberFormat="1" applyFont="1" applyFill="1" applyBorder="1" applyAlignment="1">
      <alignment horizontal="center"/>
    </xf>
    <xf numFmtId="41" fontId="68" fillId="111" borderId="0" xfId="314" applyNumberFormat="1" applyFont="1" applyFill="1" applyBorder="1" applyAlignment="1">
      <alignment horizontal="center"/>
    </xf>
    <xf numFmtId="42" fontId="15" fillId="111" borderId="14" xfId="314" applyNumberFormat="1" applyFill="1" applyBorder="1"/>
    <xf numFmtId="42" fontId="15" fillId="111" borderId="0" xfId="314" applyNumberFormat="1" applyFill="1"/>
    <xf numFmtId="42" fontId="68" fillId="111" borderId="0" xfId="314" applyNumberFormat="1" applyFont="1" applyFill="1"/>
    <xf numFmtId="0" fontId="15" fillId="111" borderId="0" xfId="314" applyFill="1"/>
    <xf numFmtId="42" fontId="15" fillId="111" borderId="14" xfId="314" applyNumberFormat="1" applyFont="1" applyFill="1" applyBorder="1"/>
    <xf numFmtId="44" fontId="15" fillId="0" borderId="0" xfId="314" applyNumberFormat="1" applyFill="1" applyBorder="1"/>
    <xf numFmtId="172" fontId="200" fillId="111" borderId="69" xfId="1740" quotePrefix="1" applyNumberFormat="1" applyFont="1" applyFill="1" applyBorder="1" applyAlignment="1">
      <alignment horizontal="left"/>
    </xf>
    <xf numFmtId="42" fontId="200" fillId="111" borderId="0" xfId="1740" applyNumberFormat="1" applyFont="1" applyFill="1" applyBorder="1"/>
    <xf numFmtId="42" fontId="200" fillId="111" borderId="0" xfId="1740" applyNumberFormat="1" applyFont="1" applyFill="1" applyBorder="1" applyAlignment="1">
      <alignment horizontal="right"/>
    </xf>
    <xf numFmtId="225" fontId="200" fillId="111" borderId="70" xfId="1812" applyNumberFormat="1" applyFont="1" applyFill="1" applyBorder="1" applyAlignment="1">
      <alignment horizontal="right"/>
    </xf>
    <xf numFmtId="0" fontId="141" fillId="111" borderId="0" xfId="1740" applyFont="1" applyFill="1"/>
    <xf numFmtId="43" fontId="141" fillId="0" borderId="65" xfId="0" applyNumberFormat="1" applyFont="1" applyBorder="1" applyAlignment="1"/>
    <xf numFmtId="44" fontId="15" fillId="111" borderId="28" xfId="238" applyFont="1" applyFill="1" applyBorder="1" applyAlignment="1">
      <alignment horizontal="right"/>
    </xf>
    <xf numFmtId="44" fontId="141" fillId="111" borderId="28" xfId="238" applyFont="1" applyFill="1" applyBorder="1" applyAlignment="1">
      <alignment horizontal="right"/>
    </xf>
    <xf numFmtId="44" fontId="15" fillId="0" borderId="0" xfId="1757" applyNumberFormat="1" applyFont="1"/>
    <xf numFmtId="44" fontId="141" fillId="0" borderId="0" xfId="1757" applyNumberFormat="1" applyFont="1"/>
    <xf numFmtId="44" fontId="15" fillId="111" borderId="64" xfId="238" applyFont="1" applyFill="1" applyBorder="1" applyAlignment="1">
      <alignment horizontal="right"/>
    </xf>
    <xf numFmtId="44" fontId="15" fillId="0" borderId="13" xfId="1757" applyNumberFormat="1" applyFont="1" applyBorder="1"/>
    <xf numFmtId="0" fontId="202" fillId="0" borderId="0" xfId="1965" applyFont="1"/>
    <xf numFmtId="0" fontId="206" fillId="0" borderId="0" xfId="1965" applyFont="1" applyAlignment="1">
      <alignment wrapText="1"/>
    </xf>
    <xf numFmtId="0" fontId="204" fillId="0" borderId="0" xfId="1965" applyFont="1"/>
    <xf numFmtId="0" fontId="1" fillId="0" borderId="0" xfId="1965"/>
    <xf numFmtId="0" fontId="206" fillId="0" borderId="0" xfId="1965" applyFont="1" applyFill="1" applyBorder="1" applyAlignment="1">
      <alignment wrapText="1"/>
    </xf>
    <xf numFmtId="0" fontId="206" fillId="0" borderId="0" xfId="1965" applyFont="1" applyFill="1" applyBorder="1" applyAlignment="1">
      <alignment horizontal="center"/>
    </xf>
    <xf numFmtId="0" fontId="24" fillId="0" borderId="0" xfId="1965" applyFont="1" applyAlignment="1">
      <alignment horizontal="center"/>
    </xf>
    <xf numFmtId="0" fontId="206" fillId="0" borderId="0" xfId="1965" applyFont="1" applyFill="1" applyBorder="1" applyAlignment="1"/>
    <xf numFmtId="0" fontId="204" fillId="111" borderId="0" xfId="1965" applyFont="1" applyFill="1" applyBorder="1" applyAlignment="1">
      <alignment horizontal="center"/>
    </xf>
    <xf numFmtId="0" fontId="204" fillId="0" borderId="0" xfId="1965" applyFont="1" applyAlignment="1">
      <alignment horizontal="right" wrapText="1"/>
    </xf>
    <xf numFmtId="0" fontId="217" fillId="0" borderId="0" xfId="1965" applyFont="1" applyAlignment="1">
      <alignment horizontal="right"/>
    </xf>
    <xf numFmtId="0" fontId="204" fillId="0" borderId="23" xfId="1965" applyFont="1" applyBorder="1" applyAlignment="1"/>
    <xf numFmtId="0" fontId="204" fillId="0" borderId="23" xfId="1965" applyFont="1" applyBorder="1" applyAlignment="1">
      <alignment horizontal="right"/>
    </xf>
    <xf numFmtId="0" fontId="217" fillId="0" borderId="23" xfId="1965" applyFont="1" applyBorder="1" applyAlignment="1">
      <alignment horizontal="right"/>
    </xf>
    <xf numFmtId="0" fontId="202" fillId="0" borderId="25" xfId="1965" applyFont="1" applyBorder="1" applyAlignment="1"/>
    <xf numFmtId="0" fontId="202" fillId="0" borderId="25" xfId="1965" applyFont="1" applyBorder="1" applyAlignment="1">
      <alignment horizontal="center"/>
    </xf>
    <xf numFmtId="0" fontId="202" fillId="0" borderId="27" xfId="1965" applyFont="1" applyBorder="1" applyAlignment="1"/>
    <xf numFmtId="0" fontId="202" fillId="0" borderId="27" xfId="1965" applyFont="1" applyBorder="1" applyAlignment="1">
      <alignment horizontal="center"/>
    </xf>
    <xf numFmtId="0" fontId="204" fillId="0" borderId="3" xfId="1965" applyFont="1" applyBorder="1" applyAlignment="1"/>
    <xf numFmtId="0" fontId="204" fillId="0" borderId="3" xfId="1965" applyFont="1" applyBorder="1" applyAlignment="1">
      <alignment horizontal="center"/>
    </xf>
    <xf numFmtId="0" fontId="204" fillId="0" borderId="3" xfId="1965" applyFont="1" applyBorder="1" applyAlignment="1">
      <alignment horizontal="center" vertical="center"/>
    </xf>
    <xf numFmtId="0" fontId="204" fillId="0" borderId="3" xfId="1965" applyFont="1" applyBorder="1" applyAlignment="1">
      <alignment vertical="center"/>
    </xf>
    <xf numFmtId="0" fontId="204" fillId="0" borderId="3" xfId="1965" applyFont="1" applyBorder="1" applyAlignment="1">
      <alignment horizontal="left"/>
    </xf>
    <xf numFmtId="2" fontId="204" fillId="0" borderId="3" xfId="1965" applyNumberFormat="1" applyFont="1" applyBorder="1" applyAlignment="1">
      <alignment horizontal="right" vertical="center"/>
    </xf>
    <xf numFmtId="2" fontId="204" fillId="0" borderId="3" xfId="1965" applyNumberFormat="1" applyFont="1" applyBorder="1" applyAlignment="1">
      <alignment horizontal="left" vertical="center"/>
    </xf>
    <xf numFmtId="0" fontId="204" fillId="0" borderId="3" xfId="1965" applyFont="1" applyFill="1" applyBorder="1" applyAlignment="1">
      <alignment horizontal="center"/>
    </xf>
    <xf numFmtId="0" fontId="204" fillId="0" borderId="3" xfId="1965" applyFont="1" applyFill="1" applyBorder="1" applyAlignment="1">
      <alignment horizontal="center" vertical="center"/>
    </xf>
    <xf numFmtId="0" fontId="204" fillId="0" borderId="3" xfId="1965" applyFont="1" applyBorder="1" applyAlignment="1">
      <alignment horizontal="left" vertical="center"/>
    </xf>
    <xf numFmtId="0" fontId="204" fillId="0" borderId="117" xfId="1965" applyFont="1" applyBorder="1" applyAlignment="1">
      <alignment vertical="center"/>
    </xf>
    <xf numFmtId="0" fontId="204" fillId="0" borderId="3" xfId="1965" applyFont="1" applyFill="1" applyBorder="1" applyAlignment="1">
      <alignment vertical="center"/>
    </xf>
    <xf numFmtId="0" fontId="204" fillId="0" borderId="0" xfId="1965" applyFont="1" applyAlignment="1"/>
    <xf numFmtId="0" fontId="34" fillId="0" borderId="0" xfId="314" applyFont="1"/>
    <xf numFmtId="10" fontId="15" fillId="0" borderId="0" xfId="314" applyNumberFormat="1"/>
    <xf numFmtId="0" fontId="24" fillId="0" borderId="0" xfId="314" applyFont="1"/>
    <xf numFmtId="0" fontId="24" fillId="0" borderId="3" xfId="314" applyFont="1" applyBorder="1" applyAlignment="1">
      <alignment wrapText="1"/>
    </xf>
    <xf numFmtId="0" fontId="15" fillId="0" borderId="0" xfId="314" applyAlignment="1">
      <alignment wrapText="1"/>
    </xf>
    <xf numFmtId="0" fontId="15" fillId="0" borderId="3" xfId="314" applyBorder="1"/>
    <xf numFmtId="3" fontId="15" fillId="0" borderId="3" xfId="314" applyNumberFormat="1" applyFill="1" applyBorder="1"/>
    <xf numFmtId="6" fontId="15" fillId="110" borderId="3" xfId="314" applyNumberFormat="1" applyFill="1" applyBorder="1"/>
    <xf numFmtId="0" fontId="15" fillId="0" borderId="3" xfId="314" applyFill="1" applyBorder="1"/>
    <xf numFmtId="6" fontId="24" fillId="110" borderId="3" xfId="314" applyNumberFormat="1" applyFont="1" applyFill="1" applyBorder="1"/>
    <xf numFmtId="8" fontId="15" fillId="0" borderId="0" xfId="314" applyNumberFormat="1"/>
    <xf numFmtId="177" fontId="0" fillId="0" borderId="0" xfId="1793" applyNumberFormat="1" applyFont="1" applyBorder="1"/>
    <xf numFmtId="0" fontId="141" fillId="0" borderId="0" xfId="1757" applyFont="1" applyBorder="1"/>
    <xf numFmtId="0" fontId="141" fillId="0" borderId="14" xfId="1757" applyFont="1" applyBorder="1"/>
    <xf numFmtId="9" fontId="0" fillId="0" borderId="0" xfId="342" applyFont="1" applyAlignment="1"/>
    <xf numFmtId="8" fontId="0" fillId="0" borderId="0" xfId="230" applyFont="1" applyAlignment="1"/>
    <xf numFmtId="4" fontId="0" fillId="0" borderId="0" xfId="185" applyFont="1" applyAlignment="1"/>
    <xf numFmtId="0" fontId="218" fillId="0" borderId="0" xfId="0" applyNumberFormat="1" applyFont="1" applyFill="1" applyAlignment="1"/>
    <xf numFmtId="0" fontId="219" fillId="0" borderId="0" xfId="1935" applyFont="1"/>
    <xf numFmtId="0" fontId="219" fillId="0" borderId="23" xfId="1935" applyFont="1" applyBorder="1" applyAlignment="1">
      <alignment horizontal="center"/>
    </xf>
    <xf numFmtId="0" fontId="219" fillId="0" borderId="21" xfId="1935" applyFont="1" applyBorder="1" applyAlignment="1">
      <alignment horizontal="center"/>
    </xf>
    <xf numFmtId="0" fontId="219" fillId="0" borderId="21" xfId="1934" applyFont="1" applyBorder="1" applyAlignment="1">
      <alignment horizontal="center"/>
    </xf>
    <xf numFmtId="0" fontId="219" fillId="120" borderId="25" xfId="1934" applyFont="1" applyFill="1" applyBorder="1" applyAlignment="1">
      <alignment horizontal="center"/>
    </xf>
    <xf numFmtId="0" fontId="219" fillId="0" borderId="61" xfId="1935" applyFont="1" applyBorder="1" applyAlignment="1">
      <alignment horizontal="center"/>
    </xf>
    <xf numFmtId="0" fontId="219" fillId="0" borderId="23" xfId="1934" applyFont="1" applyBorder="1" applyAlignment="1">
      <alignment horizontal="center"/>
    </xf>
    <xf numFmtId="0" fontId="219" fillId="0" borderId="23" xfId="1935" applyFont="1" applyBorder="1"/>
    <xf numFmtId="0" fontId="219" fillId="0" borderId="25" xfId="1935" applyFont="1" applyBorder="1" applyAlignment="1">
      <alignment horizontal="center"/>
    </xf>
    <xf numFmtId="10" fontId="219" fillId="0" borderId="24" xfId="1935" quotePrefix="1" applyNumberFormat="1" applyFont="1" applyBorder="1" applyAlignment="1">
      <alignment horizontal="center"/>
    </xf>
    <xf numFmtId="0" fontId="219" fillId="0" borderId="24" xfId="1934" applyFont="1" applyBorder="1" applyAlignment="1">
      <alignment horizontal="center"/>
    </xf>
    <xf numFmtId="0" fontId="219" fillId="0" borderId="28" xfId="1935" applyFont="1" applyBorder="1" applyAlignment="1">
      <alignment horizontal="center"/>
    </xf>
    <xf numFmtId="0" fontId="219" fillId="0" borderId="25" xfId="1934" applyFont="1" applyBorder="1" applyAlignment="1">
      <alignment horizontal="center"/>
    </xf>
    <xf numFmtId="0" fontId="220" fillId="0" borderId="25" xfId="1934" applyFont="1" applyBorder="1" applyAlignment="1">
      <alignment horizontal="center"/>
    </xf>
    <xf numFmtId="0" fontId="219" fillId="0" borderId="62" xfId="1935" applyFont="1" applyBorder="1" applyAlignment="1">
      <alignment horizontal="center"/>
    </xf>
    <xf numFmtId="0" fontId="219" fillId="0" borderId="116" xfId="1935" applyFont="1" applyBorder="1" applyAlignment="1">
      <alignment horizontal="center"/>
    </xf>
    <xf numFmtId="0" fontId="219" fillId="0" borderId="116" xfId="1934" applyFont="1" applyBorder="1" applyAlignment="1">
      <alignment horizontal="center"/>
    </xf>
    <xf numFmtId="10" fontId="219" fillId="120" borderId="25" xfId="1793" applyNumberFormat="1" applyFont="1" applyFill="1" applyBorder="1"/>
    <xf numFmtId="0" fontId="219" fillId="0" borderId="63" xfId="1935" applyFont="1" applyBorder="1" applyAlignment="1">
      <alignment horizontal="center"/>
    </xf>
    <xf numFmtId="0" fontId="219" fillId="0" borderId="62" xfId="1934" applyFont="1" applyBorder="1" applyAlignment="1">
      <alignment horizontal="center"/>
    </xf>
    <xf numFmtId="0" fontId="220" fillId="0" borderId="62" xfId="1934" applyFont="1" applyBorder="1" applyAlignment="1">
      <alignment horizontal="center"/>
    </xf>
    <xf numFmtId="0" fontId="219" fillId="0" borderId="27" xfId="1935" applyFont="1" applyBorder="1"/>
    <xf numFmtId="42" fontId="219" fillId="0" borderId="27" xfId="1936" applyNumberFormat="1" applyFont="1" applyBorder="1"/>
    <xf numFmtId="177" fontId="219" fillId="0" borderId="27" xfId="1936" applyNumberFormat="1" applyFont="1" applyBorder="1"/>
    <xf numFmtId="177" fontId="45" fillId="0" borderId="27" xfId="1936" applyNumberFormat="1" applyFont="1" applyFill="1" applyBorder="1" applyAlignment="1"/>
    <xf numFmtId="10" fontId="219" fillId="0" borderId="26" xfId="1793" applyNumberFormat="1" applyFont="1" applyBorder="1"/>
    <xf numFmtId="42" fontId="219" fillId="0" borderId="64" xfId="1936" applyNumberFormat="1" applyFont="1" applyBorder="1"/>
    <xf numFmtId="177" fontId="221" fillId="0" borderId="27" xfId="1935" applyNumberFormat="1" applyFont="1" applyBorder="1"/>
    <xf numFmtId="165" fontId="219" fillId="0" borderId="0" xfId="342" applyNumberFormat="1" applyFont="1"/>
    <xf numFmtId="43" fontId="219" fillId="0" borderId="3" xfId="1936" applyFont="1" applyBorder="1"/>
    <xf numFmtId="0" fontId="219" fillId="0" borderId="3" xfId="1935" applyFont="1" applyBorder="1"/>
    <xf numFmtId="177" fontId="219" fillId="0" borderId="3" xfId="1936" applyNumberFormat="1" applyFont="1" applyBorder="1"/>
    <xf numFmtId="10" fontId="219" fillId="0" borderId="22" xfId="1793" applyNumberFormat="1" applyFont="1" applyBorder="1"/>
    <xf numFmtId="177" fontId="219" fillId="0" borderId="32" xfId="1936" applyNumberFormat="1" applyFont="1" applyBorder="1"/>
    <xf numFmtId="177" fontId="221" fillId="0" borderId="3" xfId="1935" applyNumberFormat="1" applyFont="1" applyBorder="1"/>
    <xf numFmtId="0" fontId="219" fillId="0" borderId="3" xfId="1934" applyFont="1" applyBorder="1"/>
    <xf numFmtId="165" fontId="219" fillId="0" borderId="0" xfId="1935" applyNumberFormat="1" applyFont="1"/>
    <xf numFmtId="43" fontId="219" fillId="0" borderId="90" xfId="1936" applyFont="1" applyBorder="1"/>
    <xf numFmtId="0" fontId="219" fillId="0" borderId="90" xfId="1934" applyFont="1" applyBorder="1"/>
    <xf numFmtId="177" fontId="219" fillId="0" borderId="90" xfId="186" applyNumberFormat="1" applyFont="1" applyBorder="1"/>
    <xf numFmtId="10" fontId="219" fillId="0" borderId="113" xfId="1793" applyNumberFormat="1" applyFont="1" applyBorder="1"/>
    <xf numFmtId="177" fontId="219" fillId="0" borderId="115" xfId="186" applyNumberFormat="1" applyFont="1" applyBorder="1"/>
    <xf numFmtId="177" fontId="221" fillId="0" borderId="90" xfId="1935" applyNumberFormat="1" applyFont="1" applyBorder="1"/>
    <xf numFmtId="43" fontId="219" fillId="0" borderId="0" xfId="1936" applyFont="1" applyBorder="1"/>
    <xf numFmtId="0" fontId="221" fillId="0" borderId="87" xfId="1935" applyFont="1" applyBorder="1"/>
    <xf numFmtId="177" fontId="222" fillId="0" borderId="27" xfId="1936" applyNumberFormat="1" applyFont="1" applyBorder="1"/>
    <xf numFmtId="10" fontId="222" fillId="0" borderId="26" xfId="1793" applyNumberFormat="1" applyFont="1" applyBorder="1"/>
    <xf numFmtId="10" fontId="222" fillId="120" borderId="25" xfId="1793" applyNumberFormat="1" applyFont="1" applyFill="1" applyBorder="1"/>
    <xf numFmtId="177" fontId="222" fillId="0" borderId="64" xfId="1936" applyNumberFormat="1" applyFont="1" applyBorder="1"/>
    <xf numFmtId="10" fontId="222" fillId="0" borderId="27" xfId="1793" applyNumberFormat="1" applyFont="1" applyBorder="1"/>
    <xf numFmtId="177" fontId="222" fillId="0" borderId="27" xfId="1935" applyNumberFormat="1" applyFont="1" applyBorder="1"/>
    <xf numFmtId="177" fontId="219" fillId="0" borderId="0" xfId="1935" applyNumberFormat="1" applyFont="1"/>
    <xf numFmtId="0" fontId="221" fillId="0" borderId="3" xfId="1935" applyFont="1" applyBorder="1"/>
    <xf numFmtId="177" fontId="222" fillId="0" borderId="3" xfId="1936" applyNumberFormat="1" applyFont="1" applyBorder="1"/>
    <xf numFmtId="177" fontId="223" fillId="0" borderId="114" xfId="1936" applyNumberFormat="1" applyFont="1" applyBorder="1"/>
    <xf numFmtId="10" fontId="221" fillId="0" borderId="22" xfId="1793" applyNumberFormat="1" applyFont="1" applyBorder="1"/>
    <xf numFmtId="10" fontId="221" fillId="120" borderId="27" xfId="1793" applyNumberFormat="1" applyFont="1" applyFill="1" applyBorder="1"/>
    <xf numFmtId="177" fontId="222" fillId="0" borderId="32" xfId="1936" applyNumberFormat="1" applyFont="1" applyBorder="1"/>
    <xf numFmtId="177" fontId="223" fillId="0" borderId="114" xfId="1936" applyNumberFormat="1" applyFont="1" applyFill="1" applyBorder="1" applyAlignment="1"/>
    <xf numFmtId="10" fontId="221" fillId="0" borderId="3" xfId="1793" applyNumberFormat="1" applyFont="1" applyBorder="1"/>
    <xf numFmtId="177" fontId="221" fillId="0" borderId="114" xfId="1935" applyNumberFormat="1" applyFont="1" applyBorder="1"/>
    <xf numFmtId="177" fontId="219" fillId="0" borderId="0" xfId="1936" applyNumberFormat="1" applyFont="1"/>
    <xf numFmtId="10" fontId="219" fillId="0" borderId="0" xfId="1793" applyNumberFormat="1" applyFont="1"/>
    <xf numFmtId="10" fontId="219" fillId="0" borderId="0" xfId="1934" applyNumberFormat="1" applyFont="1"/>
    <xf numFmtId="169" fontId="18" fillId="0" borderId="0" xfId="0" applyNumberFormat="1" applyFont="1" applyFill="1" applyAlignment="1">
      <alignment horizontal="right"/>
    </xf>
    <xf numFmtId="169" fontId="18" fillId="0" borderId="0" xfId="0" applyFont="1" applyFill="1" applyAlignment="1">
      <alignment horizontal="right"/>
    </xf>
    <xf numFmtId="0" fontId="18" fillId="0" borderId="18" xfId="0" applyNumberFormat="1" applyFont="1" applyFill="1" applyBorder="1" applyAlignment="1">
      <alignment horizontal="right"/>
    </xf>
    <xf numFmtId="0" fontId="18" fillId="0" borderId="0" xfId="1934" applyFont="1" applyAlignment="1"/>
    <xf numFmtId="0" fontId="45" fillId="120" borderId="23" xfId="1934" applyFont="1" applyFill="1" applyBorder="1" applyAlignment="1">
      <alignment horizontal="center"/>
    </xf>
    <xf numFmtId="1" fontId="18" fillId="12" borderId="0" xfId="0" applyNumberFormat="1" applyFont="1" applyFill="1" applyAlignment="1"/>
    <xf numFmtId="0" fontId="18" fillId="0" borderId="0" xfId="0" applyNumberFormat="1" applyFont="1" applyFill="1" applyAlignment="1"/>
    <xf numFmtId="0" fontId="18" fillId="0" borderId="0" xfId="0" applyNumberFormat="1" applyFont="1" applyFill="1" applyAlignment="1">
      <alignment horizontal="right"/>
    </xf>
    <xf numFmtId="14" fontId="18" fillId="0" borderId="0" xfId="0" applyNumberFormat="1" applyFont="1" applyFill="1" applyAlignment="1">
      <alignment horizontal="left"/>
    </xf>
    <xf numFmtId="0" fontId="45" fillId="0" borderId="0" xfId="0" applyNumberFormat="1" applyFont="1" applyFill="1" applyAlignment="1"/>
    <xf numFmtId="0" fontId="45" fillId="0" borderId="0" xfId="0" applyNumberFormat="1" applyFont="1" applyFill="1" applyBorder="1" applyAlignment="1"/>
    <xf numFmtId="0" fontId="45" fillId="0" borderId="0" xfId="0" applyNumberFormat="1" applyFont="1" applyAlignment="1"/>
    <xf numFmtId="0" fontId="18" fillId="0" borderId="18" xfId="0" quotePrefix="1" applyNumberFormat="1" applyFont="1" applyFill="1" applyBorder="1" applyAlignment="1">
      <alignment horizontal="right"/>
    </xf>
    <xf numFmtId="0" fontId="18" fillId="0" borderId="0" xfId="0" applyNumberFormat="1" applyFont="1" applyFill="1" applyAlignment="1" applyProtection="1">
      <alignment horizontal="centerContinuous"/>
      <protection locked="0"/>
    </xf>
    <xf numFmtId="0" fontId="45" fillId="0" borderId="0" xfId="0" applyNumberFormat="1" applyFont="1" applyFill="1" applyAlignment="1">
      <alignment horizontal="centerContinuous"/>
    </xf>
    <xf numFmtId="0" fontId="18" fillId="0" borderId="0" xfId="0" applyNumberFormat="1" applyFont="1" applyFill="1" applyAlignment="1">
      <alignment horizontal="centerContinuous"/>
    </xf>
    <xf numFmtId="18" fontId="18" fillId="0" borderId="0" xfId="0" applyNumberFormat="1" applyFont="1" applyFill="1" applyAlignment="1">
      <alignment horizontal="centerContinuous"/>
    </xf>
    <xf numFmtId="0" fontId="45" fillId="0" borderId="0" xfId="0" applyNumberFormat="1" applyFont="1" applyFill="1" applyAlignment="1">
      <alignment horizontal="center"/>
    </xf>
    <xf numFmtId="0" fontId="18" fillId="0" borderId="13" xfId="0" applyNumberFormat="1" applyFont="1" applyFill="1" applyBorder="1" applyAlignment="1">
      <alignment horizontal="center"/>
    </xf>
    <xf numFmtId="0" fontId="18" fillId="0" borderId="13" xfId="0" applyNumberFormat="1" applyFont="1" applyFill="1" applyBorder="1" applyAlignment="1">
      <alignment horizontal="left"/>
    </xf>
    <xf numFmtId="0" fontId="45" fillId="0" borderId="13" xfId="0" applyNumberFormat="1" applyFont="1" applyFill="1" applyBorder="1" applyAlignment="1"/>
    <xf numFmtId="0" fontId="45" fillId="0" borderId="13" xfId="0" applyNumberFormat="1" applyFont="1" applyFill="1" applyBorder="1" applyAlignment="1">
      <alignment horizontal="center"/>
    </xf>
    <xf numFmtId="0" fontId="18" fillId="0" borderId="13" xfId="0" applyNumberFormat="1" applyFont="1" applyFill="1" applyBorder="1" applyAlignment="1" applyProtection="1">
      <protection locked="0"/>
    </xf>
    <xf numFmtId="0" fontId="18" fillId="0" borderId="13" xfId="0" applyNumberFormat="1" applyFont="1" applyFill="1" applyBorder="1" applyAlignment="1">
      <alignment horizontal="center" vertical="center"/>
    </xf>
    <xf numFmtId="0" fontId="18" fillId="0" borderId="13" xfId="0" applyNumberFormat="1" applyFont="1" applyFill="1" applyBorder="1" applyAlignment="1">
      <alignment horizontal="left" vertical="center"/>
    </xf>
    <xf numFmtId="42" fontId="45" fillId="0" borderId="0" xfId="230" applyNumberFormat="1" applyFont="1" applyFill="1" applyAlignment="1">
      <alignment horizontal="right"/>
    </xf>
    <xf numFmtId="0" fontId="45" fillId="0" borderId="0" xfId="0" applyNumberFormat="1" applyFont="1" applyFill="1" applyAlignment="1">
      <alignment horizontal="fill"/>
    </xf>
    <xf numFmtId="0" fontId="45" fillId="0" borderId="0" xfId="0" applyNumberFormat="1" applyFont="1" applyFill="1" applyAlignment="1">
      <alignment horizontal="left"/>
    </xf>
    <xf numFmtId="199" fontId="45" fillId="0" borderId="0" xfId="185" applyNumberFormat="1" applyFont="1" applyFill="1"/>
    <xf numFmtId="10" fontId="45" fillId="0" borderId="13" xfId="0" applyNumberFormat="1" applyFont="1" applyFill="1" applyBorder="1" applyAlignment="1"/>
    <xf numFmtId="10" fontId="45" fillId="0" borderId="0" xfId="0" applyNumberFormat="1" applyFont="1" applyFill="1" applyAlignment="1" applyProtection="1">
      <protection locked="0"/>
    </xf>
    <xf numFmtId="10" fontId="45" fillId="0" borderId="0" xfId="0" applyNumberFormat="1" applyFont="1" applyFill="1" applyAlignment="1"/>
    <xf numFmtId="165" fontId="45" fillId="0" borderId="0" xfId="0" applyNumberFormat="1" applyFont="1" applyFill="1" applyAlignment="1"/>
    <xf numFmtId="169" fontId="45" fillId="0" borderId="0" xfId="0" applyFont="1" applyFill="1" applyAlignment="1">
      <alignment horizontal="left"/>
    </xf>
    <xf numFmtId="169" fontId="45" fillId="0" borderId="0" xfId="0" applyFont="1" applyFill="1" applyAlignment="1"/>
    <xf numFmtId="166" fontId="45" fillId="0" borderId="0" xfId="0" applyNumberFormat="1" applyFont="1" applyFill="1" applyAlignment="1"/>
    <xf numFmtId="200" fontId="45" fillId="0" borderId="13" xfId="0" applyNumberFormat="1" applyFont="1" applyFill="1" applyBorder="1" applyAlignment="1"/>
    <xf numFmtId="42" fontId="45" fillId="0" borderId="0" xfId="0" applyNumberFormat="1" applyFont="1" applyFill="1" applyAlignment="1"/>
    <xf numFmtId="10" fontId="45" fillId="0" borderId="0" xfId="0" applyNumberFormat="1" applyFont="1" applyFill="1" applyBorder="1" applyAlignment="1"/>
    <xf numFmtId="42" fontId="45" fillId="0" borderId="13" xfId="0" applyNumberFormat="1" applyFont="1" applyFill="1" applyBorder="1" applyAlignment="1"/>
    <xf numFmtId="10" fontId="45" fillId="0" borderId="14" xfId="0" applyNumberFormat="1" applyFont="1" applyFill="1" applyBorder="1" applyAlignment="1"/>
    <xf numFmtId="9" fontId="45" fillId="0" borderId="0" xfId="342" applyFont="1" applyFill="1"/>
    <xf numFmtId="166" fontId="45" fillId="0" borderId="0" xfId="0" applyNumberFormat="1" applyFont="1" applyFill="1" applyBorder="1" applyAlignment="1"/>
    <xf numFmtId="199" fontId="45" fillId="0" borderId="0" xfId="185" applyNumberFormat="1" applyFont="1" applyFill="1" applyBorder="1"/>
    <xf numFmtId="199" fontId="45" fillId="0" borderId="14" xfId="185" applyNumberFormat="1" applyFont="1" applyFill="1" applyBorder="1"/>
    <xf numFmtId="0" fontId="45" fillId="0" borderId="0" xfId="0" applyNumberFormat="1" applyFont="1" applyFill="1" applyAlignment="1">
      <alignment horizontal="right"/>
    </xf>
    <xf numFmtId="42" fontId="45" fillId="0" borderId="0" xfId="0" applyNumberFormat="1" applyFont="1" applyFill="1" applyBorder="1" applyAlignment="1"/>
    <xf numFmtId="199" fontId="45" fillId="0" borderId="20" xfId="185" applyNumberFormat="1" applyFont="1" applyFill="1" applyBorder="1" applyProtection="1">
      <protection locked="0"/>
    </xf>
    <xf numFmtId="42" fontId="45" fillId="0" borderId="0" xfId="185" applyNumberFormat="1" applyFont="1" applyFill="1" applyBorder="1"/>
    <xf numFmtId="0" fontId="45" fillId="0" borderId="0" xfId="0" applyNumberFormat="1" applyFont="1" applyFill="1" applyAlignment="1">
      <alignment vertical="top"/>
    </xf>
    <xf numFmtId="199" fontId="45" fillId="0" borderId="0" xfId="185" applyNumberFormat="1" applyFont="1" applyFill="1" applyBorder="1" applyProtection="1">
      <protection locked="0"/>
    </xf>
    <xf numFmtId="15" fontId="45" fillId="0" borderId="0" xfId="0" applyNumberFormat="1" applyFont="1" applyFill="1" applyAlignment="1"/>
    <xf numFmtId="0" fontId="223" fillId="0" borderId="0" xfId="0" applyNumberFormat="1" applyFont="1" applyFill="1" applyAlignment="1"/>
    <xf numFmtId="10" fontId="45" fillId="0" borderId="0" xfId="342" applyNumberFormat="1" applyFont="1" applyFill="1"/>
    <xf numFmtId="171" fontId="18" fillId="0" borderId="0" xfId="0" applyNumberFormat="1" applyFont="1" applyFill="1" applyAlignment="1"/>
    <xf numFmtId="169" fontId="18" fillId="0" borderId="0" xfId="0" applyFont="1" applyFill="1" applyAlignment="1"/>
    <xf numFmtId="41" fontId="45" fillId="0" borderId="0" xfId="0" applyNumberFormat="1" applyFont="1" applyFill="1" applyAlignment="1"/>
    <xf numFmtId="169" fontId="18" fillId="0" borderId="0" xfId="0" applyFont="1" applyFill="1" applyAlignment="1" applyProtection="1">
      <alignment horizontal="left"/>
      <protection locked="0"/>
    </xf>
    <xf numFmtId="171" fontId="45" fillId="0" borderId="0" xfId="0" applyNumberFormat="1" applyFont="1" applyFill="1" applyBorder="1" applyAlignment="1"/>
    <xf numFmtId="14" fontId="45" fillId="0" borderId="0" xfId="0" applyNumberFormat="1" applyFont="1" applyFill="1" applyAlignment="1"/>
    <xf numFmtId="169" fontId="18" fillId="0" borderId="0" xfId="0" applyFont="1" applyFill="1">
      <alignment horizontal="left" wrapText="1"/>
    </xf>
    <xf numFmtId="191" fontId="18" fillId="0" borderId="31" xfId="0" applyNumberFormat="1" applyFont="1" applyFill="1" applyBorder="1" applyAlignment="1">
      <alignment horizontal="right"/>
    </xf>
    <xf numFmtId="169" fontId="18" fillId="0" borderId="0" xfId="0" applyFont="1" applyFill="1" applyBorder="1" applyAlignment="1">
      <alignment horizontal="right"/>
    </xf>
    <xf numFmtId="169" fontId="18" fillId="0" borderId="0" xfId="0" applyFont="1" applyFill="1" applyAlignment="1" applyProtection="1">
      <alignment horizontal="right"/>
      <protection locked="0"/>
    </xf>
    <xf numFmtId="22" fontId="45" fillId="0" borderId="0" xfId="0" applyNumberFormat="1" applyFont="1" applyFill="1" applyAlignment="1">
      <alignment horizontal="right"/>
    </xf>
    <xf numFmtId="171" fontId="45" fillId="0" borderId="0" xfId="0" applyNumberFormat="1" applyFont="1" applyFill="1" applyBorder="1" applyAlignment="1">
      <alignment horizontal="right"/>
    </xf>
    <xf numFmtId="0" fontId="18" fillId="0" borderId="0" xfId="0" quotePrefix="1" applyNumberFormat="1" applyFont="1" applyFill="1" applyBorder="1" applyAlignment="1">
      <alignment horizontal="right"/>
    </xf>
    <xf numFmtId="0" fontId="18" fillId="0" borderId="0" xfId="0" applyNumberFormat="1" applyFont="1" applyFill="1" applyBorder="1" applyAlignment="1">
      <alignment horizontal="right"/>
    </xf>
    <xf numFmtId="15" fontId="45" fillId="0" borderId="0" xfId="0" applyNumberFormat="1" applyFont="1" applyFill="1" applyAlignment="1">
      <alignment horizontal="right"/>
    </xf>
    <xf numFmtId="169" fontId="45" fillId="0" borderId="0" xfId="0" applyFont="1" applyFill="1" applyAlignment="1">
      <alignment horizontal="right"/>
    </xf>
    <xf numFmtId="3" fontId="45" fillId="0" borderId="0" xfId="185" applyNumberFormat="1" applyFont="1" applyFill="1" applyAlignment="1">
      <alignment horizontal="right"/>
    </xf>
    <xf numFmtId="41" fontId="45" fillId="0" borderId="0" xfId="0" applyNumberFormat="1" applyFont="1" applyFill="1" applyAlignment="1">
      <alignment horizontal="right"/>
    </xf>
    <xf numFmtId="169" fontId="18" fillId="0" borderId="0" xfId="0" applyFont="1" applyFill="1" applyAlignment="1">
      <alignment horizontal="right" wrapText="1"/>
    </xf>
    <xf numFmtId="3" fontId="18" fillId="0" borderId="0" xfId="185" applyNumberFormat="1" applyFont="1" applyFill="1" applyAlignment="1">
      <alignment horizontal="centerContinuous"/>
    </xf>
    <xf numFmtId="169" fontId="18" fillId="0" borderId="0" xfId="0" applyFont="1" applyFill="1" applyAlignment="1" applyProtection="1">
      <alignment horizontal="centerContinuous"/>
      <protection locked="0"/>
    </xf>
    <xf numFmtId="171" fontId="18" fillId="0" borderId="0" xfId="0" applyNumberFormat="1" applyFont="1" applyFill="1" applyBorder="1" applyAlignment="1">
      <alignment horizontal="centerContinuous"/>
    </xf>
    <xf numFmtId="0" fontId="18" fillId="0" borderId="0" xfId="0" quotePrefix="1" applyNumberFormat="1" applyFont="1" applyFill="1" applyBorder="1" applyAlignment="1">
      <alignment horizontal="centerContinuous"/>
    </xf>
    <xf numFmtId="169" fontId="18" fillId="0" borderId="0" xfId="0" applyFont="1" applyFill="1" applyAlignment="1">
      <alignment horizontal="centerContinuous"/>
    </xf>
    <xf numFmtId="169" fontId="18" fillId="0" borderId="0" xfId="0" applyFont="1" applyFill="1" applyBorder="1" applyAlignment="1">
      <alignment horizontal="centerContinuous"/>
    </xf>
    <xf numFmtId="15" fontId="224" fillId="0" borderId="0" xfId="0" applyNumberFormat="1" applyFont="1" applyFill="1" applyAlignment="1">
      <alignment horizontal="centerContinuous"/>
    </xf>
    <xf numFmtId="15" fontId="18" fillId="0" borderId="0" xfId="0" applyNumberFormat="1" applyFont="1" applyFill="1" applyAlignment="1">
      <alignment horizontal="centerContinuous"/>
    </xf>
    <xf numFmtId="37" fontId="18" fillId="0" borderId="0" xfId="0" applyNumberFormat="1" applyFont="1" applyFill="1" applyAlignment="1">
      <alignment horizontal="centerContinuous"/>
    </xf>
    <xf numFmtId="2" fontId="18" fillId="0" borderId="0" xfId="0" applyNumberFormat="1" applyFont="1" applyFill="1" applyAlignment="1" applyProtection="1">
      <alignment horizontal="centerContinuous"/>
      <protection locked="0"/>
    </xf>
    <xf numFmtId="169" fontId="18" fillId="0" borderId="0" xfId="0" applyFont="1" applyFill="1" applyAlignment="1" applyProtection="1">
      <alignment horizontal="center"/>
      <protection locked="0"/>
    </xf>
    <xf numFmtId="169" fontId="18" fillId="0" borderId="0" xfId="0" applyFont="1" applyFill="1" applyAlignment="1">
      <alignment horizontal="center"/>
    </xf>
    <xf numFmtId="18" fontId="18" fillId="0" borderId="0" xfId="0" applyNumberFormat="1" applyFont="1" applyFill="1">
      <alignment horizontal="left" wrapText="1"/>
    </xf>
    <xf numFmtId="169" fontId="18" fillId="0" borderId="0" xfId="0" applyFont="1" applyFill="1" applyProtection="1">
      <alignment horizontal="left" wrapText="1"/>
      <protection locked="0"/>
    </xf>
    <xf numFmtId="0" fontId="18" fillId="0" borderId="0" xfId="0" applyNumberFormat="1" applyFont="1" applyFill="1" applyAlignment="1" applyProtection="1">
      <protection locked="0"/>
    </xf>
    <xf numFmtId="3" fontId="18" fillId="0" borderId="0" xfId="185" applyNumberFormat="1" applyFont="1" applyFill="1"/>
    <xf numFmtId="0" fontId="18" fillId="0" borderId="0" xfId="0" applyNumberFormat="1" applyFont="1" applyFill="1" applyBorder="1" applyAlignment="1">
      <alignment horizontal="center"/>
    </xf>
    <xf numFmtId="2" fontId="18" fillId="0" borderId="0" xfId="0" applyNumberFormat="1" applyFont="1" applyFill="1" applyAlignment="1">
      <alignment horizontal="center"/>
    </xf>
    <xf numFmtId="171" fontId="18" fillId="0" borderId="0" xfId="0" applyNumberFormat="1" applyFont="1" applyFill="1" applyBorder="1" applyAlignment="1"/>
    <xf numFmtId="0" fontId="18" fillId="0" borderId="0" xfId="323" applyFont="1" applyFill="1" applyAlignment="1">
      <alignment horizontal="center"/>
    </xf>
    <xf numFmtId="169" fontId="18" fillId="0" borderId="0" xfId="0" applyFont="1" applyFill="1" applyAlignment="1">
      <alignment horizontal="left"/>
    </xf>
    <xf numFmtId="0" fontId="18" fillId="0" borderId="0" xfId="0" applyNumberFormat="1" applyFont="1" applyFill="1" applyAlignment="1" applyProtection="1">
      <alignment horizontal="right"/>
      <protection locked="0"/>
    </xf>
    <xf numFmtId="0" fontId="18" fillId="0" borderId="0" xfId="0" applyNumberFormat="1" applyFont="1" applyFill="1" applyAlignment="1" applyProtection="1">
      <alignment horizontal="center"/>
      <protection locked="0"/>
    </xf>
    <xf numFmtId="42" fontId="18" fillId="0" borderId="0" xfId="0" applyNumberFormat="1" applyFont="1" applyFill="1" applyAlignment="1"/>
    <xf numFmtId="0" fontId="18" fillId="0" borderId="13" xfId="0" applyNumberFormat="1" applyFont="1" applyFill="1" applyBorder="1" applyAlignment="1" applyProtection="1">
      <alignment horizontal="center"/>
      <protection locked="0"/>
    </xf>
    <xf numFmtId="0" fontId="18" fillId="0" borderId="13" xfId="0" applyNumberFormat="1" applyFont="1" applyFill="1" applyBorder="1" applyAlignment="1"/>
    <xf numFmtId="169" fontId="18" fillId="0" borderId="13" xfId="0" applyFont="1" applyFill="1" applyBorder="1" applyAlignment="1"/>
    <xf numFmtId="169" fontId="18" fillId="0" borderId="13" xfId="0" applyFont="1" applyFill="1" applyBorder="1" applyAlignment="1">
      <alignment horizontal="center"/>
    </xf>
    <xf numFmtId="169" fontId="18" fillId="0" borderId="13" xfId="0" applyFont="1" applyFill="1" applyBorder="1" applyAlignment="1">
      <alignment horizontal="left"/>
    </xf>
    <xf numFmtId="169" fontId="18" fillId="0" borderId="13" xfId="0" applyFont="1" applyFill="1" applyBorder="1" applyAlignment="1" applyProtection="1">
      <alignment horizontal="center"/>
      <protection locked="0"/>
    </xf>
    <xf numFmtId="2" fontId="18" fillId="0" borderId="13" xfId="0" applyNumberFormat="1" applyFont="1" applyFill="1" applyBorder="1" applyAlignment="1">
      <alignment horizontal="center"/>
    </xf>
    <xf numFmtId="171" fontId="18" fillId="0" borderId="13" xfId="0" applyNumberFormat="1" applyFont="1" applyFill="1" applyBorder="1" applyAlignment="1">
      <alignment horizontal="center"/>
    </xf>
    <xf numFmtId="0" fontId="18" fillId="0" borderId="13" xfId="0" quotePrefix="1" applyNumberFormat="1" applyFont="1" applyFill="1" applyBorder="1" applyAlignment="1" applyProtection="1">
      <alignment horizontal="center"/>
      <protection locked="0"/>
    </xf>
    <xf numFmtId="0" fontId="18" fillId="0" borderId="13" xfId="323" applyFont="1" applyFill="1" applyBorder="1" applyAlignment="1">
      <alignment horizontal="center"/>
    </xf>
    <xf numFmtId="0" fontId="18" fillId="0" borderId="13" xfId="0" applyNumberFormat="1" applyFont="1" applyFill="1" applyBorder="1" applyAlignment="1">
      <alignment horizontal="right"/>
    </xf>
    <xf numFmtId="0" fontId="225" fillId="0" borderId="0" xfId="0" applyNumberFormat="1" applyFont="1" applyFill="1" applyBorder="1" applyAlignment="1"/>
    <xf numFmtId="169" fontId="18" fillId="0" borderId="0" xfId="0" applyFont="1" applyFill="1" applyBorder="1" applyAlignment="1"/>
    <xf numFmtId="169" fontId="18" fillId="0" borderId="0" xfId="0" applyFont="1" applyFill="1" applyBorder="1" applyAlignment="1">
      <alignment horizontal="center"/>
    </xf>
    <xf numFmtId="169" fontId="45" fillId="0" borderId="0" xfId="0" applyFont="1" applyFill="1" applyAlignment="1">
      <alignment horizontal="center"/>
    </xf>
    <xf numFmtId="9" fontId="45" fillId="0" borderId="0" xfId="0" applyNumberFormat="1" applyFont="1" applyFill="1" applyBorder="1" applyAlignment="1" applyProtection="1">
      <alignment horizontal="left"/>
      <protection locked="0"/>
    </xf>
    <xf numFmtId="37" fontId="45" fillId="0" borderId="0" xfId="0" applyNumberFormat="1" applyFont="1" applyFill="1" applyBorder="1" applyProtection="1">
      <alignment horizontal="left" wrapText="1"/>
      <protection locked="0"/>
    </xf>
    <xf numFmtId="3" fontId="45" fillId="0" borderId="0" xfId="185" applyNumberFormat="1" applyFont="1" applyFill="1"/>
    <xf numFmtId="17" fontId="18" fillId="0" borderId="0" xfId="0" applyNumberFormat="1" applyFont="1" applyFill="1" applyBorder="1" applyAlignment="1">
      <alignment horizontal="left"/>
    </xf>
    <xf numFmtId="171" fontId="18" fillId="0" borderId="0" xfId="0" applyNumberFormat="1" applyFont="1" applyFill="1" applyAlignment="1" applyProtection="1">
      <alignment horizontal="right"/>
      <protection locked="0"/>
    </xf>
    <xf numFmtId="171" fontId="45" fillId="0" borderId="0" xfId="0" applyNumberFormat="1" applyFont="1" applyFill="1" applyAlignment="1" applyProtection="1">
      <protection locked="0"/>
    </xf>
    <xf numFmtId="169" fontId="45" fillId="0" borderId="0" xfId="0" applyFont="1" applyFill="1" applyAlignment="1">
      <alignment horizontal="fill"/>
    </xf>
    <xf numFmtId="169" fontId="45" fillId="0" borderId="0" xfId="0" applyFont="1" applyFill="1" applyBorder="1" applyAlignment="1"/>
    <xf numFmtId="1" fontId="45" fillId="0" borderId="0" xfId="0" applyNumberFormat="1" applyFont="1" applyFill="1" applyAlignment="1">
      <alignment horizontal="center"/>
    </xf>
    <xf numFmtId="169" fontId="225" fillId="0" borderId="0" xfId="0" applyFont="1" applyFill="1" applyAlignment="1">
      <alignment horizontal="left"/>
    </xf>
    <xf numFmtId="164" fontId="45" fillId="0" borderId="0" xfId="0" applyNumberFormat="1" applyFont="1" applyFill="1" applyAlignment="1">
      <alignment horizontal="left"/>
    </xf>
    <xf numFmtId="164" fontId="45" fillId="0" borderId="0" xfId="0" applyNumberFormat="1" applyFont="1" applyFill="1" applyAlignment="1">
      <alignment horizontal="right"/>
    </xf>
    <xf numFmtId="42" fontId="45" fillId="0" borderId="0" xfId="230" applyNumberFormat="1" applyFont="1" applyFill="1" applyProtection="1">
      <protection locked="0"/>
    </xf>
    <xf numFmtId="17" fontId="45" fillId="0" borderId="0" xfId="0" applyNumberFormat="1" applyFont="1" applyFill="1" applyBorder="1" applyAlignment="1">
      <alignment horizontal="left"/>
    </xf>
    <xf numFmtId="0" fontId="225" fillId="0" borderId="0" xfId="0" applyNumberFormat="1" applyFont="1" applyFill="1" applyBorder="1" applyAlignment="1" applyProtection="1">
      <protection locked="0"/>
    </xf>
    <xf numFmtId="171" fontId="18" fillId="0" borderId="0" xfId="0" applyNumberFormat="1" applyFont="1" applyFill="1" applyBorder="1" applyAlignment="1">
      <alignment horizontal="center"/>
    </xf>
    <xf numFmtId="0" fontId="18" fillId="0" borderId="0" xfId="0" applyNumberFormat="1" applyFont="1" applyFill="1" applyBorder="1" applyAlignment="1" applyProtection="1">
      <alignment horizontal="center"/>
      <protection locked="0"/>
    </xf>
    <xf numFmtId="169" fontId="225" fillId="0" borderId="0" xfId="0" applyFont="1" applyFill="1" applyBorder="1" applyAlignment="1">
      <alignment horizontal="left" indent="1"/>
    </xf>
    <xf numFmtId="178" fontId="45" fillId="0" borderId="0" xfId="230" applyNumberFormat="1" applyFont="1" applyFill="1" applyAlignment="1" applyProtection="1">
      <protection locked="0"/>
    </xf>
    <xf numFmtId="0" fontId="45" fillId="0" borderId="0" xfId="0" applyNumberFormat="1" applyFont="1" applyFill="1" applyAlignment="1" applyProtection="1">
      <alignment horizontal="center"/>
      <protection locked="0"/>
    </xf>
    <xf numFmtId="0" fontId="45" fillId="0" borderId="0" xfId="0" applyNumberFormat="1" applyFont="1" applyFill="1" applyBorder="1" applyAlignment="1">
      <alignment horizontal="left"/>
    </xf>
    <xf numFmtId="42" fontId="45" fillId="0" borderId="0" xfId="185" applyNumberFormat="1" applyFont="1" applyFill="1" applyAlignment="1"/>
    <xf numFmtId="42" fontId="45" fillId="0" borderId="0" xfId="0" applyNumberFormat="1" applyFont="1" applyFill="1" applyBorder="1" applyAlignment="1" applyProtection="1">
      <protection locked="0"/>
    </xf>
    <xf numFmtId="42" fontId="45" fillId="0" borderId="0" xfId="0" applyNumberFormat="1" applyFont="1" applyAlignment="1" applyProtection="1">
      <alignment horizontal="right"/>
      <protection locked="0"/>
    </xf>
    <xf numFmtId="42" fontId="45" fillId="0" borderId="0" xfId="0" applyNumberFormat="1" applyFont="1" applyFill="1" applyAlignment="1" applyProtection="1">
      <alignment horizontal="right"/>
      <protection locked="0"/>
    </xf>
    <xf numFmtId="178" fontId="45" fillId="0" borderId="0" xfId="230" applyNumberFormat="1" applyFont="1" applyFill="1" applyBorder="1" applyAlignment="1"/>
    <xf numFmtId="169" fontId="45" fillId="0" borderId="0" xfId="0" applyFont="1" applyFill="1" applyBorder="1" applyAlignment="1">
      <alignment horizontal="right"/>
    </xf>
    <xf numFmtId="37" fontId="45" fillId="0" borderId="0" xfId="185" applyNumberFormat="1" applyFont="1" applyFill="1" applyBorder="1"/>
    <xf numFmtId="41" fontId="45" fillId="0" borderId="0" xfId="0" applyNumberFormat="1" applyFont="1" applyFill="1" applyAlignment="1">
      <alignment horizontal="center"/>
    </xf>
    <xf numFmtId="0" fontId="45" fillId="0" borderId="0" xfId="0" quotePrefix="1" applyNumberFormat="1" applyFont="1" applyFill="1" applyAlignment="1">
      <alignment horizontal="left"/>
    </xf>
    <xf numFmtId="171" fontId="45" fillId="0" borderId="0" xfId="0" applyNumberFormat="1" applyFont="1" applyFill="1" applyAlignment="1" applyProtection="1">
      <alignment horizontal="center"/>
      <protection locked="0"/>
    </xf>
    <xf numFmtId="169" fontId="45" fillId="0" borderId="13" xfId="0" applyFont="1" applyFill="1" applyBorder="1" applyAlignment="1">
      <alignment horizontal="left"/>
    </xf>
    <xf numFmtId="169" fontId="45" fillId="0" borderId="0" xfId="0" applyFont="1" applyFill="1">
      <alignment horizontal="left" wrapText="1"/>
    </xf>
    <xf numFmtId="171" fontId="45" fillId="0" borderId="0" xfId="0" applyNumberFormat="1" applyFont="1" applyFill="1">
      <alignment horizontal="left" wrapText="1"/>
    </xf>
    <xf numFmtId="0" fontId="225" fillId="0" borderId="0" xfId="0" applyNumberFormat="1" applyFont="1" applyFill="1" applyAlignment="1"/>
    <xf numFmtId="0" fontId="45" fillId="0" borderId="0" xfId="0" applyNumberFormat="1" applyFont="1" applyFill="1" applyBorder="1" applyAlignment="1">
      <alignment horizontal="center"/>
    </xf>
    <xf numFmtId="189" fontId="45" fillId="0" borderId="0" xfId="185" applyNumberFormat="1" applyFont="1" applyFill="1" applyBorder="1"/>
    <xf numFmtId="169" fontId="45" fillId="0" borderId="0" xfId="0" quotePrefix="1" applyFont="1" applyFill="1" applyAlignment="1">
      <alignment horizontal="center"/>
    </xf>
    <xf numFmtId="169" fontId="45" fillId="0" borderId="0" xfId="0" applyFont="1" applyFill="1" applyBorder="1" applyAlignment="1">
      <alignment horizontal="center"/>
    </xf>
    <xf numFmtId="37" fontId="45" fillId="0" borderId="0" xfId="0" applyNumberFormat="1" applyFont="1" applyFill="1" applyBorder="1" applyAlignment="1">
      <alignment horizontal="center"/>
    </xf>
    <xf numFmtId="169" fontId="45" fillId="0" borderId="0" xfId="0" applyFont="1" applyFill="1" applyBorder="1" applyAlignment="1">
      <alignment horizontal="left" indent="1"/>
    </xf>
    <xf numFmtId="3" fontId="45" fillId="0" borderId="0" xfId="185" applyNumberFormat="1" applyFont="1" applyFill="1" applyBorder="1" applyAlignment="1"/>
    <xf numFmtId="171" fontId="45" fillId="0" borderId="0" xfId="0" applyNumberFormat="1" applyFont="1" applyFill="1" applyBorder="1" applyAlignment="1" applyProtection="1">
      <alignment horizontal="center"/>
      <protection locked="0"/>
    </xf>
    <xf numFmtId="171" fontId="45" fillId="0" borderId="0" xfId="0" applyNumberFormat="1" applyFont="1" applyFill="1" applyBorder="1" applyAlignment="1" applyProtection="1">
      <protection locked="0"/>
    </xf>
    <xf numFmtId="37" fontId="45" fillId="0" borderId="0" xfId="185" applyNumberFormat="1" applyFont="1" applyFill="1"/>
    <xf numFmtId="0" fontId="45" fillId="0" borderId="0" xfId="0" applyNumberFormat="1" applyFont="1" applyFill="1" applyAlignment="1">
      <alignment horizontal="left" wrapText="1"/>
    </xf>
    <xf numFmtId="0" fontId="45" fillId="0" borderId="0" xfId="0" applyNumberFormat="1" applyFont="1" applyBorder="1" applyAlignment="1"/>
    <xf numFmtId="169" fontId="45" fillId="0" borderId="0" xfId="0" applyFont="1" applyFill="1" applyAlignment="1">
      <alignment horizontal="left" indent="2"/>
    </xf>
    <xf numFmtId="42" fontId="45" fillId="0" borderId="13" xfId="199" applyNumberFormat="1" applyFont="1" applyFill="1" applyBorder="1" applyAlignment="1"/>
    <xf numFmtId="0" fontId="45" fillId="0" borderId="0" xfId="0" applyNumberFormat="1" applyFont="1" applyFill="1" applyBorder="1" applyAlignment="1">
      <alignment horizontal="left" indent="1"/>
    </xf>
    <xf numFmtId="42" fontId="45" fillId="0" borderId="0" xfId="0" applyNumberFormat="1" applyFont="1" applyFill="1" applyAlignment="1">
      <alignment horizontal="right"/>
    </xf>
    <xf numFmtId="192" fontId="45" fillId="0" borderId="0" xfId="342" applyNumberFormat="1" applyFont="1" applyFill="1" applyBorder="1" applyAlignment="1">
      <alignment horizontal="right"/>
    </xf>
    <xf numFmtId="0" fontId="45" fillId="0" borderId="0" xfId="0" applyNumberFormat="1" applyFont="1" applyFill="1" applyAlignment="1">
      <alignment horizontal="left" indent="1"/>
    </xf>
    <xf numFmtId="42" fontId="45" fillId="0" borderId="13" xfId="230" applyNumberFormat="1" applyFont="1" applyFill="1" applyBorder="1" applyProtection="1">
      <protection locked="0"/>
    </xf>
    <xf numFmtId="42" fontId="45" fillId="0" borderId="13" xfId="0" applyNumberFormat="1" applyFont="1" applyFill="1" applyBorder="1" applyAlignment="1" applyProtection="1">
      <protection locked="0"/>
    </xf>
    <xf numFmtId="171" fontId="45" fillId="0" borderId="14" xfId="0" applyNumberFormat="1" applyFont="1" applyFill="1" applyBorder="1" applyAlignment="1" applyProtection="1">
      <alignment horizontal="right"/>
      <protection locked="0"/>
    </xf>
    <xf numFmtId="41" fontId="45" fillId="0" borderId="0" xfId="185" applyNumberFormat="1" applyFont="1" applyFill="1" applyBorder="1" applyAlignment="1"/>
    <xf numFmtId="41" fontId="45" fillId="0" borderId="14" xfId="185" applyNumberFormat="1" applyFont="1" applyFill="1" applyBorder="1" applyAlignment="1"/>
    <xf numFmtId="42" fontId="45" fillId="0" borderId="13" xfId="185" applyNumberFormat="1" applyFont="1" applyFill="1" applyBorder="1"/>
    <xf numFmtId="42" fontId="45" fillId="0" borderId="0" xfId="0" applyNumberFormat="1" applyFont="1" applyFill="1" applyAlignment="1" applyProtection="1">
      <protection locked="0"/>
    </xf>
    <xf numFmtId="178" fontId="45" fillId="0" borderId="0" xfId="236" applyNumberFormat="1" applyFont="1" applyFill="1" applyProtection="1">
      <protection locked="0"/>
    </xf>
    <xf numFmtId="5" fontId="45" fillId="0" borderId="0" xfId="230" applyNumberFormat="1" applyFont="1" applyFill="1" applyBorder="1"/>
    <xf numFmtId="6" fontId="45" fillId="0" borderId="0" xfId="230" applyNumberFormat="1" applyFont="1" applyFill="1" applyBorder="1" applyAlignment="1"/>
    <xf numFmtId="189" fontId="45" fillId="0" borderId="0" xfId="185" applyNumberFormat="1" applyFont="1" applyFill="1"/>
    <xf numFmtId="169" fontId="225" fillId="0" borderId="0" xfId="0" applyFont="1" applyFill="1" applyAlignment="1">
      <alignment horizontal="center"/>
    </xf>
    <xf numFmtId="169" fontId="225" fillId="0" borderId="0" xfId="0" applyFont="1" applyFill="1" applyBorder="1" applyAlignment="1">
      <alignment horizontal="center"/>
    </xf>
    <xf numFmtId="37" fontId="225" fillId="0" borderId="0" xfId="0" applyNumberFormat="1" applyFont="1" applyFill="1" applyBorder="1" applyAlignment="1">
      <alignment horizontal="center"/>
    </xf>
    <xf numFmtId="9" fontId="45" fillId="0" borderId="0" xfId="0" applyNumberFormat="1" applyFont="1" applyFill="1" applyAlignment="1">
      <alignment horizontal="center"/>
    </xf>
    <xf numFmtId="44" fontId="45" fillId="0" borderId="0" xfId="185" applyNumberFormat="1" applyFont="1" applyFill="1" applyBorder="1" applyProtection="1">
      <protection locked="0"/>
    </xf>
    <xf numFmtId="42" fontId="45" fillId="0" borderId="0" xfId="186" applyNumberFormat="1" applyFont="1" applyFill="1"/>
    <xf numFmtId="42" fontId="45" fillId="0" borderId="0" xfId="199" applyNumberFormat="1" applyFont="1" applyFill="1" applyBorder="1" applyAlignment="1"/>
    <xf numFmtId="178" fontId="45" fillId="0" borderId="13" xfId="230" applyNumberFormat="1" applyFont="1" applyFill="1" applyBorder="1" applyAlignment="1" applyProtection="1">
      <protection locked="0"/>
    </xf>
    <xf numFmtId="0" fontId="45" fillId="0" borderId="0" xfId="0" applyNumberFormat="1" applyFont="1" applyFill="1" applyAlignment="1" applyProtection="1">
      <alignment horizontal="left" indent="1"/>
      <protection locked="0"/>
    </xf>
    <xf numFmtId="42" fontId="45" fillId="0" borderId="0" xfId="0" applyNumberFormat="1" applyFont="1" applyFill="1" applyBorder="1" applyAlignment="1">
      <alignment horizontal="right"/>
    </xf>
    <xf numFmtId="42" fontId="45" fillId="0" borderId="0" xfId="0" applyNumberFormat="1" applyFont="1" applyFill="1" applyBorder="1" applyAlignment="1" applyProtection="1">
      <alignment horizontal="right"/>
      <protection locked="0"/>
    </xf>
    <xf numFmtId="42" fontId="45" fillId="0" borderId="20" xfId="0" applyNumberFormat="1" applyFont="1" applyFill="1" applyBorder="1" applyAlignment="1">
      <alignment horizontal="right"/>
    </xf>
    <xf numFmtId="42" fontId="45" fillId="0" borderId="20" xfId="0" applyNumberFormat="1" applyFont="1" applyFill="1" applyBorder="1" applyProtection="1">
      <alignment horizontal="left" wrapText="1"/>
      <protection locked="0"/>
    </xf>
    <xf numFmtId="0" fontId="45" fillId="0" borderId="0" xfId="0" applyNumberFormat="1" applyFont="1" applyFill="1" applyAlignment="1">
      <alignment vertical="center"/>
    </xf>
    <xf numFmtId="42" fontId="45" fillId="0" borderId="14" xfId="0" applyNumberFormat="1" applyFont="1" applyFill="1" applyBorder="1" applyAlignment="1"/>
    <xf numFmtId="42" fontId="45" fillId="0" borderId="14" xfId="230" applyNumberFormat="1" applyFont="1" applyFill="1" applyBorder="1" applyProtection="1">
      <protection locked="0"/>
    </xf>
    <xf numFmtId="37" fontId="45" fillId="0" borderId="14" xfId="0" applyNumberFormat="1" applyFont="1" applyFill="1" applyBorder="1" applyAlignment="1" applyProtection="1">
      <protection locked="0"/>
    </xf>
    <xf numFmtId="41" fontId="45" fillId="0" borderId="14" xfId="0" applyNumberFormat="1" applyFont="1" applyFill="1" applyBorder="1" applyAlignment="1" applyProtection="1">
      <protection locked="0"/>
    </xf>
    <xf numFmtId="10" fontId="45" fillId="0" borderId="0" xfId="0" applyNumberFormat="1" applyFont="1" applyFill="1" applyAlignment="1">
      <alignment horizontal="center"/>
    </xf>
    <xf numFmtId="5" fontId="45" fillId="0" borderId="13" xfId="230" applyNumberFormat="1" applyFont="1" applyFill="1" applyBorder="1"/>
    <xf numFmtId="17" fontId="45" fillId="0" borderId="0" xfId="424" applyNumberFormat="1" applyFont="1" applyFill="1" applyAlignment="1"/>
    <xf numFmtId="177" fontId="45" fillId="0" borderId="0" xfId="189" applyNumberFormat="1" applyFont="1" applyFill="1" applyBorder="1" applyAlignment="1"/>
    <xf numFmtId="37" fontId="45" fillId="0" borderId="0" xfId="0" applyNumberFormat="1" applyFont="1" applyFill="1" applyAlignment="1">
      <alignment horizontal="right"/>
    </xf>
    <xf numFmtId="169" fontId="45" fillId="0" borderId="0" xfId="0" applyFont="1" applyFill="1" applyAlignment="1">
      <alignment horizontal="left" indent="1"/>
    </xf>
    <xf numFmtId="171" fontId="45" fillId="0" borderId="0" xfId="0" applyNumberFormat="1" applyFont="1" applyFill="1" applyBorder="1" applyAlignment="1" applyProtection="1">
      <alignment vertical="center"/>
      <protection locked="0"/>
    </xf>
    <xf numFmtId="9" fontId="45" fillId="0" borderId="0" xfId="342" applyNumberFormat="1" applyFont="1" applyFill="1" applyAlignment="1">
      <alignment horizontal="center"/>
    </xf>
    <xf numFmtId="42" fontId="45" fillId="0" borderId="0" xfId="185" applyNumberFormat="1" applyFont="1" applyFill="1" applyBorder="1" applyProtection="1">
      <protection locked="0"/>
    </xf>
    <xf numFmtId="192" fontId="45" fillId="0" borderId="13" xfId="342" applyNumberFormat="1" applyFont="1" applyFill="1" applyBorder="1" applyAlignment="1">
      <alignment horizontal="right"/>
    </xf>
    <xf numFmtId="171" fontId="45" fillId="0" borderId="0" xfId="0" applyNumberFormat="1" applyFont="1" applyFill="1" applyAlignment="1"/>
    <xf numFmtId="41" fontId="45" fillId="0" borderId="0" xfId="0" applyNumberFormat="1" applyFont="1" applyFill="1" applyBorder="1" applyAlignment="1" applyProtection="1">
      <protection locked="0"/>
    </xf>
    <xf numFmtId="42" fontId="45" fillId="0" borderId="0" xfId="230" applyNumberFormat="1" applyFont="1" applyFill="1" applyBorder="1" applyProtection="1">
      <protection locked="0"/>
    </xf>
    <xf numFmtId="169" fontId="45" fillId="0" borderId="0" xfId="0" applyFont="1" applyFill="1" applyAlignment="1">
      <alignment vertical="center"/>
    </xf>
    <xf numFmtId="37" fontId="45" fillId="0" borderId="0" xfId="0" applyNumberFormat="1" applyFont="1" applyFill="1" applyAlignment="1"/>
    <xf numFmtId="6" fontId="45" fillId="0" borderId="14" xfId="0" applyNumberFormat="1" applyFont="1" applyFill="1" applyBorder="1" applyAlignment="1"/>
    <xf numFmtId="37" fontId="45" fillId="0" borderId="0" xfId="0" applyNumberFormat="1" applyFont="1" applyAlignment="1">
      <alignment horizontal="right"/>
    </xf>
    <xf numFmtId="42" fontId="45" fillId="0" borderId="0" xfId="185" applyNumberFormat="1" applyFont="1" applyFill="1"/>
    <xf numFmtId="10" fontId="45" fillId="0" borderId="13" xfId="342" applyNumberFormat="1" applyFont="1" applyFill="1" applyBorder="1" applyAlignment="1">
      <alignment horizontal="center"/>
    </xf>
    <xf numFmtId="9" fontId="45" fillId="0" borderId="0" xfId="422" applyNumberFormat="1" applyFont="1" applyFill="1" applyAlignment="1">
      <alignment horizontal="right"/>
    </xf>
    <xf numFmtId="37" fontId="45" fillId="0" borderId="0" xfId="422" applyNumberFormat="1" applyFont="1" applyFill="1" applyAlignment="1"/>
    <xf numFmtId="42" fontId="45" fillId="0" borderId="0" xfId="422" applyNumberFormat="1" applyFont="1" applyFill="1" applyBorder="1" applyAlignment="1"/>
    <xf numFmtId="172" fontId="45" fillId="0" borderId="0" xfId="0" quotePrefix="1" applyNumberFormat="1" applyFont="1" applyFill="1" applyAlignment="1">
      <alignment horizontal="left"/>
    </xf>
    <xf numFmtId="177" fontId="45" fillId="0" borderId="0" xfId="185" applyNumberFormat="1" applyFont="1" applyFill="1" applyAlignment="1"/>
    <xf numFmtId="0" fontId="45" fillId="0" borderId="0" xfId="0" applyNumberFormat="1" applyFont="1" applyFill="1" applyAlignment="1">
      <alignment horizontal="left" vertical="center" indent="2"/>
    </xf>
    <xf numFmtId="42" fontId="45" fillId="0" borderId="0" xfId="0" applyNumberFormat="1" applyFont="1" applyFill="1" applyBorder="1" applyProtection="1">
      <alignment horizontal="left" wrapText="1"/>
      <protection locked="0"/>
    </xf>
    <xf numFmtId="177" fontId="45" fillId="0" borderId="0" xfId="185" applyNumberFormat="1" applyFont="1" applyFill="1" applyBorder="1" applyAlignment="1"/>
    <xf numFmtId="4" fontId="45" fillId="0" borderId="0" xfId="185" applyFont="1" applyFill="1" applyAlignment="1"/>
    <xf numFmtId="42" fontId="45" fillId="0" borderId="0" xfId="230" applyNumberFormat="1" applyFont="1" applyFill="1" applyBorder="1" applyAlignment="1" applyProtection="1">
      <alignment horizontal="right"/>
      <protection locked="0"/>
    </xf>
    <xf numFmtId="169" fontId="45" fillId="0" borderId="0" xfId="422" applyFont="1" applyFill="1" applyAlignment="1"/>
    <xf numFmtId="42" fontId="45" fillId="0" borderId="0" xfId="237" applyNumberFormat="1" applyFont="1" applyFill="1" applyBorder="1" applyAlignment="1"/>
    <xf numFmtId="42" fontId="45" fillId="0" borderId="0" xfId="230" applyNumberFormat="1" applyFont="1" applyFill="1" applyBorder="1" applyAlignment="1" applyProtection="1">
      <protection locked="0"/>
    </xf>
    <xf numFmtId="171" fontId="45" fillId="0" borderId="0" xfId="0" applyNumberFormat="1" applyFont="1" applyFill="1" applyAlignment="1">
      <alignment horizontal="left"/>
    </xf>
    <xf numFmtId="42" fontId="45" fillId="0" borderId="12" xfId="230" applyNumberFormat="1" applyFont="1" applyFill="1" applyBorder="1"/>
    <xf numFmtId="0" fontId="45" fillId="0" borderId="0" xfId="0" applyNumberFormat="1" applyFont="1" applyFill="1" applyAlignment="1">
      <alignment horizontal="left" indent="2"/>
    </xf>
    <xf numFmtId="3" fontId="45" fillId="0" borderId="0" xfId="185" applyNumberFormat="1" applyFont="1" applyFill="1" applyAlignment="1"/>
    <xf numFmtId="10" fontId="45" fillId="0" borderId="0" xfId="342" applyNumberFormat="1" applyFont="1" applyFill="1" applyAlignment="1">
      <alignment horizontal="center"/>
    </xf>
    <xf numFmtId="42" fontId="45" fillId="0" borderId="2" xfId="0" applyNumberFormat="1" applyFont="1" applyFill="1" applyBorder="1" applyAlignment="1" applyProtection="1">
      <protection locked="0"/>
    </xf>
    <xf numFmtId="42" fontId="45" fillId="0" borderId="13" xfId="185" applyNumberFormat="1" applyFont="1" applyFill="1" applyBorder="1" applyProtection="1">
      <protection locked="0"/>
    </xf>
    <xf numFmtId="3" fontId="45" fillId="0" borderId="0" xfId="185" applyNumberFormat="1" applyFont="1" applyFill="1" applyAlignment="1">
      <alignment horizontal="center"/>
    </xf>
    <xf numFmtId="171" fontId="45" fillId="0" borderId="14" xfId="0" applyNumberFormat="1" applyFont="1" applyFill="1" applyBorder="1" applyAlignment="1" applyProtection="1">
      <protection locked="0"/>
    </xf>
    <xf numFmtId="177" fontId="45" fillId="0" borderId="0" xfId="185" applyNumberFormat="1" applyFont="1" applyFill="1" applyBorder="1" applyAlignment="1" applyProtection="1">
      <protection locked="0"/>
    </xf>
    <xf numFmtId="177" fontId="45" fillId="0" borderId="0" xfId="185" applyNumberFormat="1" applyFont="1" applyFill="1" applyAlignment="1" applyProtection="1">
      <protection locked="0"/>
    </xf>
    <xf numFmtId="172" fontId="45" fillId="0" borderId="0" xfId="0" applyNumberFormat="1" applyFont="1" applyFill="1" applyAlignment="1">
      <alignment horizontal="left"/>
    </xf>
    <xf numFmtId="41" fontId="45" fillId="0" borderId="0" xfId="0" applyNumberFormat="1" applyFont="1" applyFill="1" applyBorder="1" applyAlignment="1" applyProtection="1">
      <alignment horizontal="right"/>
      <protection locked="0"/>
    </xf>
    <xf numFmtId="169" fontId="45" fillId="0" borderId="14" xfId="0" applyFont="1" applyFill="1" applyBorder="1">
      <alignment horizontal="left" wrapText="1"/>
    </xf>
    <xf numFmtId="0" fontId="45" fillId="0" borderId="0" xfId="317" applyFont="1" applyFill="1" applyAlignment="1"/>
    <xf numFmtId="6" fontId="45" fillId="0" borderId="13" xfId="230" applyNumberFormat="1" applyFont="1" applyFill="1" applyBorder="1" applyAlignment="1"/>
    <xf numFmtId="42" fontId="45" fillId="0" borderId="0" xfId="186" applyNumberFormat="1" applyFont="1" applyFill="1" applyAlignment="1"/>
    <xf numFmtId="42" fontId="45" fillId="0" borderId="13" xfId="186" applyNumberFormat="1" applyFont="1" applyFill="1" applyBorder="1" applyAlignment="1"/>
    <xf numFmtId="9" fontId="45" fillId="0" borderId="0" xfId="351" applyFont="1" applyFill="1" applyBorder="1" applyAlignment="1">
      <alignment horizontal="right" wrapText="1"/>
    </xf>
    <xf numFmtId="169" fontId="45" fillId="0" borderId="0" xfId="422" applyFont="1" applyFill="1" applyBorder="1">
      <alignment horizontal="left" wrapText="1"/>
    </xf>
    <xf numFmtId="178" fontId="45" fillId="0" borderId="13" xfId="237" applyNumberFormat="1" applyFont="1" applyFill="1" applyBorder="1" applyAlignment="1"/>
    <xf numFmtId="0" fontId="223" fillId="0" borderId="0" xfId="0" applyNumberFormat="1" applyFont="1" applyFill="1" applyAlignment="1">
      <alignment horizontal="left"/>
    </xf>
    <xf numFmtId="177" fontId="45" fillId="0" borderId="0" xfId="0" applyNumberFormat="1" applyFont="1" applyFill="1" applyBorder="1" applyAlignment="1"/>
    <xf numFmtId="42" fontId="45" fillId="0" borderId="12" xfId="0" applyNumberFormat="1" applyFont="1" applyFill="1" applyBorder="1" applyAlignment="1">
      <alignment horizontal="right"/>
    </xf>
    <xf numFmtId="10" fontId="45" fillId="0" borderId="0" xfId="0" applyNumberFormat="1" applyFont="1" applyFill="1" applyBorder="1" applyAlignment="1">
      <alignment horizontal="center"/>
    </xf>
    <xf numFmtId="171" fontId="225" fillId="0" borderId="0" xfId="0" applyNumberFormat="1" applyFont="1" applyFill="1" applyBorder="1" applyAlignment="1" applyProtection="1">
      <protection locked="0"/>
    </xf>
    <xf numFmtId="42" fontId="45" fillId="0" borderId="14" xfId="0" applyNumberFormat="1" applyFont="1" applyBorder="1" applyAlignment="1"/>
    <xf numFmtId="178" fontId="45" fillId="0" borderId="12" xfId="237" applyNumberFormat="1" applyFont="1" applyFill="1" applyBorder="1" applyAlignment="1"/>
    <xf numFmtId="42" fontId="45" fillId="0" borderId="0" xfId="185" applyNumberFormat="1" applyFont="1" applyFill="1" applyBorder="1" applyAlignment="1" applyProtection="1">
      <protection locked="0"/>
    </xf>
    <xf numFmtId="192" fontId="45" fillId="0" borderId="13" xfId="0" applyNumberFormat="1" applyFont="1" applyFill="1" applyBorder="1" applyAlignment="1"/>
    <xf numFmtId="169" fontId="45" fillId="0" borderId="0" xfId="0" applyFont="1" applyFill="1" applyAlignment="1">
      <alignment vertical="top"/>
    </xf>
    <xf numFmtId="37" fontId="45" fillId="0" borderId="14" xfId="0" applyNumberFormat="1" applyFont="1" applyFill="1" applyBorder="1" applyAlignment="1">
      <alignment vertical="top"/>
    </xf>
    <xf numFmtId="1" fontId="45" fillId="0" borderId="0" xfId="317" quotePrefix="1" applyNumberFormat="1" applyFont="1" applyFill="1" applyAlignment="1">
      <alignment horizontal="left"/>
    </xf>
    <xf numFmtId="178" fontId="45" fillId="0" borderId="0" xfId="0" applyNumberFormat="1" applyFont="1" applyFill="1" applyBorder="1" applyAlignment="1"/>
    <xf numFmtId="41" fontId="45" fillId="0" borderId="0" xfId="185" applyNumberFormat="1" applyFont="1" applyFill="1" applyBorder="1" applyAlignment="1" applyProtection="1">
      <protection locked="0"/>
    </xf>
    <xf numFmtId="192" fontId="45" fillId="0" borderId="0" xfId="342" applyNumberFormat="1" applyFont="1" applyFill="1" applyAlignment="1">
      <alignment horizontal="center"/>
    </xf>
    <xf numFmtId="42" fontId="45" fillId="0" borderId="13" xfId="185" applyNumberFormat="1" applyFont="1" applyFill="1" applyBorder="1" applyAlignment="1"/>
    <xf numFmtId="44" fontId="45" fillId="0" borderId="0" xfId="0" applyNumberFormat="1" applyFont="1" applyFill="1" applyAlignment="1"/>
    <xf numFmtId="41" fontId="45" fillId="0" borderId="0" xfId="0" applyNumberFormat="1" applyFont="1" applyFill="1" applyBorder="1" applyAlignment="1"/>
    <xf numFmtId="41" fontId="45" fillId="0" borderId="0" xfId="0" applyNumberFormat="1" applyFont="1" applyFill="1" applyAlignment="1" applyProtection="1">
      <protection locked="0"/>
    </xf>
    <xf numFmtId="169" fontId="45" fillId="0" borderId="0" xfId="0" applyFont="1" applyFill="1" applyBorder="1">
      <alignment horizontal="left" wrapText="1"/>
    </xf>
    <xf numFmtId="177" fontId="45" fillId="0" borderId="0" xfId="185" applyNumberFormat="1" applyFont="1" applyBorder="1"/>
    <xf numFmtId="42" fontId="45" fillId="0" borderId="0" xfId="0" applyNumberFormat="1" applyFont="1" applyFill="1" applyAlignment="1">
      <alignment vertical="center"/>
    </xf>
    <xf numFmtId="178" fontId="45" fillId="0" borderId="13" xfId="236" applyNumberFormat="1" applyFont="1" applyFill="1" applyBorder="1" applyProtection="1">
      <protection locked="0"/>
    </xf>
    <xf numFmtId="42" fontId="45" fillId="0" borderId="0" xfId="230" applyNumberFormat="1" applyFont="1" applyFill="1" applyBorder="1" applyAlignment="1"/>
    <xf numFmtId="42" fontId="45" fillId="0" borderId="0" xfId="230" applyNumberFormat="1" applyFont="1" applyFill="1"/>
    <xf numFmtId="42" fontId="45" fillId="0" borderId="12" xfId="185" applyNumberFormat="1" applyFont="1" applyFill="1" applyBorder="1"/>
    <xf numFmtId="9" fontId="45" fillId="0" borderId="0" xfId="186" applyNumberFormat="1" applyFont="1" applyFill="1" applyBorder="1" applyAlignment="1">
      <alignment horizontal="center"/>
    </xf>
    <xf numFmtId="0" fontId="45" fillId="0" borderId="0" xfId="318" applyFont="1" applyFill="1" applyAlignment="1"/>
    <xf numFmtId="9" fontId="45" fillId="0" borderId="0" xfId="0" applyNumberFormat="1" applyFont="1" applyFill="1" applyBorder="1" applyAlignment="1">
      <alignment horizontal="center"/>
    </xf>
    <xf numFmtId="171" fontId="45" fillId="0" borderId="0" xfId="0" applyNumberFormat="1" applyFont="1" applyFill="1" applyAlignment="1">
      <alignment horizontal="center"/>
    </xf>
    <xf numFmtId="189" fontId="45" fillId="0" borderId="0" xfId="185" applyNumberFormat="1" applyFont="1" applyFill="1" applyBorder="1" applyProtection="1">
      <protection locked="0"/>
    </xf>
    <xf numFmtId="0" fontId="45" fillId="0" borderId="0" xfId="0" applyNumberFormat="1" applyFont="1" applyFill="1" applyAlignment="1">
      <alignment horizontal="center" vertical="top"/>
    </xf>
    <xf numFmtId="42" fontId="45" fillId="0" borderId="13" xfId="0" applyNumberFormat="1" applyFont="1" applyFill="1" applyBorder="1" applyAlignment="1">
      <alignment horizontal="right"/>
    </xf>
    <xf numFmtId="0" fontId="45" fillId="0" borderId="0" xfId="0" applyNumberFormat="1" applyFont="1" applyFill="1">
      <alignment horizontal="left" wrapText="1"/>
    </xf>
    <xf numFmtId="37" fontId="45" fillId="0" borderId="0" xfId="0" applyNumberFormat="1" applyFont="1" applyFill="1" applyBorder="1">
      <alignment horizontal="left" wrapText="1"/>
    </xf>
    <xf numFmtId="177" fontId="45" fillId="0" borderId="14" xfId="185" applyNumberFormat="1" applyFont="1" applyFill="1" applyBorder="1"/>
    <xf numFmtId="42" fontId="45" fillId="0" borderId="12" xfId="0" applyNumberFormat="1" applyFont="1" applyFill="1" applyBorder="1" applyAlignment="1"/>
    <xf numFmtId="169" fontId="45" fillId="0" borderId="0" xfId="0" applyFont="1" applyFill="1" applyAlignment="1">
      <alignment horizontal="left" indent="3"/>
    </xf>
    <xf numFmtId="192" fontId="45" fillId="0" borderId="2" xfId="0" applyNumberFormat="1" applyFont="1" applyFill="1" applyBorder="1" applyAlignment="1">
      <alignment horizontal="center" wrapText="1"/>
    </xf>
    <xf numFmtId="0" fontId="45" fillId="0" borderId="0" xfId="0" applyNumberFormat="1" applyFont="1" applyBorder="1" applyAlignment="1">
      <alignment horizontal="left"/>
    </xf>
    <xf numFmtId="42" fontId="45" fillId="0" borderId="20" xfId="0" applyNumberFormat="1" applyFont="1" applyFill="1" applyBorder="1" applyAlignment="1"/>
    <xf numFmtId="3" fontId="45" fillId="0" borderId="0" xfId="194" applyNumberFormat="1" applyFont="1" applyFill="1" applyBorder="1" applyAlignment="1"/>
    <xf numFmtId="41" fontId="45" fillId="0" borderId="0" xfId="422" applyNumberFormat="1" applyFont="1" applyFill="1" applyAlignment="1"/>
    <xf numFmtId="41" fontId="45" fillId="0" borderId="0" xfId="422" applyNumberFormat="1" applyFont="1" applyFill="1" applyBorder="1" applyAlignment="1"/>
    <xf numFmtId="177" fontId="45" fillId="0" borderId="14" xfId="185" applyNumberFormat="1" applyFont="1" applyFill="1" applyBorder="1" applyAlignment="1" applyProtection="1">
      <protection locked="0"/>
    </xf>
    <xf numFmtId="1" fontId="45" fillId="0" borderId="0" xfId="0" quotePrefix="1" applyNumberFormat="1" applyFont="1" applyFill="1" applyAlignment="1">
      <alignment horizontal="left"/>
    </xf>
    <xf numFmtId="9" fontId="45" fillId="0" borderId="0" xfId="0" applyNumberFormat="1" applyFont="1" applyFill="1" applyBorder="1" applyAlignment="1">
      <alignment horizontal="center" wrapText="1"/>
    </xf>
    <xf numFmtId="178" fontId="45" fillId="0" borderId="20" xfId="0" applyNumberFormat="1" applyFont="1" applyFill="1" applyBorder="1" applyAlignment="1"/>
    <xf numFmtId="169" fontId="45" fillId="0" borderId="14" xfId="0" applyFont="1" applyFill="1" applyBorder="1" applyAlignment="1"/>
    <xf numFmtId="3" fontId="45" fillId="0" borderId="0" xfId="185" applyNumberFormat="1" applyFont="1" applyFill="1" applyBorder="1" applyAlignment="1" applyProtection="1">
      <protection locked="0"/>
    </xf>
    <xf numFmtId="1" fontId="45" fillId="0" borderId="0" xfId="0" applyNumberFormat="1" applyFont="1" applyFill="1" applyAlignment="1"/>
    <xf numFmtId="41" fontId="45" fillId="0" borderId="0" xfId="185" applyNumberFormat="1" applyFont="1" applyFill="1" applyBorder="1"/>
    <xf numFmtId="178" fontId="45" fillId="0" borderId="12" xfId="230" applyNumberFormat="1" applyFont="1" applyFill="1" applyBorder="1" applyProtection="1">
      <protection locked="0"/>
    </xf>
    <xf numFmtId="177" fontId="45" fillId="0" borderId="13" xfId="189" applyNumberFormat="1" applyFont="1" applyFill="1" applyBorder="1" applyAlignment="1"/>
    <xf numFmtId="37" fontId="45" fillId="0" borderId="13" xfId="0" applyNumberFormat="1" applyFont="1" applyFill="1" applyBorder="1" applyAlignment="1">
      <alignment horizontal="right"/>
    </xf>
    <xf numFmtId="42" fontId="45" fillId="0" borderId="20" xfId="185" applyNumberFormat="1" applyFont="1" applyFill="1" applyBorder="1" applyAlignment="1" applyProtection="1">
      <protection locked="0"/>
    </xf>
    <xf numFmtId="41" fontId="45" fillId="0" borderId="0" xfId="185" applyNumberFormat="1" applyFont="1" applyFill="1" applyAlignment="1"/>
    <xf numFmtId="0" fontId="45" fillId="0" borderId="0" xfId="0" applyNumberFormat="1" applyFont="1" applyFill="1" applyBorder="1" applyAlignment="1">
      <alignment vertical="top"/>
    </xf>
    <xf numFmtId="41" fontId="45" fillId="0" borderId="0" xfId="185" applyNumberFormat="1" applyFont="1" applyFill="1" applyBorder="1" applyAlignment="1">
      <alignment vertical="top"/>
    </xf>
    <xf numFmtId="41" fontId="45" fillId="0" borderId="0" xfId="0" applyNumberFormat="1" applyFont="1" applyFill="1" applyBorder="1" applyAlignment="1">
      <alignment vertical="top"/>
    </xf>
    <xf numFmtId="189" fontId="45" fillId="0" borderId="0" xfId="185" applyNumberFormat="1" applyFont="1" applyFill="1" applyBorder="1" applyAlignment="1">
      <alignment vertical="top"/>
    </xf>
    <xf numFmtId="177" fontId="45" fillId="0" borderId="0" xfId="0" applyNumberFormat="1" applyFont="1" applyFill="1" applyAlignment="1"/>
    <xf numFmtId="3" fontId="45" fillId="0" borderId="0" xfId="185" applyNumberFormat="1" applyFont="1" applyFill="1" applyAlignment="1">
      <alignment vertical="top"/>
    </xf>
    <xf numFmtId="42" fontId="45" fillId="0" borderId="0" xfId="230" applyNumberFormat="1" applyFont="1" applyFill="1" applyBorder="1" applyAlignment="1" applyProtection="1">
      <alignment vertical="top"/>
      <protection locked="0"/>
    </xf>
    <xf numFmtId="3" fontId="45" fillId="0" borderId="0" xfId="185" applyNumberFormat="1" applyFont="1" applyFill="1" applyBorder="1" applyAlignment="1" applyProtection="1">
      <alignment vertical="center"/>
      <protection locked="0"/>
    </xf>
    <xf numFmtId="42" fontId="45" fillId="0" borderId="12" xfId="199" applyNumberFormat="1" applyFont="1" applyFill="1" applyBorder="1" applyAlignment="1"/>
    <xf numFmtId="42" fontId="45" fillId="0" borderId="0" xfId="0" applyNumberFormat="1" applyFont="1" applyFill="1" applyAlignment="1">
      <alignment vertical="top"/>
    </xf>
    <xf numFmtId="0" fontId="45" fillId="0" borderId="0" xfId="0" applyNumberFormat="1" applyFont="1" applyFill="1" applyAlignment="1">
      <alignment horizontal="left" vertical="center"/>
    </xf>
    <xf numFmtId="171" fontId="45" fillId="0" borderId="0" xfId="0" applyNumberFormat="1" applyFont="1" applyFill="1" applyAlignment="1" applyProtection="1">
      <alignment vertical="center"/>
      <protection locked="0"/>
    </xf>
    <xf numFmtId="42" fontId="45" fillId="0" borderId="0" xfId="0" applyNumberFormat="1" applyFont="1" applyFill="1" applyAlignment="1" applyProtection="1">
      <alignment vertical="center"/>
      <protection locked="0"/>
    </xf>
    <xf numFmtId="41" fontId="45" fillId="0" borderId="0" xfId="185" applyNumberFormat="1" applyFont="1" applyFill="1" applyAlignment="1">
      <alignment horizontal="left" vertical="top"/>
    </xf>
    <xf numFmtId="6" fontId="45" fillId="0" borderId="0" xfId="230" applyNumberFormat="1" applyFont="1" applyFill="1"/>
    <xf numFmtId="0" fontId="45" fillId="0" borderId="0" xfId="0" applyNumberFormat="1" applyFont="1" applyFill="1" applyAlignment="1">
      <alignment horizontal="center" vertical="center"/>
    </xf>
    <xf numFmtId="168" fontId="45" fillId="0" borderId="0" xfId="0" applyNumberFormat="1" applyFont="1" applyFill="1" applyBorder="1" applyAlignment="1">
      <alignment vertical="top"/>
    </xf>
    <xf numFmtId="42" fontId="45" fillId="0" borderId="0" xfId="185" applyNumberFormat="1" applyFont="1" applyFill="1" applyAlignment="1" applyProtection="1">
      <protection locked="0"/>
    </xf>
    <xf numFmtId="9" fontId="45" fillId="0" borderId="0" xfId="342" applyFont="1" applyFill="1" applyAlignment="1">
      <alignment horizontal="center"/>
    </xf>
    <xf numFmtId="199" fontId="45" fillId="0" borderId="0" xfId="0" applyNumberFormat="1" applyFont="1" applyFill="1" applyAlignment="1"/>
    <xf numFmtId="169" fontId="45" fillId="0" borderId="0" xfId="424" applyNumberFormat="1" applyFont="1" applyFill="1" applyAlignment="1">
      <alignment horizontal="left"/>
    </xf>
    <xf numFmtId="42" fontId="45" fillId="0" borderId="0" xfId="232" applyNumberFormat="1" applyFont="1" applyFill="1" applyAlignment="1"/>
    <xf numFmtId="192" fontId="45" fillId="0" borderId="0" xfId="0" applyNumberFormat="1" applyFont="1" applyFill="1" applyAlignment="1"/>
    <xf numFmtId="167" fontId="45" fillId="0" borderId="0" xfId="0" applyNumberFormat="1" applyFont="1" applyFill="1" applyAlignment="1"/>
    <xf numFmtId="169" fontId="45" fillId="0" borderId="0" xfId="424" applyNumberFormat="1" applyFont="1" applyFill="1" applyBorder="1" applyAlignment="1">
      <alignment horizontal="left"/>
    </xf>
    <xf numFmtId="42" fontId="45" fillId="0" borderId="0" xfId="424" applyNumberFormat="1" applyFont="1" applyFill="1" applyAlignment="1">
      <alignment horizontal="right"/>
    </xf>
    <xf numFmtId="169" fontId="45" fillId="0" borderId="0" xfId="0" applyFont="1" applyFill="1" applyBorder="1" applyAlignment="1">
      <alignment horizontal="left" indent="2"/>
    </xf>
    <xf numFmtId="178" fontId="45" fillId="0" borderId="0" xfId="230" applyNumberFormat="1" applyFont="1" applyFill="1" applyBorder="1" applyAlignment="1" applyProtection="1">
      <protection locked="0"/>
    </xf>
    <xf numFmtId="37" fontId="45" fillId="0" borderId="0" xfId="0" applyNumberFormat="1" applyFont="1" applyFill="1" applyAlignment="1" applyProtection="1">
      <protection locked="0"/>
    </xf>
    <xf numFmtId="10" fontId="45" fillId="0" borderId="0" xfId="342" applyNumberFormat="1" applyFont="1" applyFill="1" applyBorder="1" applyAlignment="1"/>
    <xf numFmtId="0" fontId="223" fillId="0" borderId="0" xfId="0" applyNumberFormat="1" applyFont="1" applyFill="1" applyAlignment="1">
      <alignment horizontal="center"/>
    </xf>
    <xf numFmtId="168" fontId="45" fillId="0" borderId="0" xfId="0" applyNumberFormat="1" applyFont="1" applyFill="1" applyBorder="1" applyAlignment="1"/>
    <xf numFmtId="0" fontId="45" fillId="0" borderId="0" xfId="0" applyNumberFormat="1" applyFont="1" applyFill="1" applyBorder="1" applyAlignment="1">
      <alignment horizontal="left" vertical="top"/>
    </xf>
    <xf numFmtId="169" fontId="45" fillId="0" borderId="13" xfId="0" applyFont="1" applyFill="1" applyBorder="1" applyAlignment="1">
      <alignment horizontal="left" vertical="top"/>
    </xf>
    <xf numFmtId="169" fontId="45" fillId="0" borderId="0" xfId="0" applyFont="1" applyFill="1" applyAlignment="1">
      <alignment horizontal="center" vertical="top"/>
    </xf>
    <xf numFmtId="37" fontId="45" fillId="0" borderId="0" xfId="0" applyNumberFormat="1" applyFont="1" applyFill="1" applyAlignment="1">
      <alignment vertical="center"/>
    </xf>
    <xf numFmtId="15" fontId="45" fillId="0" borderId="0" xfId="0" applyNumberFormat="1" applyFont="1" applyFill="1">
      <alignment horizontal="left" wrapText="1"/>
    </xf>
    <xf numFmtId="0" fontId="18" fillId="0" borderId="0" xfId="0" quotePrefix="1" applyNumberFormat="1" applyFont="1" applyFill="1" applyAlignment="1"/>
    <xf numFmtId="9" fontId="45" fillId="0" borderId="0" xfId="0" applyNumberFormat="1" applyFont="1" applyFill="1" applyAlignment="1"/>
    <xf numFmtId="42" fontId="45" fillId="0" borderId="12" xfId="0" applyNumberFormat="1" applyFont="1" applyFill="1" applyBorder="1" applyAlignment="1" applyProtection="1">
      <protection locked="0"/>
    </xf>
    <xf numFmtId="169" fontId="45" fillId="0" borderId="0" xfId="0" applyFont="1" applyFill="1" applyAlignment="1">
      <alignment horizontal="left" vertical="center"/>
    </xf>
    <xf numFmtId="169" fontId="45" fillId="0" borderId="0" xfId="0" applyFont="1" applyFill="1" applyAlignment="1">
      <alignment horizontal="center" vertical="center"/>
    </xf>
    <xf numFmtId="42" fontId="45" fillId="0" borderId="13" xfId="424" applyNumberFormat="1" applyFont="1" applyFill="1" applyBorder="1" applyAlignment="1">
      <alignment horizontal="right"/>
    </xf>
    <xf numFmtId="169" fontId="45" fillId="0" borderId="0" xfId="424" applyNumberFormat="1" applyFont="1" applyFill="1" applyAlignment="1">
      <alignment horizontal="left" indent="3"/>
    </xf>
    <xf numFmtId="169" fontId="225" fillId="0" borderId="0" xfId="0" applyFont="1" applyFill="1" applyAlignment="1"/>
    <xf numFmtId="42" fontId="45" fillId="0" borderId="0" xfId="230" applyNumberFormat="1" applyFont="1" applyFill="1" applyBorder="1" applyAlignment="1">
      <alignment horizontal="right"/>
    </xf>
    <xf numFmtId="3" fontId="45" fillId="0" borderId="14" xfId="185" applyNumberFormat="1" applyFont="1" applyFill="1" applyBorder="1" applyAlignment="1"/>
    <xf numFmtId="0" fontId="45" fillId="0" borderId="0" xfId="0" applyNumberFormat="1" applyFont="1" applyFill="1" applyBorder="1" applyAlignment="1">
      <alignment horizontal="right"/>
    </xf>
    <xf numFmtId="0" fontId="45" fillId="0" borderId="0" xfId="0" applyNumberFormat="1" applyFont="1" applyFill="1" applyAlignment="1" applyProtection="1">
      <alignment horizontal="centerContinuous"/>
      <protection locked="0"/>
    </xf>
    <xf numFmtId="37" fontId="45" fillId="0" borderId="0" xfId="0" applyNumberFormat="1" applyFont="1" applyFill="1" applyBorder="1" applyAlignment="1"/>
    <xf numFmtId="5" fontId="45" fillId="0" borderId="12" xfId="230" applyNumberFormat="1" applyFont="1" applyFill="1" applyBorder="1"/>
    <xf numFmtId="17" fontId="45" fillId="0" borderId="0" xfId="0" applyNumberFormat="1" applyFont="1" applyFill="1" applyAlignment="1">
      <alignment horizontal="right"/>
    </xf>
    <xf numFmtId="169" fontId="45" fillId="0" borderId="0" xfId="424" applyNumberFormat="1" applyFont="1" applyFill="1" applyBorder="1" applyAlignment="1"/>
    <xf numFmtId="37" fontId="45" fillId="0" borderId="0" xfId="185" applyNumberFormat="1" applyFont="1" applyFill="1" applyBorder="1" applyAlignment="1"/>
    <xf numFmtId="42" fontId="45" fillId="0" borderId="13" xfId="232" applyNumberFormat="1" applyFont="1" applyFill="1" applyBorder="1" applyAlignment="1"/>
    <xf numFmtId="42" fontId="18" fillId="0" borderId="0" xfId="0" applyNumberFormat="1" applyFont="1" applyFill="1" applyAlignment="1" applyProtection="1">
      <protection locked="0"/>
    </xf>
    <xf numFmtId="0" fontId="18" fillId="0" borderId="0" xfId="0" applyNumberFormat="1" applyFont="1" applyFill="1" applyBorder="1" applyAlignment="1">
      <alignment horizontal="center" vertical="center"/>
    </xf>
    <xf numFmtId="204" fontId="45" fillId="0" borderId="0" xfId="185" applyNumberFormat="1" applyFont="1" applyFill="1" applyAlignment="1">
      <alignment horizontal="center"/>
    </xf>
    <xf numFmtId="169" fontId="45" fillId="0" borderId="0" xfId="424" applyNumberFormat="1" applyFont="1" applyFill="1" applyAlignment="1">
      <alignment horizontal="left" indent="1"/>
    </xf>
    <xf numFmtId="169" fontId="45" fillId="0" borderId="0" xfId="0" quotePrefix="1" applyFont="1" applyFill="1" applyAlignment="1">
      <alignment horizontal="left"/>
    </xf>
    <xf numFmtId="204" fontId="45" fillId="0" borderId="0" xfId="185" applyNumberFormat="1" applyFont="1" applyFill="1" applyAlignment="1">
      <alignment horizontal="center" wrapText="1"/>
    </xf>
    <xf numFmtId="42" fontId="45" fillId="0" borderId="0" xfId="230" applyNumberFormat="1" applyFont="1" applyFill="1" applyAlignment="1"/>
    <xf numFmtId="169" fontId="45" fillId="0" borderId="0" xfId="424" applyNumberFormat="1" applyFont="1" applyFill="1" applyAlignment="1">
      <alignment horizontal="left" indent="2"/>
    </xf>
    <xf numFmtId="42" fontId="45" fillId="0" borderId="13" xfId="230" applyNumberFormat="1" applyFont="1" applyFill="1" applyBorder="1" applyAlignment="1"/>
    <xf numFmtId="42" fontId="45" fillId="0" borderId="12" xfId="230" applyNumberFormat="1" applyFont="1" applyFill="1" applyBorder="1" applyAlignment="1"/>
    <xf numFmtId="205" fontId="45" fillId="0" borderId="0" xfId="0" applyNumberFormat="1" applyFont="1" applyFill="1" applyAlignment="1">
      <alignment horizontal="center"/>
    </xf>
    <xf numFmtId="37" fontId="45" fillId="0" borderId="14" xfId="0" applyNumberFormat="1" applyFont="1" applyFill="1" applyBorder="1" applyAlignment="1"/>
    <xf numFmtId="0" fontId="45" fillId="0" borderId="0" xfId="0" applyNumberFormat="1" applyFont="1" applyFill="1" applyBorder="1" applyAlignment="1" applyProtection="1">
      <alignment horizontal="center"/>
      <protection locked="0"/>
    </xf>
    <xf numFmtId="41" fontId="45" fillId="0" borderId="14" xfId="0" applyNumberFormat="1" applyFont="1" applyFill="1" applyBorder="1" applyAlignment="1"/>
    <xf numFmtId="6" fontId="45" fillId="0" borderId="0" xfId="230" applyNumberFormat="1" applyFont="1" applyFill="1" applyAlignment="1">
      <alignment horizontal="right"/>
    </xf>
    <xf numFmtId="41" fontId="45" fillId="0" borderId="0" xfId="0" applyNumberFormat="1" applyFont="1" applyFill="1" applyAlignment="1">
      <alignment vertical="top"/>
    </xf>
    <xf numFmtId="0" fontId="18" fillId="0" borderId="0" xfId="0" applyNumberFormat="1" applyFont="1" applyFill="1" applyBorder="1" applyAlignment="1"/>
    <xf numFmtId="169" fontId="45" fillId="0" borderId="0" xfId="0" applyFont="1" applyFill="1" applyBorder="1" applyAlignment="1">
      <alignment horizontal="left"/>
    </xf>
    <xf numFmtId="0" fontId="223" fillId="0" borderId="0" xfId="0" applyNumberFormat="1" applyFont="1" applyFill="1" applyBorder="1" applyAlignment="1">
      <alignment horizontal="left"/>
    </xf>
    <xf numFmtId="9" fontId="45" fillId="0" borderId="0" xfId="0" applyNumberFormat="1" applyFont="1" applyFill="1" applyBorder="1" applyAlignment="1">
      <alignment horizontal="right"/>
    </xf>
    <xf numFmtId="171" fontId="45" fillId="0" borderId="0" xfId="0" applyNumberFormat="1" applyFont="1" applyFill="1" applyBorder="1" applyAlignment="1">
      <alignment horizontal="center"/>
    </xf>
    <xf numFmtId="0" fontId="226" fillId="0" borderId="0" xfId="0" applyNumberFormat="1" applyFont="1" applyFill="1" applyBorder="1" applyAlignment="1"/>
    <xf numFmtId="178" fontId="45" fillId="0" borderId="0" xfId="185" applyNumberFormat="1" applyFont="1" applyFill="1" applyBorder="1"/>
    <xf numFmtId="42" fontId="45" fillId="0" borderId="0" xfId="230" applyNumberFormat="1" applyFont="1" applyFill="1" applyBorder="1"/>
    <xf numFmtId="0" fontId="45" fillId="0" borderId="0" xfId="0" applyNumberFormat="1" applyFont="1" applyFill="1" applyBorder="1" applyAlignment="1">
      <alignment vertical="center"/>
    </xf>
    <xf numFmtId="18" fontId="45" fillId="0" borderId="0" xfId="0" applyNumberFormat="1" applyFont="1" applyFill="1" applyAlignment="1"/>
    <xf numFmtId="6" fontId="45" fillId="0" borderId="0" xfId="230" applyNumberFormat="1" applyFont="1" applyFill="1" applyBorder="1" applyAlignment="1">
      <alignment horizontal="right"/>
    </xf>
    <xf numFmtId="38" fontId="45" fillId="0" borderId="0" xfId="185" applyNumberFormat="1" applyFont="1" applyFill="1" applyBorder="1"/>
    <xf numFmtId="38" fontId="45" fillId="0" borderId="0" xfId="0" applyNumberFormat="1" applyFont="1" applyFill="1" applyBorder="1" applyAlignment="1"/>
    <xf numFmtId="0" fontId="45" fillId="0" borderId="0" xfId="332" applyFont="1" applyFill="1" applyAlignment="1">
      <alignment horizontal="centerContinuous"/>
    </xf>
    <xf numFmtId="0" fontId="45" fillId="0" borderId="0" xfId="332" applyFont="1" applyFill="1" applyAlignment="1">
      <alignment horizontal="center"/>
    </xf>
    <xf numFmtId="0" fontId="45" fillId="0" borderId="0" xfId="332" applyFont="1" applyFill="1" applyBorder="1" applyAlignment="1">
      <alignment horizontal="center"/>
    </xf>
    <xf numFmtId="173" fontId="45" fillId="0" borderId="0" xfId="332" applyNumberFormat="1" applyFont="1" applyFill="1" applyBorder="1" applyAlignment="1">
      <alignment horizontal="center"/>
    </xf>
    <xf numFmtId="0" fontId="18" fillId="0" borderId="0" xfId="332" applyFont="1" applyFill="1" applyAlignment="1">
      <alignment horizontal="centerContinuous"/>
    </xf>
    <xf numFmtId="0" fontId="45" fillId="0" borderId="0" xfId="332" applyFont="1" applyFill="1"/>
    <xf numFmtId="0" fontId="224" fillId="0" borderId="0" xfId="332" applyFont="1" applyFill="1" applyAlignment="1">
      <alignment horizontal="centerContinuous"/>
    </xf>
    <xf numFmtId="0" fontId="224" fillId="0" borderId="0" xfId="332" applyFont="1" applyFill="1" applyBorder="1" applyAlignment="1">
      <alignment horizontal="centerContinuous"/>
    </xf>
    <xf numFmtId="0" fontId="45" fillId="0" borderId="0" xfId="332" applyFont="1" applyFill="1" applyBorder="1"/>
    <xf numFmtId="5" fontId="45" fillId="0" borderId="0" xfId="332" applyNumberFormat="1" applyFont="1" applyFill="1" applyBorder="1"/>
    <xf numFmtId="37" fontId="45" fillId="0" borderId="0" xfId="332" applyNumberFormat="1" applyFont="1" applyFill="1" applyBorder="1"/>
    <xf numFmtId="176" fontId="45" fillId="0" borderId="0" xfId="332" applyNumberFormat="1" applyFont="1" applyFill="1" applyBorder="1"/>
    <xf numFmtId="7" fontId="45" fillId="0" borderId="0" xfId="332" applyNumberFormat="1" applyFont="1" applyFill="1" applyBorder="1"/>
    <xf numFmtId="0" fontId="18" fillId="0" borderId="0" xfId="332" applyFont="1" applyFill="1" applyBorder="1" applyAlignment="1">
      <alignment horizontal="centerContinuous"/>
    </xf>
    <xf numFmtId="0" fontId="45" fillId="0" borderId="0" xfId="332" applyFont="1" applyFill="1" applyBorder="1" applyAlignment="1">
      <alignment horizontal="centerContinuous"/>
    </xf>
    <xf numFmtId="5" fontId="45" fillId="0" borderId="0" xfId="332" applyNumberFormat="1" applyFont="1" applyFill="1" applyBorder="1" applyAlignment="1">
      <alignment horizontal="centerContinuous"/>
    </xf>
    <xf numFmtId="175" fontId="45" fillId="0" borderId="0" xfId="332" applyNumberFormat="1" applyFont="1" applyFill="1" applyBorder="1" applyAlignment="1">
      <alignment horizontal="centerContinuous"/>
    </xf>
    <xf numFmtId="175" fontId="45" fillId="0" borderId="0" xfId="332" applyNumberFormat="1" applyFont="1" applyFill="1" applyBorder="1"/>
    <xf numFmtId="0" fontId="18" fillId="0" borderId="0" xfId="333" applyFont="1" applyFill="1" applyBorder="1" applyAlignment="1">
      <alignment horizontal="centerContinuous"/>
    </xf>
    <xf numFmtId="0" fontId="45" fillId="0" borderId="0" xfId="333" applyFont="1" applyFill="1" applyBorder="1" applyAlignment="1">
      <alignment horizontal="center"/>
    </xf>
    <xf numFmtId="173" fontId="45" fillId="0" borderId="0" xfId="333" applyNumberFormat="1" applyFont="1" applyFill="1" applyBorder="1" applyAlignment="1">
      <alignment horizontal="center"/>
    </xf>
    <xf numFmtId="169" fontId="45" fillId="0" borderId="0" xfId="332" applyNumberFormat="1" applyFont="1" applyFill="1" applyBorder="1" applyAlignment="1">
      <alignment horizontal="left"/>
    </xf>
    <xf numFmtId="0" fontId="45" fillId="0" borderId="0" xfId="333" applyFont="1" applyFill="1" applyBorder="1" applyAlignment="1">
      <alignment horizontal="centerContinuous"/>
    </xf>
    <xf numFmtId="0" fontId="45" fillId="0" borderId="0" xfId="0" applyNumberFormat="1" applyFont="1" applyFill="1" applyBorder="1" applyAlignment="1">
      <alignment horizontal="centerContinuous"/>
    </xf>
    <xf numFmtId="0" fontId="18" fillId="0" borderId="0" xfId="0" applyNumberFormat="1" applyFont="1" applyFill="1" applyBorder="1" applyAlignment="1">
      <alignment horizontal="centerContinuous"/>
    </xf>
    <xf numFmtId="0" fontId="45" fillId="0" borderId="0" xfId="333" applyFont="1" applyFill="1" applyBorder="1"/>
    <xf numFmtId="5" fontId="45" fillId="0" borderId="0" xfId="333" applyNumberFormat="1" applyFont="1" applyFill="1" applyBorder="1"/>
    <xf numFmtId="37" fontId="45" fillId="0" borderId="0" xfId="333" applyNumberFormat="1" applyFont="1" applyFill="1" applyBorder="1"/>
    <xf numFmtId="174" fontId="45" fillId="0" borderId="0" xfId="333" applyNumberFormat="1" applyFont="1" applyFill="1" applyBorder="1"/>
    <xf numFmtId="175" fontId="45" fillId="0" borderId="0" xfId="333" applyNumberFormat="1" applyFont="1" applyFill="1" applyBorder="1"/>
    <xf numFmtId="4" fontId="18" fillId="12" borderId="0" xfId="185" applyFont="1" applyFill="1" applyAlignment="1"/>
    <xf numFmtId="191" fontId="18" fillId="0" borderId="18" xfId="0" quotePrefix="1" applyNumberFormat="1" applyFont="1" applyFill="1" applyBorder="1" applyAlignment="1">
      <alignment horizontal="right"/>
    </xf>
    <xf numFmtId="0" fontId="18" fillId="0" borderId="0" xfId="0" applyNumberFormat="1" applyFont="1" applyAlignment="1">
      <alignment horizontal="center"/>
    </xf>
    <xf numFmtId="42" fontId="225" fillId="0" borderId="0" xfId="185" applyNumberFormat="1" applyFont="1" applyFill="1" applyBorder="1" applyAlignment="1"/>
    <xf numFmtId="0" fontId="225" fillId="0" borderId="0" xfId="317" applyFont="1" applyFill="1" applyAlignment="1"/>
    <xf numFmtId="0" fontId="225" fillId="0" borderId="0" xfId="0" applyNumberFormat="1" applyFont="1" applyFill="1" applyBorder="1" applyAlignment="1">
      <alignment horizontal="left"/>
    </xf>
    <xf numFmtId="178" fontId="45" fillId="0" borderId="13" xfId="232" applyNumberFormat="1" applyFont="1" applyFill="1" applyBorder="1" applyAlignment="1" applyProtection="1">
      <protection locked="0"/>
    </xf>
    <xf numFmtId="169" fontId="45" fillId="0" borderId="0" xfId="422" applyFont="1" applyFill="1" applyAlignment="1">
      <alignment horizontal="left"/>
    </xf>
    <xf numFmtId="42" fontId="45" fillId="0" borderId="13" xfId="0" applyNumberFormat="1" applyFont="1" applyBorder="1" applyAlignment="1"/>
    <xf numFmtId="178" fontId="45" fillId="0" borderId="0" xfId="232" applyNumberFormat="1" applyFont="1" applyFill="1" applyBorder="1" applyAlignment="1" applyProtection="1">
      <protection locked="0"/>
    </xf>
    <xf numFmtId="178" fontId="45" fillId="0" borderId="0" xfId="231" applyNumberFormat="1" applyFont="1" applyFill="1" applyBorder="1"/>
    <xf numFmtId="177" fontId="45" fillId="0" borderId="0" xfId="186" applyNumberFormat="1" applyFont="1" applyFill="1" applyBorder="1"/>
    <xf numFmtId="42" fontId="45" fillId="0" borderId="0" xfId="0" applyNumberFormat="1" applyFont="1" applyBorder="1" applyAlignment="1"/>
    <xf numFmtId="9" fontId="45" fillId="0" borderId="0" xfId="342" applyFont="1" applyFill="1" applyBorder="1" applyAlignment="1" applyProtection="1">
      <protection locked="0"/>
    </xf>
    <xf numFmtId="10" fontId="45" fillId="0" borderId="0" xfId="186" applyNumberFormat="1" applyFont="1" applyFill="1" applyBorder="1"/>
    <xf numFmtId="178" fontId="45" fillId="0" borderId="14" xfId="230" applyNumberFormat="1" applyFont="1" applyFill="1" applyBorder="1" applyAlignment="1" applyProtection="1">
      <protection locked="0"/>
    </xf>
    <xf numFmtId="177" fontId="45" fillId="0" borderId="0" xfId="189" applyNumberFormat="1" applyFont="1" applyFill="1" applyAlignment="1"/>
    <xf numFmtId="178" fontId="45" fillId="0" borderId="20" xfId="232" applyNumberFormat="1" applyFont="1" applyFill="1" applyBorder="1" applyAlignment="1" applyProtection="1">
      <protection locked="0"/>
    </xf>
    <xf numFmtId="42" fontId="45" fillId="0" borderId="20" xfId="231" applyNumberFormat="1" applyFont="1" applyFill="1" applyBorder="1"/>
    <xf numFmtId="178" fontId="45" fillId="0" borderId="20" xfId="230" applyNumberFormat="1" applyFont="1" applyFill="1" applyBorder="1" applyAlignment="1" applyProtection="1">
      <protection locked="0"/>
    </xf>
    <xf numFmtId="0" fontId="45" fillId="0" borderId="0" xfId="317" applyFont="1" applyFill="1" applyAlignment="1">
      <alignment horizontal="left"/>
    </xf>
    <xf numFmtId="42" fontId="45" fillId="0" borderId="0" xfId="185" applyNumberFormat="1" applyFont="1" applyFill="1" applyBorder="1" applyAlignment="1"/>
    <xf numFmtId="9" fontId="45" fillId="0" borderId="0" xfId="317" applyNumberFormat="1" applyFont="1" applyFill="1" applyAlignment="1"/>
    <xf numFmtId="42" fontId="45" fillId="0" borderId="0" xfId="232" applyNumberFormat="1" applyFont="1" applyFill="1" applyBorder="1" applyAlignment="1"/>
    <xf numFmtId="37" fontId="45" fillId="0" borderId="0" xfId="317" applyNumberFormat="1" applyFont="1" applyFill="1" applyAlignment="1"/>
    <xf numFmtId="37" fontId="45" fillId="0" borderId="12" xfId="317" applyNumberFormat="1" applyFont="1" applyFill="1" applyBorder="1" applyAlignment="1"/>
    <xf numFmtId="0" fontId="45" fillId="0" borderId="0" xfId="0" quotePrefix="1" applyNumberFormat="1" applyFont="1" applyFill="1" applyAlignment="1">
      <alignment vertical="top"/>
    </xf>
    <xf numFmtId="177" fontId="45" fillId="0" borderId="14" xfId="185" applyNumberFormat="1" applyFont="1" applyFill="1" applyBorder="1" applyAlignment="1"/>
    <xf numFmtId="165" fontId="45" fillId="0" borderId="0" xfId="0" applyNumberFormat="1" applyFont="1" applyFill="1" applyBorder="1" applyAlignment="1">
      <alignment horizontal="center"/>
    </xf>
    <xf numFmtId="0" fontId="45" fillId="0" borderId="0" xfId="0" applyNumberFormat="1" applyFont="1" applyFill="1" applyBorder="1" applyAlignment="1" applyProtection="1">
      <alignment horizontal="left"/>
      <protection locked="0"/>
    </xf>
    <xf numFmtId="165" fontId="45" fillId="0" borderId="0" xfId="0" applyNumberFormat="1" applyFont="1" applyFill="1" applyAlignment="1">
      <alignment horizontal="center"/>
    </xf>
    <xf numFmtId="0" fontId="45" fillId="0" borderId="0" xfId="334" applyFont="1"/>
    <xf numFmtId="0" fontId="18" fillId="0" borderId="0" xfId="334" applyFont="1" applyAlignment="1" applyProtection="1">
      <alignment horizontal="centerContinuous"/>
      <protection locked="0"/>
    </xf>
    <xf numFmtId="0" fontId="45" fillId="0" borderId="0" xfId="334" applyFont="1" applyAlignment="1">
      <alignment horizontal="centerContinuous"/>
    </xf>
    <xf numFmtId="15" fontId="45" fillId="0" borderId="0" xfId="334" applyNumberFormat="1" applyFont="1" applyAlignment="1">
      <alignment horizontal="centerContinuous"/>
    </xf>
    <xf numFmtId="0" fontId="45" fillId="0" borderId="0" xfId="334" applyFont="1" applyBorder="1" applyAlignment="1">
      <alignment horizontal="centerContinuous"/>
    </xf>
    <xf numFmtId="18" fontId="45" fillId="0" borderId="0" xfId="334" applyNumberFormat="1" applyFont="1" applyAlignment="1">
      <alignment horizontal="centerContinuous"/>
    </xf>
    <xf numFmtId="0" fontId="18" fillId="0" borderId="0" xfId="334" applyFont="1" applyAlignment="1">
      <alignment horizontal="centerContinuous"/>
    </xf>
    <xf numFmtId="0" fontId="18" fillId="0" borderId="13" xfId="334" quotePrefix="1" applyFont="1" applyBorder="1" applyAlignment="1">
      <alignment horizontal="center"/>
    </xf>
    <xf numFmtId="0" fontId="18" fillId="0" borderId="13" xfId="334" applyFont="1" applyBorder="1" applyAlignment="1">
      <alignment horizontal="center"/>
    </xf>
    <xf numFmtId="0" fontId="45" fillId="0" borderId="21" xfId="334" applyFont="1" applyBorder="1"/>
    <xf numFmtId="0" fontId="45" fillId="0" borderId="14" xfId="334" applyFont="1" applyBorder="1"/>
    <xf numFmtId="14" fontId="18" fillId="0" borderId="22" xfId="334" applyNumberFormat="1" applyFont="1" applyFill="1" applyBorder="1" applyAlignment="1">
      <alignment horizontal="centerContinuous"/>
    </xf>
    <xf numFmtId="14" fontId="18" fillId="0" borderId="2" xfId="334" applyNumberFormat="1" applyFont="1" applyFill="1" applyBorder="1" applyAlignment="1">
      <alignment horizontal="centerContinuous"/>
    </xf>
    <xf numFmtId="0" fontId="45" fillId="0" borderId="23" xfId="334" applyFont="1" applyBorder="1"/>
    <xf numFmtId="0" fontId="45" fillId="0" borderId="24" xfId="334" applyFont="1" applyBorder="1"/>
    <xf numFmtId="0" fontId="45" fillId="0" borderId="0" xfId="334" applyFont="1" applyBorder="1"/>
    <xf numFmtId="0" fontId="18" fillId="0" borderId="23" xfId="334" applyFont="1" applyBorder="1" applyAlignment="1">
      <alignment horizontal="center"/>
    </xf>
    <xf numFmtId="0" fontId="18" fillId="0" borderId="2" xfId="334" applyFont="1" applyBorder="1" applyAlignment="1">
      <alignment horizontal="centerContinuous"/>
    </xf>
    <xf numFmtId="0" fontId="18" fillId="0" borderId="25" xfId="334" applyFont="1" applyBorder="1" applyAlignment="1">
      <alignment horizontal="center"/>
    </xf>
    <xf numFmtId="0" fontId="18" fillId="0" borderId="24" xfId="334" applyFont="1" applyBorder="1" applyAlignment="1">
      <alignment horizontal="center"/>
    </xf>
    <xf numFmtId="0" fontId="45" fillId="0" borderId="0" xfId="334" applyFont="1" applyBorder="1" applyAlignment="1">
      <alignment horizontal="center"/>
    </xf>
    <xf numFmtId="0" fontId="18" fillId="0" borderId="0" xfId="334" applyFont="1" applyBorder="1" applyAlignment="1">
      <alignment horizontal="center"/>
    </xf>
    <xf numFmtId="0" fontId="18" fillId="0" borderId="26" xfId="334" applyFont="1" applyBorder="1" applyAlignment="1">
      <alignment horizontal="center"/>
    </xf>
    <xf numFmtId="0" fontId="225" fillId="0" borderId="13" xfId="334" applyFont="1" applyBorder="1" applyAlignment="1">
      <alignment horizontal="center"/>
    </xf>
    <xf numFmtId="0" fontId="45" fillId="0" borderId="13" xfId="334" applyFont="1" applyBorder="1"/>
    <xf numFmtId="0" fontId="18" fillId="0" borderId="27" xfId="334" applyFont="1" applyBorder="1" applyAlignment="1">
      <alignment horizontal="center"/>
    </xf>
    <xf numFmtId="38" fontId="18" fillId="0" borderId="13" xfId="201" applyNumberFormat="1" applyFont="1" applyFill="1" applyBorder="1" applyAlignment="1">
      <alignment horizontal="center"/>
    </xf>
    <xf numFmtId="0" fontId="18" fillId="0" borderId="27" xfId="334" applyFont="1" applyFill="1" applyBorder="1" applyAlignment="1">
      <alignment horizontal="center"/>
    </xf>
    <xf numFmtId="0" fontId="45" fillId="0" borderId="25" xfId="334" applyFont="1" applyBorder="1"/>
    <xf numFmtId="0" fontId="45" fillId="0" borderId="24" xfId="334" applyFont="1" applyBorder="1" applyAlignment="1">
      <alignment horizontal="center"/>
    </xf>
    <xf numFmtId="0" fontId="225" fillId="0" borderId="0" xfId="334" applyFont="1" applyBorder="1" applyAlignment="1">
      <alignment horizontal="left"/>
    </xf>
    <xf numFmtId="171" fontId="45" fillId="0" borderId="25" xfId="334" applyNumberFormat="1" applyFont="1" applyFill="1" applyBorder="1"/>
    <xf numFmtId="0" fontId="45" fillId="0" borderId="0" xfId="334" applyFont="1" applyFill="1" applyBorder="1"/>
    <xf numFmtId="0" fontId="45" fillId="0" borderId="25" xfId="334" applyFont="1" applyFill="1" applyBorder="1"/>
    <xf numFmtId="0" fontId="45" fillId="0" borderId="0" xfId="334" applyFont="1" applyBorder="1" applyAlignment="1">
      <alignment horizontal="left"/>
    </xf>
    <xf numFmtId="42" fontId="45" fillId="0" borderId="25" xfId="334" applyNumberFormat="1" applyFont="1" applyFill="1" applyBorder="1" applyProtection="1">
      <protection locked="0"/>
    </xf>
    <xf numFmtId="182" fontId="45" fillId="0" borderId="25" xfId="334" applyNumberFormat="1" applyFont="1" applyBorder="1"/>
    <xf numFmtId="42" fontId="45" fillId="0" borderId="25" xfId="230" applyNumberFormat="1" applyFont="1" applyFill="1" applyBorder="1" applyAlignment="1">
      <alignment horizontal="right"/>
    </xf>
    <xf numFmtId="182" fontId="45" fillId="0" borderId="0" xfId="334" applyNumberFormat="1" applyFont="1" applyBorder="1"/>
    <xf numFmtId="182" fontId="45" fillId="0" borderId="23" xfId="334" applyNumberFormat="1" applyFont="1" applyFill="1" applyBorder="1"/>
    <xf numFmtId="44" fontId="45" fillId="0" borderId="0" xfId="334" applyNumberFormat="1" applyFont="1"/>
    <xf numFmtId="0" fontId="45" fillId="0" borderId="0" xfId="334" applyFont="1" applyFill="1" applyBorder="1" applyAlignment="1">
      <alignment horizontal="left"/>
    </xf>
    <xf numFmtId="41" fontId="45" fillId="0" borderId="25" xfId="334" applyNumberFormat="1" applyFont="1" applyFill="1" applyBorder="1" applyProtection="1">
      <protection locked="0"/>
    </xf>
    <xf numFmtId="183" fontId="45" fillId="0" borderId="25" xfId="334" applyNumberFormat="1" applyFont="1" applyBorder="1"/>
    <xf numFmtId="41" fontId="45" fillId="0" borderId="25" xfId="0" applyNumberFormat="1" applyFont="1" applyFill="1" applyBorder="1" applyAlignment="1">
      <alignment horizontal="right"/>
    </xf>
    <xf numFmtId="183" fontId="45" fillId="0" borderId="0" xfId="334" applyNumberFormat="1" applyFont="1" applyBorder="1"/>
    <xf numFmtId="177" fontId="45" fillId="0" borderId="25" xfId="201" applyNumberFormat="1" applyFont="1" applyFill="1" applyBorder="1" applyProtection="1">
      <protection locked="0"/>
    </xf>
    <xf numFmtId="183" fontId="45" fillId="0" borderId="25" xfId="334" applyNumberFormat="1" applyFont="1" applyFill="1" applyBorder="1"/>
    <xf numFmtId="183" fontId="45" fillId="0" borderId="27" xfId="334" applyNumberFormat="1" applyFont="1" applyBorder="1"/>
    <xf numFmtId="41" fontId="45" fillId="0" borderId="27" xfId="0" applyNumberFormat="1" applyFont="1" applyFill="1" applyBorder="1" applyAlignment="1">
      <alignment horizontal="right"/>
    </xf>
    <xf numFmtId="183" fontId="45" fillId="0" borderId="13" xfId="334" applyNumberFormat="1" applyFont="1" applyBorder="1"/>
    <xf numFmtId="183" fontId="45" fillId="0" borderId="27" xfId="334" applyNumberFormat="1" applyFont="1" applyFill="1" applyBorder="1"/>
    <xf numFmtId="42" fontId="45" fillId="0" borderId="21" xfId="334" applyNumberFormat="1" applyFont="1" applyFill="1" applyBorder="1" applyProtection="1">
      <protection locked="0"/>
    </xf>
    <xf numFmtId="182" fontId="45" fillId="0" borderId="21" xfId="334" applyNumberFormat="1" applyFont="1" applyBorder="1"/>
    <xf numFmtId="42" fontId="45" fillId="0" borderId="23" xfId="334" applyNumberFormat="1" applyFont="1" applyFill="1" applyBorder="1" applyProtection="1">
      <protection locked="0"/>
    </xf>
    <xf numFmtId="171" fontId="45" fillId="0" borderId="25" xfId="334" applyNumberFormat="1" applyFont="1" applyFill="1" applyBorder="1" applyProtection="1">
      <protection locked="0"/>
    </xf>
    <xf numFmtId="170" fontId="45" fillId="0" borderId="0" xfId="334" applyNumberFormat="1" applyFont="1" applyBorder="1"/>
    <xf numFmtId="171" fontId="45" fillId="0" borderId="0" xfId="334" applyNumberFormat="1" applyFont="1" applyBorder="1"/>
    <xf numFmtId="171" fontId="45" fillId="0" borderId="25" xfId="334" applyNumberFormat="1" applyFont="1" applyBorder="1"/>
    <xf numFmtId="170" fontId="45" fillId="0" borderId="25" xfId="334" applyNumberFormat="1" applyFont="1" applyFill="1" applyBorder="1"/>
    <xf numFmtId="43" fontId="45" fillId="0" borderId="25" xfId="334" applyNumberFormat="1" applyFont="1" applyFill="1" applyBorder="1"/>
    <xf numFmtId="182" fontId="45" fillId="0" borderId="25" xfId="334" applyNumberFormat="1" applyFont="1" applyFill="1" applyBorder="1"/>
    <xf numFmtId="41" fontId="45" fillId="0" borderId="25" xfId="334" applyNumberFormat="1" applyFont="1" applyBorder="1" applyProtection="1">
      <protection locked="0"/>
    </xf>
    <xf numFmtId="41" fontId="45" fillId="0" borderId="27" xfId="334" applyNumberFormat="1" applyFont="1" applyBorder="1" applyProtection="1">
      <protection locked="0"/>
    </xf>
    <xf numFmtId="42" fontId="45" fillId="0" borderId="23" xfId="334" applyNumberFormat="1" applyFont="1" applyFill="1" applyBorder="1"/>
    <xf numFmtId="42" fontId="45" fillId="0" borderId="0" xfId="334" applyNumberFormat="1" applyFont="1" applyBorder="1"/>
    <xf numFmtId="42" fontId="45" fillId="0" borderId="25" xfId="334" applyNumberFormat="1" applyFont="1" applyBorder="1"/>
    <xf numFmtId="42" fontId="45" fillId="0" borderId="25" xfId="334" applyNumberFormat="1" applyFont="1" applyFill="1" applyBorder="1"/>
    <xf numFmtId="0" fontId="45" fillId="0" borderId="0" xfId="334" applyFont="1" applyBorder="1" applyAlignment="1">
      <alignment horizontal="center" vertical="center"/>
    </xf>
    <xf numFmtId="0" fontId="45" fillId="0" borderId="0" xfId="334" applyFont="1" applyBorder="1" applyAlignment="1">
      <alignment horizontal="left" vertical="center"/>
    </xf>
    <xf numFmtId="0" fontId="45" fillId="0" borderId="22" xfId="334" applyFont="1" applyBorder="1"/>
    <xf numFmtId="0" fontId="223" fillId="0" borderId="22" xfId="334" applyFont="1" applyBorder="1" applyAlignment="1">
      <alignment horizontal="center"/>
    </xf>
    <xf numFmtId="0" fontId="223" fillId="0" borderId="2" xfId="334" applyFont="1" applyBorder="1" applyAlignment="1">
      <alignment horizontal="center"/>
    </xf>
    <xf numFmtId="0" fontId="223" fillId="0" borderId="2" xfId="334" applyFont="1" applyBorder="1" applyAlignment="1">
      <alignment horizontal="left"/>
    </xf>
    <xf numFmtId="41" fontId="223" fillId="0" borderId="3" xfId="334" applyNumberFormat="1" applyFont="1" applyFill="1" applyBorder="1" applyProtection="1">
      <protection locked="0"/>
    </xf>
    <xf numFmtId="183" fontId="223" fillId="0" borderId="22" xfId="334" applyNumberFormat="1" applyFont="1" applyBorder="1"/>
    <xf numFmtId="183" fontId="223" fillId="0" borderId="2" xfId="334" applyNumberFormat="1" applyFont="1" applyBorder="1"/>
    <xf numFmtId="0" fontId="45" fillId="0" borderId="2" xfId="334" applyFont="1" applyBorder="1"/>
    <xf numFmtId="183" fontId="223" fillId="0" borderId="3" xfId="334" applyNumberFormat="1" applyFont="1" applyFill="1" applyBorder="1"/>
    <xf numFmtId="41" fontId="45" fillId="0" borderId="27" xfId="334" applyNumberFormat="1" applyFont="1" applyFill="1" applyBorder="1" applyProtection="1">
      <protection locked="0"/>
    </xf>
    <xf numFmtId="182" fontId="45" fillId="0" borderId="0" xfId="334" applyNumberFormat="1" applyFont="1" applyFill="1" applyBorder="1"/>
    <xf numFmtId="42" fontId="45" fillId="0" borderId="25" xfId="334" applyNumberFormat="1" applyFont="1" applyFill="1" applyBorder="1" applyAlignment="1">
      <alignment horizontal="left"/>
    </xf>
    <xf numFmtId="42" fontId="45" fillId="0" borderId="0" xfId="334" applyNumberFormat="1" applyFont="1" applyFill="1" applyBorder="1" applyAlignment="1">
      <alignment horizontal="left"/>
    </xf>
    <xf numFmtId="44" fontId="45" fillId="0" borderId="25" xfId="334" applyNumberFormat="1" applyFont="1" applyBorder="1"/>
    <xf numFmtId="10" fontId="45" fillId="0" borderId="25" xfId="342" applyNumberFormat="1" applyFont="1" applyFill="1" applyBorder="1"/>
    <xf numFmtId="10" fontId="45" fillId="0" borderId="0" xfId="334" applyNumberFormat="1" applyFont="1" applyFill="1" applyBorder="1"/>
    <xf numFmtId="10" fontId="45" fillId="0" borderId="25" xfId="342" applyNumberFormat="1" applyFont="1" applyBorder="1"/>
    <xf numFmtId="10" fontId="45" fillId="0" borderId="25" xfId="334" applyNumberFormat="1" applyFont="1" applyFill="1" applyBorder="1"/>
    <xf numFmtId="178" fontId="45" fillId="0" borderId="25" xfId="334" applyNumberFormat="1" applyFont="1" applyFill="1" applyBorder="1"/>
    <xf numFmtId="0" fontId="45" fillId="0" borderId="26" xfId="334" applyFont="1" applyBorder="1" applyAlignment="1">
      <alignment horizontal="center"/>
    </xf>
    <xf numFmtId="178" fontId="45" fillId="0" borderId="3" xfId="334" applyNumberFormat="1" applyFont="1" applyFill="1" applyBorder="1"/>
    <xf numFmtId="182" fontId="45" fillId="0" borderId="27" xfId="334" applyNumberFormat="1" applyFont="1" applyBorder="1"/>
    <xf numFmtId="42" fontId="45" fillId="0" borderId="0" xfId="334" applyNumberFormat="1" applyFont="1" applyFill="1" applyBorder="1"/>
    <xf numFmtId="3" fontId="45" fillId="0" borderId="0" xfId="334" applyNumberFormat="1" applyFont="1"/>
    <xf numFmtId="3" fontId="45" fillId="0" borderId="0" xfId="185" applyNumberFormat="1" applyFont="1"/>
    <xf numFmtId="181" fontId="45" fillId="0" borderId="0" xfId="230" applyNumberFormat="1" applyFont="1" applyBorder="1"/>
    <xf numFmtId="43" fontId="45" fillId="0" borderId="0" xfId="334" applyNumberFormat="1" applyFont="1"/>
    <xf numFmtId="3" fontId="45" fillId="0" borderId="0" xfId="185" applyNumberFormat="1" applyFont="1" applyAlignment="1"/>
    <xf numFmtId="4" fontId="45" fillId="0" borderId="0" xfId="185" applyFont="1" applyBorder="1"/>
    <xf numFmtId="178" fontId="45" fillId="0" borderId="0" xfId="334" applyNumberFormat="1" applyFont="1"/>
    <xf numFmtId="42" fontId="45" fillId="0" borderId="0" xfId="334" applyNumberFormat="1" applyFont="1"/>
    <xf numFmtId="41" fontId="45" fillId="0" borderId="0" xfId="334" applyNumberFormat="1" applyFont="1"/>
    <xf numFmtId="10" fontId="45" fillId="0" borderId="0" xfId="334" applyNumberFormat="1" applyFont="1"/>
    <xf numFmtId="207" fontId="45" fillId="0" borderId="0" xfId="185" applyNumberFormat="1" applyFont="1"/>
    <xf numFmtId="0" fontId="66" fillId="0" borderId="0" xfId="0" applyNumberFormat="1" applyFont="1" applyAlignment="1"/>
    <xf numFmtId="0" fontId="66" fillId="0" borderId="0" xfId="0" applyNumberFormat="1" applyFont="1" applyFill="1" applyAlignment="1"/>
    <xf numFmtId="0" fontId="66" fillId="0" borderId="0" xfId="0" applyNumberFormat="1" applyFont="1" applyFill="1" applyAlignment="1">
      <alignment horizontal="right"/>
    </xf>
    <xf numFmtId="0" fontId="66" fillId="0" borderId="14" xfId="0" applyNumberFormat="1" applyFont="1" applyFill="1" applyBorder="1" applyAlignment="1"/>
    <xf numFmtId="0" fontId="66" fillId="0" borderId="0" xfId="0" applyNumberFormat="1" applyFont="1" applyBorder="1" applyAlignment="1"/>
    <xf numFmtId="177" fontId="63" fillId="0" borderId="0" xfId="185" applyNumberFormat="1" applyFont="1" applyFill="1" applyAlignment="1"/>
    <xf numFmtId="177" fontId="63" fillId="0" borderId="0" xfId="185" applyNumberFormat="1" applyFont="1" applyFill="1" applyAlignment="1">
      <alignment horizontal="right"/>
    </xf>
    <xf numFmtId="0" fontId="66" fillId="0" borderId="0" xfId="0" applyNumberFormat="1" applyFont="1" applyFill="1" applyAlignment="1">
      <alignment horizontal="center"/>
    </xf>
    <xf numFmtId="0" fontId="63" fillId="0" borderId="0" xfId="0" applyNumberFormat="1" applyFont="1" applyAlignment="1"/>
    <xf numFmtId="0" fontId="63" fillId="0" borderId="0" xfId="0" applyNumberFormat="1" applyFont="1" applyFill="1" applyAlignment="1"/>
    <xf numFmtId="0" fontId="228" fillId="0" borderId="14" xfId="0" applyNumberFormat="1" applyFont="1" applyBorder="1" applyAlignment="1"/>
    <xf numFmtId="3" fontId="229" fillId="0" borderId="0" xfId="0" applyNumberFormat="1" applyFont="1" applyFill="1" applyAlignment="1"/>
    <xf numFmtId="169" fontId="66" fillId="0" borderId="0" xfId="0" applyFont="1" applyFill="1" applyBorder="1" applyAlignment="1"/>
    <xf numFmtId="3" fontId="66" fillId="0" borderId="0" xfId="185" applyNumberFormat="1" applyFont="1" applyFill="1" applyBorder="1" applyAlignment="1"/>
    <xf numFmtId="0" fontId="63" fillId="0" borderId="14" xfId="0" applyNumberFormat="1" applyFont="1" applyBorder="1" applyAlignment="1"/>
    <xf numFmtId="41" fontId="45" fillId="0" borderId="0" xfId="0" applyNumberFormat="1" applyFont="1" applyFill="1" applyAlignment="1" applyProtection="1">
      <alignment horizontal="left"/>
    </xf>
    <xf numFmtId="178" fontId="45" fillId="0" borderId="13" xfId="186" applyNumberFormat="1" applyFont="1" applyFill="1" applyBorder="1" applyAlignment="1"/>
    <xf numFmtId="169" fontId="45" fillId="0" borderId="0" xfId="0" applyFont="1" applyAlignment="1"/>
    <xf numFmtId="169" fontId="18" fillId="0" borderId="0" xfId="0" applyFont="1" applyFill="1" applyBorder="1" applyAlignment="1">
      <alignment horizontal="center" wrapText="1"/>
    </xf>
    <xf numFmtId="169" fontId="18" fillId="0" borderId="0" xfId="0" applyFont="1" applyFill="1" applyAlignment="1">
      <alignment horizontal="center" wrapText="1"/>
    </xf>
    <xf numFmtId="41" fontId="18" fillId="0" borderId="13" xfId="0" applyNumberFormat="1" applyFont="1" applyFill="1" applyBorder="1" applyAlignment="1">
      <alignment horizontal="center"/>
    </xf>
    <xf numFmtId="16" fontId="18" fillId="0" borderId="13" xfId="0" applyNumberFormat="1" applyFont="1" applyFill="1" applyBorder="1" applyAlignment="1">
      <alignment horizontal="center"/>
    </xf>
    <xf numFmtId="177" fontId="45" fillId="0" borderId="0" xfId="186" applyNumberFormat="1" applyFont="1" applyFill="1"/>
    <xf numFmtId="41" fontId="45" fillId="0" borderId="0" xfId="186" applyNumberFormat="1" applyFont="1" applyFill="1"/>
    <xf numFmtId="178" fontId="45" fillId="0" borderId="0" xfId="231" applyNumberFormat="1" applyFont="1" applyFill="1"/>
    <xf numFmtId="177" fontId="45" fillId="0" borderId="0" xfId="186" quotePrefix="1" applyNumberFormat="1" applyFont="1" applyFill="1" applyBorder="1" applyAlignment="1">
      <alignment horizontal="center"/>
    </xf>
    <xf numFmtId="177" fontId="45" fillId="0" borderId="13" xfId="186" applyNumberFormat="1" applyFont="1" applyFill="1" applyBorder="1"/>
    <xf numFmtId="41" fontId="45" fillId="0" borderId="13" xfId="186" applyNumberFormat="1" applyFont="1" applyFill="1" applyBorder="1"/>
    <xf numFmtId="177" fontId="45" fillId="0" borderId="14" xfId="186" applyNumberFormat="1" applyFont="1" applyFill="1" applyBorder="1"/>
    <xf numFmtId="41" fontId="45" fillId="0" borderId="14" xfId="186" applyNumberFormat="1" applyFont="1" applyFill="1" applyBorder="1"/>
    <xf numFmtId="41" fontId="45" fillId="0" borderId="0" xfId="186" applyNumberFormat="1" applyFont="1" applyFill="1" applyBorder="1"/>
    <xf numFmtId="0" fontId="45" fillId="0" borderId="0" xfId="0" applyNumberFormat="1" applyFont="1" applyFill="1" applyBorder="1" applyAlignment="1" applyProtection="1"/>
    <xf numFmtId="0" fontId="45" fillId="0" borderId="0" xfId="0" applyNumberFormat="1" applyFont="1" applyFill="1" applyBorder="1" applyAlignment="1" applyProtection="1">
      <alignment horizontal="left"/>
    </xf>
    <xf numFmtId="0" fontId="45" fillId="0" borderId="0" xfId="0" quotePrefix="1" applyNumberFormat="1" applyFont="1" applyFill="1" applyBorder="1" applyAlignment="1" applyProtection="1">
      <alignment horizontal="left"/>
    </xf>
    <xf numFmtId="41" fontId="45" fillId="0" borderId="13" xfId="0" applyNumberFormat="1" applyFont="1" applyFill="1" applyBorder="1" applyAlignment="1"/>
    <xf numFmtId="169" fontId="45" fillId="0" borderId="0" xfId="0" quotePrefix="1" applyFont="1" applyFill="1" applyBorder="1" applyAlignment="1">
      <alignment horizontal="left"/>
    </xf>
    <xf numFmtId="0" fontId="45" fillId="0" borderId="0" xfId="0" applyNumberFormat="1" applyFont="1" applyFill="1" applyAlignment="1" applyProtection="1">
      <alignment horizontal="left"/>
    </xf>
    <xf numFmtId="169" fontId="45" fillId="0" borderId="2" xfId="0" applyFont="1" applyFill="1" applyBorder="1" applyAlignment="1"/>
    <xf numFmtId="41" fontId="45" fillId="0" borderId="2" xfId="0" applyNumberFormat="1" applyFont="1" applyFill="1" applyBorder="1" applyAlignment="1"/>
    <xf numFmtId="192" fontId="45" fillId="0" borderId="0" xfId="1793" applyNumberFormat="1" applyFont="1" applyFill="1"/>
    <xf numFmtId="192" fontId="45" fillId="0" borderId="0" xfId="186" applyNumberFormat="1" applyFont="1" applyFill="1" applyBorder="1"/>
    <xf numFmtId="10" fontId="45" fillId="0" borderId="0" xfId="1793" applyNumberFormat="1" applyFont="1" applyFill="1" applyBorder="1"/>
    <xf numFmtId="41" fontId="45" fillId="0" borderId="0" xfId="1793" applyNumberFormat="1" applyFont="1" applyFill="1" applyBorder="1"/>
    <xf numFmtId="192" fontId="45" fillId="0" borderId="0" xfId="1793" applyNumberFormat="1" applyFont="1" applyFill="1" applyBorder="1"/>
    <xf numFmtId="169" fontId="220" fillId="0" borderId="0" xfId="0" applyFont="1" applyFill="1" applyAlignment="1">
      <alignment horizontal="center" wrapText="1"/>
    </xf>
    <xf numFmtId="169" fontId="220" fillId="0" borderId="13" xfId="0" applyFont="1" applyFill="1" applyBorder="1" applyAlignment="1">
      <alignment horizontal="center"/>
    </xf>
    <xf numFmtId="178" fontId="45" fillId="0" borderId="118" xfId="231" applyNumberFormat="1" applyFont="1" applyFill="1" applyBorder="1"/>
    <xf numFmtId="178" fontId="45" fillId="0" borderId="114" xfId="231" applyNumberFormat="1" applyFont="1" applyFill="1" applyBorder="1"/>
    <xf numFmtId="178" fontId="45" fillId="0" borderId="3" xfId="231" applyNumberFormat="1" applyFont="1" applyFill="1" applyBorder="1"/>
    <xf numFmtId="178" fontId="45" fillId="0" borderId="22" xfId="231" applyNumberFormat="1" applyFont="1" applyFill="1" applyBorder="1"/>
    <xf numFmtId="41" fontId="18" fillId="12" borderId="0" xfId="185" applyNumberFormat="1" applyFont="1" applyFill="1" applyAlignment="1"/>
    <xf numFmtId="41" fontId="45" fillId="0" borderId="0" xfId="0" applyNumberFormat="1" applyFont="1" applyFill="1" applyAlignment="1" applyProtection="1">
      <alignment horizontal="right"/>
      <protection locked="0"/>
    </xf>
    <xf numFmtId="0" fontId="66" fillId="0" borderId="0" xfId="0" applyNumberFormat="1" applyFont="1" applyAlignment="1">
      <alignment horizontal="right"/>
    </xf>
    <xf numFmtId="0" fontId="18" fillId="0" borderId="0" xfId="0" applyNumberFormat="1" applyFont="1" applyFill="1" applyAlignment="1">
      <alignment horizontal="centerContinuous" vertical="center"/>
    </xf>
    <xf numFmtId="3" fontId="45" fillId="0" borderId="0" xfId="185" applyNumberFormat="1" applyFont="1" applyFill="1" applyAlignment="1">
      <alignment horizontal="centerContinuous" vertical="center"/>
    </xf>
    <xf numFmtId="0" fontId="18" fillId="0" borderId="0" xfId="0" applyNumberFormat="1" applyFont="1" applyFill="1" applyAlignment="1" applyProtection="1">
      <alignment horizontal="centerContinuous" vertical="center"/>
      <protection locked="0"/>
    </xf>
    <xf numFmtId="0" fontId="231" fillId="0" borderId="0" xfId="0" applyNumberFormat="1" applyFont="1" applyFill="1" applyAlignment="1">
      <alignment horizontal="centerContinuous" vertical="center"/>
    </xf>
    <xf numFmtId="0" fontId="18" fillId="0" borderId="0" xfId="0" quotePrefix="1" applyNumberFormat="1" applyFont="1" applyFill="1" applyAlignment="1">
      <alignment horizontal="left"/>
    </xf>
    <xf numFmtId="0" fontId="18" fillId="0" borderId="0" xfId="0" quotePrefix="1" applyNumberFormat="1" applyFont="1" applyFill="1" applyBorder="1" applyAlignment="1">
      <alignment horizontal="left"/>
    </xf>
    <xf numFmtId="0" fontId="232" fillId="0" borderId="0" xfId="0" applyNumberFormat="1" applyFont="1" applyFill="1" applyAlignment="1">
      <alignment horizontal="center"/>
    </xf>
    <xf numFmtId="169" fontId="223" fillId="0" borderId="0" xfId="0" applyFont="1" applyFill="1" applyBorder="1" applyAlignment="1">
      <alignment horizontal="center"/>
    </xf>
    <xf numFmtId="2" fontId="18" fillId="0" borderId="0" xfId="0" applyNumberFormat="1" applyFont="1" applyFill="1" applyAlignment="1" applyProtection="1">
      <alignment horizontal="center"/>
      <protection locked="0"/>
    </xf>
    <xf numFmtId="41" fontId="45" fillId="0" borderId="19" xfId="0" applyNumberFormat="1" applyFont="1" applyFill="1" applyBorder="1" applyAlignment="1">
      <alignment horizontal="right"/>
    </xf>
    <xf numFmtId="165" fontId="223" fillId="0" borderId="29" xfId="342" applyNumberFormat="1" applyFont="1" applyFill="1" applyBorder="1"/>
    <xf numFmtId="41" fontId="45" fillId="0" borderId="0" xfId="185" applyNumberFormat="1" applyFont="1" applyFill="1"/>
    <xf numFmtId="165" fontId="223" fillId="0" borderId="29" xfId="0" applyNumberFormat="1" applyFont="1" applyFill="1" applyBorder="1" applyAlignment="1">
      <alignment horizontal="right"/>
    </xf>
    <xf numFmtId="41" fontId="45" fillId="0" borderId="13" xfId="185" applyNumberFormat="1" applyFont="1" applyFill="1" applyBorder="1"/>
    <xf numFmtId="37" fontId="45" fillId="0" borderId="13" xfId="185" applyNumberFormat="1" applyFont="1" applyFill="1" applyBorder="1"/>
    <xf numFmtId="41" fontId="45" fillId="0" borderId="13" xfId="0" applyNumberFormat="1" applyFont="1" applyFill="1" applyBorder="1" applyAlignment="1">
      <alignment horizontal="right"/>
    </xf>
    <xf numFmtId="41" fontId="45" fillId="0" borderId="0" xfId="0" applyNumberFormat="1" applyFont="1" applyFill="1" applyBorder="1" applyAlignment="1">
      <alignment horizontal="right"/>
    </xf>
    <xf numFmtId="165" fontId="45" fillId="0" borderId="30" xfId="342" applyNumberFormat="1" applyFont="1" applyFill="1" applyBorder="1" applyProtection="1">
      <protection locked="0"/>
    </xf>
    <xf numFmtId="165" fontId="223" fillId="0" borderId="30" xfId="342" applyNumberFormat="1" applyFont="1" applyFill="1" applyBorder="1" applyProtection="1">
      <protection locked="0"/>
    </xf>
    <xf numFmtId="6" fontId="45" fillId="0" borderId="0" xfId="0" applyNumberFormat="1" applyFont="1" applyFill="1" applyAlignment="1"/>
    <xf numFmtId="41" fontId="45" fillId="0" borderId="0" xfId="0" applyNumberFormat="1" applyFont="1" applyFill="1" applyBorder="1" applyAlignment="1">
      <alignment horizontal="left"/>
    </xf>
    <xf numFmtId="41" fontId="45" fillId="0" borderId="0" xfId="230" applyNumberFormat="1" applyFont="1" applyFill="1"/>
    <xf numFmtId="41" fontId="45" fillId="0" borderId="0" xfId="230" applyNumberFormat="1" applyFont="1" applyFill="1" applyAlignment="1">
      <alignment horizontal="right"/>
    </xf>
    <xf numFmtId="41" fontId="45" fillId="0" borderId="0" xfId="230" applyNumberFormat="1" applyFont="1" applyFill="1" applyProtection="1">
      <protection locked="0"/>
    </xf>
    <xf numFmtId="42" fontId="45" fillId="0" borderId="14" xfId="230" applyNumberFormat="1" applyFont="1" applyFill="1" applyBorder="1"/>
    <xf numFmtId="0" fontId="45" fillId="0" borderId="0" xfId="0" applyNumberFormat="1" applyFont="1" applyFill="1" applyAlignment="1">
      <alignment horizontal="left" vertical="top"/>
    </xf>
    <xf numFmtId="171" fontId="45" fillId="0" borderId="0" xfId="0" applyNumberFormat="1" applyFont="1" applyFill="1" applyAlignment="1">
      <alignment vertical="top"/>
    </xf>
    <xf numFmtId="44" fontId="45" fillId="0" borderId="0" xfId="230" applyNumberFormat="1" applyFont="1" applyFill="1" applyAlignment="1">
      <alignment horizontal="right"/>
    </xf>
    <xf numFmtId="41" fontId="45" fillId="0" borderId="0" xfId="0" applyNumberFormat="1" applyFont="1" applyFill="1" applyBorder="1" applyAlignment="1">
      <alignment vertical="center"/>
    </xf>
    <xf numFmtId="41" fontId="45" fillId="0" borderId="0" xfId="0" applyNumberFormat="1" applyFont="1" applyFill="1" applyAlignment="1">
      <alignment vertical="center"/>
    </xf>
    <xf numFmtId="10" fontId="45" fillId="0" borderId="0" xfId="342" applyNumberFormat="1" applyFont="1" applyFill="1" applyBorder="1"/>
    <xf numFmtId="42" fontId="45" fillId="0" borderId="0" xfId="0" applyNumberFormat="1" applyFont="1" applyFill="1" applyAlignment="1">
      <alignment horizontal="left"/>
    </xf>
    <xf numFmtId="42" fontId="45" fillId="0" borderId="20" xfId="230" applyNumberFormat="1" applyFont="1" applyFill="1" applyBorder="1" applyProtection="1">
      <protection locked="0"/>
    </xf>
    <xf numFmtId="5" fontId="45" fillId="0" borderId="0" xfId="0" applyNumberFormat="1" applyFont="1" applyFill="1" applyAlignment="1"/>
    <xf numFmtId="184" fontId="45" fillId="0" borderId="0" xfId="0" applyNumberFormat="1" applyFont="1" applyFill="1" applyAlignment="1"/>
    <xf numFmtId="180" fontId="45" fillId="0" borderId="0" xfId="0" applyNumberFormat="1" applyFont="1" applyFill="1" applyAlignment="1" applyProtection="1">
      <alignment horizontal="left"/>
    </xf>
    <xf numFmtId="42" fontId="45" fillId="0" borderId="0" xfId="230" applyNumberFormat="1" applyFont="1" applyFill="1" applyProtection="1"/>
    <xf numFmtId="41" fontId="45" fillId="0" borderId="0" xfId="0" applyNumberFormat="1" applyFont="1" applyFill="1" applyBorder="1" applyAlignment="1" applyProtection="1"/>
    <xf numFmtId="41" fontId="45" fillId="0" borderId="0" xfId="0" applyNumberFormat="1" applyFont="1" applyFill="1" applyAlignment="1" applyProtection="1">
      <alignment horizontal="left"/>
      <protection locked="0"/>
    </xf>
    <xf numFmtId="41" fontId="45" fillId="0" borderId="13" xfId="0" applyNumberFormat="1" applyFont="1" applyFill="1" applyBorder="1" applyAlignment="1" applyProtection="1">
      <protection locked="0"/>
    </xf>
    <xf numFmtId="42" fontId="45" fillId="0" borderId="0" xfId="230" applyNumberFormat="1" applyFont="1" applyFill="1" applyBorder="1" applyProtection="1"/>
    <xf numFmtId="179" fontId="45" fillId="0" borderId="0" xfId="0" applyNumberFormat="1" applyFont="1" applyFill="1" applyAlignment="1" applyProtection="1">
      <alignment horizontal="left"/>
    </xf>
    <xf numFmtId="10" fontId="45" fillId="0" borderId="0" xfId="0" applyNumberFormat="1" applyFont="1" applyFill="1" applyAlignment="1" applyProtection="1"/>
    <xf numFmtId="42" fontId="45" fillId="0" borderId="20" xfId="230" applyNumberFormat="1" applyFont="1" applyFill="1" applyBorder="1" applyAlignment="1" applyProtection="1">
      <alignment vertical="top"/>
    </xf>
    <xf numFmtId="9" fontId="45" fillId="0" borderId="0" xfId="342" applyFont="1" applyFill="1" applyBorder="1"/>
    <xf numFmtId="42" fontId="45" fillId="0" borderId="20" xfId="230" applyNumberFormat="1" applyFont="1" applyFill="1" applyBorder="1" applyProtection="1"/>
    <xf numFmtId="4" fontId="45" fillId="0" borderId="0" xfId="185" applyFont="1" applyFill="1" applyBorder="1"/>
    <xf numFmtId="0" fontId="66" fillId="0" borderId="0" xfId="0" applyNumberFormat="1" applyFont="1" applyFill="1" applyBorder="1" applyAlignment="1"/>
    <xf numFmtId="41" fontId="45" fillId="0" borderId="0" xfId="0" applyNumberFormat="1" applyFont="1" applyFill="1" applyBorder="1" applyAlignment="1" applyProtection="1">
      <alignment horizontal="left"/>
    </xf>
    <xf numFmtId="169" fontId="18" fillId="0" borderId="0" xfId="0" applyFont="1" applyFill="1" applyBorder="1" applyAlignment="1">
      <alignment horizontal="left"/>
    </xf>
    <xf numFmtId="42" fontId="18" fillId="0" borderId="0" xfId="0" applyNumberFormat="1" applyFont="1" applyFill="1" applyBorder="1" applyAlignment="1"/>
    <xf numFmtId="192" fontId="45" fillId="0" borderId="0" xfId="342" applyNumberFormat="1" applyFont="1" applyFill="1" applyBorder="1"/>
    <xf numFmtId="167" fontId="45" fillId="0" borderId="0" xfId="0" applyNumberFormat="1" applyFont="1" applyFill="1" applyBorder="1" applyAlignment="1"/>
    <xf numFmtId="202" fontId="45" fillId="0" borderId="0" xfId="185" applyNumberFormat="1" applyFont="1" applyFill="1" applyBorder="1" applyAlignment="1"/>
    <xf numFmtId="0" fontId="203" fillId="0" borderId="22" xfId="1934" applyFont="1" applyBorder="1" applyAlignment="1">
      <alignment horizontal="center"/>
    </xf>
    <xf numFmtId="0" fontId="205" fillId="0" borderId="2" xfId="1934" applyFont="1" applyBorder="1" applyAlignment="1"/>
    <xf numFmtId="0" fontId="205" fillId="0" borderId="32" xfId="1934" applyFont="1" applyBorder="1" applyAlignment="1"/>
    <xf numFmtId="0" fontId="220" fillId="0" borderId="0" xfId="1934" applyFont="1" applyAlignment="1">
      <alignment horizontal="center"/>
    </xf>
    <xf numFmtId="0" fontId="221" fillId="0" borderId="22" xfId="1935" applyFont="1" applyBorder="1" applyAlignment="1">
      <alignment horizontal="center"/>
    </xf>
    <xf numFmtId="0" fontId="223" fillId="0" borderId="2" xfId="1934" applyFont="1" applyBorder="1" applyAlignment="1">
      <alignment horizontal="center"/>
    </xf>
    <xf numFmtId="0" fontId="221" fillId="0" borderId="2" xfId="1935" applyFont="1" applyBorder="1" applyAlignment="1">
      <alignment horizontal="center"/>
    </xf>
    <xf numFmtId="0" fontId="223" fillId="0" borderId="32" xfId="1934" applyFont="1" applyBorder="1" applyAlignment="1">
      <alignment horizontal="center"/>
    </xf>
    <xf numFmtId="0" fontId="12" fillId="0" borderId="0" xfId="445" applyNumberFormat="1" applyFont="1" applyFill="1" applyAlignment="1">
      <alignment horizontal="center"/>
    </xf>
    <xf numFmtId="0" fontId="12" fillId="0" borderId="0" xfId="445" applyNumberFormat="1" applyFont="1" applyFill="1" applyAlignment="1">
      <alignment horizontal="center" vertical="center"/>
    </xf>
    <xf numFmtId="0" fontId="18" fillId="0" borderId="0" xfId="0" applyNumberFormat="1" applyFont="1" applyFill="1" applyAlignment="1" applyProtection="1">
      <alignment horizontal="center"/>
      <protection locked="0"/>
    </xf>
    <xf numFmtId="0" fontId="24" fillId="0" borderId="0" xfId="0" applyNumberFormat="1" applyFont="1" applyAlignment="1">
      <alignment horizontal="center"/>
    </xf>
    <xf numFmtId="41" fontId="15" fillId="0" borderId="16" xfId="1916" applyNumberFormat="1" applyBorder="1" applyAlignment="1"/>
    <xf numFmtId="0" fontId="0" fillId="0" borderId="79" xfId="0" applyNumberFormat="1" applyBorder="1" applyAlignment="1"/>
    <xf numFmtId="10" fontId="15" fillId="0" borderId="14" xfId="1803" applyNumberFormat="1" applyFont="1" applyBorder="1" applyAlignment="1"/>
    <xf numFmtId="10" fontId="15" fillId="0" borderId="0" xfId="1803" applyNumberFormat="1" applyFont="1" applyBorder="1" applyAlignment="1"/>
    <xf numFmtId="41" fontId="15" fillId="0" borderId="0" xfId="1916" applyNumberFormat="1" applyBorder="1" applyAlignment="1"/>
    <xf numFmtId="0" fontId="0" fillId="0" borderId="28" xfId="0" applyNumberFormat="1" applyBorder="1" applyAlignment="1"/>
    <xf numFmtId="41" fontId="15" fillId="0" borderId="12" xfId="1916" applyNumberFormat="1" applyBorder="1" applyAlignment="1"/>
    <xf numFmtId="0" fontId="0" fillId="0" borderId="65" xfId="0" applyNumberFormat="1" applyBorder="1" applyAlignment="1"/>
    <xf numFmtId="0" fontId="169" fillId="0" borderId="0" xfId="1917" applyFont="1" applyAlignment="1">
      <alignment horizontal="center"/>
    </xf>
    <xf numFmtId="37" fontId="169" fillId="0" borderId="0" xfId="422" applyNumberFormat="1" applyFont="1" applyFill="1" applyBorder="1" applyAlignment="1">
      <alignment horizontal="center" vertical="center"/>
    </xf>
    <xf numFmtId="44" fontId="15" fillId="0" borderId="0" xfId="0" applyNumberFormat="1" applyFont="1" applyAlignment="1">
      <alignment horizontal="center"/>
    </xf>
    <xf numFmtId="0" fontId="24" fillId="0" borderId="22" xfId="0" applyNumberFormat="1" applyFont="1" applyBorder="1" applyAlignment="1">
      <alignment horizontal="center" vertical="center"/>
    </xf>
    <xf numFmtId="0" fontId="24" fillId="0" borderId="2" xfId="0" applyNumberFormat="1" applyFont="1" applyBorder="1" applyAlignment="1">
      <alignment horizontal="center" vertical="center"/>
    </xf>
    <xf numFmtId="0" fontId="24" fillId="0" borderId="32" xfId="0" applyNumberFormat="1" applyFont="1" applyBorder="1" applyAlignment="1">
      <alignment horizontal="center" vertical="center"/>
    </xf>
    <xf numFmtId="0" fontId="24" fillId="0" borderId="19" xfId="0" applyNumberFormat="1" applyFont="1" applyBorder="1" applyAlignment="1">
      <alignment horizontal="center" vertical="center"/>
    </xf>
    <xf numFmtId="0" fontId="15" fillId="0" borderId="30" xfId="0" applyNumberFormat="1" applyFont="1" applyBorder="1" applyAlignment="1">
      <alignment horizontal="center" vertical="center"/>
    </xf>
    <xf numFmtId="0" fontId="185" fillId="0" borderId="0" xfId="1926" applyFont="1" applyAlignment="1">
      <alignment horizontal="right"/>
    </xf>
    <xf numFmtId="0" fontId="182" fillId="0" borderId="0" xfId="1926" applyFont="1" applyAlignment="1">
      <alignment horizontal="center"/>
    </xf>
    <xf numFmtId="195" fontId="182" fillId="0" borderId="0" xfId="1926" quotePrefix="1" applyNumberFormat="1" applyFont="1" applyAlignment="1">
      <alignment horizontal="center"/>
    </xf>
    <xf numFmtId="0" fontId="185" fillId="0" borderId="0" xfId="1926" applyFont="1" applyAlignment="1">
      <alignment horizontal="center"/>
    </xf>
    <xf numFmtId="0" fontId="186" fillId="0" borderId="0" xfId="1926" applyNumberFormat="1" applyFont="1" applyAlignment="1">
      <alignment horizontal="center"/>
    </xf>
    <xf numFmtId="0" fontId="186" fillId="0" borderId="0" xfId="1926" applyFont="1" applyBorder="1" applyAlignment="1">
      <alignment horizontal="center"/>
    </xf>
    <xf numFmtId="0" fontId="186" fillId="0" borderId="0" xfId="1926" applyFont="1" applyAlignment="1">
      <alignment horizontal="center"/>
    </xf>
    <xf numFmtId="0" fontId="185" fillId="0" borderId="0" xfId="1927" applyFont="1" applyAlignment="1">
      <alignment horizontal="right"/>
    </xf>
    <xf numFmtId="0" fontId="193" fillId="0" borderId="0" xfId="1927" applyFont="1" applyAlignment="1">
      <alignment horizontal="center"/>
    </xf>
    <xf numFmtId="195" fontId="193" fillId="0" borderId="0" xfId="1927" quotePrefix="1" applyNumberFormat="1" applyFont="1" applyAlignment="1">
      <alignment horizontal="center"/>
    </xf>
    <xf numFmtId="0" fontId="185" fillId="0" borderId="0" xfId="1927" applyFont="1" applyAlignment="1">
      <alignment horizontal="center"/>
    </xf>
    <xf numFmtId="0" fontId="186" fillId="0" borderId="0" xfId="1927" applyNumberFormat="1" applyFont="1" applyAlignment="1">
      <alignment horizontal="center"/>
    </xf>
    <xf numFmtId="0" fontId="186" fillId="0" borderId="0" xfId="1927" applyFont="1" applyBorder="1" applyAlignment="1">
      <alignment horizontal="center"/>
    </xf>
    <xf numFmtId="0" fontId="186" fillId="0" borderId="0" xfId="1927" applyFont="1" applyAlignment="1">
      <alignment horizontal="center"/>
    </xf>
    <xf numFmtId="0" fontId="95" fillId="0" borderId="0" xfId="1930" applyFont="1" applyAlignment="1">
      <alignment horizontal="center"/>
    </xf>
    <xf numFmtId="0" fontId="12" fillId="0" borderId="0" xfId="1928" applyFont="1" applyFill="1" applyAlignment="1" applyProtection="1">
      <alignment horizontal="center"/>
      <protection locked="0"/>
    </xf>
    <xf numFmtId="0" fontId="12" fillId="0" borderId="0" xfId="1928" applyFont="1" applyFill="1" applyAlignment="1">
      <alignment horizontal="center"/>
    </xf>
    <xf numFmtId="0" fontId="12" fillId="0" borderId="0" xfId="1928" applyFont="1" applyAlignment="1">
      <alignment horizontal="center"/>
    </xf>
    <xf numFmtId="0" fontId="24" fillId="0" borderId="0" xfId="1928" applyFont="1" applyAlignment="1">
      <alignment horizontal="center"/>
    </xf>
    <xf numFmtId="0" fontId="24" fillId="0" borderId="22" xfId="314" applyFont="1" applyBorder="1" applyAlignment="1">
      <alignment horizontal="center"/>
    </xf>
    <xf numFmtId="0" fontId="24" fillId="0" borderId="2" xfId="314" applyFont="1" applyBorder="1" applyAlignment="1">
      <alignment horizontal="center"/>
    </xf>
    <xf numFmtId="0" fontId="24" fillId="0" borderId="32" xfId="314" applyFont="1" applyBorder="1" applyAlignment="1">
      <alignment horizontal="center"/>
    </xf>
    <xf numFmtId="0" fontId="24" fillId="0" borderId="3" xfId="314" applyFont="1" applyBorder="1" applyAlignment="1">
      <alignment horizontal="center"/>
    </xf>
    <xf numFmtId="0" fontId="24" fillId="0" borderId="0" xfId="314" applyFont="1" applyAlignment="1">
      <alignment horizontal="left" wrapText="1"/>
    </xf>
    <xf numFmtId="169" fontId="12" fillId="0" borderId="0" xfId="422" applyFont="1" applyFill="1" applyAlignment="1" applyProtection="1">
      <alignment horizontal="center"/>
      <protection locked="0"/>
    </xf>
    <xf numFmtId="169" fontId="12" fillId="0" borderId="70" xfId="422" applyFont="1" applyFill="1" applyBorder="1" applyAlignment="1" applyProtection="1">
      <alignment horizontal="center"/>
      <protection locked="0"/>
    </xf>
    <xf numFmtId="169" fontId="12" fillId="0" borderId="0" xfId="422" applyFont="1" applyFill="1" applyAlignment="1" applyProtection="1">
      <alignment horizontal="center" wrapText="1"/>
      <protection locked="0"/>
    </xf>
    <xf numFmtId="49" fontId="15" fillId="0" borderId="22" xfId="314" applyNumberFormat="1" applyFont="1" applyFill="1" applyBorder="1" applyAlignment="1">
      <alignment horizontal="center"/>
    </xf>
    <xf numFmtId="49" fontId="15" fillId="0" borderId="2" xfId="314" applyNumberFormat="1" applyFont="1" applyFill="1" applyBorder="1" applyAlignment="1">
      <alignment horizontal="center"/>
    </xf>
    <xf numFmtId="49" fontId="15" fillId="0" borderId="32" xfId="314" applyNumberFormat="1" applyFont="1" applyFill="1" applyBorder="1" applyAlignment="1">
      <alignment horizontal="center"/>
    </xf>
    <xf numFmtId="0" fontId="15" fillId="0" borderId="22" xfId="314" applyFont="1" applyFill="1" applyBorder="1" applyAlignment="1">
      <alignment horizontal="center"/>
    </xf>
    <xf numFmtId="0" fontId="15" fillId="0" borderId="2" xfId="314" applyFont="1" applyFill="1" applyBorder="1" applyAlignment="1">
      <alignment horizontal="center"/>
    </xf>
    <xf numFmtId="0" fontId="15" fillId="0" borderId="32" xfId="314" applyFont="1" applyFill="1" applyBorder="1" applyAlignment="1">
      <alignment horizontal="center"/>
    </xf>
    <xf numFmtId="0" fontId="43" fillId="0" borderId="0" xfId="1696" applyFont="1" applyFill="1" applyAlignment="1">
      <alignment horizontal="center" wrapText="1"/>
    </xf>
    <xf numFmtId="169" fontId="12" fillId="0" borderId="0" xfId="422" applyFont="1" applyFill="1" applyAlignment="1">
      <alignment horizontal="center"/>
    </xf>
    <xf numFmtId="0" fontId="12" fillId="0" borderId="0" xfId="1740" applyFont="1" applyFill="1" applyAlignment="1">
      <alignment horizontal="center"/>
    </xf>
    <xf numFmtId="3" fontId="12" fillId="0" borderId="0" xfId="186" applyNumberFormat="1" applyFont="1" applyFill="1" applyAlignment="1">
      <alignment horizontal="center"/>
    </xf>
    <xf numFmtId="0" fontId="141" fillId="0" borderId="13" xfId="1900" applyFont="1" applyBorder="1" applyAlignment="1">
      <alignment horizontal="center"/>
    </xf>
    <xf numFmtId="0" fontId="34" fillId="0" borderId="3" xfId="1900" applyFont="1" applyFill="1" applyBorder="1" applyAlignment="1">
      <alignment horizontal="center"/>
    </xf>
    <xf numFmtId="0" fontId="140" fillId="0" borderId="22" xfId="1900" applyFont="1" applyFill="1" applyBorder="1" applyAlignment="1">
      <alignment horizontal="center"/>
    </xf>
    <xf numFmtId="0" fontId="140" fillId="0" borderId="2" xfId="1900" applyFont="1" applyFill="1" applyBorder="1" applyAlignment="1">
      <alignment horizontal="center"/>
    </xf>
    <xf numFmtId="0" fontId="140" fillId="0" borderId="32" xfId="1900" applyFont="1" applyFill="1" applyBorder="1" applyAlignment="1">
      <alignment horizontal="center"/>
    </xf>
    <xf numFmtId="0" fontId="12" fillId="104" borderId="57" xfId="1717" applyFont="1" applyFill="1" applyBorder="1" applyAlignment="1">
      <alignment horizontal="center"/>
    </xf>
    <xf numFmtId="0" fontId="12" fillId="104" borderId="58" xfId="1717" applyFont="1" applyFill="1" applyBorder="1" applyAlignment="1">
      <alignment horizontal="center"/>
    </xf>
    <xf numFmtId="0" fontId="12" fillId="104" borderId="59" xfId="1717" applyFont="1" applyFill="1" applyBorder="1" applyAlignment="1">
      <alignment horizontal="center"/>
    </xf>
    <xf numFmtId="0" fontId="12" fillId="104" borderId="60" xfId="1717" applyFont="1" applyFill="1" applyBorder="1" applyAlignment="1">
      <alignment horizontal="center"/>
    </xf>
    <xf numFmtId="42" fontId="18" fillId="0" borderId="0" xfId="230" applyNumberFormat="1" applyFont="1" applyFill="1"/>
    <xf numFmtId="42" fontId="18" fillId="0" borderId="14" xfId="230" applyNumberFormat="1" applyFont="1" applyFill="1" applyBorder="1" applyProtection="1">
      <protection locked="0"/>
    </xf>
    <xf numFmtId="42" fontId="18" fillId="0" borderId="0" xfId="230" applyNumberFormat="1" applyFont="1" applyFill="1" applyAlignment="1">
      <alignment horizontal="right"/>
    </xf>
    <xf numFmtId="42" fontId="18" fillId="0" borderId="14" xfId="230" applyNumberFormat="1" applyFont="1" applyFill="1" applyBorder="1"/>
    <xf numFmtId="10" fontId="18" fillId="0" borderId="0" xfId="0" applyNumberFormat="1" applyFont="1" applyFill="1" applyAlignment="1"/>
    <xf numFmtId="41" fontId="18" fillId="0" borderId="0" xfId="0" applyNumberFormat="1" applyFont="1" applyFill="1" applyAlignment="1">
      <alignment horizontal="right"/>
    </xf>
    <xf numFmtId="41" fontId="18" fillId="0" borderId="13" xfId="0" applyNumberFormat="1" applyFont="1" applyFill="1" applyBorder="1" applyAlignment="1">
      <alignment horizontal="right"/>
    </xf>
    <xf numFmtId="42" fontId="18" fillId="0" borderId="0" xfId="230" applyNumberFormat="1" applyFont="1" applyFill="1" applyBorder="1" applyProtection="1">
      <protection locked="0"/>
    </xf>
    <xf numFmtId="0" fontId="45" fillId="0" borderId="0" xfId="1935" applyFont="1"/>
    <xf numFmtId="0" fontId="45" fillId="0" borderId="0" xfId="1935" applyFont="1" applyAlignment="1">
      <alignment horizontal="right"/>
    </xf>
    <xf numFmtId="0" fontId="137" fillId="0" borderId="0" xfId="1935" applyFont="1"/>
    <xf numFmtId="0" fontId="18" fillId="0" borderId="0" xfId="1934" applyFont="1" applyAlignment="1">
      <alignment horizontal="center"/>
    </xf>
    <xf numFmtId="0" fontId="223" fillId="0" borderId="22" xfId="1935" applyFont="1" applyBorder="1" applyAlignment="1">
      <alignment horizontal="center"/>
    </xf>
    <xf numFmtId="0" fontId="223" fillId="0" borderId="2" xfId="1935" applyFont="1" applyBorder="1" applyAlignment="1">
      <alignment horizontal="center"/>
    </xf>
    <xf numFmtId="0" fontId="45" fillId="0" borderId="23" xfId="1935" applyFont="1" applyBorder="1" applyAlignment="1">
      <alignment horizontal="center"/>
    </xf>
    <xf numFmtId="0" fontId="45" fillId="0" borderId="21" xfId="1935" applyFont="1" applyBorder="1" applyAlignment="1">
      <alignment horizontal="center"/>
    </xf>
    <xf numFmtId="0" fontId="45" fillId="0" borderId="21" xfId="1934" applyFont="1" applyBorder="1" applyAlignment="1">
      <alignment horizontal="center"/>
    </xf>
    <xf numFmtId="0" fontId="45" fillId="120" borderId="25" xfId="1934" applyFont="1" applyFill="1" applyBorder="1" applyAlignment="1">
      <alignment horizontal="center"/>
    </xf>
    <xf numFmtId="0" fontId="45" fillId="0" borderId="61" xfId="1935" applyFont="1" applyBorder="1" applyAlignment="1">
      <alignment horizontal="center"/>
    </xf>
    <xf numFmtId="0" fontId="45" fillId="0" borderId="23" xfId="1934" applyFont="1" applyBorder="1" applyAlignment="1">
      <alignment horizontal="center"/>
    </xf>
    <xf numFmtId="0" fontId="45" fillId="0" borderId="25" xfId="1935" applyFont="1" applyBorder="1" applyAlignment="1">
      <alignment horizontal="center"/>
    </xf>
    <xf numFmtId="10" fontId="18" fillId="0" borderId="24" xfId="1935" quotePrefix="1" applyNumberFormat="1" applyFont="1" applyBorder="1" applyAlignment="1">
      <alignment horizontal="center"/>
    </xf>
    <xf numFmtId="0" fontId="45" fillId="0" borderId="24" xfId="1934" applyFont="1" applyBorder="1" applyAlignment="1">
      <alignment horizontal="center"/>
    </xf>
    <xf numFmtId="0" fontId="45" fillId="0" borderId="28" xfId="1935" applyFont="1" applyBorder="1" applyAlignment="1">
      <alignment horizontal="center"/>
    </xf>
    <xf numFmtId="10" fontId="45" fillId="0" borderId="24" xfId="1935" quotePrefix="1" applyNumberFormat="1" applyFont="1" applyBorder="1" applyAlignment="1">
      <alignment horizontal="center"/>
    </xf>
    <xf numFmtId="0" fontId="45" fillId="0" borderId="25" xfId="1934" applyFont="1" applyBorder="1" applyAlignment="1">
      <alignment horizontal="center"/>
    </xf>
    <xf numFmtId="10" fontId="45" fillId="0" borderId="25" xfId="1935" applyNumberFormat="1" applyFont="1" applyBorder="1" applyAlignment="1">
      <alignment horizontal="center"/>
    </xf>
    <xf numFmtId="0" fontId="45" fillId="0" borderId="62" xfId="1935" applyFont="1" applyBorder="1" applyAlignment="1">
      <alignment horizontal="center"/>
    </xf>
    <xf numFmtId="0" fontId="45" fillId="0" borderId="116" xfId="1935" applyFont="1" applyBorder="1" applyAlignment="1">
      <alignment horizontal="center"/>
    </xf>
    <xf numFmtId="0" fontId="45" fillId="0" borderId="116" xfId="1934" applyFont="1" applyBorder="1" applyAlignment="1">
      <alignment horizontal="center"/>
    </xf>
    <xf numFmtId="10" fontId="45" fillId="120" borderId="25" xfId="1793" applyNumberFormat="1" applyFont="1" applyFill="1" applyBorder="1"/>
    <xf numFmtId="0" fontId="45" fillId="0" borderId="63" xfId="1935" applyFont="1" applyBorder="1" applyAlignment="1">
      <alignment horizontal="center"/>
    </xf>
    <xf numFmtId="0" fontId="45" fillId="0" borderId="62" xfId="1934" applyFont="1" applyBorder="1" applyAlignment="1">
      <alignment horizontal="center"/>
    </xf>
    <xf numFmtId="0" fontId="45" fillId="0" borderId="27" xfId="1935" applyFont="1" applyBorder="1"/>
    <xf numFmtId="42" fontId="45" fillId="0" borderId="27" xfId="1936" applyNumberFormat="1" applyFont="1" applyBorder="1"/>
    <xf numFmtId="177" fontId="45" fillId="0" borderId="27" xfId="1936" applyNumberFormat="1" applyFont="1" applyBorder="1"/>
    <xf numFmtId="10" fontId="45" fillId="0" borderId="26" xfId="1793" applyNumberFormat="1" applyFont="1" applyBorder="1"/>
    <xf numFmtId="42" fontId="45" fillId="0" borderId="64" xfId="1936" applyNumberFormat="1" applyFont="1" applyBorder="1"/>
    <xf numFmtId="177" fontId="223" fillId="0" borderId="27" xfId="1935" applyNumberFormat="1" applyFont="1" applyBorder="1"/>
    <xf numFmtId="165" fontId="45" fillId="0" borderId="0" xfId="342" applyNumberFormat="1" applyFont="1"/>
    <xf numFmtId="43" fontId="45" fillId="0" borderId="3" xfId="1936" applyFont="1" applyBorder="1"/>
    <xf numFmtId="0" fontId="45" fillId="0" borderId="3" xfId="1935" applyFont="1" applyBorder="1"/>
    <xf numFmtId="177" fontId="45" fillId="0" borderId="3" xfId="1936" applyNumberFormat="1" applyFont="1" applyBorder="1"/>
    <xf numFmtId="10" fontId="45" fillId="0" borderId="22" xfId="1793" applyNumberFormat="1" applyFont="1" applyBorder="1"/>
    <xf numFmtId="177" fontId="45" fillId="0" borderId="32" xfId="1936" applyNumberFormat="1" applyFont="1" applyBorder="1"/>
    <xf numFmtId="177" fontId="18" fillId="0" borderId="3" xfId="1936" applyNumberFormat="1" applyFont="1" applyBorder="1"/>
    <xf numFmtId="177" fontId="18" fillId="0" borderId="32" xfId="1936" applyNumberFormat="1" applyFont="1" applyBorder="1"/>
    <xf numFmtId="0" fontId="45" fillId="0" borderId="3" xfId="1934" applyFont="1" applyBorder="1"/>
    <xf numFmtId="165" fontId="45" fillId="0" borderId="0" xfId="1935" applyNumberFormat="1" applyFont="1"/>
    <xf numFmtId="43" fontId="45" fillId="0" borderId="90" xfId="1936" applyFont="1" applyBorder="1"/>
    <xf numFmtId="177" fontId="45" fillId="0" borderId="115" xfId="186" applyNumberFormat="1" applyFont="1" applyBorder="1"/>
    <xf numFmtId="177" fontId="18" fillId="0" borderId="115" xfId="186" applyNumberFormat="1" applyFont="1" applyBorder="1"/>
    <xf numFmtId="10" fontId="45" fillId="0" borderId="113" xfId="1793" applyNumberFormat="1" applyFont="1" applyBorder="1"/>
    <xf numFmtId="43" fontId="45" fillId="0" borderId="0" xfId="1936" applyFont="1" applyBorder="1"/>
    <xf numFmtId="0" fontId="18" fillId="0" borderId="87" xfId="1935" applyFont="1" applyBorder="1"/>
    <xf numFmtId="177" fontId="45" fillId="0" borderId="64" xfId="1936" applyNumberFormat="1" applyFont="1" applyBorder="1"/>
    <xf numFmtId="10" fontId="45" fillId="0" borderId="27" xfId="1793" applyNumberFormat="1" applyFont="1" applyBorder="1"/>
    <xf numFmtId="177" fontId="45" fillId="0" borderId="0" xfId="1935" applyNumberFormat="1" applyFont="1"/>
    <xf numFmtId="0" fontId="223" fillId="0" borderId="3" xfId="1935" applyFont="1" applyBorder="1"/>
    <xf numFmtId="177" fontId="232" fillId="0" borderId="3" xfId="1936" applyNumberFormat="1" applyFont="1" applyBorder="1"/>
    <xf numFmtId="10" fontId="223" fillId="0" borderId="22" xfId="1793" applyNumberFormat="1" applyFont="1" applyBorder="1"/>
    <xf numFmtId="10" fontId="223" fillId="120" borderId="27" xfId="1793" applyNumberFormat="1" applyFont="1" applyFill="1" applyBorder="1"/>
    <xf numFmtId="177" fontId="232" fillId="0" borderId="32" xfId="1936" applyNumberFormat="1" applyFont="1" applyBorder="1"/>
    <xf numFmtId="10" fontId="223" fillId="0" borderId="3" xfId="1793" applyNumberFormat="1" applyFont="1" applyBorder="1"/>
    <xf numFmtId="177" fontId="45" fillId="0" borderId="0" xfId="1936" applyNumberFormat="1" applyFont="1"/>
    <xf numFmtId="10" fontId="45" fillId="0" borderId="0" xfId="1793" applyNumberFormat="1" applyFont="1"/>
    <xf numFmtId="10" fontId="45" fillId="0" borderId="0" xfId="1934" applyNumberFormat="1" applyFont="1"/>
    <xf numFmtId="41" fontId="18" fillId="0" borderId="0" xfId="0" applyNumberFormat="1" applyFont="1" applyFill="1" applyAlignment="1"/>
    <xf numFmtId="42" fontId="18" fillId="0" borderId="20" xfId="230" applyNumberFormat="1" applyFont="1" applyFill="1" applyBorder="1" applyProtection="1">
      <protection locked="0"/>
    </xf>
    <xf numFmtId="42" fontId="18" fillId="0" borderId="13" xfId="0" applyNumberFormat="1" applyFont="1" applyFill="1" applyBorder="1" applyAlignment="1"/>
    <xf numFmtId="42" fontId="18" fillId="0" borderId="12" xfId="230" applyNumberFormat="1" applyFont="1" applyFill="1" applyBorder="1" applyAlignment="1">
      <alignment horizontal="right"/>
    </xf>
    <xf numFmtId="6" fontId="18" fillId="0" borderId="0" xfId="230" applyNumberFormat="1" applyFont="1" applyFill="1" applyBorder="1" applyAlignment="1"/>
    <xf numFmtId="6" fontId="18" fillId="0" borderId="14" xfId="0" applyNumberFormat="1" applyFont="1" applyFill="1" applyBorder="1" applyAlignment="1"/>
    <xf numFmtId="5" fontId="18" fillId="0" borderId="0" xfId="230" applyNumberFormat="1" applyFont="1" applyFill="1" applyBorder="1"/>
    <xf numFmtId="42" fontId="18" fillId="0" borderId="0" xfId="230" applyNumberFormat="1" applyFont="1" applyFill="1" applyBorder="1" applyAlignment="1"/>
    <xf numFmtId="42" fontId="18" fillId="0" borderId="12" xfId="0" applyNumberFormat="1" applyFont="1" applyFill="1" applyBorder="1" applyAlignment="1"/>
    <xf numFmtId="42" fontId="18" fillId="0" borderId="0" xfId="230" applyNumberFormat="1" applyFont="1" applyFill="1" applyBorder="1" applyAlignment="1">
      <alignment horizontal="right"/>
    </xf>
    <xf numFmtId="42" fontId="18" fillId="0" borderId="0" xfId="0" applyNumberFormat="1" applyFont="1" applyFill="1" applyBorder="1" applyAlignment="1">
      <alignment horizontal="right"/>
    </xf>
    <xf numFmtId="42" fontId="18" fillId="0" borderId="12" xfId="230" applyNumberFormat="1" applyFont="1" applyFill="1" applyBorder="1" applyAlignment="1"/>
    <xf numFmtId="42" fontId="18" fillId="0" borderId="2" xfId="230" applyNumberFormat="1" applyFont="1" applyFill="1" applyBorder="1" applyAlignment="1">
      <alignment horizontal="right"/>
    </xf>
    <xf numFmtId="178" fontId="18" fillId="0" borderId="0" xfId="230" applyNumberFormat="1" applyFont="1" applyFill="1" applyBorder="1" applyAlignment="1"/>
    <xf numFmtId="178" fontId="18" fillId="0" borderId="2" xfId="230" applyNumberFormat="1" applyFont="1" applyFill="1" applyBorder="1" applyAlignment="1"/>
    <xf numFmtId="177" fontId="232" fillId="0" borderId="27" xfId="1935" applyNumberFormat="1" applyFont="1" applyBorder="1"/>
  </cellXfs>
  <cellStyles count="1966">
    <cellStyle name="_x0013_" xfId="1"/>
    <cellStyle name="_09GRC Gas Transport For Review" xfId="2"/>
    <cellStyle name="_09GRC Gas Transport For Review_Book4" xfId="449"/>
    <cellStyle name="_x0013__16.07E Wild Horse Wind Expansionwrkingfile" xfId="450"/>
    <cellStyle name="_x0013__16.07E Wild Horse Wind Expansionwrkingfile SF" xfId="451"/>
    <cellStyle name="_x0013__16.37E Wild Horse Expansion DeferralRevwrkingfile SF" xfId="452"/>
    <cellStyle name="_4.06E Pass Throughs" xfId="3"/>
    <cellStyle name="_4.06E Pass Throughs 2" xfId="4"/>
    <cellStyle name="_4.06E Pass Throughs 3" xfId="5"/>
    <cellStyle name="_4.06E Pass Throughs_04 07E Wild Horse Wind Expansion (C) (2)" xfId="6"/>
    <cellStyle name="_4.06E Pass Throughs_04 07E Wild Horse Wind Expansion (C) (2)_Adj Bench DR 3 for Initial Briefs (Electric)" xfId="453"/>
    <cellStyle name="_4.06E Pass Throughs_04 07E Wild Horse Wind Expansion (C) (2)_Electric Rev Req Model (2009 GRC) " xfId="454"/>
    <cellStyle name="_4.06E Pass Throughs_04 07E Wild Horse Wind Expansion (C) (2)_Electric Rev Req Model (2009 GRC) Rebuttal" xfId="455"/>
    <cellStyle name="_4.06E Pass Throughs_04 07E Wild Horse Wind Expansion (C) (2)_Electric Rev Req Model (2009 GRC) Rebuttal REmoval of New  WH Solar AdjustMI" xfId="456"/>
    <cellStyle name="_4.06E Pass Throughs_04 07E Wild Horse Wind Expansion (C) (2)_Electric Rev Req Model (2009 GRC) Revised 01-18-2010" xfId="457"/>
    <cellStyle name="_4.06E Pass Throughs_04 07E Wild Horse Wind Expansion (C) (2)_Final Order Electric EXHIBIT A-1" xfId="458"/>
    <cellStyle name="_4.06E Pass Throughs_04 07E Wild Horse Wind Expansion (C) (2)_TENASKA REGULATORY ASSET" xfId="459"/>
    <cellStyle name="_4.06E Pass Throughs_16.17E &amp; 16.12G D&amp; O Insurance" xfId="460"/>
    <cellStyle name="_4.06E Pass Throughs_16.37E Wild Horse Expansion DeferralRevwrkingfile SF" xfId="461"/>
    <cellStyle name="_4.06E Pass Throughs_2009 GRC Compl Filing - Exhibit D" xfId="462"/>
    <cellStyle name="_4.06E Pass Throughs_3.01 Income Statement" xfId="463"/>
    <cellStyle name="_4.06E Pass Throughs_3.02 BS 2011 GRC" xfId="464"/>
    <cellStyle name="_4.06E Pass Throughs_3.02 BS 2011 GRC_1" xfId="465"/>
    <cellStyle name="_4.06E Pass Throughs_3.02 BS 2011 GRC_3.02 BS 2011 GRC" xfId="466"/>
    <cellStyle name="_4.06E Pass Throughs_3.02 BS 2011 GRC_JHS-3" xfId="467"/>
    <cellStyle name="_4.06E Pass Throughs_4 31 Regulatory Assets and Liabilities  7 06- Exhibit D" xfId="468"/>
    <cellStyle name="_4.06E Pass Throughs_4 32 Regulatory Assets and Liabilities  7 06- Exhibit D" xfId="469"/>
    <cellStyle name="_4.06E Pass Throughs_Book2" xfId="470"/>
    <cellStyle name="_4.06E Pass Throughs_Book2_Adj Bench DR 3 for Initial Briefs (Electric)" xfId="471"/>
    <cellStyle name="_4.06E Pass Throughs_Book2_Electric Rev Req Model (2009 GRC) Rebuttal" xfId="472"/>
    <cellStyle name="_4.06E Pass Throughs_Book2_Electric Rev Req Model (2009 GRC) Rebuttal REmoval of New  WH Solar AdjustMI" xfId="473"/>
    <cellStyle name="_4.06E Pass Throughs_Book2_Electric Rev Req Model (2009 GRC) Revised 01-18-2010" xfId="474"/>
    <cellStyle name="_4.06E Pass Throughs_Book2_Final Order Electric EXHIBIT A-1" xfId="475"/>
    <cellStyle name="_4.06E Pass Throughs_Book4" xfId="476"/>
    <cellStyle name="_4.06E Pass Throughs_Book9" xfId="7"/>
    <cellStyle name="_4.06E Pass Throughs_JHS-3" xfId="477"/>
    <cellStyle name="_4.06E Pass Throughs_Laid Off Employees + CEO" xfId="478"/>
    <cellStyle name="_4.06E Pass Throughs_Misc. Exp Airport Parking" xfId="479"/>
    <cellStyle name="_4.06E Pass Throughs_MJS-3" xfId="480"/>
    <cellStyle name="_4.06E Pass Throughs_Power Costs - Comparison bx Rbtl-Staff-Jt-PC" xfId="481"/>
    <cellStyle name="_4.06E Pass Throughs_Power Costs - Comparison bx Rbtl-Staff-Jt-PC_Adj Bench DR 3 for Initial Briefs (Electric)" xfId="482"/>
    <cellStyle name="_4.06E Pass Throughs_Power Costs - Comparison bx Rbtl-Staff-Jt-PC_Electric Rev Req Model (2009 GRC) Rebuttal" xfId="483"/>
    <cellStyle name="_4.06E Pass Throughs_Power Costs - Comparison bx Rbtl-Staff-Jt-PC_Electric Rev Req Model (2009 GRC) Rebuttal REmoval of New  WH Solar AdjustMI" xfId="484"/>
    <cellStyle name="_4.06E Pass Throughs_Power Costs - Comparison bx Rbtl-Staff-Jt-PC_Electric Rev Req Model (2009 GRC) Revised 01-18-2010" xfId="485"/>
    <cellStyle name="_4.06E Pass Throughs_Power Costs - Comparison bx Rbtl-Staff-Jt-PC_Final Order Electric EXHIBIT A-1" xfId="486"/>
    <cellStyle name="_4.06E Pass Throughs_Rebuttal Power Costs" xfId="487"/>
    <cellStyle name="_4.06E Pass Throughs_Rebuttal Power Costs_Adj Bench DR 3 for Initial Briefs (Electric)" xfId="488"/>
    <cellStyle name="_4.06E Pass Throughs_Rebuttal Power Costs_Electric Rev Req Model (2009 GRC) Rebuttal" xfId="489"/>
    <cellStyle name="_4.06E Pass Throughs_Rebuttal Power Costs_Electric Rev Req Model (2009 GRC) Rebuttal REmoval of New  WH Solar AdjustMI" xfId="490"/>
    <cellStyle name="_4.06E Pass Throughs_Rebuttal Power Costs_Electric Rev Req Model (2009 GRC) Revised 01-18-2010" xfId="491"/>
    <cellStyle name="_4.06E Pass Throughs_Rebuttal Power Costs_Final Order Electric EXHIBIT A-1" xfId="492"/>
    <cellStyle name="_4.13E Montana Energy Tax" xfId="8"/>
    <cellStyle name="_4.13E Montana Energy Tax 2" xfId="9"/>
    <cellStyle name="_4.13E Montana Energy Tax 3" xfId="10"/>
    <cellStyle name="_4.13E Montana Energy Tax_04 07E Wild Horse Wind Expansion (C) (2)" xfId="11"/>
    <cellStyle name="_4.13E Montana Energy Tax_04 07E Wild Horse Wind Expansion (C) (2)_Adj Bench DR 3 for Initial Briefs (Electric)" xfId="493"/>
    <cellStyle name="_4.13E Montana Energy Tax_04 07E Wild Horse Wind Expansion (C) (2)_Electric Rev Req Model (2009 GRC) " xfId="494"/>
    <cellStyle name="_4.13E Montana Energy Tax_04 07E Wild Horse Wind Expansion (C) (2)_Electric Rev Req Model (2009 GRC) Rebuttal" xfId="495"/>
    <cellStyle name="_4.13E Montana Energy Tax_04 07E Wild Horse Wind Expansion (C) (2)_Electric Rev Req Model (2009 GRC) Rebuttal REmoval of New  WH Solar AdjustMI" xfId="496"/>
    <cellStyle name="_4.13E Montana Energy Tax_04 07E Wild Horse Wind Expansion (C) (2)_Electric Rev Req Model (2009 GRC) Revised 01-18-2010" xfId="497"/>
    <cellStyle name="_4.13E Montana Energy Tax_04 07E Wild Horse Wind Expansion (C) (2)_Final Order Electric EXHIBIT A-1" xfId="498"/>
    <cellStyle name="_4.13E Montana Energy Tax_04 07E Wild Horse Wind Expansion (C) (2)_TENASKA REGULATORY ASSET" xfId="499"/>
    <cellStyle name="_4.13E Montana Energy Tax_16.17E &amp; 16.12G D&amp; O Insurance" xfId="500"/>
    <cellStyle name="_4.13E Montana Energy Tax_16.37E Wild Horse Expansion DeferralRevwrkingfile SF" xfId="501"/>
    <cellStyle name="_4.13E Montana Energy Tax_2009 GRC Compl Filing - Exhibit D" xfId="502"/>
    <cellStyle name="_4.13E Montana Energy Tax_3.01 Income Statement" xfId="503"/>
    <cellStyle name="_4.13E Montana Energy Tax_3.02 BS 2011 GRC" xfId="504"/>
    <cellStyle name="_4.13E Montana Energy Tax_3.02 BS 2011 GRC_1" xfId="505"/>
    <cellStyle name="_4.13E Montana Energy Tax_3.02 BS 2011 GRC_3.02 BS 2011 GRC" xfId="506"/>
    <cellStyle name="_4.13E Montana Energy Tax_3.02 BS 2011 GRC_JHS-3" xfId="507"/>
    <cellStyle name="_4.13E Montana Energy Tax_4 31 Regulatory Assets and Liabilities  7 06- Exhibit D" xfId="508"/>
    <cellStyle name="_4.13E Montana Energy Tax_4 32 Regulatory Assets and Liabilities  7 06- Exhibit D" xfId="509"/>
    <cellStyle name="_4.13E Montana Energy Tax_Book2" xfId="510"/>
    <cellStyle name="_4.13E Montana Energy Tax_Book2_Adj Bench DR 3 for Initial Briefs (Electric)" xfId="511"/>
    <cellStyle name="_4.13E Montana Energy Tax_Book2_Electric Rev Req Model (2009 GRC) Rebuttal" xfId="512"/>
    <cellStyle name="_4.13E Montana Energy Tax_Book2_Electric Rev Req Model (2009 GRC) Rebuttal REmoval of New  WH Solar AdjustMI" xfId="513"/>
    <cellStyle name="_4.13E Montana Energy Tax_Book2_Electric Rev Req Model (2009 GRC) Revised 01-18-2010" xfId="514"/>
    <cellStyle name="_4.13E Montana Energy Tax_Book2_Final Order Electric EXHIBIT A-1" xfId="515"/>
    <cellStyle name="_4.13E Montana Energy Tax_Book4" xfId="516"/>
    <cellStyle name="_4.13E Montana Energy Tax_Book9" xfId="12"/>
    <cellStyle name="_4.13E Montana Energy Tax_JHS-3" xfId="517"/>
    <cellStyle name="_4.13E Montana Energy Tax_Laid Off Employees + CEO" xfId="518"/>
    <cellStyle name="_4.13E Montana Energy Tax_Misc. Exp Airport Parking" xfId="519"/>
    <cellStyle name="_4.13E Montana Energy Tax_MJS-3" xfId="520"/>
    <cellStyle name="_4.13E Montana Energy Tax_Power Costs - Comparison bx Rbtl-Staff-Jt-PC" xfId="521"/>
    <cellStyle name="_4.13E Montana Energy Tax_Power Costs - Comparison bx Rbtl-Staff-Jt-PC_Adj Bench DR 3 for Initial Briefs (Electric)" xfId="522"/>
    <cellStyle name="_4.13E Montana Energy Tax_Power Costs - Comparison bx Rbtl-Staff-Jt-PC_Electric Rev Req Model (2009 GRC) Rebuttal" xfId="523"/>
    <cellStyle name="_4.13E Montana Energy Tax_Power Costs - Comparison bx Rbtl-Staff-Jt-PC_Electric Rev Req Model (2009 GRC) Rebuttal REmoval of New  WH Solar AdjustMI" xfId="524"/>
    <cellStyle name="_4.13E Montana Energy Tax_Power Costs - Comparison bx Rbtl-Staff-Jt-PC_Electric Rev Req Model (2009 GRC) Revised 01-18-2010" xfId="525"/>
    <cellStyle name="_4.13E Montana Energy Tax_Power Costs - Comparison bx Rbtl-Staff-Jt-PC_Final Order Electric EXHIBIT A-1" xfId="526"/>
    <cellStyle name="_4.13E Montana Energy Tax_Rebuttal Power Costs" xfId="527"/>
    <cellStyle name="_4.13E Montana Energy Tax_Rebuttal Power Costs_Adj Bench DR 3 for Initial Briefs (Electric)" xfId="528"/>
    <cellStyle name="_4.13E Montana Energy Tax_Rebuttal Power Costs_Electric Rev Req Model (2009 GRC) Rebuttal" xfId="529"/>
    <cellStyle name="_4.13E Montana Energy Tax_Rebuttal Power Costs_Electric Rev Req Model (2009 GRC) Rebuttal REmoval of New  WH Solar AdjustMI" xfId="530"/>
    <cellStyle name="_4.13E Montana Energy Tax_Rebuttal Power Costs_Electric Rev Req Model (2009 GRC) Revised 01-18-2010" xfId="531"/>
    <cellStyle name="_4.13E Montana Energy Tax_Rebuttal Power Costs_Final Order Electric EXHIBIT A-1" xfId="532"/>
    <cellStyle name="_x0013__Adj Bench DR 3 for Initial Briefs (Electric)" xfId="533"/>
    <cellStyle name="_AURORA WIP" xfId="13"/>
    <cellStyle name="_Book1" xfId="14"/>
    <cellStyle name="_Book1 (2)" xfId="15"/>
    <cellStyle name="_Book1 (2) 2" xfId="16"/>
    <cellStyle name="_Book1 (2) 3" xfId="17"/>
    <cellStyle name="_Book1 (2)_04 07E Wild Horse Wind Expansion (C) (2)" xfId="18"/>
    <cellStyle name="_Book1 (2)_04 07E Wild Horse Wind Expansion (C) (2)_Adj Bench DR 3 for Initial Briefs (Electric)" xfId="534"/>
    <cellStyle name="_Book1 (2)_04 07E Wild Horse Wind Expansion (C) (2)_Electric Rev Req Model (2009 GRC) " xfId="535"/>
    <cellStyle name="_Book1 (2)_04 07E Wild Horse Wind Expansion (C) (2)_Electric Rev Req Model (2009 GRC) Rebuttal" xfId="536"/>
    <cellStyle name="_Book1 (2)_04 07E Wild Horse Wind Expansion (C) (2)_Electric Rev Req Model (2009 GRC) Rebuttal REmoval of New  WH Solar AdjustMI" xfId="537"/>
    <cellStyle name="_Book1 (2)_04 07E Wild Horse Wind Expansion (C) (2)_Electric Rev Req Model (2009 GRC) Revised 01-18-2010" xfId="538"/>
    <cellStyle name="_Book1 (2)_04 07E Wild Horse Wind Expansion (C) (2)_Final Order Electric EXHIBIT A-1" xfId="539"/>
    <cellStyle name="_Book1 (2)_04 07E Wild Horse Wind Expansion (C) (2)_TENASKA REGULATORY ASSET" xfId="540"/>
    <cellStyle name="_Book1 (2)_16.17E &amp; 16.12G D&amp; O Insurance" xfId="541"/>
    <cellStyle name="_Book1 (2)_16.37E Wild Horse Expansion DeferralRevwrkingfile SF" xfId="542"/>
    <cellStyle name="_Book1 (2)_2009 GRC Compl Filing - Exhibit D" xfId="543"/>
    <cellStyle name="_Book1 (2)_3.01 Income Statement" xfId="544"/>
    <cellStyle name="_Book1 (2)_3.02 BS 2011 GRC" xfId="545"/>
    <cellStyle name="_Book1 (2)_3.02 BS 2011 GRC_1" xfId="546"/>
    <cellStyle name="_Book1 (2)_3.02 BS 2011 GRC_3.02 BS 2011 GRC" xfId="547"/>
    <cellStyle name="_Book1 (2)_3.02 BS 2011 GRC_JHS-3" xfId="548"/>
    <cellStyle name="_Book1 (2)_4 31 Regulatory Assets and Liabilities  7 06- Exhibit D" xfId="549"/>
    <cellStyle name="_Book1 (2)_4 32 Regulatory Assets and Liabilities  7 06- Exhibit D" xfId="550"/>
    <cellStyle name="_Book1 (2)_Book2" xfId="551"/>
    <cellStyle name="_Book1 (2)_Book2_Adj Bench DR 3 for Initial Briefs (Electric)" xfId="552"/>
    <cellStyle name="_Book1 (2)_Book2_Electric Rev Req Model (2009 GRC) Rebuttal" xfId="553"/>
    <cellStyle name="_Book1 (2)_Book2_Electric Rev Req Model (2009 GRC) Rebuttal REmoval of New  WH Solar AdjustMI" xfId="554"/>
    <cellStyle name="_Book1 (2)_Book2_Electric Rev Req Model (2009 GRC) Revised 01-18-2010" xfId="555"/>
    <cellStyle name="_Book1 (2)_Book2_Final Order Electric EXHIBIT A-1" xfId="556"/>
    <cellStyle name="_Book1 (2)_Book4" xfId="557"/>
    <cellStyle name="_Book1 (2)_Book9" xfId="19"/>
    <cellStyle name="_Book1 (2)_JHS-3" xfId="558"/>
    <cellStyle name="_Book1 (2)_MJS-3" xfId="559"/>
    <cellStyle name="_Book1 (2)_Power Costs - Comparison bx Rbtl-Staff-Jt-PC" xfId="560"/>
    <cellStyle name="_Book1 (2)_Power Costs - Comparison bx Rbtl-Staff-Jt-PC_Adj Bench DR 3 for Initial Briefs (Electric)" xfId="561"/>
    <cellStyle name="_Book1 (2)_Power Costs - Comparison bx Rbtl-Staff-Jt-PC_Electric Rev Req Model (2009 GRC) Rebuttal" xfId="562"/>
    <cellStyle name="_Book1 (2)_Power Costs - Comparison bx Rbtl-Staff-Jt-PC_Electric Rev Req Model (2009 GRC) Rebuttal REmoval of New  WH Solar AdjustMI" xfId="563"/>
    <cellStyle name="_Book1 (2)_Power Costs - Comparison bx Rbtl-Staff-Jt-PC_Electric Rev Req Model (2009 GRC) Revised 01-18-2010" xfId="564"/>
    <cellStyle name="_Book1 (2)_Power Costs - Comparison bx Rbtl-Staff-Jt-PC_Final Order Electric EXHIBIT A-1" xfId="565"/>
    <cellStyle name="_Book1 (2)_Rebuttal Power Costs" xfId="566"/>
    <cellStyle name="_Book1 (2)_Rebuttal Power Costs_Adj Bench DR 3 for Initial Briefs (Electric)" xfId="567"/>
    <cellStyle name="_Book1 (2)_Rebuttal Power Costs_Electric Rev Req Model (2009 GRC) Rebuttal" xfId="568"/>
    <cellStyle name="_Book1 (2)_Rebuttal Power Costs_Electric Rev Req Model (2009 GRC) Rebuttal REmoval of New  WH Solar AdjustMI" xfId="569"/>
    <cellStyle name="_Book1 (2)_Rebuttal Power Costs_Electric Rev Req Model (2009 GRC) Revised 01-18-2010" xfId="570"/>
    <cellStyle name="_Book1 (2)_Rebuttal Power Costs_Final Order Electric EXHIBIT A-1" xfId="571"/>
    <cellStyle name="_Book1 2" xfId="20"/>
    <cellStyle name="_Book1 3" xfId="21"/>
    <cellStyle name="_Book1_(C) WHE Proforma with ITC cash grant 10 Yr Amort_for deferral_102809" xfId="572"/>
    <cellStyle name="_Book1_(C) WHE Proforma with ITC cash grant 10 Yr Amort_for deferral_102809_16.07E Wild Horse Wind Expansionwrkingfile" xfId="573"/>
    <cellStyle name="_Book1_(C) WHE Proforma with ITC cash grant 10 Yr Amort_for deferral_102809_16.07E Wild Horse Wind Expansionwrkingfile SF" xfId="574"/>
    <cellStyle name="_Book1_(C) WHE Proforma with ITC cash grant 10 Yr Amort_for deferral_102809_16.37E Wild Horse Expansion DeferralRevwrkingfile SF" xfId="575"/>
    <cellStyle name="_Book1_(C) WHE Proforma with ITC cash grant 10 Yr Amort_for rebuttal_120709" xfId="576"/>
    <cellStyle name="_Book1_04.07E Wild Horse Wind Expansion" xfId="577"/>
    <cellStyle name="_Book1_04.07E Wild Horse Wind Expansion_16.07E Wild Horse Wind Expansionwrkingfile" xfId="578"/>
    <cellStyle name="_Book1_04.07E Wild Horse Wind Expansion_16.07E Wild Horse Wind Expansionwrkingfile SF" xfId="579"/>
    <cellStyle name="_Book1_04.07E Wild Horse Wind Expansion_16.37E Wild Horse Expansion DeferralRevwrkingfile SF" xfId="580"/>
    <cellStyle name="_Book1_16.07E Wild Horse Wind Expansionwrkingfile" xfId="581"/>
    <cellStyle name="_Book1_16.07E Wild Horse Wind Expansionwrkingfile SF" xfId="582"/>
    <cellStyle name="_Book1_16.17E &amp; 16.12G D&amp; O Insurance" xfId="583"/>
    <cellStyle name="_Book1_16.37E Wild Horse Expansion DeferralRevwrkingfile SF" xfId="584"/>
    <cellStyle name="_Book1_2009 GRC Compl Filing - Exhibit D" xfId="585"/>
    <cellStyle name="_Book1_3.01 Income Statement" xfId="586"/>
    <cellStyle name="_Book1_3.02 BS 2011 GRC" xfId="587"/>
    <cellStyle name="_Book1_3.02 BS 2011 GRC_1" xfId="588"/>
    <cellStyle name="_Book1_3.02 BS 2011 GRC_3.02 BS 2011 GRC" xfId="589"/>
    <cellStyle name="_Book1_3.02 BS 2011 GRC_JHS-3" xfId="590"/>
    <cellStyle name="_Book1_4 31 Regulatory Assets and Liabilities  7 06- Exhibit D" xfId="591"/>
    <cellStyle name="_Book1_4 32 Regulatory Assets and Liabilities  7 06- Exhibit D" xfId="592"/>
    <cellStyle name="_Book1_Book2" xfId="593"/>
    <cellStyle name="_Book1_Book2_Adj Bench DR 3 for Initial Briefs (Electric)" xfId="594"/>
    <cellStyle name="_Book1_Book2_Electric Rev Req Model (2009 GRC) Rebuttal" xfId="595"/>
    <cellStyle name="_Book1_Book2_Electric Rev Req Model (2009 GRC) Rebuttal REmoval of New  WH Solar AdjustMI" xfId="596"/>
    <cellStyle name="_Book1_Book2_Electric Rev Req Model (2009 GRC) Revised 01-18-2010" xfId="597"/>
    <cellStyle name="_Book1_Book2_Final Order Electric EXHIBIT A-1" xfId="598"/>
    <cellStyle name="_Book1_Book4" xfId="599"/>
    <cellStyle name="_Book1_Book9" xfId="22"/>
    <cellStyle name="_Book1_JHS-3" xfId="600"/>
    <cellStyle name="_Book1_MJS-3" xfId="601"/>
    <cellStyle name="_Book1_Power Costs - Comparison bx Rbtl-Staff-Jt-PC" xfId="602"/>
    <cellStyle name="_Book1_Power Costs - Comparison bx Rbtl-Staff-Jt-PC_Adj Bench DR 3 for Initial Briefs (Electric)" xfId="603"/>
    <cellStyle name="_Book1_Power Costs - Comparison bx Rbtl-Staff-Jt-PC_Electric Rev Req Model (2009 GRC) Rebuttal" xfId="604"/>
    <cellStyle name="_Book1_Power Costs - Comparison bx Rbtl-Staff-Jt-PC_Electric Rev Req Model (2009 GRC) Rebuttal REmoval of New  WH Solar AdjustMI" xfId="605"/>
    <cellStyle name="_Book1_Power Costs - Comparison bx Rbtl-Staff-Jt-PC_Electric Rev Req Model (2009 GRC) Revised 01-18-2010" xfId="606"/>
    <cellStyle name="_Book1_Power Costs - Comparison bx Rbtl-Staff-Jt-PC_Final Order Electric EXHIBIT A-1" xfId="607"/>
    <cellStyle name="_Book1_Rebuttal Power Costs" xfId="608"/>
    <cellStyle name="_Book1_Rebuttal Power Costs_Adj Bench DR 3 for Initial Briefs (Electric)" xfId="609"/>
    <cellStyle name="_Book1_Rebuttal Power Costs_Electric Rev Req Model (2009 GRC) Rebuttal" xfId="610"/>
    <cellStyle name="_Book1_Rebuttal Power Costs_Electric Rev Req Model (2009 GRC) Rebuttal REmoval of New  WH Solar AdjustMI" xfId="611"/>
    <cellStyle name="_Book1_Rebuttal Power Costs_Electric Rev Req Model (2009 GRC) Revised 01-18-2010" xfId="612"/>
    <cellStyle name="_Book1_Rebuttal Power Costs_Final Order Electric EXHIBIT A-1" xfId="613"/>
    <cellStyle name="_Book2" xfId="23"/>
    <cellStyle name="_x0013__Book2" xfId="614"/>
    <cellStyle name="_Book2 2" xfId="24"/>
    <cellStyle name="_Book2 3" xfId="25"/>
    <cellStyle name="_Book2_04 07E Wild Horse Wind Expansion (C) (2)" xfId="26"/>
    <cellStyle name="_Book2_04 07E Wild Horse Wind Expansion (C) (2)_Adj Bench DR 3 for Initial Briefs (Electric)" xfId="615"/>
    <cellStyle name="_Book2_04 07E Wild Horse Wind Expansion (C) (2)_Electric Rev Req Model (2009 GRC) " xfId="616"/>
    <cellStyle name="_Book2_04 07E Wild Horse Wind Expansion (C) (2)_Electric Rev Req Model (2009 GRC) Rebuttal" xfId="617"/>
    <cellStyle name="_Book2_04 07E Wild Horse Wind Expansion (C) (2)_Electric Rev Req Model (2009 GRC) Rebuttal REmoval of New  WH Solar AdjustMI" xfId="618"/>
    <cellStyle name="_Book2_04 07E Wild Horse Wind Expansion (C) (2)_Electric Rev Req Model (2009 GRC) Revised 01-18-2010" xfId="619"/>
    <cellStyle name="_Book2_04 07E Wild Horse Wind Expansion (C) (2)_Final Order Electric EXHIBIT A-1" xfId="620"/>
    <cellStyle name="_Book2_04 07E Wild Horse Wind Expansion (C) (2)_TENASKA REGULATORY ASSET" xfId="621"/>
    <cellStyle name="_Book2_16.17E &amp; 16.12G D&amp; O Insurance" xfId="622"/>
    <cellStyle name="_Book2_16.37E Wild Horse Expansion DeferralRevwrkingfile SF" xfId="623"/>
    <cellStyle name="_Book2_2009 GRC Compl Filing - Exhibit D" xfId="624"/>
    <cellStyle name="_Book2_3.01 Income Statement" xfId="625"/>
    <cellStyle name="_Book2_3.02 BS 2011 GRC" xfId="626"/>
    <cellStyle name="_Book2_3.02 BS 2011 GRC_1" xfId="627"/>
    <cellStyle name="_Book2_3.02 BS 2011 GRC_3.02 BS 2011 GRC" xfId="628"/>
    <cellStyle name="_Book2_3.02 BS 2011 GRC_JHS-3" xfId="629"/>
    <cellStyle name="_Book2_4 31 Regulatory Assets and Liabilities  7 06- Exhibit D" xfId="630"/>
    <cellStyle name="_Book2_4 32 Regulatory Assets and Liabilities  7 06- Exhibit D" xfId="631"/>
    <cellStyle name="_x0013__Book2_Adj Bench DR 3 for Initial Briefs (Electric)" xfId="632"/>
    <cellStyle name="_Book2_Book2" xfId="633"/>
    <cellStyle name="_Book2_Book2_Adj Bench DR 3 for Initial Briefs (Electric)" xfId="634"/>
    <cellStyle name="_Book2_Book2_Electric Rev Req Model (2009 GRC) Rebuttal" xfId="635"/>
    <cellStyle name="_Book2_Book2_Electric Rev Req Model (2009 GRC) Rebuttal REmoval of New  WH Solar AdjustMI" xfId="636"/>
    <cellStyle name="_Book2_Book2_Electric Rev Req Model (2009 GRC) Revised 01-18-2010" xfId="637"/>
    <cellStyle name="_Book2_Book2_Final Order Electric EXHIBIT A-1" xfId="638"/>
    <cellStyle name="_Book2_Book4" xfId="639"/>
    <cellStyle name="_Book2_Book9" xfId="27"/>
    <cellStyle name="_x0013__Book2_Electric Rev Req Model (2009 GRC) Rebuttal" xfId="640"/>
    <cellStyle name="_x0013__Book2_Electric Rev Req Model (2009 GRC) Rebuttal REmoval of New  WH Solar AdjustMI" xfId="641"/>
    <cellStyle name="_x0013__Book2_Electric Rev Req Model (2009 GRC) Revised 01-18-2010" xfId="642"/>
    <cellStyle name="_x0013__Book2_Final Order Electric EXHIBIT A-1" xfId="643"/>
    <cellStyle name="_Book2_JHS-3" xfId="644"/>
    <cellStyle name="_Book2_MJS-3" xfId="645"/>
    <cellStyle name="_Book2_Power Costs - Comparison bx Rbtl-Staff-Jt-PC" xfId="646"/>
    <cellStyle name="_Book2_Power Costs - Comparison bx Rbtl-Staff-Jt-PC_Adj Bench DR 3 for Initial Briefs (Electric)" xfId="647"/>
    <cellStyle name="_Book2_Power Costs - Comparison bx Rbtl-Staff-Jt-PC_Electric Rev Req Model (2009 GRC) Rebuttal" xfId="648"/>
    <cellStyle name="_Book2_Power Costs - Comparison bx Rbtl-Staff-Jt-PC_Electric Rev Req Model (2009 GRC) Rebuttal REmoval of New  WH Solar AdjustMI" xfId="649"/>
    <cellStyle name="_Book2_Power Costs - Comparison bx Rbtl-Staff-Jt-PC_Electric Rev Req Model (2009 GRC) Revised 01-18-2010" xfId="650"/>
    <cellStyle name="_Book2_Power Costs - Comparison bx Rbtl-Staff-Jt-PC_Final Order Electric EXHIBIT A-1" xfId="651"/>
    <cellStyle name="_Book2_Rebuttal Power Costs" xfId="652"/>
    <cellStyle name="_Book2_Rebuttal Power Costs_Adj Bench DR 3 for Initial Briefs (Electric)" xfId="653"/>
    <cellStyle name="_Book2_Rebuttal Power Costs_Electric Rev Req Model (2009 GRC) Rebuttal" xfId="654"/>
    <cellStyle name="_Book2_Rebuttal Power Costs_Electric Rev Req Model (2009 GRC) Rebuttal REmoval of New  WH Solar AdjustMI" xfId="655"/>
    <cellStyle name="_Book2_Rebuttal Power Costs_Electric Rev Req Model (2009 GRC) Revised 01-18-2010" xfId="656"/>
    <cellStyle name="_Book2_Rebuttal Power Costs_Final Order Electric EXHIBIT A-1" xfId="657"/>
    <cellStyle name="_Book3" xfId="28"/>
    <cellStyle name="_Book5" xfId="29"/>
    <cellStyle name="_Chelan Debt Forecast 12.19.05" xfId="30"/>
    <cellStyle name="_Chelan Debt Forecast 12.19.05 2" xfId="31"/>
    <cellStyle name="_Chelan Debt Forecast 12.19.05 3" xfId="32"/>
    <cellStyle name="_Chelan Debt Forecast 12.19.05_(C) WHE Proforma with ITC cash grant 10 Yr Amort_for deferral_102809" xfId="658"/>
    <cellStyle name="_Chelan Debt Forecast 12.19.05_(C) WHE Proforma with ITC cash grant 10 Yr Amort_for deferral_102809_16.07E Wild Horse Wind Expansionwrkingfile" xfId="659"/>
    <cellStyle name="_Chelan Debt Forecast 12.19.05_(C) WHE Proforma with ITC cash grant 10 Yr Amort_for deferral_102809_16.07E Wild Horse Wind Expansionwrkingfile SF" xfId="660"/>
    <cellStyle name="_Chelan Debt Forecast 12.19.05_(C) WHE Proforma with ITC cash grant 10 Yr Amort_for deferral_102809_16.37E Wild Horse Expansion DeferralRevwrkingfile SF" xfId="661"/>
    <cellStyle name="_Chelan Debt Forecast 12.19.05_(C) WHE Proforma with ITC cash grant 10 Yr Amort_for rebuttal_120709" xfId="662"/>
    <cellStyle name="_Chelan Debt Forecast 12.19.05_04.07E Wild Horse Wind Expansion" xfId="663"/>
    <cellStyle name="_Chelan Debt Forecast 12.19.05_04.07E Wild Horse Wind Expansion_16.07E Wild Horse Wind Expansionwrkingfile" xfId="664"/>
    <cellStyle name="_Chelan Debt Forecast 12.19.05_04.07E Wild Horse Wind Expansion_16.07E Wild Horse Wind Expansionwrkingfile SF" xfId="665"/>
    <cellStyle name="_Chelan Debt Forecast 12.19.05_04.07E Wild Horse Wind Expansion_16.37E Wild Horse Expansion DeferralRevwrkingfile SF" xfId="666"/>
    <cellStyle name="_Chelan Debt Forecast 12.19.05_16.07E Wild Horse Wind Expansionwrkingfile" xfId="667"/>
    <cellStyle name="_Chelan Debt Forecast 12.19.05_16.07E Wild Horse Wind Expansionwrkingfile SF" xfId="668"/>
    <cellStyle name="_Chelan Debt Forecast 12.19.05_16.17E &amp; 16.12G D&amp; O Insurance" xfId="669"/>
    <cellStyle name="_Chelan Debt Forecast 12.19.05_16.37E Wild Horse Expansion DeferralRevwrkingfile SF" xfId="670"/>
    <cellStyle name="_Chelan Debt Forecast 12.19.05_3.01 Income Statement" xfId="671"/>
    <cellStyle name="_Chelan Debt Forecast 12.19.05_3.02 BS 2011 GRC" xfId="672"/>
    <cellStyle name="_Chelan Debt Forecast 12.19.05_3.02 BS 2011 GRC_1" xfId="673"/>
    <cellStyle name="_Chelan Debt Forecast 12.19.05_3.02 BS 2011 GRC_3.02 BS 2011 GRC" xfId="674"/>
    <cellStyle name="_Chelan Debt Forecast 12.19.05_3.02 BS 2011 GRC_JHS-3" xfId="675"/>
    <cellStyle name="_Chelan Debt Forecast 12.19.05_4 31 Regulatory Assets and Liabilities  7 06- Exhibit D" xfId="676"/>
    <cellStyle name="_Chelan Debt Forecast 12.19.05_4 32 Regulatory Assets and Liabilities  7 06- Exhibit D" xfId="677"/>
    <cellStyle name="_Chelan Debt Forecast 12.19.05_Book2" xfId="678"/>
    <cellStyle name="_Chelan Debt Forecast 12.19.05_Book2_Adj Bench DR 3 for Initial Briefs (Electric)" xfId="679"/>
    <cellStyle name="_Chelan Debt Forecast 12.19.05_Book2_Electric Rev Req Model (2009 GRC) Rebuttal" xfId="680"/>
    <cellStyle name="_Chelan Debt Forecast 12.19.05_Book2_Electric Rev Req Model (2009 GRC) Rebuttal REmoval of New  WH Solar AdjustMI" xfId="681"/>
    <cellStyle name="_Chelan Debt Forecast 12.19.05_Book2_Electric Rev Req Model (2009 GRC) Revised 01-18-2010" xfId="682"/>
    <cellStyle name="_Chelan Debt Forecast 12.19.05_Book2_Final Order Electric EXHIBIT A-1" xfId="683"/>
    <cellStyle name="_Chelan Debt Forecast 12.19.05_Book4" xfId="684"/>
    <cellStyle name="_Chelan Debt Forecast 12.19.05_Book9" xfId="33"/>
    <cellStyle name="_Chelan Debt Forecast 12.19.05_JHS-3" xfId="685"/>
    <cellStyle name="_Chelan Debt Forecast 12.19.05_MJS-3" xfId="686"/>
    <cellStyle name="_Chelan Debt Forecast 12.19.05_Power Costs - Comparison bx Rbtl-Staff-Jt-PC" xfId="687"/>
    <cellStyle name="_Chelan Debt Forecast 12.19.05_Power Costs - Comparison bx Rbtl-Staff-Jt-PC_Adj Bench DR 3 for Initial Briefs (Electric)" xfId="688"/>
    <cellStyle name="_Chelan Debt Forecast 12.19.05_Power Costs - Comparison bx Rbtl-Staff-Jt-PC_Electric Rev Req Model (2009 GRC) Rebuttal" xfId="689"/>
    <cellStyle name="_Chelan Debt Forecast 12.19.05_Power Costs - Comparison bx Rbtl-Staff-Jt-PC_Electric Rev Req Model (2009 GRC) Rebuttal REmoval of New  WH Solar AdjustMI" xfId="690"/>
    <cellStyle name="_Chelan Debt Forecast 12.19.05_Power Costs - Comparison bx Rbtl-Staff-Jt-PC_Electric Rev Req Model (2009 GRC) Revised 01-18-2010" xfId="691"/>
    <cellStyle name="_Chelan Debt Forecast 12.19.05_Power Costs - Comparison bx Rbtl-Staff-Jt-PC_Final Order Electric EXHIBIT A-1" xfId="692"/>
    <cellStyle name="_Chelan Debt Forecast 12.19.05_Rebuttal Power Costs" xfId="693"/>
    <cellStyle name="_Chelan Debt Forecast 12.19.05_Rebuttal Power Costs_Adj Bench DR 3 for Initial Briefs (Electric)" xfId="694"/>
    <cellStyle name="_Chelan Debt Forecast 12.19.05_Rebuttal Power Costs_Electric Rev Req Model (2009 GRC) Rebuttal" xfId="695"/>
    <cellStyle name="_Chelan Debt Forecast 12.19.05_Rebuttal Power Costs_Electric Rev Req Model (2009 GRC) Rebuttal REmoval of New  WH Solar AdjustMI" xfId="696"/>
    <cellStyle name="_Chelan Debt Forecast 12.19.05_Rebuttal Power Costs_Electric Rev Req Model (2009 GRC) Revised 01-18-2010" xfId="697"/>
    <cellStyle name="_Chelan Debt Forecast 12.19.05_Rebuttal Power Costs_Final Order Electric EXHIBIT A-1" xfId="698"/>
    <cellStyle name="_Copy 11-9 Sumas Proforma - Current" xfId="699"/>
    <cellStyle name="_Costs not in AURORA 06GRC" xfId="34"/>
    <cellStyle name="_Costs not in AURORA 06GRC 2" xfId="35"/>
    <cellStyle name="_Costs not in AURORA 06GRC 3" xfId="36"/>
    <cellStyle name="_Costs not in AURORA 06GRC_04 07E Wild Horse Wind Expansion (C) (2)" xfId="37"/>
    <cellStyle name="_Costs not in AURORA 06GRC_04 07E Wild Horse Wind Expansion (C) (2)_Adj Bench DR 3 for Initial Briefs (Electric)" xfId="700"/>
    <cellStyle name="_Costs not in AURORA 06GRC_04 07E Wild Horse Wind Expansion (C) (2)_Electric Rev Req Model (2009 GRC) " xfId="701"/>
    <cellStyle name="_Costs not in AURORA 06GRC_04 07E Wild Horse Wind Expansion (C) (2)_Electric Rev Req Model (2009 GRC) Rebuttal" xfId="702"/>
    <cellStyle name="_Costs not in AURORA 06GRC_04 07E Wild Horse Wind Expansion (C) (2)_Electric Rev Req Model (2009 GRC) Rebuttal REmoval of New  WH Solar AdjustMI" xfId="703"/>
    <cellStyle name="_Costs not in AURORA 06GRC_04 07E Wild Horse Wind Expansion (C) (2)_Electric Rev Req Model (2009 GRC) Revised 01-18-2010" xfId="704"/>
    <cellStyle name="_Costs not in AURORA 06GRC_04 07E Wild Horse Wind Expansion (C) (2)_Final Order Electric EXHIBIT A-1" xfId="705"/>
    <cellStyle name="_Costs not in AURORA 06GRC_04 07E Wild Horse Wind Expansion (C) (2)_TENASKA REGULATORY ASSET" xfId="706"/>
    <cellStyle name="_Costs not in AURORA 06GRC_16.17E &amp; 16.12G D&amp; O Insurance" xfId="707"/>
    <cellStyle name="_Costs not in AURORA 06GRC_16.37E Wild Horse Expansion DeferralRevwrkingfile SF" xfId="708"/>
    <cellStyle name="_Costs not in AURORA 06GRC_3.01 Income Statement" xfId="709"/>
    <cellStyle name="_Costs not in AURORA 06GRC_3.02 BS 2011 GRC" xfId="710"/>
    <cellStyle name="_Costs not in AURORA 06GRC_3.02 BS 2011 GRC_1" xfId="711"/>
    <cellStyle name="_Costs not in AURORA 06GRC_3.02 BS 2011 GRC_3.02 BS 2011 GRC" xfId="712"/>
    <cellStyle name="_Costs not in AURORA 06GRC_3.02 BS 2011 GRC_JHS-3" xfId="713"/>
    <cellStyle name="_Costs not in AURORA 06GRC_4 31 Regulatory Assets and Liabilities  7 06- Exhibit D" xfId="714"/>
    <cellStyle name="_Costs not in AURORA 06GRC_4 32 Regulatory Assets and Liabilities  7 06- Exhibit D" xfId="715"/>
    <cellStyle name="_Costs not in AURORA 06GRC_Book2" xfId="716"/>
    <cellStyle name="_Costs not in AURORA 06GRC_Book2_Adj Bench DR 3 for Initial Briefs (Electric)" xfId="717"/>
    <cellStyle name="_Costs not in AURORA 06GRC_Book2_Electric Rev Req Model (2009 GRC) Rebuttal" xfId="718"/>
    <cellStyle name="_Costs not in AURORA 06GRC_Book2_Electric Rev Req Model (2009 GRC) Rebuttal REmoval of New  WH Solar AdjustMI" xfId="719"/>
    <cellStyle name="_Costs not in AURORA 06GRC_Book2_Electric Rev Req Model (2009 GRC) Revised 01-18-2010" xfId="720"/>
    <cellStyle name="_Costs not in AURORA 06GRC_Book2_Final Order Electric EXHIBIT A-1" xfId="721"/>
    <cellStyle name="_Costs not in AURORA 06GRC_Book4" xfId="722"/>
    <cellStyle name="_Costs not in AURORA 06GRC_Book9" xfId="38"/>
    <cellStyle name="_Costs not in AURORA 06GRC_JHS-3" xfId="723"/>
    <cellStyle name="_Costs not in AURORA 06GRC_MJS-3" xfId="724"/>
    <cellStyle name="_Costs not in AURORA 06GRC_Power Costs - Comparison bx Rbtl-Staff-Jt-PC" xfId="725"/>
    <cellStyle name="_Costs not in AURORA 06GRC_Power Costs - Comparison bx Rbtl-Staff-Jt-PC_Adj Bench DR 3 for Initial Briefs (Electric)" xfId="726"/>
    <cellStyle name="_Costs not in AURORA 06GRC_Power Costs - Comparison bx Rbtl-Staff-Jt-PC_Electric Rev Req Model (2009 GRC) Rebuttal" xfId="727"/>
    <cellStyle name="_Costs not in AURORA 06GRC_Power Costs - Comparison bx Rbtl-Staff-Jt-PC_Electric Rev Req Model (2009 GRC) Rebuttal REmoval of New  WH Solar AdjustMI" xfId="728"/>
    <cellStyle name="_Costs not in AURORA 06GRC_Power Costs - Comparison bx Rbtl-Staff-Jt-PC_Electric Rev Req Model (2009 GRC) Revised 01-18-2010" xfId="729"/>
    <cellStyle name="_Costs not in AURORA 06GRC_Power Costs - Comparison bx Rbtl-Staff-Jt-PC_Final Order Electric EXHIBIT A-1" xfId="730"/>
    <cellStyle name="_Costs not in AURORA 06GRC_Rebuttal Power Costs" xfId="731"/>
    <cellStyle name="_Costs not in AURORA 06GRC_Rebuttal Power Costs_Adj Bench DR 3 for Initial Briefs (Electric)" xfId="732"/>
    <cellStyle name="_Costs not in AURORA 06GRC_Rebuttal Power Costs_Electric Rev Req Model (2009 GRC) Rebuttal" xfId="733"/>
    <cellStyle name="_Costs not in AURORA 06GRC_Rebuttal Power Costs_Electric Rev Req Model (2009 GRC) Rebuttal REmoval of New  WH Solar AdjustMI" xfId="734"/>
    <cellStyle name="_Costs not in AURORA 06GRC_Rebuttal Power Costs_Electric Rev Req Model (2009 GRC) Revised 01-18-2010" xfId="735"/>
    <cellStyle name="_Costs not in AURORA 06GRC_Rebuttal Power Costs_Final Order Electric EXHIBIT A-1" xfId="736"/>
    <cellStyle name="_Costs not in AURORA 2006GRC 6.15.06" xfId="39"/>
    <cellStyle name="_Costs not in AURORA 2006GRC 6.15.06 2" xfId="40"/>
    <cellStyle name="_Costs not in AURORA 2006GRC 6.15.06 3" xfId="41"/>
    <cellStyle name="_Costs not in AURORA 2006GRC 6.15.06_04 07E Wild Horse Wind Expansion (C) (2)" xfId="42"/>
    <cellStyle name="_Costs not in AURORA 2006GRC 6.15.06_04 07E Wild Horse Wind Expansion (C) (2)_Adj Bench DR 3 for Initial Briefs (Electric)" xfId="737"/>
    <cellStyle name="_Costs not in AURORA 2006GRC 6.15.06_04 07E Wild Horse Wind Expansion (C) (2)_Electric Rev Req Model (2009 GRC) " xfId="738"/>
    <cellStyle name="_Costs not in AURORA 2006GRC 6.15.06_04 07E Wild Horse Wind Expansion (C) (2)_Electric Rev Req Model (2009 GRC) Rebuttal" xfId="739"/>
    <cellStyle name="_Costs not in AURORA 2006GRC 6.15.06_04 07E Wild Horse Wind Expansion (C) (2)_Electric Rev Req Model (2009 GRC) Rebuttal REmoval of New  WH Solar AdjustMI" xfId="740"/>
    <cellStyle name="_Costs not in AURORA 2006GRC 6.15.06_04 07E Wild Horse Wind Expansion (C) (2)_Electric Rev Req Model (2009 GRC) Revised 01-18-2010" xfId="741"/>
    <cellStyle name="_Costs not in AURORA 2006GRC 6.15.06_04 07E Wild Horse Wind Expansion (C) (2)_Final Order Electric EXHIBIT A-1" xfId="742"/>
    <cellStyle name="_Costs not in AURORA 2006GRC 6.15.06_04 07E Wild Horse Wind Expansion (C) (2)_TENASKA REGULATORY ASSET" xfId="743"/>
    <cellStyle name="_Costs not in AURORA 2006GRC 6.15.06_16.17E &amp; 16.12G D&amp; O Insurance" xfId="744"/>
    <cellStyle name="_Costs not in AURORA 2006GRC 6.15.06_16.37E Wild Horse Expansion DeferralRevwrkingfile SF" xfId="745"/>
    <cellStyle name="_Costs not in AURORA 2006GRC 6.15.06_2009 GRC Compl Filing - Exhibit D" xfId="746"/>
    <cellStyle name="_Costs not in AURORA 2006GRC 6.15.06_3.01 Income Statement" xfId="747"/>
    <cellStyle name="_Costs not in AURORA 2006GRC 6.15.06_3.02 BS 2011 GRC" xfId="748"/>
    <cellStyle name="_Costs not in AURORA 2006GRC 6.15.06_3.02 BS 2011 GRC_1" xfId="749"/>
    <cellStyle name="_Costs not in AURORA 2006GRC 6.15.06_3.02 BS 2011 GRC_3.02 BS 2011 GRC" xfId="750"/>
    <cellStyle name="_Costs not in AURORA 2006GRC 6.15.06_3.02 BS 2011 GRC_JHS-3" xfId="751"/>
    <cellStyle name="_Costs not in AURORA 2006GRC 6.15.06_4 31 Regulatory Assets and Liabilities  7 06- Exhibit D" xfId="752"/>
    <cellStyle name="_Costs not in AURORA 2006GRC 6.15.06_4 32 Regulatory Assets and Liabilities  7 06- Exhibit D" xfId="753"/>
    <cellStyle name="_Costs not in AURORA 2006GRC 6.15.06_Book2" xfId="754"/>
    <cellStyle name="_Costs not in AURORA 2006GRC 6.15.06_Book2_Adj Bench DR 3 for Initial Briefs (Electric)" xfId="755"/>
    <cellStyle name="_Costs not in AURORA 2006GRC 6.15.06_Book2_Electric Rev Req Model (2009 GRC) Rebuttal" xfId="756"/>
    <cellStyle name="_Costs not in AURORA 2006GRC 6.15.06_Book2_Electric Rev Req Model (2009 GRC) Rebuttal REmoval of New  WH Solar AdjustMI" xfId="757"/>
    <cellStyle name="_Costs not in AURORA 2006GRC 6.15.06_Book2_Electric Rev Req Model (2009 GRC) Revised 01-18-2010" xfId="758"/>
    <cellStyle name="_Costs not in AURORA 2006GRC 6.15.06_Book2_Final Order Electric EXHIBIT A-1" xfId="759"/>
    <cellStyle name="_Costs not in AURORA 2006GRC 6.15.06_Book4" xfId="760"/>
    <cellStyle name="_Costs not in AURORA 2006GRC 6.15.06_Book9" xfId="43"/>
    <cellStyle name="_Costs not in AURORA 2006GRC 6.15.06_JHS-3" xfId="761"/>
    <cellStyle name="_Costs not in AURORA 2006GRC 6.15.06_MJS-3" xfId="762"/>
    <cellStyle name="_Costs not in AURORA 2006GRC 6.15.06_Power Costs - Comparison bx Rbtl-Staff-Jt-PC" xfId="763"/>
    <cellStyle name="_Costs not in AURORA 2006GRC 6.15.06_Power Costs - Comparison bx Rbtl-Staff-Jt-PC_Adj Bench DR 3 for Initial Briefs (Electric)" xfId="764"/>
    <cellStyle name="_Costs not in AURORA 2006GRC 6.15.06_Power Costs - Comparison bx Rbtl-Staff-Jt-PC_Electric Rev Req Model (2009 GRC) Rebuttal" xfId="765"/>
    <cellStyle name="_Costs not in AURORA 2006GRC 6.15.06_Power Costs - Comparison bx Rbtl-Staff-Jt-PC_Electric Rev Req Model (2009 GRC) Rebuttal REmoval of New  WH Solar AdjustMI" xfId="766"/>
    <cellStyle name="_Costs not in AURORA 2006GRC 6.15.06_Power Costs - Comparison bx Rbtl-Staff-Jt-PC_Electric Rev Req Model (2009 GRC) Revised 01-18-2010" xfId="767"/>
    <cellStyle name="_Costs not in AURORA 2006GRC 6.15.06_Power Costs - Comparison bx Rbtl-Staff-Jt-PC_Final Order Electric EXHIBIT A-1" xfId="768"/>
    <cellStyle name="_Costs not in AURORA 2006GRC 6.15.06_Rebuttal Power Costs" xfId="769"/>
    <cellStyle name="_Costs not in AURORA 2006GRC 6.15.06_Rebuttal Power Costs_Adj Bench DR 3 for Initial Briefs (Electric)" xfId="770"/>
    <cellStyle name="_Costs not in AURORA 2006GRC 6.15.06_Rebuttal Power Costs_Electric Rev Req Model (2009 GRC) Rebuttal" xfId="771"/>
    <cellStyle name="_Costs not in AURORA 2006GRC 6.15.06_Rebuttal Power Costs_Electric Rev Req Model (2009 GRC) Rebuttal REmoval of New  WH Solar AdjustMI" xfId="772"/>
    <cellStyle name="_Costs not in AURORA 2006GRC 6.15.06_Rebuttal Power Costs_Electric Rev Req Model (2009 GRC) Revised 01-18-2010" xfId="773"/>
    <cellStyle name="_Costs not in AURORA 2006GRC 6.15.06_Rebuttal Power Costs_Final Order Electric EXHIBIT A-1" xfId="774"/>
    <cellStyle name="_Costs not in AURORA 2006GRC w gas price updated" xfId="44"/>
    <cellStyle name="_Costs not in AURORA 2006GRC w gas price updated_Adj Bench DR 3 for Initial Briefs (Electric)" xfId="775"/>
    <cellStyle name="_Costs not in AURORA 2006GRC w gas price updated_Book2" xfId="776"/>
    <cellStyle name="_Costs not in AURORA 2006GRC w gas price updated_Book2_Adj Bench DR 3 for Initial Briefs (Electric)" xfId="777"/>
    <cellStyle name="_Costs not in AURORA 2006GRC w gas price updated_Book2_Electric Rev Req Model (2009 GRC) Rebuttal" xfId="778"/>
    <cellStyle name="_Costs not in AURORA 2006GRC w gas price updated_Book2_Electric Rev Req Model (2009 GRC) Rebuttal REmoval of New  WH Solar AdjustMI" xfId="779"/>
    <cellStyle name="_Costs not in AURORA 2006GRC w gas price updated_Book2_Electric Rev Req Model (2009 GRC) Revised 01-18-2010" xfId="780"/>
    <cellStyle name="_Costs not in AURORA 2006GRC w gas price updated_Book2_Final Order Electric EXHIBIT A-1" xfId="781"/>
    <cellStyle name="_Costs not in AURORA 2006GRC w gas price updated_Electric Rev Req Model (2009 GRC) " xfId="782"/>
    <cellStyle name="_Costs not in AURORA 2006GRC w gas price updated_Electric Rev Req Model (2009 GRC) Rebuttal" xfId="783"/>
    <cellStyle name="_Costs not in AURORA 2006GRC w gas price updated_Electric Rev Req Model (2009 GRC) Rebuttal REmoval of New  WH Solar AdjustMI" xfId="784"/>
    <cellStyle name="_Costs not in AURORA 2006GRC w gas price updated_Electric Rev Req Model (2009 GRC) Revised 01-18-2010" xfId="785"/>
    <cellStyle name="_Costs not in AURORA 2006GRC w gas price updated_Final Order Electric EXHIBIT A-1" xfId="786"/>
    <cellStyle name="_Costs not in AURORA 2006GRC w gas price updated_Rebuttal Power Costs" xfId="787"/>
    <cellStyle name="_Costs not in AURORA 2006GRC w gas price updated_Rebuttal Power Costs_Adj Bench DR 3 for Initial Briefs (Electric)" xfId="788"/>
    <cellStyle name="_Costs not in AURORA 2006GRC w gas price updated_Rebuttal Power Costs_Electric Rev Req Model (2009 GRC) Rebuttal" xfId="789"/>
    <cellStyle name="_Costs not in AURORA 2006GRC w gas price updated_Rebuttal Power Costs_Electric Rev Req Model (2009 GRC) Rebuttal REmoval of New  WH Solar AdjustMI" xfId="790"/>
    <cellStyle name="_Costs not in AURORA 2006GRC w gas price updated_Rebuttal Power Costs_Electric Rev Req Model (2009 GRC) Revised 01-18-2010" xfId="791"/>
    <cellStyle name="_Costs not in AURORA 2006GRC w gas price updated_Rebuttal Power Costs_Final Order Electric EXHIBIT A-1" xfId="792"/>
    <cellStyle name="_Costs not in AURORA 2006GRC w gas price updated_TENASKA REGULATORY ASSET" xfId="793"/>
    <cellStyle name="_Costs not in AURORA 2007 Rate Case" xfId="45"/>
    <cellStyle name="_Costs not in AURORA 2007 Rate Case 2" xfId="46"/>
    <cellStyle name="_Costs not in AURORA 2007 Rate Case 3" xfId="47"/>
    <cellStyle name="_Costs not in AURORA 2007 Rate Case_(C) WHE Proforma with ITC cash grant 10 Yr Amort_for deferral_102809" xfId="794"/>
    <cellStyle name="_Costs not in AURORA 2007 Rate Case_(C) WHE Proforma with ITC cash grant 10 Yr Amort_for deferral_102809_16.07E Wild Horse Wind Expansionwrkingfile" xfId="795"/>
    <cellStyle name="_Costs not in AURORA 2007 Rate Case_(C) WHE Proforma with ITC cash grant 10 Yr Amort_for deferral_102809_16.07E Wild Horse Wind Expansionwrkingfile SF" xfId="796"/>
    <cellStyle name="_Costs not in AURORA 2007 Rate Case_(C) WHE Proforma with ITC cash grant 10 Yr Amort_for deferral_102809_16.37E Wild Horse Expansion DeferralRevwrkingfile SF" xfId="797"/>
    <cellStyle name="_Costs not in AURORA 2007 Rate Case_(C) WHE Proforma with ITC cash grant 10 Yr Amort_for rebuttal_120709" xfId="798"/>
    <cellStyle name="_Costs not in AURORA 2007 Rate Case_04.07E Wild Horse Wind Expansion" xfId="799"/>
    <cellStyle name="_Costs not in AURORA 2007 Rate Case_04.07E Wild Horse Wind Expansion_16.07E Wild Horse Wind Expansionwrkingfile" xfId="800"/>
    <cellStyle name="_Costs not in AURORA 2007 Rate Case_04.07E Wild Horse Wind Expansion_16.07E Wild Horse Wind Expansionwrkingfile SF" xfId="801"/>
    <cellStyle name="_Costs not in AURORA 2007 Rate Case_04.07E Wild Horse Wind Expansion_16.37E Wild Horse Expansion DeferralRevwrkingfile SF" xfId="802"/>
    <cellStyle name="_Costs not in AURORA 2007 Rate Case_16.07E Wild Horse Wind Expansionwrkingfile" xfId="803"/>
    <cellStyle name="_Costs not in AURORA 2007 Rate Case_16.07E Wild Horse Wind Expansionwrkingfile SF" xfId="804"/>
    <cellStyle name="_Costs not in AURORA 2007 Rate Case_16.17E &amp; 16.12G D&amp; O Insurance" xfId="805"/>
    <cellStyle name="_Costs not in AURORA 2007 Rate Case_16.37E Wild Horse Expansion DeferralRevwrkingfile SF" xfId="806"/>
    <cellStyle name="_Costs not in AURORA 2007 Rate Case_2009 GRC Compl Filing - Exhibit D" xfId="807"/>
    <cellStyle name="_Costs not in AURORA 2007 Rate Case_3.01 Income Statement" xfId="808"/>
    <cellStyle name="_Costs not in AURORA 2007 Rate Case_3.02 BS 2011 GRC" xfId="809"/>
    <cellStyle name="_Costs not in AURORA 2007 Rate Case_3.02 BS 2011 GRC_1" xfId="810"/>
    <cellStyle name="_Costs not in AURORA 2007 Rate Case_3.02 BS 2011 GRC_3.02 BS 2011 GRC" xfId="811"/>
    <cellStyle name="_Costs not in AURORA 2007 Rate Case_3.02 BS 2011 GRC_JHS-3" xfId="812"/>
    <cellStyle name="_Costs not in AURORA 2007 Rate Case_4 31 Regulatory Assets and Liabilities  7 06- Exhibit D" xfId="813"/>
    <cellStyle name="_Costs not in AURORA 2007 Rate Case_4 32 Regulatory Assets and Liabilities  7 06- Exhibit D" xfId="814"/>
    <cellStyle name="_Costs not in AURORA 2007 Rate Case_Book2" xfId="815"/>
    <cellStyle name="_Costs not in AURORA 2007 Rate Case_Book2_Adj Bench DR 3 for Initial Briefs (Electric)" xfId="816"/>
    <cellStyle name="_Costs not in AURORA 2007 Rate Case_Book2_Electric Rev Req Model (2009 GRC) Rebuttal" xfId="817"/>
    <cellStyle name="_Costs not in AURORA 2007 Rate Case_Book2_Electric Rev Req Model (2009 GRC) Rebuttal REmoval of New  WH Solar AdjustMI" xfId="818"/>
    <cellStyle name="_Costs not in AURORA 2007 Rate Case_Book2_Electric Rev Req Model (2009 GRC) Revised 01-18-2010" xfId="819"/>
    <cellStyle name="_Costs not in AURORA 2007 Rate Case_Book2_Final Order Electric EXHIBIT A-1" xfId="820"/>
    <cellStyle name="_Costs not in AURORA 2007 Rate Case_Book4" xfId="821"/>
    <cellStyle name="_Costs not in AURORA 2007 Rate Case_Book9" xfId="48"/>
    <cellStyle name="_Costs not in AURORA 2007 Rate Case_JHS-3" xfId="822"/>
    <cellStyle name="_Costs not in AURORA 2007 Rate Case_MJS-3" xfId="823"/>
    <cellStyle name="_Costs not in AURORA 2007 Rate Case_Power Costs - Comparison bx Rbtl-Staff-Jt-PC" xfId="824"/>
    <cellStyle name="_Costs not in AURORA 2007 Rate Case_Power Costs - Comparison bx Rbtl-Staff-Jt-PC_Adj Bench DR 3 for Initial Briefs (Electric)" xfId="825"/>
    <cellStyle name="_Costs not in AURORA 2007 Rate Case_Power Costs - Comparison bx Rbtl-Staff-Jt-PC_Electric Rev Req Model (2009 GRC) Rebuttal" xfId="826"/>
    <cellStyle name="_Costs not in AURORA 2007 Rate Case_Power Costs - Comparison bx Rbtl-Staff-Jt-PC_Electric Rev Req Model (2009 GRC) Rebuttal REmoval of New  WH Solar AdjustMI" xfId="827"/>
    <cellStyle name="_Costs not in AURORA 2007 Rate Case_Power Costs - Comparison bx Rbtl-Staff-Jt-PC_Electric Rev Req Model (2009 GRC) Revised 01-18-2010" xfId="828"/>
    <cellStyle name="_Costs not in AURORA 2007 Rate Case_Power Costs - Comparison bx Rbtl-Staff-Jt-PC_Final Order Electric EXHIBIT A-1" xfId="829"/>
    <cellStyle name="_Costs not in AURORA 2007 Rate Case_Rebuttal Power Costs" xfId="830"/>
    <cellStyle name="_Costs not in AURORA 2007 Rate Case_Rebuttal Power Costs_Adj Bench DR 3 for Initial Briefs (Electric)" xfId="831"/>
    <cellStyle name="_Costs not in AURORA 2007 Rate Case_Rebuttal Power Costs_Electric Rev Req Model (2009 GRC) Rebuttal" xfId="832"/>
    <cellStyle name="_Costs not in AURORA 2007 Rate Case_Rebuttal Power Costs_Electric Rev Req Model (2009 GRC) Rebuttal REmoval of New  WH Solar AdjustMI" xfId="833"/>
    <cellStyle name="_Costs not in AURORA 2007 Rate Case_Rebuttal Power Costs_Electric Rev Req Model (2009 GRC) Revised 01-18-2010" xfId="834"/>
    <cellStyle name="_Costs not in AURORA 2007 Rate Case_Rebuttal Power Costs_Final Order Electric EXHIBIT A-1" xfId="835"/>
    <cellStyle name="_Costs not in KWI3000 '06Budget" xfId="49"/>
    <cellStyle name="_Costs not in KWI3000 '06Budget 2" xfId="50"/>
    <cellStyle name="_Costs not in KWI3000 '06Budget 3" xfId="51"/>
    <cellStyle name="_Costs not in KWI3000 '06Budget_(C) WHE Proforma with ITC cash grant 10 Yr Amort_for deferral_102809" xfId="836"/>
    <cellStyle name="_Costs not in KWI3000 '06Budget_(C) WHE Proforma with ITC cash grant 10 Yr Amort_for deferral_102809_16.07E Wild Horse Wind Expansionwrkingfile" xfId="837"/>
    <cellStyle name="_Costs not in KWI3000 '06Budget_(C) WHE Proforma with ITC cash grant 10 Yr Amort_for deferral_102809_16.07E Wild Horse Wind Expansionwrkingfile SF" xfId="838"/>
    <cellStyle name="_Costs not in KWI3000 '06Budget_(C) WHE Proforma with ITC cash grant 10 Yr Amort_for deferral_102809_16.37E Wild Horse Expansion DeferralRevwrkingfile SF" xfId="839"/>
    <cellStyle name="_Costs not in KWI3000 '06Budget_(C) WHE Proforma with ITC cash grant 10 Yr Amort_for rebuttal_120709" xfId="840"/>
    <cellStyle name="_Costs not in KWI3000 '06Budget_04.07E Wild Horse Wind Expansion" xfId="841"/>
    <cellStyle name="_Costs not in KWI3000 '06Budget_04.07E Wild Horse Wind Expansion_16.07E Wild Horse Wind Expansionwrkingfile" xfId="842"/>
    <cellStyle name="_Costs not in KWI3000 '06Budget_04.07E Wild Horse Wind Expansion_16.07E Wild Horse Wind Expansionwrkingfile SF" xfId="843"/>
    <cellStyle name="_Costs not in KWI3000 '06Budget_04.07E Wild Horse Wind Expansion_16.37E Wild Horse Expansion DeferralRevwrkingfile SF" xfId="844"/>
    <cellStyle name="_Costs not in KWI3000 '06Budget_16.07E Wild Horse Wind Expansionwrkingfile" xfId="845"/>
    <cellStyle name="_Costs not in KWI3000 '06Budget_16.07E Wild Horse Wind Expansionwrkingfile SF" xfId="846"/>
    <cellStyle name="_Costs not in KWI3000 '06Budget_16.17E &amp; 16.12G D&amp; O Insurance" xfId="847"/>
    <cellStyle name="_Costs not in KWI3000 '06Budget_16.37E Wild Horse Expansion DeferralRevwrkingfile SF" xfId="848"/>
    <cellStyle name="_Costs not in KWI3000 '06Budget_3.01 Income Statement" xfId="849"/>
    <cellStyle name="_Costs not in KWI3000 '06Budget_3.02 BS 2011 GRC" xfId="850"/>
    <cellStyle name="_Costs not in KWI3000 '06Budget_3.02 BS 2011 GRC_1" xfId="851"/>
    <cellStyle name="_Costs not in KWI3000 '06Budget_3.02 BS 2011 GRC_3.02 BS 2011 GRC" xfId="852"/>
    <cellStyle name="_Costs not in KWI3000 '06Budget_3.02 BS 2011 GRC_JHS-3" xfId="853"/>
    <cellStyle name="_Costs not in KWI3000 '06Budget_4 31 Regulatory Assets and Liabilities  7 06- Exhibit D" xfId="854"/>
    <cellStyle name="_Costs not in KWI3000 '06Budget_4 32 Regulatory Assets and Liabilities  7 06- Exhibit D" xfId="855"/>
    <cellStyle name="_Costs not in KWI3000 '06Budget_Book2" xfId="856"/>
    <cellStyle name="_Costs not in KWI3000 '06Budget_Book2_Adj Bench DR 3 for Initial Briefs (Electric)" xfId="857"/>
    <cellStyle name="_Costs not in KWI3000 '06Budget_Book2_Electric Rev Req Model (2009 GRC) Rebuttal" xfId="858"/>
    <cellStyle name="_Costs not in KWI3000 '06Budget_Book2_Electric Rev Req Model (2009 GRC) Rebuttal REmoval of New  WH Solar AdjustMI" xfId="859"/>
    <cellStyle name="_Costs not in KWI3000 '06Budget_Book2_Electric Rev Req Model (2009 GRC) Revised 01-18-2010" xfId="860"/>
    <cellStyle name="_Costs not in KWI3000 '06Budget_Book2_Final Order Electric EXHIBIT A-1" xfId="861"/>
    <cellStyle name="_Costs not in KWI3000 '06Budget_Book4" xfId="862"/>
    <cellStyle name="_Costs not in KWI3000 '06Budget_Book9" xfId="52"/>
    <cellStyle name="_Costs not in KWI3000 '06Budget_JHS-3" xfId="863"/>
    <cellStyle name="_Costs not in KWI3000 '06Budget_Laid Off Employees + CEO" xfId="864"/>
    <cellStyle name="_Costs not in KWI3000 '06Budget_Misc. Exp Airport Parking" xfId="865"/>
    <cellStyle name="_Costs not in KWI3000 '06Budget_MJS-3" xfId="866"/>
    <cellStyle name="_Costs not in KWI3000 '06Budget_Power Costs - Comparison bx Rbtl-Staff-Jt-PC" xfId="867"/>
    <cellStyle name="_Costs not in KWI3000 '06Budget_Power Costs - Comparison bx Rbtl-Staff-Jt-PC_Adj Bench DR 3 for Initial Briefs (Electric)" xfId="868"/>
    <cellStyle name="_Costs not in KWI3000 '06Budget_Power Costs - Comparison bx Rbtl-Staff-Jt-PC_Electric Rev Req Model (2009 GRC) Rebuttal" xfId="869"/>
    <cellStyle name="_Costs not in KWI3000 '06Budget_Power Costs - Comparison bx Rbtl-Staff-Jt-PC_Electric Rev Req Model (2009 GRC) Rebuttal REmoval of New  WH Solar AdjustMI" xfId="870"/>
    <cellStyle name="_Costs not in KWI3000 '06Budget_Power Costs - Comparison bx Rbtl-Staff-Jt-PC_Electric Rev Req Model (2009 GRC) Revised 01-18-2010" xfId="871"/>
    <cellStyle name="_Costs not in KWI3000 '06Budget_Power Costs - Comparison bx Rbtl-Staff-Jt-PC_Final Order Electric EXHIBIT A-1" xfId="872"/>
    <cellStyle name="_Costs not in KWI3000 '06Budget_Rebuttal Power Costs" xfId="873"/>
    <cellStyle name="_Costs not in KWI3000 '06Budget_Rebuttal Power Costs_Adj Bench DR 3 for Initial Briefs (Electric)" xfId="874"/>
    <cellStyle name="_Costs not in KWI3000 '06Budget_Rebuttal Power Costs_Electric Rev Req Model (2009 GRC) Rebuttal" xfId="875"/>
    <cellStyle name="_Costs not in KWI3000 '06Budget_Rebuttal Power Costs_Electric Rev Req Model (2009 GRC) Rebuttal REmoval of New  WH Solar AdjustMI" xfId="876"/>
    <cellStyle name="_Costs not in KWI3000 '06Budget_Rebuttal Power Costs_Electric Rev Req Model (2009 GRC) Revised 01-18-2010" xfId="877"/>
    <cellStyle name="_Costs not in KWI3000 '06Budget_Rebuttal Power Costs_Final Order Electric EXHIBIT A-1" xfId="878"/>
    <cellStyle name="_DEM-08C Power Cost Comparison" xfId="879"/>
    <cellStyle name="_DEM-WP (C) Power Cost 2006GRC Order" xfId="53"/>
    <cellStyle name="_DEM-WP (C) Power Cost 2006GRC Order 2" xfId="54"/>
    <cellStyle name="_DEM-WP (C) Power Cost 2006GRC Order 3" xfId="55"/>
    <cellStyle name="_DEM-WP (C) Power Cost 2006GRC Order_04 07E Wild Horse Wind Expansion (C) (2)" xfId="56"/>
    <cellStyle name="_DEM-WP (C) Power Cost 2006GRC Order_04 07E Wild Horse Wind Expansion (C) (2)_Adj Bench DR 3 for Initial Briefs (Electric)" xfId="880"/>
    <cellStyle name="_DEM-WP (C) Power Cost 2006GRC Order_04 07E Wild Horse Wind Expansion (C) (2)_Electric Rev Req Model (2009 GRC) " xfId="881"/>
    <cellStyle name="_DEM-WP (C) Power Cost 2006GRC Order_04 07E Wild Horse Wind Expansion (C) (2)_Electric Rev Req Model (2009 GRC) Rebuttal" xfId="882"/>
    <cellStyle name="_DEM-WP (C) Power Cost 2006GRC Order_04 07E Wild Horse Wind Expansion (C) (2)_Electric Rev Req Model (2009 GRC) Rebuttal REmoval of New  WH Solar AdjustMI" xfId="883"/>
    <cellStyle name="_DEM-WP (C) Power Cost 2006GRC Order_04 07E Wild Horse Wind Expansion (C) (2)_Electric Rev Req Model (2009 GRC) Revised 01-18-2010" xfId="884"/>
    <cellStyle name="_DEM-WP (C) Power Cost 2006GRC Order_04 07E Wild Horse Wind Expansion (C) (2)_Final Order Electric EXHIBIT A-1" xfId="885"/>
    <cellStyle name="_DEM-WP (C) Power Cost 2006GRC Order_04 07E Wild Horse Wind Expansion (C) (2)_TENASKA REGULATORY ASSET" xfId="886"/>
    <cellStyle name="_DEM-WP (C) Power Cost 2006GRC Order_16.17E &amp; 16.12G D&amp; O Insurance" xfId="887"/>
    <cellStyle name="_DEM-WP (C) Power Cost 2006GRC Order_16.37E Wild Horse Expansion DeferralRevwrkingfile SF" xfId="888"/>
    <cellStyle name="_DEM-WP (C) Power Cost 2006GRC Order_2009 GRC Compl Filing - Exhibit D" xfId="889"/>
    <cellStyle name="_DEM-WP (C) Power Cost 2006GRC Order_3.01 Income Statement" xfId="890"/>
    <cellStyle name="_DEM-WP (C) Power Cost 2006GRC Order_3.02 BS 2011 GRC" xfId="891"/>
    <cellStyle name="_DEM-WP (C) Power Cost 2006GRC Order_3.02 BS 2011 GRC_1" xfId="892"/>
    <cellStyle name="_DEM-WP (C) Power Cost 2006GRC Order_3.02 BS 2011 GRC_3.02 BS 2011 GRC" xfId="893"/>
    <cellStyle name="_DEM-WP (C) Power Cost 2006GRC Order_3.02 BS 2011 GRC_JHS-3" xfId="894"/>
    <cellStyle name="_DEM-WP (C) Power Cost 2006GRC Order_4 31 Regulatory Assets and Liabilities  7 06- Exhibit D" xfId="895"/>
    <cellStyle name="_DEM-WP (C) Power Cost 2006GRC Order_4 32 Regulatory Assets and Liabilities  7 06- Exhibit D" xfId="896"/>
    <cellStyle name="_DEM-WP (C) Power Cost 2006GRC Order_Book2" xfId="897"/>
    <cellStyle name="_DEM-WP (C) Power Cost 2006GRC Order_Book2_Adj Bench DR 3 for Initial Briefs (Electric)" xfId="898"/>
    <cellStyle name="_DEM-WP (C) Power Cost 2006GRC Order_Book2_Electric Rev Req Model (2009 GRC) Rebuttal" xfId="899"/>
    <cellStyle name="_DEM-WP (C) Power Cost 2006GRC Order_Book2_Electric Rev Req Model (2009 GRC) Rebuttal REmoval of New  WH Solar AdjustMI" xfId="900"/>
    <cellStyle name="_DEM-WP (C) Power Cost 2006GRC Order_Book2_Electric Rev Req Model (2009 GRC) Revised 01-18-2010" xfId="901"/>
    <cellStyle name="_DEM-WP (C) Power Cost 2006GRC Order_Book2_Final Order Electric EXHIBIT A-1" xfId="902"/>
    <cellStyle name="_DEM-WP (C) Power Cost 2006GRC Order_Book4" xfId="903"/>
    <cellStyle name="_DEM-WP (C) Power Cost 2006GRC Order_Book9" xfId="57"/>
    <cellStyle name="_DEM-WP (C) Power Cost 2006GRC Order_JHS-3" xfId="904"/>
    <cellStyle name="_DEM-WP (C) Power Cost 2006GRC Order_MJS-3" xfId="905"/>
    <cellStyle name="_DEM-WP (C) Power Cost 2006GRC Order_Power Costs - Comparison bx Rbtl-Staff-Jt-PC" xfId="906"/>
    <cellStyle name="_DEM-WP (C) Power Cost 2006GRC Order_Power Costs - Comparison bx Rbtl-Staff-Jt-PC_Adj Bench DR 3 for Initial Briefs (Electric)" xfId="907"/>
    <cellStyle name="_DEM-WP (C) Power Cost 2006GRC Order_Power Costs - Comparison bx Rbtl-Staff-Jt-PC_Electric Rev Req Model (2009 GRC) Rebuttal" xfId="908"/>
    <cellStyle name="_DEM-WP (C) Power Cost 2006GRC Order_Power Costs - Comparison bx Rbtl-Staff-Jt-PC_Electric Rev Req Model (2009 GRC) Rebuttal REmoval of New  WH Solar AdjustMI" xfId="909"/>
    <cellStyle name="_DEM-WP (C) Power Cost 2006GRC Order_Power Costs - Comparison bx Rbtl-Staff-Jt-PC_Electric Rev Req Model (2009 GRC) Revised 01-18-2010" xfId="910"/>
    <cellStyle name="_DEM-WP (C) Power Cost 2006GRC Order_Power Costs - Comparison bx Rbtl-Staff-Jt-PC_Final Order Electric EXHIBIT A-1" xfId="911"/>
    <cellStyle name="_DEM-WP (C) Power Cost 2006GRC Order_Rebuttal Power Costs" xfId="912"/>
    <cellStyle name="_DEM-WP (C) Power Cost 2006GRC Order_Rebuttal Power Costs_Adj Bench DR 3 for Initial Briefs (Electric)" xfId="913"/>
    <cellStyle name="_DEM-WP (C) Power Cost 2006GRC Order_Rebuttal Power Costs_Electric Rev Req Model (2009 GRC) Rebuttal" xfId="914"/>
    <cellStyle name="_DEM-WP (C) Power Cost 2006GRC Order_Rebuttal Power Costs_Electric Rev Req Model (2009 GRC) Rebuttal REmoval of New  WH Solar AdjustMI" xfId="915"/>
    <cellStyle name="_DEM-WP (C) Power Cost 2006GRC Order_Rebuttal Power Costs_Electric Rev Req Model (2009 GRC) Revised 01-18-2010" xfId="916"/>
    <cellStyle name="_DEM-WP (C) Power Cost 2006GRC Order_Rebuttal Power Costs_Final Order Electric EXHIBIT A-1" xfId="917"/>
    <cellStyle name="_DEM-WP Revised (HC) Wild Horse 2006GRC" xfId="58"/>
    <cellStyle name="_DEM-WP Revised (HC) Wild Horse 2006GRC_16.37E Wild Horse Expansion DeferralRevwrkingfile SF" xfId="918"/>
    <cellStyle name="_DEM-WP Revised (HC) Wild Horse 2006GRC_2009 GRC Compl Filing - Exhibit D" xfId="919"/>
    <cellStyle name="_DEM-WP Revised (HC) Wild Horse 2006GRC_Adj Bench DR 3 for Initial Briefs (Electric)" xfId="920"/>
    <cellStyle name="_DEM-WP Revised (HC) Wild Horse 2006GRC_Book2" xfId="921"/>
    <cellStyle name="_DEM-WP Revised (HC) Wild Horse 2006GRC_Book4" xfId="922"/>
    <cellStyle name="_DEM-WP Revised (HC) Wild Horse 2006GRC_Electric Rev Req Model (2009 GRC) " xfId="923"/>
    <cellStyle name="_DEM-WP Revised (HC) Wild Horse 2006GRC_Electric Rev Req Model (2009 GRC) Rebuttal" xfId="59"/>
    <cellStyle name="_DEM-WP Revised (HC) Wild Horse 2006GRC_Electric Rev Req Model (2009 GRC) Rebuttal REmoval of New  WH Solar AdjustMI" xfId="924"/>
    <cellStyle name="_DEM-WP Revised (HC) Wild Horse 2006GRC_Electric Rev Req Model (2009 GRC) Revised 01-18-2010" xfId="925"/>
    <cellStyle name="_DEM-WP Revised (HC) Wild Horse 2006GRC_Final Order Electric EXHIBIT A-1" xfId="926"/>
    <cellStyle name="_DEM-WP Revised (HC) Wild Horse 2006GRC_Power Costs - Comparison bx Rbtl-Staff-Jt-PC" xfId="927"/>
    <cellStyle name="_DEM-WP Revised (HC) Wild Horse 2006GRC_Rebuttal Power Costs" xfId="928"/>
    <cellStyle name="_DEM-WP Revised (HC) Wild Horse 2006GRC_TENASKA REGULATORY ASSET" xfId="929"/>
    <cellStyle name="_DEM-WP(C) Colstrip FOR" xfId="930"/>
    <cellStyle name="_DEM-WP(C) Colstrip FOR_(C) WHE Proforma with ITC cash grant 10 Yr Amort_for rebuttal_120709" xfId="931"/>
    <cellStyle name="_DEM-WP(C) Colstrip FOR_16.07E Wild Horse Wind Expansionwrkingfile" xfId="932"/>
    <cellStyle name="_DEM-WP(C) Colstrip FOR_16.07E Wild Horse Wind Expansionwrkingfile SF" xfId="933"/>
    <cellStyle name="_DEM-WP(C) Colstrip FOR_16.37E Wild Horse Expansion DeferralRevwrkingfile SF" xfId="934"/>
    <cellStyle name="_DEM-WP(C) Colstrip FOR_Adj Bench DR 3 for Initial Briefs (Electric)" xfId="935"/>
    <cellStyle name="_DEM-WP(C) Colstrip FOR_Book2" xfId="936"/>
    <cellStyle name="_DEM-WP(C) Colstrip FOR_Book2_Adj Bench DR 3 for Initial Briefs (Electric)" xfId="937"/>
    <cellStyle name="_DEM-WP(C) Colstrip FOR_Book2_Electric Rev Req Model (2009 GRC) Rebuttal" xfId="938"/>
    <cellStyle name="_DEM-WP(C) Colstrip FOR_Book2_Electric Rev Req Model (2009 GRC) Rebuttal REmoval of New  WH Solar AdjustMI" xfId="939"/>
    <cellStyle name="_DEM-WP(C) Colstrip FOR_Book2_Electric Rev Req Model (2009 GRC) Revised 01-18-2010" xfId="940"/>
    <cellStyle name="_DEM-WP(C) Colstrip FOR_Book2_Final Order Electric EXHIBIT A-1" xfId="941"/>
    <cellStyle name="_DEM-WP(C) Colstrip FOR_Electric Rev Req Model (2009 GRC) Rebuttal" xfId="942"/>
    <cellStyle name="_DEM-WP(C) Colstrip FOR_Electric Rev Req Model (2009 GRC) Rebuttal REmoval of New  WH Solar AdjustMI" xfId="943"/>
    <cellStyle name="_DEM-WP(C) Colstrip FOR_Electric Rev Req Model (2009 GRC) Revised 01-18-2010" xfId="944"/>
    <cellStyle name="_DEM-WP(C) Colstrip FOR_Final Order Electric EXHIBIT A-1" xfId="945"/>
    <cellStyle name="_DEM-WP(C) Colstrip FOR_Rebuttal Power Costs" xfId="946"/>
    <cellStyle name="_DEM-WP(C) Colstrip FOR_Rebuttal Power Costs_Adj Bench DR 3 for Initial Briefs (Electric)" xfId="947"/>
    <cellStyle name="_DEM-WP(C) Colstrip FOR_Rebuttal Power Costs_Electric Rev Req Model (2009 GRC) Rebuttal" xfId="948"/>
    <cellStyle name="_DEM-WP(C) Colstrip FOR_Rebuttal Power Costs_Electric Rev Req Model (2009 GRC) Rebuttal REmoval of New  WH Solar AdjustMI" xfId="949"/>
    <cellStyle name="_DEM-WP(C) Colstrip FOR_Rebuttal Power Costs_Electric Rev Req Model (2009 GRC) Revised 01-18-2010" xfId="950"/>
    <cellStyle name="_DEM-WP(C) Colstrip FOR_Rebuttal Power Costs_Final Order Electric EXHIBIT A-1" xfId="951"/>
    <cellStyle name="_DEM-WP(C) Colstrip FOR_TENASKA REGULATORY ASSET" xfId="952"/>
    <cellStyle name="_DEM-WP(C) Costs not in AURORA 2006GRC" xfId="60"/>
    <cellStyle name="_DEM-WP(C) Costs not in AURORA 2006GRC 2" xfId="61"/>
    <cellStyle name="_DEM-WP(C) Costs not in AURORA 2006GRC 3" xfId="62"/>
    <cellStyle name="_DEM-WP(C) Costs not in AURORA 2006GRC_(C) WHE Proforma with ITC cash grant 10 Yr Amort_for deferral_102809" xfId="953"/>
    <cellStyle name="_DEM-WP(C) Costs not in AURORA 2006GRC_(C) WHE Proforma with ITC cash grant 10 Yr Amort_for deferral_102809_16.07E Wild Horse Wind Expansionwrkingfile" xfId="954"/>
    <cellStyle name="_DEM-WP(C) Costs not in AURORA 2006GRC_(C) WHE Proforma with ITC cash grant 10 Yr Amort_for deferral_102809_16.07E Wild Horse Wind Expansionwrkingfile SF" xfId="955"/>
    <cellStyle name="_DEM-WP(C) Costs not in AURORA 2006GRC_(C) WHE Proforma with ITC cash grant 10 Yr Amort_for deferral_102809_16.37E Wild Horse Expansion DeferralRevwrkingfile SF" xfId="956"/>
    <cellStyle name="_DEM-WP(C) Costs not in AURORA 2006GRC_(C) WHE Proforma with ITC cash grant 10 Yr Amort_for rebuttal_120709" xfId="957"/>
    <cellStyle name="_DEM-WP(C) Costs not in AURORA 2006GRC_04.07E Wild Horse Wind Expansion" xfId="958"/>
    <cellStyle name="_DEM-WP(C) Costs not in AURORA 2006GRC_04.07E Wild Horse Wind Expansion_16.07E Wild Horse Wind Expansionwrkingfile" xfId="959"/>
    <cellStyle name="_DEM-WP(C) Costs not in AURORA 2006GRC_04.07E Wild Horse Wind Expansion_16.07E Wild Horse Wind Expansionwrkingfile SF" xfId="960"/>
    <cellStyle name="_DEM-WP(C) Costs not in AURORA 2006GRC_04.07E Wild Horse Wind Expansion_16.37E Wild Horse Expansion DeferralRevwrkingfile SF" xfId="961"/>
    <cellStyle name="_DEM-WP(C) Costs not in AURORA 2006GRC_16.07E Wild Horse Wind Expansionwrkingfile" xfId="962"/>
    <cellStyle name="_DEM-WP(C) Costs not in AURORA 2006GRC_16.07E Wild Horse Wind Expansionwrkingfile SF" xfId="963"/>
    <cellStyle name="_DEM-WP(C) Costs not in AURORA 2006GRC_16.17E &amp; 16.12G D&amp; O Insurance" xfId="964"/>
    <cellStyle name="_DEM-WP(C) Costs not in AURORA 2006GRC_16.37E Wild Horse Expansion DeferralRevwrkingfile SF" xfId="965"/>
    <cellStyle name="_DEM-WP(C) Costs not in AURORA 2006GRC_2009 GRC Compl Filing - Exhibit D" xfId="966"/>
    <cellStyle name="_DEM-WP(C) Costs not in AURORA 2006GRC_3.01 Income Statement" xfId="967"/>
    <cellStyle name="_DEM-WP(C) Costs not in AURORA 2006GRC_3.02 BS 2011 GRC" xfId="968"/>
    <cellStyle name="_DEM-WP(C) Costs not in AURORA 2006GRC_3.02 BS 2011 GRC_1" xfId="969"/>
    <cellStyle name="_DEM-WP(C) Costs not in AURORA 2006GRC_3.02 BS 2011 GRC_3.02 BS 2011 GRC" xfId="970"/>
    <cellStyle name="_DEM-WP(C) Costs not in AURORA 2006GRC_3.02 BS 2011 GRC_JHS-3" xfId="971"/>
    <cellStyle name="_DEM-WP(C) Costs not in AURORA 2006GRC_4 31 Regulatory Assets and Liabilities  7 06- Exhibit D" xfId="972"/>
    <cellStyle name="_DEM-WP(C) Costs not in AURORA 2006GRC_4 32 Regulatory Assets and Liabilities  7 06- Exhibit D" xfId="973"/>
    <cellStyle name="_DEM-WP(C) Costs not in AURORA 2006GRC_Book2" xfId="974"/>
    <cellStyle name="_DEM-WP(C) Costs not in AURORA 2006GRC_Book2_Adj Bench DR 3 for Initial Briefs (Electric)" xfId="975"/>
    <cellStyle name="_DEM-WP(C) Costs not in AURORA 2006GRC_Book2_Electric Rev Req Model (2009 GRC) Rebuttal" xfId="976"/>
    <cellStyle name="_DEM-WP(C) Costs not in AURORA 2006GRC_Book2_Electric Rev Req Model (2009 GRC) Rebuttal REmoval of New  WH Solar AdjustMI" xfId="977"/>
    <cellStyle name="_DEM-WP(C) Costs not in AURORA 2006GRC_Book2_Electric Rev Req Model (2009 GRC) Revised 01-18-2010" xfId="978"/>
    <cellStyle name="_DEM-WP(C) Costs not in AURORA 2006GRC_Book2_Final Order Electric EXHIBIT A-1" xfId="979"/>
    <cellStyle name="_DEM-WP(C) Costs not in AURORA 2006GRC_Book4" xfId="980"/>
    <cellStyle name="_DEM-WP(C) Costs not in AURORA 2006GRC_Book9" xfId="63"/>
    <cellStyle name="_DEM-WP(C) Costs not in AURORA 2006GRC_JHS-3" xfId="981"/>
    <cellStyle name="_DEM-WP(C) Costs not in AURORA 2006GRC_MJS-3" xfId="982"/>
    <cellStyle name="_DEM-WP(C) Costs not in AURORA 2006GRC_Power Costs - Comparison bx Rbtl-Staff-Jt-PC" xfId="983"/>
    <cellStyle name="_DEM-WP(C) Costs not in AURORA 2006GRC_Power Costs - Comparison bx Rbtl-Staff-Jt-PC_Adj Bench DR 3 for Initial Briefs (Electric)" xfId="984"/>
    <cellStyle name="_DEM-WP(C) Costs not in AURORA 2006GRC_Power Costs - Comparison bx Rbtl-Staff-Jt-PC_Electric Rev Req Model (2009 GRC) Rebuttal" xfId="985"/>
    <cellStyle name="_DEM-WP(C) Costs not in AURORA 2006GRC_Power Costs - Comparison bx Rbtl-Staff-Jt-PC_Electric Rev Req Model (2009 GRC) Rebuttal REmoval of New  WH Solar AdjustMI" xfId="986"/>
    <cellStyle name="_DEM-WP(C) Costs not in AURORA 2006GRC_Power Costs - Comparison bx Rbtl-Staff-Jt-PC_Electric Rev Req Model (2009 GRC) Revised 01-18-2010" xfId="987"/>
    <cellStyle name="_DEM-WP(C) Costs not in AURORA 2006GRC_Power Costs - Comparison bx Rbtl-Staff-Jt-PC_Final Order Electric EXHIBIT A-1" xfId="988"/>
    <cellStyle name="_DEM-WP(C) Costs not in AURORA 2006GRC_Rebuttal Power Costs" xfId="989"/>
    <cellStyle name="_DEM-WP(C) Costs not in AURORA 2006GRC_Rebuttal Power Costs_Adj Bench DR 3 for Initial Briefs (Electric)" xfId="990"/>
    <cellStyle name="_DEM-WP(C) Costs not in AURORA 2006GRC_Rebuttal Power Costs_Electric Rev Req Model (2009 GRC) Rebuttal" xfId="991"/>
    <cellStyle name="_DEM-WP(C) Costs not in AURORA 2006GRC_Rebuttal Power Costs_Electric Rev Req Model (2009 GRC) Rebuttal REmoval of New  WH Solar AdjustMI" xfId="992"/>
    <cellStyle name="_DEM-WP(C) Costs not in AURORA 2006GRC_Rebuttal Power Costs_Electric Rev Req Model (2009 GRC) Revised 01-18-2010" xfId="993"/>
    <cellStyle name="_DEM-WP(C) Costs not in AURORA 2006GRC_Rebuttal Power Costs_Final Order Electric EXHIBIT A-1" xfId="994"/>
    <cellStyle name="_DEM-WP(C) Costs not in AURORA 2007GRC" xfId="64"/>
    <cellStyle name="_DEM-WP(C) Costs not in AURORA 2007GRC_16.37E Wild Horse Expansion DeferralRevwrkingfile SF" xfId="995"/>
    <cellStyle name="_DEM-WP(C) Costs not in AURORA 2007GRC_2009 GRC Compl Filing - Exhibit D" xfId="996"/>
    <cellStyle name="_DEM-WP(C) Costs not in AURORA 2007GRC_Adj Bench DR 3 for Initial Briefs (Electric)" xfId="997"/>
    <cellStyle name="_DEM-WP(C) Costs not in AURORA 2007GRC_Book2" xfId="998"/>
    <cellStyle name="_DEM-WP(C) Costs not in AURORA 2007GRC_Book4" xfId="999"/>
    <cellStyle name="_DEM-WP(C) Costs not in AURORA 2007GRC_Electric Rev Req Model (2009 GRC) " xfId="1000"/>
    <cellStyle name="_DEM-WP(C) Costs not in AURORA 2007GRC_Electric Rev Req Model (2009 GRC) Rebuttal" xfId="65"/>
    <cellStyle name="_DEM-WP(C) Costs not in AURORA 2007GRC_Electric Rev Req Model (2009 GRC) Rebuttal REmoval of New  WH Solar AdjustMI" xfId="1001"/>
    <cellStyle name="_DEM-WP(C) Costs not in AURORA 2007GRC_Electric Rev Req Model (2009 GRC) Revised 01-18-2010" xfId="1002"/>
    <cellStyle name="_DEM-WP(C) Costs not in AURORA 2007GRC_Final Order Electric EXHIBIT A-1" xfId="1003"/>
    <cellStyle name="_DEM-WP(C) Costs not in AURORA 2007GRC_Power Costs - Comparison bx Rbtl-Staff-Jt-PC" xfId="1004"/>
    <cellStyle name="_DEM-WP(C) Costs not in AURORA 2007GRC_Rebuttal Power Costs" xfId="1005"/>
    <cellStyle name="_DEM-WP(C) Costs not in AURORA 2007GRC_TENASKA REGULATORY ASSET" xfId="1006"/>
    <cellStyle name="_DEM-WP(C) Costs not in AURORA 2007PCORC-5.07Update" xfId="66"/>
    <cellStyle name="_DEM-WP(C) Costs not in AURORA 2007PCORC-5.07Update_16.37E Wild Horse Expansion DeferralRevwrkingfile SF" xfId="1007"/>
    <cellStyle name="_DEM-WP(C) Costs not in AURORA 2007PCORC-5.07Update_2009 GRC Compl Filing - Exhibit D" xfId="1008"/>
    <cellStyle name="_DEM-WP(C) Costs not in AURORA 2007PCORC-5.07Update_Adj Bench DR 3 for Initial Briefs (Electric)" xfId="1009"/>
    <cellStyle name="_DEM-WP(C) Costs not in AURORA 2007PCORC-5.07Update_Book2" xfId="1010"/>
    <cellStyle name="_DEM-WP(C) Costs not in AURORA 2007PCORC-5.07Update_Book4" xfId="1011"/>
    <cellStyle name="_DEM-WP(C) Costs not in AURORA 2007PCORC-5.07Update_DEM-WP(C) Production O&amp;M 2009GRC Rebuttal" xfId="1012"/>
    <cellStyle name="_DEM-WP(C) Costs not in AURORA 2007PCORC-5.07Update_DEM-WP(C) Production O&amp;M 2009GRC Rebuttal_Adj Bench DR 3 for Initial Briefs (Electric)" xfId="1013"/>
    <cellStyle name="_DEM-WP(C) Costs not in AURORA 2007PCORC-5.07Update_DEM-WP(C) Production O&amp;M 2009GRC Rebuttal_Book2" xfId="1014"/>
    <cellStyle name="_DEM-WP(C) Costs not in AURORA 2007PCORC-5.07Update_DEM-WP(C) Production O&amp;M 2009GRC Rebuttal_Book2_Adj Bench DR 3 for Initial Briefs (Electric)" xfId="1015"/>
    <cellStyle name="_DEM-WP(C) Costs not in AURORA 2007PCORC-5.07Update_DEM-WP(C) Production O&amp;M 2009GRC Rebuttal_Book2_Electric Rev Req Model (2009 GRC) Rebuttal" xfId="1016"/>
    <cellStyle name="_DEM-WP(C) Costs not in AURORA 2007PCORC-5.07Update_DEM-WP(C) Production O&amp;M 2009GRC Rebuttal_Book2_Electric Rev Req Model (2009 GRC) Rebuttal REmoval of New  WH Solar AdjustMI" xfId="1017"/>
    <cellStyle name="_DEM-WP(C) Costs not in AURORA 2007PCORC-5.07Update_DEM-WP(C) Production O&amp;M 2009GRC Rebuttal_Book2_Electric Rev Req Model (2009 GRC) Revised 01-18-2010" xfId="1018"/>
    <cellStyle name="_DEM-WP(C) Costs not in AURORA 2007PCORC-5.07Update_DEM-WP(C) Production O&amp;M 2009GRC Rebuttal_Book2_Final Order Electric EXHIBIT A-1" xfId="1019"/>
    <cellStyle name="_DEM-WP(C) Costs not in AURORA 2007PCORC-5.07Update_DEM-WP(C) Production O&amp;M 2009GRC Rebuttal_Electric Rev Req Model (2009 GRC) Rebuttal" xfId="1020"/>
    <cellStyle name="_DEM-WP(C) Costs not in AURORA 2007PCORC-5.07Update_DEM-WP(C) Production O&amp;M 2009GRC Rebuttal_Electric Rev Req Model (2009 GRC) Rebuttal REmoval of New  WH Solar AdjustMI" xfId="1021"/>
    <cellStyle name="_DEM-WP(C) Costs not in AURORA 2007PCORC-5.07Update_DEM-WP(C) Production O&amp;M 2009GRC Rebuttal_Electric Rev Req Model (2009 GRC) Revised 01-18-2010" xfId="1022"/>
    <cellStyle name="_DEM-WP(C) Costs not in AURORA 2007PCORC-5.07Update_DEM-WP(C) Production O&amp;M 2009GRC Rebuttal_Final Order Electric EXHIBIT A-1" xfId="1023"/>
    <cellStyle name="_DEM-WP(C) Costs not in AURORA 2007PCORC-5.07Update_DEM-WP(C) Production O&amp;M 2009GRC Rebuttal_Rebuttal Power Costs" xfId="1024"/>
    <cellStyle name="_DEM-WP(C) Costs not in AURORA 2007PCORC-5.07Update_DEM-WP(C) Production O&amp;M 2009GRC Rebuttal_Rebuttal Power Costs_Adj Bench DR 3 for Initial Briefs (Electric)" xfId="1025"/>
    <cellStyle name="_DEM-WP(C) Costs not in AURORA 2007PCORC-5.07Update_DEM-WP(C) Production O&amp;M 2009GRC Rebuttal_Rebuttal Power Costs_Electric Rev Req Model (2009 GRC) Rebuttal" xfId="1026"/>
    <cellStyle name="_DEM-WP(C) Costs not in AURORA 2007PCORC-5.07Update_DEM-WP(C) Production O&amp;M 2009GRC Rebuttal_Rebuttal Power Costs_Electric Rev Req Model (2009 GRC) Rebuttal REmoval of New  WH Solar AdjustMI" xfId="1027"/>
    <cellStyle name="_DEM-WP(C) Costs not in AURORA 2007PCORC-5.07Update_DEM-WP(C) Production O&amp;M 2009GRC Rebuttal_Rebuttal Power Costs_Electric Rev Req Model (2009 GRC) Revised 01-18-2010" xfId="1028"/>
    <cellStyle name="_DEM-WP(C) Costs not in AURORA 2007PCORC-5.07Update_DEM-WP(C) Production O&amp;M 2009GRC Rebuttal_Rebuttal Power Costs_Final Order Electric EXHIBIT A-1" xfId="1029"/>
    <cellStyle name="_DEM-WP(C) Costs not in AURORA 2007PCORC-5.07Update_Electric Rev Req Model (2009 GRC) " xfId="1030"/>
    <cellStyle name="_DEM-WP(C) Costs not in AURORA 2007PCORC-5.07Update_Electric Rev Req Model (2009 GRC) Rebuttal" xfId="67"/>
    <cellStyle name="_DEM-WP(C) Costs not in AURORA 2007PCORC-5.07Update_Electric Rev Req Model (2009 GRC) Rebuttal REmoval of New  WH Solar AdjustMI" xfId="1031"/>
    <cellStyle name="_DEM-WP(C) Costs not in AURORA 2007PCORC-5.07Update_Electric Rev Req Model (2009 GRC) Revised 01-18-2010" xfId="1032"/>
    <cellStyle name="_DEM-WP(C) Costs not in AURORA 2007PCORC-5.07Update_Final Order Electric EXHIBIT A-1" xfId="1033"/>
    <cellStyle name="_DEM-WP(C) Costs not in AURORA 2007PCORC-5.07Update_Power Costs - Comparison bx Rbtl-Staff-Jt-PC" xfId="1034"/>
    <cellStyle name="_DEM-WP(C) Costs not in AURORA 2007PCORC-5.07Update_Rebuttal Power Costs" xfId="1035"/>
    <cellStyle name="_DEM-WP(C) Costs not in AURORA 2007PCORC-5.07Update_TENASKA REGULATORY ASSET" xfId="1036"/>
    <cellStyle name="_DEM-WP(C) Prod O&amp;M 2007GRC" xfId="1037"/>
    <cellStyle name="_DEM-WP(C) Prod O&amp;M 2007GRC_Adj Bench DR 3 for Initial Briefs (Electric)" xfId="1038"/>
    <cellStyle name="_DEM-WP(C) Prod O&amp;M 2007GRC_Book2" xfId="1039"/>
    <cellStyle name="_DEM-WP(C) Prod O&amp;M 2007GRC_Book2_Adj Bench DR 3 for Initial Briefs (Electric)" xfId="1040"/>
    <cellStyle name="_DEM-WP(C) Prod O&amp;M 2007GRC_Book2_Electric Rev Req Model (2009 GRC) Rebuttal" xfId="1041"/>
    <cellStyle name="_DEM-WP(C) Prod O&amp;M 2007GRC_Book2_Electric Rev Req Model (2009 GRC) Rebuttal REmoval of New  WH Solar AdjustMI" xfId="1042"/>
    <cellStyle name="_DEM-WP(C) Prod O&amp;M 2007GRC_Book2_Electric Rev Req Model (2009 GRC) Revised 01-18-2010" xfId="1043"/>
    <cellStyle name="_DEM-WP(C) Prod O&amp;M 2007GRC_Book2_Final Order Electric EXHIBIT A-1" xfId="1044"/>
    <cellStyle name="_DEM-WP(C) Prod O&amp;M 2007GRC_Electric Rev Req Model (2009 GRC) Rebuttal" xfId="1045"/>
    <cellStyle name="_DEM-WP(C) Prod O&amp;M 2007GRC_Electric Rev Req Model (2009 GRC) Rebuttal REmoval of New  WH Solar AdjustMI" xfId="1046"/>
    <cellStyle name="_DEM-WP(C) Prod O&amp;M 2007GRC_Electric Rev Req Model (2009 GRC) Revised 01-18-2010" xfId="1047"/>
    <cellStyle name="_DEM-WP(C) Prod O&amp;M 2007GRC_Final Order Electric EXHIBIT A-1" xfId="1048"/>
    <cellStyle name="_DEM-WP(C) Prod O&amp;M 2007GRC_Rebuttal Power Costs" xfId="1049"/>
    <cellStyle name="_DEM-WP(C) Prod O&amp;M 2007GRC_Rebuttal Power Costs_Adj Bench DR 3 for Initial Briefs (Electric)" xfId="1050"/>
    <cellStyle name="_DEM-WP(C) Prod O&amp;M 2007GRC_Rebuttal Power Costs_Electric Rev Req Model (2009 GRC) Rebuttal" xfId="1051"/>
    <cellStyle name="_DEM-WP(C) Prod O&amp;M 2007GRC_Rebuttal Power Costs_Electric Rev Req Model (2009 GRC) Rebuttal REmoval of New  WH Solar AdjustMI" xfId="1052"/>
    <cellStyle name="_DEM-WP(C) Prod O&amp;M 2007GRC_Rebuttal Power Costs_Electric Rev Req Model (2009 GRC) Revised 01-18-2010" xfId="1053"/>
    <cellStyle name="_DEM-WP(C) Prod O&amp;M 2007GRC_Rebuttal Power Costs_Final Order Electric EXHIBIT A-1" xfId="1054"/>
    <cellStyle name="_DEM-WP(C) Rate Year Sumas by Month Update Corrected" xfId="1055"/>
    <cellStyle name="_DEM-WP(C) Sumas Proforma 11.14.07" xfId="1056"/>
    <cellStyle name="_DEM-WP(C) Sumas Proforma 11.5.07" xfId="68"/>
    <cellStyle name="_DEM-WP(C) Westside Hydro Data_051007" xfId="69"/>
    <cellStyle name="_DEM-WP(C) Westside Hydro Data_051007_16.37E Wild Horse Expansion DeferralRevwrkingfile SF" xfId="1057"/>
    <cellStyle name="_DEM-WP(C) Westside Hydro Data_051007_2009 GRC Compl Filing - Exhibit D" xfId="1058"/>
    <cellStyle name="_DEM-WP(C) Westside Hydro Data_051007_Adj Bench DR 3 for Initial Briefs (Electric)" xfId="1059"/>
    <cellStyle name="_DEM-WP(C) Westside Hydro Data_051007_Book2" xfId="1060"/>
    <cellStyle name="_DEM-WP(C) Westside Hydro Data_051007_Book4" xfId="1061"/>
    <cellStyle name="_DEM-WP(C) Westside Hydro Data_051007_Electric Rev Req Model (2009 GRC) " xfId="1062"/>
    <cellStyle name="_DEM-WP(C) Westside Hydro Data_051007_Electric Rev Req Model (2009 GRC) Rebuttal" xfId="70"/>
    <cellStyle name="_DEM-WP(C) Westside Hydro Data_051007_Electric Rev Req Model (2009 GRC) Rebuttal REmoval of New  WH Solar AdjustMI" xfId="1063"/>
    <cellStyle name="_DEM-WP(C) Westside Hydro Data_051007_Electric Rev Req Model (2009 GRC) Revised 01-18-2010" xfId="1064"/>
    <cellStyle name="_DEM-WP(C) Westside Hydro Data_051007_Final Order Electric EXHIBIT A-1" xfId="1065"/>
    <cellStyle name="_DEM-WP(C) Westside Hydro Data_051007_Power Costs - Comparison bx Rbtl-Staff-Jt-PC" xfId="1066"/>
    <cellStyle name="_DEM-WP(C) Westside Hydro Data_051007_Rebuttal Power Costs" xfId="1067"/>
    <cellStyle name="_DEM-WP(C) Westside Hydro Data_051007_TENASKA REGULATORY ASSET" xfId="1068"/>
    <cellStyle name="_x0013__Electric Rev Req Model (2009 GRC) " xfId="1069"/>
    <cellStyle name="_x0013__Electric Rev Req Model (2009 GRC) Rebuttal" xfId="1070"/>
    <cellStyle name="_x0013__Electric Rev Req Model (2009 GRC) Rebuttal REmoval of New  WH Solar AdjustMI" xfId="1071"/>
    <cellStyle name="_x0013__Electric Rev Req Model (2009 GRC) Revised 01-18-2010" xfId="1072"/>
    <cellStyle name="_x0013__Final Order Electric EXHIBIT A-1" xfId="1073"/>
    <cellStyle name="_Fixed Gas Transport 1 19 09" xfId="71"/>
    <cellStyle name="_Fuel Prices 4-14" xfId="72"/>
    <cellStyle name="_Fuel Prices 4-14 2" xfId="73"/>
    <cellStyle name="_Fuel Prices 4-14 3" xfId="74"/>
    <cellStyle name="_Fuel Prices 4-14_04 07E Wild Horse Wind Expansion (C) (2)" xfId="75"/>
    <cellStyle name="_Fuel Prices 4-14_04 07E Wild Horse Wind Expansion (C) (2)_Adj Bench DR 3 for Initial Briefs (Electric)" xfId="1074"/>
    <cellStyle name="_Fuel Prices 4-14_04 07E Wild Horse Wind Expansion (C) (2)_Electric Rev Req Model (2009 GRC) " xfId="1075"/>
    <cellStyle name="_Fuel Prices 4-14_04 07E Wild Horse Wind Expansion (C) (2)_Electric Rev Req Model (2009 GRC) Rebuttal" xfId="1076"/>
    <cellStyle name="_Fuel Prices 4-14_04 07E Wild Horse Wind Expansion (C) (2)_Electric Rev Req Model (2009 GRC) Rebuttal REmoval of New  WH Solar AdjustMI" xfId="1077"/>
    <cellStyle name="_Fuel Prices 4-14_04 07E Wild Horse Wind Expansion (C) (2)_Electric Rev Req Model (2009 GRC) Revised 01-18-2010" xfId="1078"/>
    <cellStyle name="_Fuel Prices 4-14_04 07E Wild Horse Wind Expansion (C) (2)_Final Order Electric EXHIBIT A-1" xfId="1079"/>
    <cellStyle name="_Fuel Prices 4-14_04 07E Wild Horse Wind Expansion (C) (2)_TENASKA REGULATORY ASSET" xfId="1080"/>
    <cellStyle name="_Fuel Prices 4-14_16.17E &amp; 16.12G D&amp; O Insurance" xfId="1081"/>
    <cellStyle name="_Fuel Prices 4-14_16.37E Wild Horse Expansion DeferralRevwrkingfile SF" xfId="1082"/>
    <cellStyle name="_Fuel Prices 4-14_2009 GRC Compl Filing - Exhibit D" xfId="1083"/>
    <cellStyle name="_Fuel Prices 4-14_3.01 Income Statement" xfId="1084"/>
    <cellStyle name="_Fuel Prices 4-14_3.02 BS 2011 GRC" xfId="1085"/>
    <cellStyle name="_Fuel Prices 4-14_3.02 BS 2011 GRC_1" xfId="1086"/>
    <cellStyle name="_Fuel Prices 4-14_3.02 BS 2011 GRC_3.02 BS 2011 GRC" xfId="1087"/>
    <cellStyle name="_Fuel Prices 4-14_3.02 BS 2011 GRC_JHS-3" xfId="1088"/>
    <cellStyle name="_Fuel Prices 4-14_4 31 Regulatory Assets and Liabilities  7 06- Exhibit D" xfId="1089"/>
    <cellStyle name="_Fuel Prices 4-14_4 32 Regulatory Assets and Liabilities  7 06- Exhibit D" xfId="1090"/>
    <cellStyle name="_Fuel Prices 4-14_Book2" xfId="1091"/>
    <cellStyle name="_Fuel Prices 4-14_Book2_Adj Bench DR 3 for Initial Briefs (Electric)" xfId="1092"/>
    <cellStyle name="_Fuel Prices 4-14_Book2_Electric Rev Req Model (2009 GRC) Rebuttal" xfId="1093"/>
    <cellStyle name="_Fuel Prices 4-14_Book2_Electric Rev Req Model (2009 GRC) Rebuttal REmoval of New  WH Solar AdjustMI" xfId="1094"/>
    <cellStyle name="_Fuel Prices 4-14_Book2_Electric Rev Req Model (2009 GRC) Revised 01-18-2010" xfId="1095"/>
    <cellStyle name="_Fuel Prices 4-14_Book2_Final Order Electric EXHIBIT A-1" xfId="1096"/>
    <cellStyle name="_Fuel Prices 4-14_Book4" xfId="1097"/>
    <cellStyle name="_Fuel Prices 4-14_Book9" xfId="76"/>
    <cellStyle name="_Fuel Prices 4-14_JHS-3" xfId="1098"/>
    <cellStyle name="_Fuel Prices 4-14_MJS-3" xfId="1099"/>
    <cellStyle name="_Fuel Prices 4-14_Power Costs - Comparison bx Rbtl-Staff-Jt-PC" xfId="1100"/>
    <cellStyle name="_Fuel Prices 4-14_Power Costs - Comparison bx Rbtl-Staff-Jt-PC_Adj Bench DR 3 for Initial Briefs (Electric)" xfId="1101"/>
    <cellStyle name="_Fuel Prices 4-14_Power Costs - Comparison bx Rbtl-Staff-Jt-PC_Electric Rev Req Model (2009 GRC) Rebuttal" xfId="1102"/>
    <cellStyle name="_Fuel Prices 4-14_Power Costs - Comparison bx Rbtl-Staff-Jt-PC_Electric Rev Req Model (2009 GRC) Rebuttal REmoval of New  WH Solar AdjustMI" xfId="1103"/>
    <cellStyle name="_Fuel Prices 4-14_Power Costs - Comparison bx Rbtl-Staff-Jt-PC_Electric Rev Req Model (2009 GRC) Revised 01-18-2010" xfId="1104"/>
    <cellStyle name="_Fuel Prices 4-14_Power Costs - Comparison bx Rbtl-Staff-Jt-PC_Final Order Electric EXHIBIT A-1" xfId="1105"/>
    <cellStyle name="_Fuel Prices 4-14_Rebuttal Power Costs" xfId="1106"/>
    <cellStyle name="_Fuel Prices 4-14_Rebuttal Power Costs_Adj Bench DR 3 for Initial Briefs (Electric)" xfId="1107"/>
    <cellStyle name="_Fuel Prices 4-14_Rebuttal Power Costs_Electric Rev Req Model (2009 GRC) Rebuttal" xfId="1108"/>
    <cellStyle name="_Fuel Prices 4-14_Rebuttal Power Costs_Electric Rev Req Model (2009 GRC) Rebuttal REmoval of New  WH Solar AdjustMI" xfId="1109"/>
    <cellStyle name="_Fuel Prices 4-14_Rebuttal Power Costs_Electric Rev Req Model (2009 GRC) Revised 01-18-2010" xfId="1110"/>
    <cellStyle name="_Fuel Prices 4-14_Rebuttal Power Costs_Final Order Electric EXHIBIT A-1" xfId="1111"/>
    <cellStyle name="_Gas Transportation Charges_2009GRC_120308" xfId="77"/>
    <cellStyle name="_NIM 06 Base Case Current Trends" xfId="78"/>
    <cellStyle name="_NIM 06 Base Case Current Trends_Adj Bench DR 3 for Initial Briefs (Electric)" xfId="1112"/>
    <cellStyle name="_NIM 06 Base Case Current Trends_Book2" xfId="1113"/>
    <cellStyle name="_NIM 06 Base Case Current Trends_Book2_Adj Bench DR 3 for Initial Briefs (Electric)" xfId="1114"/>
    <cellStyle name="_NIM 06 Base Case Current Trends_Book2_Electric Rev Req Model (2009 GRC) Rebuttal" xfId="1115"/>
    <cellStyle name="_NIM 06 Base Case Current Trends_Book2_Electric Rev Req Model (2009 GRC) Rebuttal REmoval of New  WH Solar AdjustMI" xfId="1116"/>
    <cellStyle name="_NIM 06 Base Case Current Trends_Book2_Electric Rev Req Model (2009 GRC) Revised 01-18-2010" xfId="1117"/>
    <cellStyle name="_NIM 06 Base Case Current Trends_Book2_Final Order Electric EXHIBIT A-1" xfId="1118"/>
    <cellStyle name="_NIM 06 Base Case Current Trends_Electric Rev Req Model (2009 GRC) " xfId="1119"/>
    <cellStyle name="_NIM 06 Base Case Current Trends_Electric Rev Req Model (2009 GRC) Rebuttal" xfId="1120"/>
    <cellStyle name="_NIM 06 Base Case Current Trends_Electric Rev Req Model (2009 GRC) Rebuttal REmoval of New  WH Solar AdjustMI" xfId="1121"/>
    <cellStyle name="_NIM 06 Base Case Current Trends_Electric Rev Req Model (2009 GRC) Revised 01-18-2010" xfId="1122"/>
    <cellStyle name="_NIM 06 Base Case Current Trends_Final Order Electric EXHIBIT A-1" xfId="1123"/>
    <cellStyle name="_NIM 06 Base Case Current Trends_Rebuttal Power Costs" xfId="1124"/>
    <cellStyle name="_NIM 06 Base Case Current Trends_Rebuttal Power Costs_Adj Bench DR 3 for Initial Briefs (Electric)" xfId="1125"/>
    <cellStyle name="_NIM 06 Base Case Current Trends_Rebuttal Power Costs_Electric Rev Req Model (2009 GRC) Rebuttal" xfId="1126"/>
    <cellStyle name="_NIM 06 Base Case Current Trends_Rebuttal Power Costs_Electric Rev Req Model (2009 GRC) Rebuttal REmoval of New  WH Solar AdjustMI" xfId="1127"/>
    <cellStyle name="_NIM 06 Base Case Current Trends_Rebuttal Power Costs_Electric Rev Req Model (2009 GRC) Revised 01-18-2010" xfId="1128"/>
    <cellStyle name="_NIM 06 Base Case Current Trends_Rebuttal Power Costs_Final Order Electric EXHIBIT A-1" xfId="1129"/>
    <cellStyle name="_NIM 06 Base Case Current Trends_TENASKA REGULATORY ASSET" xfId="1130"/>
    <cellStyle name="_PC DRAFT 10 15 07" xfId="1131"/>
    <cellStyle name="_Portfolio SPlan Base Case.xls Chart 1" xfId="79"/>
    <cellStyle name="_Portfolio SPlan Base Case.xls Chart 1_Adj Bench DR 3 for Initial Briefs (Electric)" xfId="1132"/>
    <cellStyle name="_Portfolio SPlan Base Case.xls Chart 1_Book2" xfId="1133"/>
    <cellStyle name="_Portfolio SPlan Base Case.xls Chart 1_Book2_Adj Bench DR 3 for Initial Briefs (Electric)" xfId="1134"/>
    <cellStyle name="_Portfolio SPlan Base Case.xls Chart 1_Book2_Electric Rev Req Model (2009 GRC) Rebuttal" xfId="1135"/>
    <cellStyle name="_Portfolio SPlan Base Case.xls Chart 1_Book2_Electric Rev Req Model (2009 GRC) Rebuttal REmoval of New  WH Solar AdjustMI" xfId="1136"/>
    <cellStyle name="_Portfolio SPlan Base Case.xls Chart 1_Book2_Electric Rev Req Model (2009 GRC) Revised 01-18-2010" xfId="1137"/>
    <cellStyle name="_Portfolio SPlan Base Case.xls Chart 1_Book2_Final Order Electric EXHIBIT A-1" xfId="1138"/>
    <cellStyle name="_Portfolio SPlan Base Case.xls Chart 1_Electric Rev Req Model (2009 GRC) " xfId="1139"/>
    <cellStyle name="_Portfolio SPlan Base Case.xls Chart 1_Electric Rev Req Model (2009 GRC) Rebuttal" xfId="1140"/>
    <cellStyle name="_Portfolio SPlan Base Case.xls Chart 1_Electric Rev Req Model (2009 GRC) Rebuttal REmoval of New  WH Solar AdjustMI" xfId="1141"/>
    <cellStyle name="_Portfolio SPlan Base Case.xls Chart 1_Electric Rev Req Model (2009 GRC) Revised 01-18-2010" xfId="1142"/>
    <cellStyle name="_Portfolio SPlan Base Case.xls Chart 1_Final Order Electric EXHIBIT A-1" xfId="1143"/>
    <cellStyle name="_Portfolio SPlan Base Case.xls Chart 1_Rebuttal Power Costs" xfId="1144"/>
    <cellStyle name="_Portfolio SPlan Base Case.xls Chart 1_Rebuttal Power Costs_Adj Bench DR 3 for Initial Briefs (Electric)" xfId="1145"/>
    <cellStyle name="_Portfolio SPlan Base Case.xls Chart 1_Rebuttal Power Costs_Electric Rev Req Model (2009 GRC) Rebuttal" xfId="1146"/>
    <cellStyle name="_Portfolio SPlan Base Case.xls Chart 1_Rebuttal Power Costs_Electric Rev Req Model (2009 GRC) Rebuttal REmoval of New  WH Solar AdjustMI" xfId="1147"/>
    <cellStyle name="_Portfolio SPlan Base Case.xls Chart 1_Rebuttal Power Costs_Electric Rev Req Model (2009 GRC) Revised 01-18-2010" xfId="1148"/>
    <cellStyle name="_Portfolio SPlan Base Case.xls Chart 1_Rebuttal Power Costs_Final Order Electric EXHIBIT A-1" xfId="1149"/>
    <cellStyle name="_Portfolio SPlan Base Case.xls Chart 1_TENASKA REGULATORY ASSET" xfId="1150"/>
    <cellStyle name="_Portfolio SPlan Base Case.xls Chart 2" xfId="80"/>
    <cellStyle name="_Portfolio SPlan Base Case.xls Chart 2_Adj Bench DR 3 for Initial Briefs (Electric)" xfId="1151"/>
    <cellStyle name="_Portfolio SPlan Base Case.xls Chart 2_Book2" xfId="1152"/>
    <cellStyle name="_Portfolio SPlan Base Case.xls Chart 2_Book2_Adj Bench DR 3 for Initial Briefs (Electric)" xfId="1153"/>
    <cellStyle name="_Portfolio SPlan Base Case.xls Chart 2_Book2_Electric Rev Req Model (2009 GRC) Rebuttal" xfId="1154"/>
    <cellStyle name="_Portfolio SPlan Base Case.xls Chart 2_Book2_Electric Rev Req Model (2009 GRC) Rebuttal REmoval of New  WH Solar AdjustMI" xfId="1155"/>
    <cellStyle name="_Portfolio SPlan Base Case.xls Chart 2_Book2_Electric Rev Req Model (2009 GRC) Revised 01-18-2010" xfId="1156"/>
    <cellStyle name="_Portfolio SPlan Base Case.xls Chart 2_Book2_Final Order Electric EXHIBIT A-1" xfId="1157"/>
    <cellStyle name="_Portfolio SPlan Base Case.xls Chart 2_Electric Rev Req Model (2009 GRC) " xfId="1158"/>
    <cellStyle name="_Portfolio SPlan Base Case.xls Chart 2_Electric Rev Req Model (2009 GRC) Rebuttal" xfId="1159"/>
    <cellStyle name="_Portfolio SPlan Base Case.xls Chart 2_Electric Rev Req Model (2009 GRC) Rebuttal REmoval of New  WH Solar AdjustMI" xfId="1160"/>
    <cellStyle name="_Portfolio SPlan Base Case.xls Chart 2_Electric Rev Req Model (2009 GRC) Revised 01-18-2010" xfId="1161"/>
    <cellStyle name="_Portfolio SPlan Base Case.xls Chart 2_Final Order Electric EXHIBIT A-1" xfId="1162"/>
    <cellStyle name="_Portfolio SPlan Base Case.xls Chart 2_Rebuttal Power Costs" xfId="1163"/>
    <cellStyle name="_Portfolio SPlan Base Case.xls Chart 2_Rebuttal Power Costs_Adj Bench DR 3 for Initial Briefs (Electric)" xfId="1164"/>
    <cellStyle name="_Portfolio SPlan Base Case.xls Chart 2_Rebuttal Power Costs_Electric Rev Req Model (2009 GRC) Rebuttal" xfId="1165"/>
    <cellStyle name="_Portfolio SPlan Base Case.xls Chart 2_Rebuttal Power Costs_Electric Rev Req Model (2009 GRC) Rebuttal REmoval of New  WH Solar AdjustMI" xfId="1166"/>
    <cellStyle name="_Portfolio SPlan Base Case.xls Chart 2_Rebuttal Power Costs_Electric Rev Req Model (2009 GRC) Revised 01-18-2010" xfId="1167"/>
    <cellStyle name="_Portfolio SPlan Base Case.xls Chart 2_Rebuttal Power Costs_Final Order Electric EXHIBIT A-1" xfId="1168"/>
    <cellStyle name="_Portfolio SPlan Base Case.xls Chart 2_TENASKA REGULATORY ASSET" xfId="1169"/>
    <cellStyle name="_Portfolio SPlan Base Case.xls Chart 3" xfId="81"/>
    <cellStyle name="_Portfolio SPlan Base Case.xls Chart 3_Adj Bench DR 3 for Initial Briefs (Electric)" xfId="1170"/>
    <cellStyle name="_Portfolio SPlan Base Case.xls Chart 3_Book2" xfId="1171"/>
    <cellStyle name="_Portfolio SPlan Base Case.xls Chart 3_Book2_Adj Bench DR 3 for Initial Briefs (Electric)" xfId="1172"/>
    <cellStyle name="_Portfolio SPlan Base Case.xls Chart 3_Book2_Electric Rev Req Model (2009 GRC) Rebuttal" xfId="1173"/>
    <cellStyle name="_Portfolio SPlan Base Case.xls Chart 3_Book2_Electric Rev Req Model (2009 GRC) Rebuttal REmoval of New  WH Solar AdjustMI" xfId="1174"/>
    <cellStyle name="_Portfolio SPlan Base Case.xls Chart 3_Book2_Electric Rev Req Model (2009 GRC) Revised 01-18-2010" xfId="1175"/>
    <cellStyle name="_Portfolio SPlan Base Case.xls Chart 3_Book2_Final Order Electric EXHIBIT A-1" xfId="1176"/>
    <cellStyle name="_Portfolio SPlan Base Case.xls Chart 3_Electric Rev Req Model (2009 GRC) " xfId="1177"/>
    <cellStyle name="_Portfolio SPlan Base Case.xls Chart 3_Electric Rev Req Model (2009 GRC) Rebuttal" xfId="1178"/>
    <cellStyle name="_Portfolio SPlan Base Case.xls Chart 3_Electric Rev Req Model (2009 GRC) Rebuttal REmoval of New  WH Solar AdjustMI" xfId="1179"/>
    <cellStyle name="_Portfolio SPlan Base Case.xls Chart 3_Electric Rev Req Model (2009 GRC) Revised 01-18-2010" xfId="1180"/>
    <cellStyle name="_Portfolio SPlan Base Case.xls Chart 3_Final Order Electric EXHIBIT A-1" xfId="1181"/>
    <cellStyle name="_Portfolio SPlan Base Case.xls Chart 3_Rebuttal Power Costs" xfId="1182"/>
    <cellStyle name="_Portfolio SPlan Base Case.xls Chart 3_Rebuttal Power Costs_Adj Bench DR 3 for Initial Briefs (Electric)" xfId="1183"/>
    <cellStyle name="_Portfolio SPlan Base Case.xls Chart 3_Rebuttal Power Costs_Electric Rev Req Model (2009 GRC) Rebuttal" xfId="1184"/>
    <cellStyle name="_Portfolio SPlan Base Case.xls Chart 3_Rebuttal Power Costs_Electric Rev Req Model (2009 GRC) Rebuttal REmoval of New  WH Solar AdjustMI" xfId="1185"/>
    <cellStyle name="_Portfolio SPlan Base Case.xls Chart 3_Rebuttal Power Costs_Electric Rev Req Model (2009 GRC) Revised 01-18-2010" xfId="1186"/>
    <cellStyle name="_Portfolio SPlan Base Case.xls Chart 3_Rebuttal Power Costs_Final Order Electric EXHIBIT A-1" xfId="1187"/>
    <cellStyle name="_Portfolio SPlan Base Case.xls Chart 3_TENASKA REGULATORY ASSET" xfId="1188"/>
    <cellStyle name="_Power Cost Value Copy 11.30.05 gas 1.09.06 AURORA at 1.10.06" xfId="82"/>
    <cellStyle name="_Power Cost Value Copy 11.30.05 gas 1.09.06 AURORA at 1.10.06 2" xfId="83"/>
    <cellStyle name="_Power Cost Value Copy 11.30.05 gas 1.09.06 AURORA at 1.10.06 3" xfId="84"/>
    <cellStyle name="_Power Cost Value Copy 11.30.05 gas 1.09.06 AURORA at 1.10.06_04 07E Wild Horse Wind Expansion (C) (2)" xfId="85"/>
    <cellStyle name="_Power Cost Value Copy 11.30.05 gas 1.09.06 AURORA at 1.10.06_04 07E Wild Horse Wind Expansion (C) (2)_Adj Bench DR 3 for Initial Briefs (Electric)" xfId="1189"/>
    <cellStyle name="_Power Cost Value Copy 11.30.05 gas 1.09.06 AURORA at 1.10.06_04 07E Wild Horse Wind Expansion (C) (2)_Electric Rev Req Model (2009 GRC) " xfId="1190"/>
    <cellStyle name="_Power Cost Value Copy 11.30.05 gas 1.09.06 AURORA at 1.10.06_04 07E Wild Horse Wind Expansion (C) (2)_Electric Rev Req Model (2009 GRC) Rebuttal" xfId="1191"/>
    <cellStyle name="_Power Cost Value Copy 11.30.05 gas 1.09.06 AURORA at 1.10.06_04 07E Wild Horse Wind Expansion (C) (2)_Electric Rev Req Model (2009 GRC) Rebuttal REmoval of New  WH Solar AdjustMI" xfId="1192"/>
    <cellStyle name="_Power Cost Value Copy 11.30.05 gas 1.09.06 AURORA at 1.10.06_04 07E Wild Horse Wind Expansion (C) (2)_Electric Rev Req Model (2009 GRC) Revised 01-18-2010" xfId="1193"/>
    <cellStyle name="_Power Cost Value Copy 11.30.05 gas 1.09.06 AURORA at 1.10.06_04 07E Wild Horse Wind Expansion (C) (2)_Final Order Electric EXHIBIT A-1" xfId="1194"/>
    <cellStyle name="_Power Cost Value Copy 11.30.05 gas 1.09.06 AURORA at 1.10.06_04 07E Wild Horse Wind Expansion (C) (2)_TENASKA REGULATORY ASSET" xfId="1195"/>
    <cellStyle name="_Power Cost Value Copy 11.30.05 gas 1.09.06 AURORA at 1.10.06_16.17E &amp; 16.12G D&amp; O Insurance" xfId="1196"/>
    <cellStyle name="_Power Cost Value Copy 11.30.05 gas 1.09.06 AURORA at 1.10.06_16.37E Wild Horse Expansion DeferralRevwrkingfile SF" xfId="1197"/>
    <cellStyle name="_Power Cost Value Copy 11.30.05 gas 1.09.06 AURORA at 1.10.06_3.01 Income Statement" xfId="1198"/>
    <cellStyle name="_Power Cost Value Copy 11.30.05 gas 1.09.06 AURORA at 1.10.06_3.02 BS 2011 GRC" xfId="1199"/>
    <cellStyle name="_Power Cost Value Copy 11.30.05 gas 1.09.06 AURORA at 1.10.06_3.02 BS 2011 GRC_1" xfId="1200"/>
    <cellStyle name="_Power Cost Value Copy 11.30.05 gas 1.09.06 AURORA at 1.10.06_3.02 BS 2011 GRC_3.02 BS 2011 GRC" xfId="1201"/>
    <cellStyle name="_Power Cost Value Copy 11.30.05 gas 1.09.06 AURORA at 1.10.06_3.02 BS 2011 GRC_JHS-3" xfId="1202"/>
    <cellStyle name="_Power Cost Value Copy 11.30.05 gas 1.09.06 AURORA at 1.10.06_4 31 Regulatory Assets and Liabilities  7 06- Exhibit D" xfId="1203"/>
    <cellStyle name="_Power Cost Value Copy 11.30.05 gas 1.09.06 AURORA at 1.10.06_4 32 Regulatory Assets and Liabilities  7 06- Exhibit D" xfId="1204"/>
    <cellStyle name="_Power Cost Value Copy 11.30.05 gas 1.09.06 AURORA at 1.10.06_Book2" xfId="1205"/>
    <cellStyle name="_Power Cost Value Copy 11.30.05 gas 1.09.06 AURORA at 1.10.06_Book2_Adj Bench DR 3 for Initial Briefs (Electric)" xfId="1206"/>
    <cellStyle name="_Power Cost Value Copy 11.30.05 gas 1.09.06 AURORA at 1.10.06_Book2_Electric Rev Req Model (2009 GRC) Rebuttal" xfId="1207"/>
    <cellStyle name="_Power Cost Value Copy 11.30.05 gas 1.09.06 AURORA at 1.10.06_Book2_Electric Rev Req Model (2009 GRC) Rebuttal REmoval of New  WH Solar AdjustMI" xfId="1208"/>
    <cellStyle name="_Power Cost Value Copy 11.30.05 gas 1.09.06 AURORA at 1.10.06_Book2_Electric Rev Req Model (2009 GRC) Revised 01-18-2010" xfId="1209"/>
    <cellStyle name="_Power Cost Value Copy 11.30.05 gas 1.09.06 AURORA at 1.10.06_Book2_Final Order Electric EXHIBIT A-1" xfId="1210"/>
    <cellStyle name="_Power Cost Value Copy 11.30.05 gas 1.09.06 AURORA at 1.10.06_Book4" xfId="1211"/>
    <cellStyle name="_Power Cost Value Copy 11.30.05 gas 1.09.06 AURORA at 1.10.06_Book9" xfId="86"/>
    <cellStyle name="_Power Cost Value Copy 11.30.05 gas 1.09.06 AURORA at 1.10.06_JHS-3" xfId="1212"/>
    <cellStyle name="_Power Cost Value Copy 11.30.05 gas 1.09.06 AURORA at 1.10.06_MJS-3" xfId="1213"/>
    <cellStyle name="_Power Cost Value Copy 11.30.05 gas 1.09.06 AURORA at 1.10.06_Power Costs - Comparison bx Rbtl-Staff-Jt-PC" xfId="1214"/>
    <cellStyle name="_Power Cost Value Copy 11.30.05 gas 1.09.06 AURORA at 1.10.06_Power Costs - Comparison bx Rbtl-Staff-Jt-PC_Adj Bench DR 3 for Initial Briefs (Electric)" xfId="1215"/>
    <cellStyle name="_Power Cost Value Copy 11.30.05 gas 1.09.06 AURORA at 1.10.06_Power Costs - Comparison bx Rbtl-Staff-Jt-PC_Electric Rev Req Model (2009 GRC) Rebuttal" xfId="1216"/>
    <cellStyle name="_Power Cost Value Copy 11.30.05 gas 1.09.06 AURORA at 1.10.06_Power Costs - Comparison bx Rbtl-Staff-Jt-PC_Electric Rev Req Model (2009 GRC) Rebuttal REmoval of New  WH Solar AdjustMI" xfId="1217"/>
    <cellStyle name="_Power Cost Value Copy 11.30.05 gas 1.09.06 AURORA at 1.10.06_Power Costs - Comparison bx Rbtl-Staff-Jt-PC_Electric Rev Req Model (2009 GRC) Revised 01-18-2010" xfId="1218"/>
    <cellStyle name="_Power Cost Value Copy 11.30.05 gas 1.09.06 AURORA at 1.10.06_Power Costs - Comparison bx Rbtl-Staff-Jt-PC_Final Order Electric EXHIBIT A-1" xfId="1219"/>
    <cellStyle name="_Power Cost Value Copy 11.30.05 gas 1.09.06 AURORA at 1.10.06_Rebuttal Power Costs" xfId="1220"/>
    <cellStyle name="_Power Cost Value Copy 11.30.05 gas 1.09.06 AURORA at 1.10.06_Rebuttal Power Costs_Adj Bench DR 3 for Initial Briefs (Electric)" xfId="1221"/>
    <cellStyle name="_Power Cost Value Copy 11.30.05 gas 1.09.06 AURORA at 1.10.06_Rebuttal Power Costs_Electric Rev Req Model (2009 GRC) Rebuttal" xfId="1222"/>
    <cellStyle name="_Power Cost Value Copy 11.30.05 gas 1.09.06 AURORA at 1.10.06_Rebuttal Power Costs_Electric Rev Req Model (2009 GRC) Rebuttal REmoval of New  WH Solar AdjustMI" xfId="1223"/>
    <cellStyle name="_Power Cost Value Copy 11.30.05 gas 1.09.06 AURORA at 1.10.06_Rebuttal Power Costs_Electric Rev Req Model (2009 GRC) Revised 01-18-2010" xfId="1224"/>
    <cellStyle name="_Power Cost Value Copy 11.30.05 gas 1.09.06 AURORA at 1.10.06_Rebuttal Power Costs_Final Order Electric EXHIBIT A-1" xfId="1225"/>
    <cellStyle name="_Power Costs Rate Year 11-13-07" xfId="1226"/>
    <cellStyle name="_Pro Forma Rev 07 GRC" xfId="87"/>
    <cellStyle name="_x0013__Rebuttal Power Costs" xfId="1227"/>
    <cellStyle name="_x0013__Rebuttal Power Costs_Adj Bench DR 3 for Initial Briefs (Electric)" xfId="1228"/>
    <cellStyle name="_x0013__Rebuttal Power Costs_Electric Rev Req Model (2009 GRC) Rebuttal" xfId="1229"/>
    <cellStyle name="_x0013__Rebuttal Power Costs_Electric Rev Req Model (2009 GRC) Rebuttal REmoval of New  WH Solar AdjustMI" xfId="1230"/>
    <cellStyle name="_x0013__Rebuttal Power Costs_Electric Rev Req Model (2009 GRC) Revised 01-18-2010" xfId="1231"/>
    <cellStyle name="_x0013__Rebuttal Power Costs_Final Order Electric EXHIBIT A-1" xfId="1232"/>
    <cellStyle name="_Recon to Darrin's 5.11.05 proforma" xfId="88"/>
    <cellStyle name="_Recon to Darrin's 5.11.05 proforma 2" xfId="89"/>
    <cellStyle name="_Recon to Darrin's 5.11.05 proforma 3" xfId="90"/>
    <cellStyle name="_Recon to Darrin's 5.11.05 proforma_(C) WHE Proforma with ITC cash grant 10 Yr Amort_for deferral_102809" xfId="1233"/>
    <cellStyle name="_Recon to Darrin's 5.11.05 proforma_(C) WHE Proforma with ITC cash grant 10 Yr Amort_for deferral_102809_16.07E Wild Horse Wind Expansionwrkingfile" xfId="1234"/>
    <cellStyle name="_Recon to Darrin's 5.11.05 proforma_(C) WHE Proforma with ITC cash grant 10 Yr Amort_for deferral_102809_16.07E Wild Horse Wind Expansionwrkingfile SF" xfId="1235"/>
    <cellStyle name="_Recon to Darrin's 5.11.05 proforma_(C) WHE Proforma with ITC cash grant 10 Yr Amort_for deferral_102809_16.37E Wild Horse Expansion DeferralRevwrkingfile SF" xfId="1236"/>
    <cellStyle name="_Recon to Darrin's 5.11.05 proforma_(C) WHE Proforma with ITC cash grant 10 Yr Amort_for rebuttal_120709" xfId="1237"/>
    <cellStyle name="_Recon to Darrin's 5.11.05 proforma_04.07E Wild Horse Wind Expansion" xfId="1238"/>
    <cellStyle name="_Recon to Darrin's 5.11.05 proforma_04.07E Wild Horse Wind Expansion_16.07E Wild Horse Wind Expansionwrkingfile" xfId="1239"/>
    <cellStyle name="_Recon to Darrin's 5.11.05 proforma_04.07E Wild Horse Wind Expansion_16.07E Wild Horse Wind Expansionwrkingfile SF" xfId="1240"/>
    <cellStyle name="_Recon to Darrin's 5.11.05 proforma_04.07E Wild Horse Wind Expansion_16.37E Wild Horse Expansion DeferralRevwrkingfile SF" xfId="1241"/>
    <cellStyle name="_Recon to Darrin's 5.11.05 proforma_16.07E Wild Horse Wind Expansionwrkingfile" xfId="1242"/>
    <cellStyle name="_Recon to Darrin's 5.11.05 proforma_16.07E Wild Horse Wind Expansionwrkingfile SF" xfId="1243"/>
    <cellStyle name="_Recon to Darrin's 5.11.05 proforma_16.17E &amp; 16.12G D&amp; O Insurance" xfId="1244"/>
    <cellStyle name="_Recon to Darrin's 5.11.05 proforma_16.37E Wild Horse Expansion DeferralRevwrkingfile SF" xfId="1245"/>
    <cellStyle name="_Recon to Darrin's 5.11.05 proforma_3.01 Income Statement" xfId="1246"/>
    <cellStyle name="_Recon to Darrin's 5.11.05 proforma_3.02 BS 2011 GRC" xfId="1247"/>
    <cellStyle name="_Recon to Darrin's 5.11.05 proforma_3.02 BS 2011 GRC_1" xfId="1248"/>
    <cellStyle name="_Recon to Darrin's 5.11.05 proforma_3.02 BS 2011 GRC_3.02 BS 2011 GRC" xfId="1249"/>
    <cellStyle name="_Recon to Darrin's 5.11.05 proforma_3.02 BS 2011 GRC_JHS-3" xfId="1250"/>
    <cellStyle name="_Recon to Darrin's 5.11.05 proforma_4 31 Regulatory Assets and Liabilities  7 06- Exhibit D" xfId="1251"/>
    <cellStyle name="_Recon to Darrin's 5.11.05 proforma_4 32 Regulatory Assets and Liabilities  7 06- Exhibit D" xfId="1252"/>
    <cellStyle name="_Recon to Darrin's 5.11.05 proforma_Book2" xfId="1253"/>
    <cellStyle name="_Recon to Darrin's 5.11.05 proforma_Book2_Adj Bench DR 3 for Initial Briefs (Electric)" xfId="1254"/>
    <cellStyle name="_Recon to Darrin's 5.11.05 proforma_Book2_Electric Rev Req Model (2009 GRC) Rebuttal" xfId="1255"/>
    <cellStyle name="_Recon to Darrin's 5.11.05 proforma_Book2_Electric Rev Req Model (2009 GRC) Rebuttal REmoval of New  WH Solar AdjustMI" xfId="1256"/>
    <cellStyle name="_Recon to Darrin's 5.11.05 proforma_Book2_Electric Rev Req Model (2009 GRC) Revised 01-18-2010" xfId="1257"/>
    <cellStyle name="_Recon to Darrin's 5.11.05 proforma_Book2_Final Order Electric EXHIBIT A-1" xfId="1258"/>
    <cellStyle name="_Recon to Darrin's 5.11.05 proforma_Book4" xfId="1259"/>
    <cellStyle name="_Recon to Darrin's 5.11.05 proforma_Book9" xfId="91"/>
    <cellStyle name="_Recon to Darrin's 5.11.05 proforma_JHS-3" xfId="1260"/>
    <cellStyle name="_Recon to Darrin's 5.11.05 proforma_Laid Off Employees + CEO" xfId="1261"/>
    <cellStyle name="_Recon to Darrin's 5.11.05 proforma_Misc. Exp Airport Parking" xfId="1262"/>
    <cellStyle name="_Recon to Darrin's 5.11.05 proforma_MJS-3" xfId="1263"/>
    <cellStyle name="_Recon to Darrin's 5.11.05 proforma_Power Costs - Comparison bx Rbtl-Staff-Jt-PC" xfId="1264"/>
    <cellStyle name="_Recon to Darrin's 5.11.05 proforma_Power Costs - Comparison bx Rbtl-Staff-Jt-PC_Adj Bench DR 3 for Initial Briefs (Electric)" xfId="1265"/>
    <cellStyle name="_Recon to Darrin's 5.11.05 proforma_Power Costs - Comparison bx Rbtl-Staff-Jt-PC_Electric Rev Req Model (2009 GRC) Rebuttal" xfId="1266"/>
    <cellStyle name="_Recon to Darrin's 5.11.05 proforma_Power Costs - Comparison bx Rbtl-Staff-Jt-PC_Electric Rev Req Model (2009 GRC) Rebuttal REmoval of New  WH Solar AdjustMI" xfId="1267"/>
    <cellStyle name="_Recon to Darrin's 5.11.05 proforma_Power Costs - Comparison bx Rbtl-Staff-Jt-PC_Electric Rev Req Model (2009 GRC) Revised 01-18-2010" xfId="1268"/>
    <cellStyle name="_Recon to Darrin's 5.11.05 proforma_Power Costs - Comparison bx Rbtl-Staff-Jt-PC_Final Order Electric EXHIBIT A-1" xfId="1269"/>
    <cellStyle name="_Recon to Darrin's 5.11.05 proforma_Rebuttal Power Costs" xfId="1270"/>
    <cellStyle name="_Recon to Darrin's 5.11.05 proforma_Rebuttal Power Costs_Adj Bench DR 3 for Initial Briefs (Electric)" xfId="1271"/>
    <cellStyle name="_Recon to Darrin's 5.11.05 proforma_Rebuttal Power Costs_Electric Rev Req Model (2009 GRC) Rebuttal" xfId="1272"/>
    <cellStyle name="_Recon to Darrin's 5.11.05 proforma_Rebuttal Power Costs_Electric Rev Req Model (2009 GRC) Rebuttal REmoval of New  WH Solar AdjustMI" xfId="1273"/>
    <cellStyle name="_Recon to Darrin's 5.11.05 proforma_Rebuttal Power Costs_Electric Rev Req Model (2009 GRC) Revised 01-18-2010" xfId="1274"/>
    <cellStyle name="_Recon to Darrin's 5.11.05 proforma_Rebuttal Power Costs_Final Order Electric EXHIBIT A-1" xfId="1275"/>
    <cellStyle name="_Revenue" xfId="92"/>
    <cellStyle name="_Revenue_Data" xfId="93"/>
    <cellStyle name="_Revenue_Data_1" xfId="94"/>
    <cellStyle name="_Revenue_Data_Pro Forma Rev 09 GRC" xfId="95"/>
    <cellStyle name="_Revenue_Data_Pro Forma Rev 2010 GRC" xfId="96"/>
    <cellStyle name="_Revenue_Data_Pro Forma Rev 2010 GRC_Preliminary" xfId="97"/>
    <cellStyle name="_Revenue_Data_Revenue (Feb 09 - Jan 10)" xfId="98"/>
    <cellStyle name="_Revenue_Data_Revenue (Jan 09 - Dec 09)" xfId="99"/>
    <cellStyle name="_Revenue_Data_Revenue (Mar 09 - Feb 10)" xfId="100"/>
    <cellStyle name="_Revenue_Data_Volume Exhibit (Jan09 - Dec09)" xfId="101"/>
    <cellStyle name="_Revenue_Mins" xfId="102"/>
    <cellStyle name="_Revenue_Pro Forma Rev 07 GRC" xfId="103"/>
    <cellStyle name="_Revenue_Pro Forma Rev 08 GRC" xfId="104"/>
    <cellStyle name="_Revenue_Pro Forma Rev 09 GRC" xfId="105"/>
    <cellStyle name="_Revenue_Pro Forma Rev 2010 GRC" xfId="106"/>
    <cellStyle name="_Revenue_Pro Forma Rev 2010 GRC_Preliminary" xfId="107"/>
    <cellStyle name="_Revenue_Revenue (Feb 09 - Jan 10)" xfId="108"/>
    <cellStyle name="_Revenue_Revenue (Jan 09 - Dec 09)" xfId="109"/>
    <cellStyle name="_Revenue_Revenue (Mar 09 - Feb 10)" xfId="110"/>
    <cellStyle name="_Revenue_Sheet2" xfId="111"/>
    <cellStyle name="_Revenue_Therms Data" xfId="112"/>
    <cellStyle name="_Revenue_Therms Data Rerun" xfId="113"/>
    <cellStyle name="_Revenue_Volume Exhibit (Jan09 - Dec09)" xfId="114"/>
    <cellStyle name="_Sumas Proforma - 11-09-07" xfId="115"/>
    <cellStyle name="_Sumas Property Taxes v1" xfId="116"/>
    <cellStyle name="_Tenaska Comparison" xfId="117"/>
    <cellStyle name="_Tenaska Comparison 2" xfId="118"/>
    <cellStyle name="_Tenaska Comparison 3" xfId="119"/>
    <cellStyle name="_Tenaska Comparison_(C) WHE Proforma with ITC cash grant 10 Yr Amort_for deferral_102809" xfId="1276"/>
    <cellStyle name="_Tenaska Comparison_(C) WHE Proforma with ITC cash grant 10 Yr Amort_for deferral_102809_16.07E Wild Horse Wind Expansionwrkingfile" xfId="1277"/>
    <cellStyle name="_Tenaska Comparison_(C) WHE Proforma with ITC cash grant 10 Yr Amort_for deferral_102809_16.07E Wild Horse Wind Expansionwrkingfile SF" xfId="1278"/>
    <cellStyle name="_Tenaska Comparison_(C) WHE Proforma with ITC cash grant 10 Yr Amort_for deferral_102809_16.37E Wild Horse Expansion DeferralRevwrkingfile SF" xfId="1279"/>
    <cellStyle name="_Tenaska Comparison_(C) WHE Proforma with ITC cash grant 10 Yr Amort_for rebuttal_120709" xfId="1280"/>
    <cellStyle name="_Tenaska Comparison_04.07E Wild Horse Wind Expansion" xfId="1281"/>
    <cellStyle name="_Tenaska Comparison_04.07E Wild Horse Wind Expansion_16.07E Wild Horse Wind Expansionwrkingfile" xfId="1282"/>
    <cellStyle name="_Tenaska Comparison_04.07E Wild Horse Wind Expansion_16.07E Wild Horse Wind Expansionwrkingfile SF" xfId="1283"/>
    <cellStyle name="_Tenaska Comparison_04.07E Wild Horse Wind Expansion_16.37E Wild Horse Expansion DeferralRevwrkingfile SF" xfId="1284"/>
    <cellStyle name="_Tenaska Comparison_16.07E Wild Horse Wind Expansionwrkingfile" xfId="1285"/>
    <cellStyle name="_Tenaska Comparison_16.07E Wild Horse Wind Expansionwrkingfile SF" xfId="1286"/>
    <cellStyle name="_Tenaska Comparison_16.17E &amp; 16.12G D&amp; O Insurance" xfId="1287"/>
    <cellStyle name="_Tenaska Comparison_16.37E Wild Horse Expansion DeferralRevwrkingfile SF" xfId="1288"/>
    <cellStyle name="_Tenaska Comparison_2009 GRC Compl Filing - Exhibit D" xfId="1289"/>
    <cellStyle name="_Tenaska Comparison_3.01 Income Statement" xfId="1290"/>
    <cellStyle name="_Tenaska Comparison_3.02 BS 2011 GRC" xfId="1291"/>
    <cellStyle name="_Tenaska Comparison_3.02 BS 2011 GRC_1" xfId="1292"/>
    <cellStyle name="_Tenaska Comparison_3.02 BS 2011 GRC_3.02 BS 2011 GRC" xfId="1293"/>
    <cellStyle name="_Tenaska Comparison_3.02 BS 2011 GRC_JHS-3" xfId="1294"/>
    <cellStyle name="_Tenaska Comparison_4 31 Regulatory Assets and Liabilities  7 06- Exhibit D" xfId="1295"/>
    <cellStyle name="_Tenaska Comparison_4 32 Regulatory Assets and Liabilities  7 06- Exhibit D" xfId="1296"/>
    <cellStyle name="_Tenaska Comparison_Book2" xfId="1297"/>
    <cellStyle name="_Tenaska Comparison_Book2_Adj Bench DR 3 for Initial Briefs (Electric)" xfId="1298"/>
    <cellStyle name="_Tenaska Comparison_Book2_Electric Rev Req Model (2009 GRC) Rebuttal" xfId="1299"/>
    <cellStyle name="_Tenaska Comparison_Book2_Electric Rev Req Model (2009 GRC) Rebuttal REmoval of New  WH Solar AdjustMI" xfId="1300"/>
    <cellStyle name="_Tenaska Comparison_Book2_Electric Rev Req Model (2009 GRC) Revised 01-18-2010" xfId="1301"/>
    <cellStyle name="_Tenaska Comparison_Book2_Final Order Electric EXHIBIT A-1" xfId="1302"/>
    <cellStyle name="_Tenaska Comparison_Book4" xfId="1303"/>
    <cellStyle name="_Tenaska Comparison_Book9" xfId="120"/>
    <cellStyle name="_Tenaska Comparison_JHS-3" xfId="1304"/>
    <cellStyle name="_Tenaska Comparison_MJS-3" xfId="1305"/>
    <cellStyle name="_Tenaska Comparison_Power Costs - Comparison bx Rbtl-Staff-Jt-PC" xfId="1306"/>
    <cellStyle name="_Tenaska Comparison_Power Costs - Comparison bx Rbtl-Staff-Jt-PC_Adj Bench DR 3 for Initial Briefs (Electric)" xfId="1307"/>
    <cellStyle name="_Tenaska Comparison_Power Costs - Comparison bx Rbtl-Staff-Jt-PC_Electric Rev Req Model (2009 GRC) Rebuttal" xfId="1308"/>
    <cellStyle name="_Tenaska Comparison_Power Costs - Comparison bx Rbtl-Staff-Jt-PC_Electric Rev Req Model (2009 GRC) Rebuttal REmoval of New  WH Solar AdjustMI" xfId="1309"/>
    <cellStyle name="_Tenaska Comparison_Power Costs - Comparison bx Rbtl-Staff-Jt-PC_Electric Rev Req Model (2009 GRC) Revised 01-18-2010" xfId="1310"/>
    <cellStyle name="_Tenaska Comparison_Power Costs - Comparison bx Rbtl-Staff-Jt-PC_Final Order Electric EXHIBIT A-1" xfId="1311"/>
    <cellStyle name="_Tenaska Comparison_Rebuttal Power Costs" xfId="1312"/>
    <cellStyle name="_Tenaska Comparison_Rebuttal Power Costs_Adj Bench DR 3 for Initial Briefs (Electric)" xfId="1313"/>
    <cellStyle name="_Tenaska Comparison_Rebuttal Power Costs_Electric Rev Req Model (2009 GRC) Rebuttal" xfId="1314"/>
    <cellStyle name="_Tenaska Comparison_Rebuttal Power Costs_Electric Rev Req Model (2009 GRC) Rebuttal REmoval of New  WH Solar AdjustMI" xfId="1315"/>
    <cellStyle name="_Tenaska Comparison_Rebuttal Power Costs_Electric Rev Req Model (2009 GRC) Revised 01-18-2010" xfId="1316"/>
    <cellStyle name="_Tenaska Comparison_Rebuttal Power Costs_Final Order Electric EXHIBIT A-1" xfId="1317"/>
    <cellStyle name="_x0013__TENASKA REGULATORY ASSET" xfId="1318"/>
    <cellStyle name="_Therms Data" xfId="121"/>
    <cellStyle name="_Therms Data_Pro Forma Rev 09 GRC" xfId="122"/>
    <cellStyle name="_Therms Data_Pro Forma Rev 2010 GRC" xfId="123"/>
    <cellStyle name="_Therms Data_Pro Forma Rev 2010 GRC_Preliminary" xfId="124"/>
    <cellStyle name="_Therms Data_Revenue (Feb 09 - Jan 10)" xfId="125"/>
    <cellStyle name="_Therms Data_Revenue (Jan 09 - Dec 09)" xfId="126"/>
    <cellStyle name="_Therms Data_Revenue (Mar 09 - Feb 10)" xfId="127"/>
    <cellStyle name="_Therms Data_Volume Exhibit (Jan09 - Dec09)" xfId="128"/>
    <cellStyle name="_Value Copy 11 30 05 gas 12 09 05 AURORA at 12 14 05" xfId="129"/>
    <cellStyle name="_Value Copy 11 30 05 gas 12 09 05 AURORA at 12 14 05 2" xfId="130"/>
    <cellStyle name="_Value Copy 11 30 05 gas 12 09 05 AURORA at 12 14 05 3" xfId="131"/>
    <cellStyle name="_Value Copy 11 30 05 gas 12 09 05 AURORA at 12 14 05_04 07E Wild Horse Wind Expansion (C) (2)" xfId="132"/>
    <cellStyle name="_Value Copy 11 30 05 gas 12 09 05 AURORA at 12 14 05_04 07E Wild Horse Wind Expansion (C) (2)_Adj Bench DR 3 for Initial Briefs (Electric)" xfId="1319"/>
    <cellStyle name="_Value Copy 11 30 05 gas 12 09 05 AURORA at 12 14 05_04 07E Wild Horse Wind Expansion (C) (2)_Electric Rev Req Model (2009 GRC) " xfId="1320"/>
    <cellStyle name="_Value Copy 11 30 05 gas 12 09 05 AURORA at 12 14 05_04 07E Wild Horse Wind Expansion (C) (2)_Electric Rev Req Model (2009 GRC) Rebuttal" xfId="1321"/>
    <cellStyle name="_Value Copy 11 30 05 gas 12 09 05 AURORA at 12 14 05_04 07E Wild Horse Wind Expansion (C) (2)_Electric Rev Req Model (2009 GRC) Rebuttal REmoval of New  WH Solar AdjustMI" xfId="1322"/>
    <cellStyle name="_Value Copy 11 30 05 gas 12 09 05 AURORA at 12 14 05_04 07E Wild Horse Wind Expansion (C) (2)_Electric Rev Req Model (2009 GRC) Revised 01-18-2010" xfId="1323"/>
    <cellStyle name="_Value Copy 11 30 05 gas 12 09 05 AURORA at 12 14 05_04 07E Wild Horse Wind Expansion (C) (2)_Final Order Electric EXHIBIT A-1" xfId="1324"/>
    <cellStyle name="_Value Copy 11 30 05 gas 12 09 05 AURORA at 12 14 05_04 07E Wild Horse Wind Expansion (C) (2)_TENASKA REGULATORY ASSET" xfId="1325"/>
    <cellStyle name="_Value Copy 11 30 05 gas 12 09 05 AURORA at 12 14 05_16.17E &amp; 16.12G D&amp; O Insurance" xfId="1326"/>
    <cellStyle name="_Value Copy 11 30 05 gas 12 09 05 AURORA at 12 14 05_16.37E Wild Horse Expansion DeferralRevwrkingfile SF" xfId="1327"/>
    <cellStyle name="_Value Copy 11 30 05 gas 12 09 05 AURORA at 12 14 05_3.01 Income Statement" xfId="1328"/>
    <cellStyle name="_Value Copy 11 30 05 gas 12 09 05 AURORA at 12 14 05_3.02 BS 2011 GRC" xfId="1329"/>
    <cellStyle name="_Value Copy 11 30 05 gas 12 09 05 AURORA at 12 14 05_3.02 BS 2011 GRC_1" xfId="1330"/>
    <cellStyle name="_Value Copy 11 30 05 gas 12 09 05 AURORA at 12 14 05_3.02 BS 2011 GRC_3.02 BS 2011 GRC" xfId="1331"/>
    <cellStyle name="_Value Copy 11 30 05 gas 12 09 05 AURORA at 12 14 05_3.02 BS 2011 GRC_JHS-3" xfId="1332"/>
    <cellStyle name="_Value Copy 11 30 05 gas 12 09 05 AURORA at 12 14 05_4 31 Regulatory Assets and Liabilities  7 06- Exhibit D" xfId="1333"/>
    <cellStyle name="_Value Copy 11 30 05 gas 12 09 05 AURORA at 12 14 05_4 32 Regulatory Assets and Liabilities  7 06- Exhibit D" xfId="1334"/>
    <cellStyle name="_Value Copy 11 30 05 gas 12 09 05 AURORA at 12 14 05_Book2" xfId="1335"/>
    <cellStyle name="_Value Copy 11 30 05 gas 12 09 05 AURORA at 12 14 05_Book2_Adj Bench DR 3 for Initial Briefs (Electric)" xfId="1336"/>
    <cellStyle name="_Value Copy 11 30 05 gas 12 09 05 AURORA at 12 14 05_Book2_Electric Rev Req Model (2009 GRC) Rebuttal" xfId="1337"/>
    <cellStyle name="_Value Copy 11 30 05 gas 12 09 05 AURORA at 12 14 05_Book2_Electric Rev Req Model (2009 GRC) Rebuttal REmoval of New  WH Solar AdjustMI" xfId="1338"/>
    <cellStyle name="_Value Copy 11 30 05 gas 12 09 05 AURORA at 12 14 05_Book2_Electric Rev Req Model (2009 GRC) Revised 01-18-2010" xfId="1339"/>
    <cellStyle name="_Value Copy 11 30 05 gas 12 09 05 AURORA at 12 14 05_Book2_Final Order Electric EXHIBIT A-1" xfId="1340"/>
    <cellStyle name="_Value Copy 11 30 05 gas 12 09 05 AURORA at 12 14 05_Book4" xfId="1341"/>
    <cellStyle name="_Value Copy 11 30 05 gas 12 09 05 AURORA at 12 14 05_Book9" xfId="133"/>
    <cellStyle name="_Value Copy 11 30 05 gas 12 09 05 AURORA at 12 14 05_JHS-3" xfId="1342"/>
    <cellStyle name="_Value Copy 11 30 05 gas 12 09 05 AURORA at 12 14 05_MJS-3" xfId="1343"/>
    <cellStyle name="_Value Copy 11 30 05 gas 12 09 05 AURORA at 12 14 05_Power Costs - Comparison bx Rbtl-Staff-Jt-PC" xfId="1344"/>
    <cellStyle name="_Value Copy 11 30 05 gas 12 09 05 AURORA at 12 14 05_Power Costs - Comparison bx Rbtl-Staff-Jt-PC_Adj Bench DR 3 for Initial Briefs (Electric)" xfId="1345"/>
    <cellStyle name="_Value Copy 11 30 05 gas 12 09 05 AURORA at 12 14 05_Power Costs - Comparison bx Rbtl-Staff-Jt-PC_Electric Rev Req Model (2009 GRC) Rebuttal" xfId="1346"/>
    <cellStyle name="_Value Copy 11 30 05 gas 12 09 05 AURORA at 12 14 05_Power Costs - Comparison bx Rbtl-Staff-Jt-PC_Electric Rev Req Model (2009 GRC) Rebuttal REmoval of New  WH Solar AdjustMI" xfId="1347"/>
    <cellStyle name="_Value Copy 11 30 05 gas 12 09 05 AURORA at 12 14 05_Power Costs - Comparison bx Rbtl-Staff-Jt-PC_Electric Rev Req Model (2009 GRC) Revised 01-18-2010" xfId="1348"/>
    <cellStyle name="_Value Copy 11 30 05 gas 12 09 05 AURORA at 12 14 05_Power Costs - Comparison bx Rbtl-Staff-Jt-PC_Final Order Electric EXHIBIT A-1" xfId="1349"/>
    <cellStyle name="_Value Copy 11 30 05 gas 12 09 05 AURORA at 12 14 05_Rebuttal Power Costs" xfId="1350"/>
    <cellStyle name="_Value Copy 11 30 05 gas 12 09 05 AURORA at 12 14 05_Rebuttal Power Costs_Adj Bench DR 3 for Initial Briefs (Electric)" xfId="1351"/>
    <cellStyle name="_Value Copy 11 30 05 gas 12 09 05 AURORA at 12 14 05_Rebuttal Power Costs_Electric Rev Req Model (2009 GRC) Rebuttal" xfId="1352"/>
    <cellStyle name="_Value Copy 11 30 05 gas 12 09 05 AURORA at 12 14 05_Rebuttal Power Costs_Electric Rev Req Model (2009 GRC) Rebuttal REmoval of New  WH Solar AdjustMI" xfId="1353"/>
    <cellStyle name="_Value Copy 11 30 05 gas 12 09 05 AURORA at 12 14 05_Rebuttal Power Costs_Electric Rev Req Model (2009 GRC) Revised 01-18-2010" xfId="1354"/>
    <cellStyle name="_Value Copy 11 30 05 gas 12 09 05 AURORA at 12 14 05_Rebuttal Power Costs_Final Order Electric EXHIBIT A-1" xfId="1355"/>
    <cellStyle name="_VC 2007GRC PC 10312007" xfId="1356"/>
    <cellStyle name="_VC 6.15.06 update on 06GRC power costs.xls Chart 1" xfId="134"/>
    <cellStyle name="_VC 6.15.06 update on 06GRC power costs.xls Chart 1 2" xfId="135"/>
    <cellStyle name="_VC 6.15.06 update on 06GRC power costs.xls Chart 1 3" xfId="136"/>
    <cellStyle name="_VC 6.15.06 update on 06GRC power costs.xls Chart 1_04 07E Wild Horse Wind Expansion (C) (2)" xfId="137"/>
    <cellStyle name="_VC 6.15.06 update on 06GRC power costs.xls Chart 1_04 07E Wild Horse Wind Expansion (C) (2)_Adj Bench DR 3 for Initial Briefs (Electric)" xfId="1357"/>
    <cellStyle name="_VC 6.15.06 update on 06GRC power costs.xls Chart 1_04 07E Wild Horse Wind Expansion (C) (2)_Electric Rev Req Model (2009 GRC) " xfId="1358"/>
    <cellStyle name="_VC 6.15.06 update on 06GRC power costs.xls Chart 1_04 07E Wild Horse Wind Expansion (C) (2)_Electric Rev Req Model (2009 GRC) Rebuttal" xfId="1359"/>
    <cellStyle name="_VC 6.15.06 update on 06GRC power costs.xls Chart 1_04 07E Wild Horse Wind Expansion (C) (2)_Electric Rev Req Model (2009 GRC) Rebuttal REmoval of New  WH Solar AdjustMI" xfId="1360"/>
    <cellStyle name="_VC 6.15.06 update on 06GRC power costs.xls Chart 1_04 07E Wild Horse Wind Expansion (C) (2)_Electric Rev Req Model (2009 GRC) Revised 01-18-2010" xfId="1361"/>
    <cellStyle name="_VC 6.15.06 update on 06GRC power costs.xls Chart 1_04 07E Wild Horse Wind Expansion (C) (2)_Final Order Electric EXHIBIT A-1" xfId="1362"/>
    <cellStyle name="_VC 6.15.06 update on 06GRC power costs.xls Chart 1_04 07E Wild Horse Wind Expansion (C) (2)_TENASKA REGULATORY ASSET" xfId="1363"/>
    <cellStyle name="_VC 6.15.06 update on 06GRC power costs.xls Chart 1_16.17E &amp; 16.12G D&amp; O Insurance" xfId="1364"/>
    <cellStyle name="_VC 6.15.06 update on 06GRC power costs.xls Chart 1_16.37E Wild Horse Expansion DeferralRevwrkingfile SF" xfId="1365"/>
    <cellStyle name="_VC 6.15.06 update on 06GRC power costs.xls Chart 1_2009 GRC Compl Filing - Exhibit D" xfId="1366"/>
    <cellStyle name="_VC 6.15.06 update on 06GRC power costs.xls Chart 1_3.01 Income Statement" xfId="1367"/>
    <cellStyle name="_VC 6.15.06 update on 06GRC power costs.xls Chart 1_3.02 BS 2011 GRC" xfId="1368"/>
    <cellStyle name="_VC 6.15.06 update on 06GRC power costs.xls Chart 1_3.02 BS 2011 GRC_1" xfId="1369"/>
    <cellStyle name="_VC 6.15.06 update on 06GRC power costs.xls Chart 1_3.02 BS 2011 GRC_3.02 BS 2011 GRC" xfId="1370"/>
    <cellStyle name="_VC 6.15.06 update on 06GRC power costs.xls Chart 1_3.02 BS 2011 GRC_JHS-3" xfId="1371"/>
    <cellStyle name="_VC 6.15.06 update on 06GRC power costs.xls Chart 1_4 31 Regulatory Assets and Liabilities  7 06- Exhibit D" xfId="1372"/>
    <cellStyle name="_VC 6.15.06 update on 06GRC power costs.xls Chart 1_4 32 Regulatory Assets and Liabilities  7 06- Exhibit D" xfId="1373"/>
    <cellStyle name="_VC 6.15.06 update on 06GRC power costs.xls Chart 1_Book2" xfId="1374"/>
    <cellStyle name="_VC 6.15.06 update on 06GRC power costs.xls Chart 1_Book2_Adj Bench DR 3 for Initial Briefs (Electric)" xfId="1375"/>
    <cellStyle name="_VC 6.15.06 update on 06GRC power costs.xls Chart 1_Book2_Electric Rev Req Model (2009 GRC) Rebuttal" xfId="1376"/>
    <cellStyle name="_VC 6.15.06 update on 06GRC power costs.xls Chart 1_Book2_Electric Rev Req Model (2009 GRC) Rebuttal REmoval of New  WH Solar AdjustMI" xfId="1377"/>
    <cellStyle name="_VC 6.15.06 update on 06GRC power costs.xls Chart 1_Book2_Electric Rev Req Model (2009 GRC) Revised 01-18-2010" xfId="1378"/>
    <cellStyle name="_VC 6.15.06 update on 06GRC power costs.xls Chart 1_Book2_Final Order Electric EXHIBIT A-1" xfId="1379"/>
    <cellStyle name="_VC 6.15.06 update on 06GRC power costs.xls Chart 1_Book4" xfId="1380"/>
    <cellStyle name="_VC 6.15.06 update on 06GRC power costs.xls Chart 1_Book9" xfId="138"/>
    <cellStyle name="_VC 6.15.06 update on 06GRC power costs.xls Chart 1_JHS-3" xfId="1381"/>
    <cellStyle name="_VC 6.15.06 update on 06GRC power costs.xls Chart 1_MJS-3" xfId="1382"/>
    <cellStyle name="_VC 6.15.06 update on 06GRC power costs.xls Chart 1_Power Costs - Comparison bx Rbtl-Staff-Jt-PC" xfId="1383"/>
    <cellStyle name="_VC 6.15.06 update on 06GRC power costs.xls Chart 1_Power Costs - Comparison bx Rbtl-Staff-Jt-PC_Adj Bench DR 3 for Initial Briefs (Electric)" xfId="1384"/>
    <cellStyle name="_VC 6.15.06 update on 06GRC power costs.xls Chart 1_Power Costs - Comparison bx Rbtl-Staff-Jt-PC_Electric Rev Req Model (2009 GRC) Rebuttal" xfId="1385"/>
    <cellStyle name="_VC 6.15.06 update on 06GRC power costs.xls Chart 1_Power Costs - Comparison bx Rbtl-Staff-Jt-PC_Electric Rev Req Model (2009 GRC) Rebuttal REmoval of New  WH Solar AdjustMI" xfId="1386"/>
    <cellStyle name="_VC 6.15.06 update on 06GRC power costs.xls Chart 1_Power Costs - Comparison bx Rbtl-Staff-Jt-PC_Electric Rev Req Model (2009 GRC) Revised 01-18-2010" xfId="1387"/>
    <cellStyle name="_VC 6.15.06 update on 06GRC power costs.xls Chart 1_Power Costs - Comparison bx Rbtl-Staff-Jt-PC_Final Order Electric EXHIBIT A-1" xfId="1388"/>
    <cellStyle name="_VC 6.15.06 update on 06GRC power costs.xls Chart 1_Rebuttal Power Costs" xfId="1389"/>
    <cellStyle name="_VC 6.15.06 update on 06GRC power costs.xls Chart 1_Rebuttal Power Costs_Adj Bench DR 3 for Initial Briefs (Electric)" xfId="1390"/>
    <cellStyle name="_VC 6.15.06 update on 06GRC power costs.xls Chart 1_Rebuttal Power Costs_Electric Rev Req Model (2009 GRC) Rebuttal" xfId="1391"/>
    <cellStyle name="_VC 6.15.06 update on 06GRC power costs.xls Chart 1_Rebuttal Power Costs_Electric Rev Req Model (2009 GRC) Rebuttal REmoval of New  WH Solar AdjustMI" xfId="1392"/>
    <cellStyle name="_VC 6.15.06 update on 06GRC power costs.xls Chart 1_Rebuttal Power Costs_Electric Rev Req Model (2009 GRC) Revised 01-18-2010" xfId="1393"/>
    <cellStyle name="_VC 6.15.06 update on 06GRC power costs.xls Chart 1_Rebuttal Power Costs_Final Order Electric EXHIBIT A-1" xfId="1394"/>
    <cellStyle name="_VC 6.15.06 update on 06GRC power costs.xls Chart 2" xfId="139"/>
    <cellStyle name="_VC 6.15.06 update on 06GRC power costs.xls Chart 2 2" xfId="140"/>
    <cellStyle name="_VC 6.15.06 update on 06GRC power costs.xls Chart 2 3" xfId="141"/>
    <cellStyle name="_VC 6.15.06 update on 06GRC power costs.xls Chart 2_04 07E Wild Horse Wind Expansion (C) (2)" xfId="142"/>
    <cellStyle name="_VC 6.15.06 update on 06GRC power costs.xls Chart 2_04 07E Wild Horse Wind Expansion (C) (2)_Adj Bench DR 3 for Initial Briefs (Electric)" xfId="1395"/>
    <cellStyle name="_VC 6.15.06 update on 06GRC power costs.xls Chart 2_04 07E Wild Horse Wind Expansion (C) (2)_Electric Rev Req Model (2009 GRC) " xfId="1396"/>
    <cellStyle name="_VC 6.15.06 update on 06GRC power costs.xls Chart 2_04 07E Wild Horse Wind Expansion (C) (2)_Electric Rev Req Model (2009 GRC) Rebuttal" xfId="1397"/>
    <cellStyle name="_VC 6.15.06 update on 06GRC power costs.xls Chart 2_04 07E Wild Horse Wind Expansion (C) (2)_Electric Rev Req Model (2009 GRC) Rebuttal REmoval of New  WH Solar AdjustMI" xfId="1398"/>
    <cellStyle name="_VC 6.15.06 update on 06GRC power costs.xls Chart 2_04 07E Wild Horse Wind Expansion (C) (2)_Electric Rev Req Model (2009 GRC) Revised 01-18-2010" xfId="1399"/>
    <cellStyle name="_VC 6.15.06 update on 06GRC power costs.xls Chart 2_04 07E Wild Horse Wind Expansion (C) (2)_Final Order Electric EXHIBIT A-1" xfId="1400"/>
    <cellStyle name="_VC 6.15.06 update on 06GRC power costs.xls Chart 2_04 07E Wild Horse Wind Expansion (C) (2)_TENASKA REGULATORY ASSET" xfId="1401"/>
    <cellStyle name="_VC 6.15.06 update on 06GRC power costs.xls Chart 2_16.17E &amp; 16.12G D&amp; O Insurance" xfId="1402"/>
    <cellStyle name="_VC 6.15.06 update on 06GRC power costs.xls Chart 2_16.37E Wild Horse Expansion DeferralRevwrkingfile SF" xfId="1403"/>
    <cellStyle name="_VC 6.15.06 update on 06GRC power costs.xls Chart 2_2009 GRC Compl Filing - Exhibit D" xfId="1404"/>
    <cellStyle name="_VC 6.15.06 update on 06GRC power costs.xls Chart 2_3.01 Income Statement" xfId="1405"/>
    <cellStyle name="_VC 6.15.06 update on 06GRC power costs.xls Chart 2_3.02 BS 2011 GRC" xfId="1406"/>
    <cellStyle name="_VC 6.15.06 update on 06GRC power costs.xls Chart 2_3.02 BS 2011 GRC_1" xfId="1407"/>
    <cellStyle name="_VC 6.15.06 update on 06GRC power costs.xls Chart 2_3.02 BS 2011 GRC_3.02 BS 2011 GRC" xfId="1408"/>
    <cellStyle name="_VC 6.15.06 update on 06GRC power costs.xls Chart 2_3.02 BS 2011 GRC_JHS-3" xfId="1409"/>
    <cellStyle name="_VC 6.15.06 update on 06GRC power costs.xls Chart 2_4 31 Regulatory Assets and Liabilities  7 06- Exhibit D" xfId="1410"/>
    <cellStyle name="_VC 6.15.06 update on 06GRC power costs.xls Chart 2_4 32 Regulatory Assets and Liabilities  7 06- Exhibit D" xfId="1411"/>
    <cellStyle name="_VC 6.15.06 update on 06GRC power costs.xls Chart 2_Book2" xfId="1412"/>
    <cellStyle name="_VC 6.15.06 update on 06GRC power costs.xls Chart 2_Book2_Adj Bench DR 3 for Initial Briefs (Electric)" xfId="1413"/>
    <cellStyle name="_VC 6.15.06 update on 06GRC power costs.xls Chart 2_Book2_Electric Rev Req Model (2009 GRC) Rebuttal" xfId="1414"/>
    <cellStyle name="_VC 6.15.06 update on 06GRC power costs.xls Chart 2_Book2_Electric Rev Req Model (2009 GRC) Rebuttal REmoval of New  WH Solar AdjustMI" xfId="1415"/>
    <cellStyle name="_VC 6.15.06 update on 06GRC power costs.xls Chart 2_Book2_Electric Rev Req Model (2009 GRC) Revised 01-18-2010" xfId="1416"/>
    <cellStyle name="_VC 6.15.06 update on 06GRC power costs.xls Chart 2_Book2_Final Order Electric EXHIBIT A-1" xfId="1417"/>
    <cellStyle name="_VC 6.15.06 update on 06GRC power costs.xls Chart 2_Book4" xfId="1418"/>
    <cellStyle name="_VC 6.15.06 update on 06GRC power costs.xls Chart 2_Book9" xfId="143"/>
    <cellStyle name="_VC 6.15.06 update on 06GRC power costs.xls Chart 2_JHS-3" xfId="1419"/>
    <cellStyle name="_VC 6.15.06 update on 06GRC power costs.xls Chart 2_MJS-3" xfId="1420"/>
    <cellStyle name="_VC 6.15.06 update on 06GRC power costs.xls Chart 2_Power Costs - Comparison bx Rbtl-Staff-Jt-PC" xfId="1421"/>
    <cellStyle name="_VC 6.15.06 update on 06GRC power costs.xls Chart 2_Power Costs - Comparison bx Rbtl-Staff-Jt-PC_Adj Bench DR 3 for Initial Briefs (Electric)" xfId="1422"/>
    <cellStyle name="_VC 6.15.06 update on 06GRC power costs.xls Chart 2_Power Costs - Comparison bx Rbtl-Staff-Jt-PC_Electric Rev Req Model (2009 GRC) Rebuttal" xfId="1423"/>
    <cellStyle name="_VC 6.15.06 update on 06GRC power costs.xls Chart 2_Power Costs - Comparison bx Rbtl-Staff-Jt-PC_Electric Rev Req Model (2009 GRC) Rebuttal REmoval of New  WH Solar AdjustMI" xfId="1424"/>
    <cellStyle name="_VC 6.15.06 update on 06GRC power costs.xls Chart 2_Power Costs - Comparison bx Rbtl-Staff-Jt-PC_Electric Rev Req Model (2009 GRC) Revised 01-18-2010" xfId="1425"/>
    <cellStyle name="_VC 6.15.06 update on 06GRC power costs.xls Chart 2_Power Costs - Comparison bx Rbtl-Staff-Jt-PC_Final Order Electric EXHIBIT A-1" xfId="1426"/>
    <cellStyle name="_VC 6.15.06 update on 06GRC power costs.xls Chart 2_Rebuttal Power Costs" xfId="1427"/>
    <cellStyle name="_VC 6.15.06 update on 06GRC power costs.xls Chart 2_Rebuttal Power Costs_Adj Bench DR 3 for Initial Briefs (Electric)" xfId="1428"/>
    <cellStyle name="_VC 6.15.06 update on 06GRC power costs.xls Chart 2_Rebuttal Power Costs_Electric Rev Req Model (2009 GRC) Rebuttal" xfId="1429"/>
    <cellStyle name="_VC 6.15.06 update on 06GRC power costs.xls Chart 2_Rebuttal Power Costs_Electric Rev Req Model (2009 GRC) Rebuttal REmoval of New  WH Solar AdjustMI" xfId="1430"/>
    <cellStyle name="_VC 6.15.06 update on 06GRC power costs.xls Chart 2_Rebuttal Power Costs_Electric Rev Req Model (2009 GRC) Revised 01-18-2010" xfId="1431"/>
    <cellStyle name="_VC 6.15.06 update on 06GRC power costs.xls Chart 2_Rebuttal Power Costs_Final Order Electric EXHIBIT A-1" xfId="1432"/>
    <cellStyle name="_VC 6.15.06 update on 06GRC power costs.xls Chart 3" xfId="144"/>
    <cellStyle name="_VC 6.15.06 update on 06GRC power costs.xls Chart 3 2" xfId="145"/>
    <cellStyle name="_VC 6.15.06 update on 06GRC power costs.xls Chart 3 3" xfId="146"/>
    <cellStyle name="_VC 6.15.06 update on 06GRC power costs.xls Chart 3_04 07E Wild Horse Wind Expansion (C) (2)" xfId="147"/>
    <cellStyle name="_VC 6.15.06 update on 06GRC power costs.xls Chart 3_04 07E Wild Horse Wind Expansion (C) (2)_Adj Bench DR 3 for Initial Briefs (Electric)" xfId="1433"/>
    <cellStyle name="_VC 6.15.06 update on 06GRC power costs.xls Chart 3_04 07E Wild Horse Wind Expansion (C) (2)_Electric Rev Req Model (2009 GRC) " xfId="1434"/>
    <cellStyle name="_VC 6.15.06 update on 06GRC power costs.xls Chart 3_04 07E Wild Horse Wind Expansion (C) (2)_Electric Rev Req Model (2009 GRC) Rebuttal" xfId="1435"/>
    <cellStyle name="_VC 6.15.06 update on 06GRC power costs.xls Chart 3_04 07E Wild Horse Wind Expansion (C) (2)_Electric Rev Req Model (2009 GRC) Rebuttal REmoval of New  WH Solar AdjustMI" xfId="1436"/>
    <cellStyle name="_VC 6.15.06 update on 06GRC power costs.xls Chart 3_04 07E Wild Horse Wind Expansion (C) (2)_Electric Rev Req Model (2009 GRC) Revised 01-18-2010" xfId="1437"/>
    <cellStyle name="_VC 6.15.06 update on 06GRC power costs.xls Chart 3_04 07E Wild Horse Wind Expansion (C) (2)_Final Order Electric EXHIBIT A-1" xfId="1438"/>
    <cellStyle name="_VC 6.15.06 update on 06GRC power costs.xls Chart 3_04 07E Wild Horse Wind Expansion (C) (2)_TENASKA REGULATORY ASSET" xfId="1439"/>
    <cellStyle name="_VC 6.15.06 update on 06GRC power costs.xls Chart 3_16.17E &amp; 16.12G D&amp; O Insurance" xfId="1440"/>
    <cellStyle name="_VC 6.15.06 update on 06GRC power costs.xls Chart 3_16.37E Wild Horse Expansion DeferralRevwrkingfile SF" xfId="1441"/>
    <cellStyle name="_VC 6.15.06 update on 06GRC power costs.xls Chart 3_2009 GRC Compl Filing - Exhibit D" xfId="1442"/>
    <cellStyle name="_VC 6.15.06 update on 06GRC power costs.xls Chart 3_3.01 Income Statement" xfId="1443"/>
    <cellStyle name="_VC 6.15.06 update on 06GRC power costs.xls Chart 3_3.02 BS 2011 GRC" xfId="1444"/>
    <cellStyle name="_VC 6.15.06 update on 06GRC power costs.xls Chart 3_3.02 BS 2011 GRC_1" xfId="1445"/>
    <cellStyle name="_VC 6.15.06 update on 06GRC power costs.xls Chart 3_3.02 BS 2011 GRC_3.02 BS 2011 GRC" xfId="1446"/>
    <cellStyle name="_VC 6.15.06 update on 06GRC power costs.xls Chart 3_3.02 BS 2011 GRC_JHS-3" xfId="1447"/>
    <cellStyle name="_VC 6.15.06 update on 06GRC power costs.xls Chart 3_4 31 Regulatory Assets and Liabilities  7 06- Exhibit D" xfId="1448"/>
    <cellStyle name="_VC 6.15.06 update on 06GRC power costs.xls Chart 3_4 32 Regulatory Assets and Liabilities  7 06- Exhibit D" xfId="1449"/>
    <cellStyle name="_VC 6.15.06 update on 06GRC power costs.xls Chart 3_Book2" xfId="1450"/>
    <cellStyle name="_VC 6.15.06 update on 06GRC power costs.xls Chart 3_Book2_Adj Bench DR 3 for Initial Briefs (Electric)" xfId="1451"/>
    <cellStyle name="_VC 6.15.06 update on 06GRC power costs.xls Chart 3_Book2_Electric Rev Req Model (2009 GRC) Rebuttal" xfId="1452"/>
    <cellStyle name="_VC 6.15.06 update on 06GRC power costs.xls Chart 3_Book2_Electric Rev Req Model (2009 GRC) Rebuttal REmoval of New  WH Solar AdjustMI" xfId="1453"/>
    <cellStyle name="_VC 6.15.06 update on 06GRC power costs.xls Chart 3_Book2_Electric Rev Req Model (2009 GRC) Revised 01-18-2010" xfId="1454"/>
    <cellStyle name="_VC 6.15.06 update on 06GRC power costs.xls Chart 3_Book2_Final Order Electric EXHIBIT A-1" xfId="1455"/>
    <cellStyle name="_VC 6.15.06 update on 06GRC power costs.xls Chart 3_Book4" xfId="1456"/>
    <cellStyle name="_VC 6.15.06 update on 06GRC power costs.xls Chart 3_Book9" xfId="148"/>
    <cellStyle name="_VC 6.15.06 update on 06GRC power costs.xls Chart 3_JHS-3" xfId="1457"/>
    <cellStyle name="_VC 6.15.06 update on 06GRC power costs.xls Chart 3_MJS-3" xfId="1458"/>
    <cellStyle name="_VC 6.15.06 update on 06GRC power costs.xls Chart 3_Power Costs - Comparison bx Rbtl-Staff-Jt-PC" xfId="1459"/>
    <cellStyle name="_VC 6.15.06 update on 06GRC power costs.xls Chart 3_Power Costs - Comparison bx Rbtl-Staff-Jt-PC_Adj Bench DR 3 for Initial Briefs (Electric)" xfId="1460"/>
    <cellStyle name="_VC 6.15.06 update on 06GRC power costs.xls Chart 3_Power Costs - Comparison bx Rbtl-Staff-Jt-PC_Electric Rev Req Model (2009 GRC) Rebuttal" xfId="1461"/>
    <cellStyle name="_VC 6.15.06 update on 06GRC power costs.xls Chart 3_Power Costs - Comparison bx Rbtl-Staff-Jt-PC_Electric Rev Req Model (2009 GRC) Rebuttal REmoval of New  WH Solar AdjustMI" xfId="1462"/>
    <cellStyle name="_VC 6.15.06 update on 06GRC power costs.xls Chart 3_Power Costs - Comparison bx Rbtl-Staff-Jt-PC_Electric Rev Req Model (2009 GRC) Revised 01-18-2010" xfId="1463"/>
    <cellStyle name="_VC 6.15.06 update on 06GRC power costs.xls Chart 3_Power Costs - Comparison bx Rbtl-Staff-Jt-PC_Final Order Electric EXHIBIT A-1" xfId="1464"/>
    <cellStyle name="_VC 6.15.06 update on 06GRC power costs.xls Chart 3_Rebuttal Power Costs" xfId="1465"/>
    <cellStyle name="_VC 6.15.06 update on 06GRC power costs.xls Chart 3_Rebuttal Power Costs_Adj Bench DR 3 for Initial Briefs (Electric)" xfId="1466"/>
    <cellStyle name="_VC 6.15.06 update on 06GRC power costs.xls Chart 3_Rebuttal Power Costs_Electric Rev Req Model (2009 GRC) Rebuttal" xfId="1467"/>
    <cellStyle name="_VC 6.15.06 update on 06GRC power costs.xls Chart 3_Rebuttal Power Costs_Electric Rev Req Model (2009 GRC) Rebuttal REmoval of New  WH Solar AdjustMI" xfId="1468"/>
    <cellStyle name="_VC 6.15.06 update on 06GRC power costs.xls Chart 3_Rebuttal Power Costs_Electric Rev Req Model (2009 GRC) Revised 01-18-2010" xfId="1469"/>
    <cellStyle name="_VC 6.15.06 update on 06GRC power costs.xls Chart 3_Rebuttal Power Costs_Final Order Electric EXHIBIT A-1" xfId="1470"/>
    <cellStyle name="0,0_x000d__x000a_NA_x000d__x000a_" xfId="149"/>
    <cellStyle name="0000" xfId="1471"/>
    <cellStyle name="000000" xfId="1472"/>
    <cellStyle name="20% - Accent1" xfId="150" builtinId="30" customBuiltin="1"/>
    <cellStyle name="20% - Accent1 2" xfId="1473"/>
    <cellStyle name="20% - Accent1 2 2" xfId="1474"/>
    <cellStyle name="20% - Accent1 2_2009 GRC Compl Filing - Exhibit D" xfId="1475"/>
    <cellStyle name="20% - Accent1 3" xfId="1476"/>
    <cellStyle name="20% - Accent2" xfId="151" builtinId="34" customBuiltin="1"/>
    <cellStyle name="20% - Accent2 2" xfId="1477"/>
    <cellStyle name="20% - Accent2 2 2" xfId="1478"/>
    <cellStyle name="20% - Accent2 2_2009 GRC Compl Filing - Exhibit D" xfId="1479"/>
    <cellStyle name="20% - Accent2 3" xfId="1480"/>
    <cellStyle name="20% - Accent3" xfId="152" builtinId="38" customBuiltin="1"/>
    <cellStyle name="20% - Accent3 2" xfId="1481"/>
    <cellStyle name="20% - Accent3 2 2" xfId="1482"/>
    <cellStyle name="20% - Accent3 2_2009 GRC Compl Filing - Exhibit D" xfId="1483"/>
    <cellStyle name="20% - Accent3 3" xfId="1484"/>
    <cellStyle name="20% - Accent4" xfId="153" builtinId="42" customBuiltin="1"/>
    <cellStyle name="20% - Accent4 2" xfId="1485"/>
    <cellStyle name="20% - Accent4 2 2" xfId="1486"/>
    <cellStyle name="20% - Accent4 2_2009 GRC Compl Filing - Exhibit D" xfId="1487"/>
    <cellStyle name="20% - Accent4 3" xfId="1488"/>
    <cellStyle name="20% - Accent5" xfId="154" builtinId="46" customBuiltin="1"/>
    <cellStyle name="20% - Accent5 2" xfId="1489"/>
    <cellStyle name="20% - Accent5 2 2" xfId="1490"/>
    <cellStyle name="20% - Accent5 2_2009 GRC Compl Filing - Exhibit D" xfId="1491"/>
    <cellStyle name="20% - Accent5 3" xfId="1492"/>
    <cellStyle name="20% - Accent6" xfId="155" builtinId="50" customBuiltin="1"/>
    <cellStyle name="20% - Accent6 2" xfId="1493"/>
    <cellStyle name="20% - Accent6 2 2" xfId="1494"/>
    <cellStyle name="20% - Accent6 2_2009 GRC Compl Filing - Exhibit D" xfId="1495"/>
    <cellStyle name="20% - Accent6 3" xfId="1496"/>
    <cellStyle name="40% - Accent1" xfId="156" builtinId="31" customBuiltin="1"/>
    <cellStyle name="40% - Accent1 2" xfId="1497"/>
    <cellStyle name="40% - Accent1 2 2" xfId="1498"/>
    <cellStyle name="40% - Accent1 2_2009 GRC Compl Filing - Exhibit D" xfId="1499"/>
    <cellStyle name="40% - Accent1 3" xfId="1500"/>
    <cellStyle name="40% - Accent2" xfId="157" builtinId="35" customBuiltin="1"/>
    <cellStyle name="40% - Accent2 2" xfId="1501"/>
    <cellStyle name="40% - Accent2 2 2" xfId="1502"/>
    <cellStyle name="40% - Accent2 2_2009 GRC Compl Filing - Exhibit D" xfId="1503"/>
    <cellStyle name="40% - Accent2 3" xfId="1504"/>
    <cellStyle name="40% - Accent3" xfId="158" builtinId="39" customBuiltin="1"/>
    <cellStyle name="40% - Accent3 2" xfId="1505"/>
    <cellStyle name="40% - Accent3 2 2" xfId="1506"/>
    <cellStyle name="40% - Accent3 2_2009 GRC Compl Filing - Exhibit D" xfId="1507"/>
    <cellStyle name="40% - Accent3 3" xfId="1508"/>
    <cellStyle name="40% - Accent4" xfId="159" builtinId="43" customBuiltin="1"/>
    <cellStyle name="40% - Accent4 2" xfId="1509"/>
    <cellStyle name="40% - Accent4 2 2" xfId="1510"/>
    <cellStyle name="40% - Accent4 2_2009 GRC Compl Filing - Exhibit D" xfId="1511"/>
    <cellStyle name="40% - Accent4 3" xfId="1512"/>
    <cellStyle name="40% - Accent5" xfId="160" builtinId="47" customBuiltin="1"/>
    <cellStyle name="40% - Accent5 2" xfId="1513"/>
    <cellStyle name="40% - Accent5 2 2" xfId="1514"/>
    <cellStyle name="40% - Accent5 2_2009 GRC Compl Filing - Exhibit D" xfId="1515"/>
    <cellStyle name="40% - Accent5 3" xfId="1516"/>
    <cellStyle name="40% - Accent6" xfId="161" builtinId="51" customBuiltin="1"/>
    <cellStyle name="40% - Accent6 2" xfId="1517"/>
    <cellStyle name="40% - Accent6 2 2" xfId="1518"/>
    <cellStyle name="40% - Accent6 2_2009 GRC Compl Filing - Exhibit D" xfId="1519"/>
    <cellStyle name="40% - Accent6 3" xfId="1520"/>
    <cellStyle name="60% - Accent1" xfId="162" builtinId="32" customBuiltin="1"/>
    <cellStyle name="60% - Accent1 2 2" xfId="1521"/>
    <cellStyle name="60% - Accent2" xfId="163" builtinId="36" customBuiltin="1"/>
    <cellStyle name="60% - Accent2 2 2" xfId="1522"/>
    <cellStyle name="60% - Accent3" xfId="164" builtinId="40" customBuiltin="1"/>
    <cellStyle name="60% - Accent3 2 2" xfId="1523"/>
    <cellStyle name="60% - Accent4" xfId="165" builtinId="44" customBuiltin="1"/>
    <cellStyle name="60% - Accent4 2 2" xfId="1524"/>
    <cellStyle name="60% - Accent5" xfId="166" builtinId="48" customBuiltin="1"/>
    <cellStyle name="60% - Accent5 2 2" xfId="1525"/>
    <cellStyle name="60% - Accent6" xfId="167" builtinId="52" customBuiltin="1"/>
    <cellStyle name="60% - Accent6 2 2" xfId="1526"/>
    <cellStyle name="Accent1" xfId="168" builtinId="29" customBuiltin="1"/>
    <cellStyle name="Accent1 - 20%" xfId="1527"/>
    <cellStyle name="Accent1 - 40%" xfId="1528"/>
    <cellStyle name="Accent1 - 60%" xfId="1529"/>
    <cellStyle name="Accent1 12" xfId="1530"/>
    <cellStyle name="Accent1 2 2" xfId="1531"/>
    <cellStyle name="Accent2" xfId="169" builtinId="33" customBuiltin="1"/>
    <cellStyle name="Accent2 - 20%" xfId="1532"/>
    <cellStyle name="Accent2 - 40%" xfId="1533"/>
    <cellStyle name="Accent2 - 60%" xfId="1534"/>
    <cellStyle name="Accent2 12" xfId="1535"/>
    <cellStyle name="Accent2 2 2" xfId="1536"/>
    <cellStyle name="Accent3" xfId="170" builtinId="37" customBuiltin="1"/>
    <cellStyle name="Accent3 - 20%" xfId="1537"/>
    <cellStyle name="Accent3 - 40%" xfId="1538"/>
    <cellStyle name="Accent3 - 60%" xfId="1539"/>
    <cellStyle name="Accent3 12" xfId="1540"/>
    <cellStyle name="Accent3 2 2" xfId="1541"/>
    <cellStyle name="Accent4" xfId="171" builtinId="41" customBuiltin="1"/>
    <cellStyle name="Accent4 - 20%" xfId="1542"/>
    <cellStyle name="Accent4 - 40%" xfId="1543"/>
    <cellStyle name="Accent4 - 60%" xfId="1544"/>
    <cellStyle name="Accent4 12" xfId="1545"/>
    <cellStyle name="Accent4 2 2" xfId="1546"/>
    <cellStyle name="Accent5" xfId="172" builtinId="45" customBuiltin="1"/>
    <cellStyle name="Accent5 - 20%" xfId="1547"/>
    <cellStyle name="Accent5 - 40%" xfId="1548"/>
    <cellStyle name="Accent5 - 60%" xfId="1549"/>
    <cellStyle name="Accent5 12" xfId="1550"/>
    <cellStyle name="Accent5 2 2" xfId="1551"/>
    <cellStyle name="Accent6" xfId="173" builtinId="49" customBuiltin="1"/>
    <cellStyle name="Accent6 - 20%" xfId="1552"/>
    <cellStyle name="Accent6 - 40%" xfId="1553"/>
    <cellStyle name="Accent6 - 60%" xfId="1554"/>
    <cellStyle name="Accent6 12" xfId="1555"/>
    <cellStyle name="Accent6 2 2" xfId="1556"/>
    <cellStyle name="Bad" xfId="174" builtinId="27" customBuiltin="1"/>
    <cellStyle name="Bad 12" xfId="1557"/>
    <cellStyle name="Bad 2" xfId="1558"/>
    <cellStyle name="Bad 2 2" xfId="1559"/>
    <cellStyle name="blank" xfId="1560"/>
    <cellStyle name="Calc Currency (0)" xfId="175"/>
    <cellStyle name="Calc Currency (0) 2" xfId="176"/>
    <cellStyle name="Calc Currency (0) 3" xfId="177"/>
    <cellStyle name="Calculation" xfId="178" builtinId="22" customBuiltin="1"/>
    <cellStyle name="Calculation 12" xfId="1561"/>
    <cellStyle name="Calculation 2" xfId="179"/>
    <cellStyle name="Calculation 2 2" xfId="1562"/>
    <cellStyle name="Calculation 3" xfId="180"/>
    <cellStyle name="Check Cell" xfId="181" builtinId="23" customBuiltin="1"/>
    <cellStyle name="Check Cell 12" xfId="1563"/>
    <cellStyle name="Check Cell 2 2" xfId="1564"/>
    <cellStyle name="CheckCell" xfId="182"/>
    <cellStyle name="CheckCell 2" xfId="183"/>
    <cellStyle name="CheckCell_Electric Rev Req Model (2009 GRC) Rebuttal" xfId="184"/>
    <cellStyle name="Comma" xfId="185" builtinId="3"/>
    <cellStyle name="Comma 10" xfId="186"/>
    <cellStyle name="Comma 10 2" xfId="1565"/>
    <cellStyle name="Comma 10 3" xfId="1566"/>
    <cellStyle name="Comma 11" xfId="187"/>
    <cellStyle name="Comma 11 2" xfId="446"/>
    <cellStyle name="Comma 11 2 2" xfId="1567"/>
    <cellStyle name="Comma 11 3" xfId="1568"/>
    <cellStyle name="Comma 11 4" xfId="1569"/>
    <cellStyle name="Comma 11 5" xfId="1570"/>
    <cellStyle name="Comma 12" xfId="188"/>
    <cellStyle name="Comma 12 2" xfId="1571"/>
    <cellStyle name="Comma 13" xfId="1572"/>
    <cellStyle name="Comma 14" xfId="1573"/>
    <cellStyle name="Comma 15" xfId="1574"/>
    <cellStyle name="Comma 15 2" xfId="1575"/>
    <cellStyle name="Comma 15 3" xfId="1576"/>
    <cellStyle name="Comma 16" xfId="1577"/>
    <cellStyle name="Comma 16 2" xfId="1578"/>
    <cellStyle name="Comma 17" xfId="1579"/>
    <cellStyle name="Comma 17 2" xfId="1580"/>
    <cellStyle name="Comma 18" xfId="1581"/>
    <cellStyle name="Comma 18 2" xfId="1582"/>
    <cellStyle name="Comma 19" xfId="1583"/>
    <cellStyle name="Comma 19 2" xfId="1584"/>
    <cellStyle name="Comma 2" xfId="189"/>
    <cellStyle name="Comma 2 10" xfId="1585"/>
    <cellStyle name="Comma 2 11" xfId="1936"/>
    <cellStyle name="Comma 2 2" xfId="190"/>
    <cellStyle name="Comma 2 2 2" xfId="1586"/>
    <cellStyle name="Comma 2 2 2 2" xfId="1587"/>
    <cellStyle name="Comma 2 2 3" xfId="1588"/>
    <cellStyle name="Comma 2 3" xfId="191"/>
    <cellStyle name="Comma 2 4" xfId="192"/>
    <cellStyle name="Comma 2 5" xfId="1589"/>
    <cellStyle name="Comma 2 6" xfId="1590"/>
    <cellStyle name="Comma 2 7" xfId="1591"/>
    <cellStyle name="Comma 2 8" xfId="1592"/>
    <cellStyle name="Comma 2 9" xfId="1593"/>
    <cellStyle name="Comma 20" xfId="1594"/>
    <cellStyle name="Comma 21" xfId="1595"/>
    <cellStyle name="Comma 22" xfId="1596"/>
    <cellStyle name="Comma 23" xfId="1597"/>
    <cellStyle name="Comma 24" xfId="1598"/>
    <cellStyle name="Comma 25" xfId="1599"/>
    <cellStyle name="Comma 26" xfId="1600"/>
    <cellStyle name="Comma 27" xfId="1601"/>
    <cellStyle name="Comma 28" xfId="1602"/>
    <cellStyle name="Comma 29" xfId="1603"/>
    <cellStyle name="Comma 3" xfId="193"/>
    <cellStyle name="Comma 3 2" xfId="194"/>
    <cellStyle name="Comma 3 2 2" xfId="1604"/>
    <cellStyle name="Comma 3 3" xfId="1605"/>
    <cellStyle name="Comma 30" xfId="1606"/>
    <cellStyle name="Comma 31" xfId="1607"/>
    <cellStyle name="Comma 32" xfId="1901"/>
    <cellStyle name="Comma 33" xfId="1931"/>
    <cellStyle name="Comma 4" xfId="195"/>
    <cellStyle name="Comma 4 2" xfId="196"/>
    <cellStyle name="Comma 4 3" xfId="1608"/>
    <cellStyle name="Comma 5" xfId="197"/>
    <cellStyle name="Comma 6" xfId="198"/>
    <cellStyle name="Comma 6 2" xfId="1609"/>
    <cellStyle name="Comma 6 3" xfId="1610"/>
    <cellStyle name="Comma 7" xfId="1611"/>
    <cellStyle name="Comma 7 2" xfId="1612"/>
    <cellStyle name="Comma 7 3" xfId="1613"/>
    <cellStyle name="Comma 8" xfId="199"/>
    <cellStyle name="Comma 8 2" xfId="1614"/>
    <cellStyle name="Comma 8 3" xfId="1615"/>
    <cellStyle name="Comma 9" xfId="200"/>
    <cellStyle name="Comma 9 2" xfId="1616"/>
    <cellStyle name="Comma_Common Allocators GRC TY 0903" xfId="1907"/>
    <cellStyle name="Comma_Unit Cost Gas 2003 to 2001" xfId="201"/>
    <cellStyle name="Comma_Wage.FERC DL 12ME 0905" xfId="1921"/>
    <cellStyle name="Comma0" xfId="202"/>
    <cellStyle name="Comma0 - Style2" xfId="203"/>
    <cellStyle name="Comma0 - Style4" xfId="204"/>
    <cellStyle name="Comma0 - Style5" xfId="205"/>
    <cellStyle name="Comma0 - Style5 2" xfId="206"/>
    <cellStyle name="Comma0 - Style5_Electric Rev Req Model (2009 GRC) Rebuttal" xfId="207"/>
    <cellStyle name="Comma0 2" xfId="208"/>
    <cellStyle name="Comma0 3" xfId="209"/>
    <cellStyle name="Comma0 4" xfId="210"/>
    <cellStyle name="Comma0 5" xfId="211"/>
    <cellStyle name="Comma0_00COS Ind Allocators" xfId="212"/>
    <cellStyle name="Comma1 - Style1" xfId="213"/>
    <cellStyle name="Comma1 - Style1 2" xfId="214"/>
    <cellStyle name="Comma1 - Style1_Electric Rev Req Model (2009 GRC) Rebuttal" xfId="215"/>
    <cellStyle name="Copied" xfId="216"/>
    <cellStyle name="Copied 2" xfId="217"/>
    <cellStyle name="Copied 3" xfId="218"/>
    <cellStyle name="COST1" xfId="219"/>
    <cellStyle name="COST1 2" xfId="220"/>
    <cellStyle name="COST1 3" xfId="221"/>
    <cellStyle name="Curren - Style1" xfId="222"/>
    <cellStyle name="Curren - Style2" xfId="223"/>
    <cellStyle name="Curren - Style2 2" xfId="224"/>
    <cellStyle name="Curren - Style2_Electric Rev Req Model (2009 GRC) Rebuttal" xfId="225"/>
    <cellStyle name="Curren - Style5" xfId="226"/>
    <cellStyle name="Curren - Style6" xfId="227"/>
    <cellStyle name="Curren - Style6 2" xfId="228"/>
    <cellStyle name="Curren - Style6_Electric Rev Req Model (2009 GRC) Rebuttal" xfId="229"/>
    <cellStyle name="Currency" xfId="230" builtinId="4"/>
    <cellStyle name="Currency 10" xfId="231"/>
    <cellStyle name="Currency 10 2" xfId="1617"/>
    <cellStyle name="Currency 10 3" xfId="1618"/>
    <cellStyle name="Currency 10 4" xfId="1619"/>
    <cellStyle name="Currency 11" xfId="1620"/>
    <cellStyle name="Currency 12" xfId="1621"/>
    <cellStyle name="Currency 12 2" xfId="1622"/>
    <cellStyle name="Currency 12 3" xfId="1623"/>
    <cellStyle name="Currency 12 4" xfId="1624"/>
    <cellStyle name="Currency 12 5" xfId="1625"/>
    <cellStyle name="Currency 13" xfId="1626"/>
    <cellStyle name="Currency 13 2" xfId="1627"/>
    <cellStyle name="Currency 13 3" xfId="1628"/>
    <cellStyle name="Currency 14" xfId="1629"/>
    <cellStyle name="Currency 14 2" xfId="1630"/>
    <cellStyle name="Currency 15" xfId="1631"/>
    <cellStyle name="Currency 16" xfId="1632"/>
    <cellStyle name="Currency 17" xfId="1633"/>
    <cellStyle name="Currency 18" xfId="1634"/>
    <cellStyle name="Currency 19" xfId="1635"/>
    <cellStyle name="Currency 2" xfId="232"/>
    <cellStyle name="Currency 2 2" xfId="233"/>
    <cellStyle name="Currency 2 3" xfId="234"/>
    <cellStyle name="Currency 2 4" xfId="235"/>
    <cellStyle name="Currency 2 5" xfId="1636"/>
    <cellStyle name="Currency 2 6" xfId="1637"/>
    <cellStyle name="Currency 2 7" xfId="1638"/>
    <cellStyle name="Currency 2 8" xfId="1639"/>
    <cellStyle name="Currency 2 9" xfId="1640"/>
    <cellStyle name="Currency 20" xfId="1641"/>
    <cellStyle name="Currency 21" xfId="1642"/>
    <cellStyle name="Currency 22" xfId="1643"/>
    <cellStyle name="Currency 23" xfId="1644"/>
    <cellStyle name="Currency 24" xfId="1645"/>
    <cellStyle name="Currency 25" xfId="1646"/>
    <cellStyle name="Currency 26" xfId="1647"/>
    <cellStyle name="Currency 27" xfId="1648"/>
    <cellStyle name="Currency 28" xfId="1649"/>
    <cellStyle name="Currency 29" xfId="1650"/>
    <cellStyle name="Currency 3" xfId="236"/>
    <cellStyle name="Currency 3 2" xfId="237"/>
    <cellStyle name="Currency 3 2 2" xfId="1651"/>
    <cellStyle name="Currency 3 3" xfId="1652"/>
    <cellStyle name="Currency 30" xfId="1653"/>
    <cellStyle name="Currency 31" xfId="1654"/>
    <cellStyle name="Currency 32" xfId="1902"/>
    <cellStyle name="Currency 4" xfId="1655"/>
    <cellStyle name="Currency 4 2" xfId="447"/>
    <cellStyle name="Currency 5" xfId="238"/>
    <cellStyle name="Currency 5 2" xfId="1656"/>
    <cellStyle name="Currency 6" xfId="239"/>
    <cellStyle name="Currency 7" xfId="240"/>
    <cellStyle name="Currency 8" xfId="241"/>
    <cellStyle name="Currency 9" xfId="242"/>
    <cellStyle name="Currency_Common Allocators GRC TY 0903" xfId="1908"/>
    <cellStyle name="Currency_Wage.FERC DL 12ME 0905" xfId="1920"/>
    <cellStyle name="Currency0" xfId="243"/>
    <cellStyle name="Currency0 2" xfId="244"/>
    <cellStyle name="Currency0 3" xfId="245"/>
    <cellStyle name="Currency0 4" xfId="246"/>
    <cellStyle name="Custom - Style1" xfId="1937"/>
    <cellStyle name="Custom - Style8" xfId="1938"/>
    <cellStyle name="Data   - Style2" xfId="1939"/>
    <cellStyle name="Date" xfId="247"/>
    <cellStyle name="Date 2" xfId="248"/>
    <cellStyle name="Date 3" xfId="249"/>
    <cellStyle name="Date 4" xfId="250"/>
    <cellStyle name="Date 5" xfId="251"/>
    <cellStyle name="Emphasis 1" xfId="1657"/>
    <cellStyle name="Emphasis 2" xfId="1658"/>
    <cellStyle name="Emphasis 3" xfId="1659"/>
    <cellStyle name="Entered" xfId="252"/>
    <cellStyle name="Entered 2" xfId="1660"/>
    <cellStyle name="Euro" xfId="253"/>
    <cellStyle name="Explanatory Text" xfId="254" builtinId="53" customBuiltin="1"/>
    <cellStyle name="Explanatory Text 2 2" xfId="1661"/>
    <cellStyle name="Fixed" xfId="255"/>
    <cellStyle name="Fixed 2" xfId="256"/>
    <cellStyle name="Fixed 3" xfId="257"/>
    <cellStyle name="Fixed 4" xfId="258"/>
    <cellStyle name="Fixed3 - Style3" xfId="259"/>
    <cellStyle name="Good" xfId="260" builtinId="26" customBuiltin="1"/>
    <cellStyle name="Good 12" xfId="1662"/>
    <cellStyle name="Good 2" xfId="1663"/>
    <cellStyle name="Good 2 2" xfId="1664"/>
    <cellStyle name="Grey" xfId="261"/>
    <cellStyle name="Grey 2" xfId="262"/>
    <cellStyle name="Grey 3" xfId="263"/>
    <cellStyle name="Grey 4" xfId="264"/>
    <cellStyle name="Grey_(C) WHE Proforma with ITC cash grant 10 Yr Amort_for deferral_102809" xfId="1665"/>
    <cellStyle name="Header" xfId="1666"/>
    <cellStyle name="Header1" xfId="265"/>
    <cellStyle name="Header1 2" xfId="266"/>
    <cellStyle name="Header1 3" xfId="267"/>
    <cellStyle name="Header2" xfId="268"/>
    <cellStyle name="Header2 2" xfId="269"/>
    <cellStyle name="Header2 3" xfId="270"/>
    <cellStyle name="Heading" xfId="1667"/>
    <cellStyle name="Heading 1" xfId="271" builtinId="16" customBuiltin="1"/>
    <cellStyle name="Heading 1 12" xfId="1668"/>
    <cellStyle name="Heading 1 2" xfId="272"/>
    <cellStyle name="Heading 1 2 2" xfId="1669"/>
    <cellStyle name="Heading 1 3" xfId="273"/>
    <cellStyle name="Heading 2" xfId="274" builtinId="17" customBuiltin="1"/>
    <cellStyle name="Heading 2 12" xfId="1670"/>
    <cellStyle name="Heading 2 2" xfId="275"/>
    <cellStyle name="Heading 2 2 2" xfId="1671"/>
    <cellStyle name="Heading 2 3" xfId="276"/>
    <cellStyle name="Heading 3" xfId="277" builtinId="18" customBuiltin="1"/>
    <cellStyle name="Heading 3 12" xfId="1672"/>
    <cellStyle name="Heading 3 2 2" xfId="1673"/>
    <cellStyle name="Heading 4" xfId="278" builtinId="19" customBuiltin="1"/>
    <cellStyle name="Heading 4 12" xfId="1674"/>
    <cellStyle name="Heading 4 2 2" xfId="1675"/>
    <cellStyle name="Heading1" xfId="279"/>
    <cellStyle name="Heading1 2" xfId="280"/>
    <cellStyle name="Heading1 3" xfId="281"/>
    <cellStyle name="Heading2" xfId="282"/>
    <cellStyle name="Heading2 2" xfId="283"/>
    <cellStyle name="Heading2 3" xfId="284"/>
    <cellStyle name="Hyperlink 2" xfId="1676"/>
    <cellStyle name="Input" xfId="285" builtinId="20" customBuiltin="1"/>
    <cellStyle name="Input [yellow]" xfId="286"/>
    <cellStyle name="Input [yellow] 2" xfId="287"/>
    <cellStyle name="Input [yellow] 3" xfId="288"/>
    <cellStyle name="Input [yellow] 4" xfId="289"/>
    <cellStyle name="Input [yellow]_(C) WHE Proforma with ITC cash grant 10 Yr Amort_for deferral_102809" xfId="1677"/>
    <cellStyle name="Input 12" xfId="1678"/>
    <cellStyle name="Input 2 2" xfId="1679"/>
    <cellStyle name="Input Cells" xfId="290"/>
    <cellStyle name="Input Cells Percent" xfId="291"/>
    <cellStyle name="Input Cells_3.03 &amp; 3.04 Ratebase-WC E &amp; G" xfId="1680"/>
    <cellStyle name="Labels - Style3" xfId="1940"/>
    <cellStyle name="Lines" xfId="292"/>
    <cellStyle name="Lines 2" xfId="293"/>
    <cellStyle name="Lines_Electric Rev Req Model (2009 GRC) Rebuttal" xfId="294"/>
    <cellStyle name="LINKED" xfId="295"/>
    <cellStyle name="Linked Cell" xfId="296" builtinId="24" customBuiltin="1"/>
    <cellStyle name="Linked Cell 12" xfId="1681"/>
    <cellStyle name="Linked Cell 2 2" xfId="1682"/>
    <cellStyle name="modified border" xfId="297"/>
    <cellStyle name="modified border 2" xfId="298"/>
    <cellStyle name="modified border 3" xfId="299"/>
    <cellStyle name="modified border 4" xfId="300"/>
    <cellStyle name="modified border_4.34E Mint Farm Deferral" xfId="1683"/>
    <cellStyle name="modified border1" xfId="301"/>
    <cellStyle name="modified border1 2" xfId="302"/>
    <cellStyle name="modified border1 3" xfId="303"/>
    <cellStyle name="modified border1 4" xfId="304"/>
    <cellStyle name="modified border1_4.34E Mint Farm Deferral" xfId="1684"/>
    <cellStyle name="Neutral" xfId="305" builtinId="28" customBuiltin="1"/>
    <cellStyle name="Neutral 12" xfId="1685"/>
    <cellStyle name="Neutral 2 2" xfId="1686"/>
    <cellStyle name="no dec" xfId="306"/>
    <cellStyle name="no dec 2" xfId="307"/>
    <cellStyle name="no dec 3" xfId="308"/>
    <cellStyle name="Normal" xfId="0" builtinId="0"/>
    <cellStyle name="Normal - Style1" xfId="309"/>
    <cellStyle name="Normal - Style1 2" xfId="310"/>
    <cellStyle name="Normal - Style1 3" xfId="311"/>
    <cellStyle name="Normal - Style1 4" xfId="312"/>
    <cellStyle name="Normal - Style1 5" xfId="313"/>
    <cellStyle name="Normal - Style1_(C) WHE Proforma with ITC cash grant 10 Yr Amort_for deferral_102809" xfId="1687"/>
    <cellStyle name="Normal - Style2" xfId="1941"/>
    <cellStyle name="Normal - Style3" xfId="1942"/>
    <cellStyle name="Normal - Style4" xfId="1943"/>
    <cellStyle name="Normal - Style5" xfId="1944"/>
    <cellStyle name="Normal - Style6" xfId="1945"/>
    <cellStyle name="Normal - Style7" xfId="1946"/>
    <cellStyle name="Normal - Style8" xfId="1947"/>
    <cellStyle name="Normal 10" xfId="314"/>
    <cellStyle name="Normal 10 2" xfId="1688"/>
    <cellStyle name="Normal 10 2 2" xfId="1689"/>
    <cellStyle name="Normal 10 3" xfId="1690"/>
    <cellStyle name="Normal 10 4" xfId="1691"/>
    <cellStyle name="Normal 10 5" xfId="1692"/>
    <cellStyle name="Normal 10_04.07E Wild Horse Wind Expansion" xfId="1693"/>
    <cellStyle name="Normal 11" xfId="1694"/>
    <cellStyle name="Normal 11 2" xfId="1695"/>
    <cellStyle name="Normal 11 2 2" xfId="1696"/>
    <cellStyle name="Normal 11 3" xfId="1697"/>
    <cellStyle name="Normal 11_16.37E Wild Horse Expansion DeferralRevwrkingfile SF" xfId="1698"/>
    <cellStyle name="Normal 12" xfId="315"/>
    <cellStyle name="Normal 12 2" xfId="1699"/>
    <cellStyle name="Normal 13" xfId="316"/>
    <cellStyle name="Normal 13 2" xfId="1700"/>
    <cellStyle name="Normal 13 3" xfId="1701"/>
    <cellStyle name="Normal 14" xfId="1702"/>
    <cellStyle name="Normal 15" xfId="1703"/>
    <cellStyle name="Normal 16" xfId="445"/>
    <cellStyle name="Normal 16 2" xfId="1704"/>
    <cellStyle name="Normal 16 3" xfId="1932"/>
    <cellStyle name="Normal 17" xfId="1705"/>
    <cellStyle name="Normal 18" xfId="1706"/>
    <cellStyle name="Normal 18 2" xfId="1707"/>
    <cellStyle name="Normal 18 3" xfId="1708"/>
    <cellStyle name="Normal 19" xfId="1709"/>
    <cellStyle name="Normal 19 2" xfId="1710"/>
    <cellStyle name="Normal 2" xfId="317"/>
    <cellStyle name="Normal 2 10" xfId="1711"/>
    <cellStyle name="Normal 2 11" xfId="1712"/>
    <cellStyle name="Normal 2 12" xfId="1713"/>
    <cellStyle name="Normal 2 13" xfId="1923"/>
    <cellStyle name="Normal 2 14" xfId="1935"/>
    <cellStyle name="Normal 2 2" xfId="318"/>
    <cellStyle name="Normal 2 2 2" xfId="1714"/>
    <cellStyle name="Normal 2 2 2 2" xfId="1715"/>
    <cellStyle name="Normal 2 2 2 2 2" xfId="1716"/>
    <cellStyle name="Normal 2 2 2 3" xfId="1717"/>
    <cellStyle name="Normal 2 2 2_MJS-3" xfId="1718"/>
    <cellStyle name="Normal 2 2 3" xfId="1719"/>
    <cellStyle name="Normal 2 2 4" xfId="1720"/>
    <cellStyle name="Normal 2 2 5" xfId="1721"/>
    <cellStyle name="Normal 2 2_4.25E &amp; 4.28 Wage Increase" xfId="1722"/>
    <cellStyle name="Normal 2 3" xfId="319"/>
    <cellStyle name="Normal 2 4" xfId="320"/>
    <cellStyle name="Normal 2 5" xfId="321"/>
    <cellStyle name="Normal 2 6" xfId="322"/>
    <cellStyle name="Normal 2 6 2" xfId="1964"/>
    <cellStyle name="Normal 2 7" xfId="1723"/>
    <cellStyle name="Normal 2 8" xfId="1724"/>
    <cellStyle name="Normal 2 9" xfId="1725"/>
    <cellStyle name="Normal 2_16.37E Wild Horse Expansion DeferralRevwrkingfile SF" xfId="1726"/>
    <cellStyle name="Normal 20" xfId="1727"/>
    <cellStyle name="Normal 20 2" xfId="1728"/>
    <cellStyle name="Normal 21" xfId="1729"/>
    <cellStyle name="Normal 22" xfId="1730"/>
    <cellStyle name="Normal 23" xfId="1731"/>
    <cellStyle name="Normal 24" xfId="1732"/>
    <cellStyle name="Normal 24 2" xfId="1733"/>
    <cellStyle name="Normal 25" xfId="1734"/>
    <cellStyle name="Normal 26" xfId="1735"/>
    <cellStyle name="Normal 27" xfId="1736"/>
    <cellStyle name="Normal 27 2" xfId="1737"/>
    <cellStyle name="Normal 28" xfId="1738"/>
    <cellStyle name="Normal 29" xfId="1739"/>
    <cellStyle name="Normal 3" xfId="323"/>
    <cellStyle name="Normal 3 2" xfId="324"/>
    <cellStyle name="Normal 3 3" xfId="1740"/>
    <cellStyle name="Normal 3 4" xfId="1741"/>
    <cellStyle name="Normal 3 5" xfId="1742"/>
    <cellStyle name="Normal 3 6" xfId="1743"/>
    <cellStyle name="Normal 3 7" xfId="1744"/>
    <cellStyle name="Normal 3_2009 GRC Compl Filing - Exhibit D" xfId="1745"/>
    <cellStyle name="Normal 30" xfId="1746"/>
    <cellStyle name="Normal 31" xfId="1747"/>
    <cellStyle name="Normal 32" xfId="1748"/>
    <cellStyle name="Normal 33" xfId="444"/>
    <cellStyle name="Normal 34" xfId="1900"/>
    <cellStyle name="Normal 35" xfId="1904"/>
    <cellStyle name="Normal 36" xfId="1928"/>
    <cellStyle name="Normal 37" xfId="1930"/>
    <cellStyle name="Normal 38" xfId="1934"/>
    <cellStyle name="Normal 39" xfId="1965"/>
    <cellStyle name="Normal 4" xfId="325"/>
    <cellStyle name="Normal 4 2" xfId="326"/>
    <cellStyle name="Normal 4 3" xfId="1749"/>
    <cellStyle name="Normal 4 4" xfId="1750"/>
    <cellStyle name="Normal 4 5" xfId="1751"/>
    <cellStyle name="Normal 4_3.03 &amp; 3.04 Ratebase-WC E &amp; G" xfId="1752"/>
    <cellStyle name="Normal 43" xfId="1753"/>
    <cellStyle name="Normal 44" xfId="1754"/>
    <cellStyle name="Normal 45" xfId="1755"/>
    <cellStyle name="Normal 47" xfId="1756"/>
    <cellStyle name="Normal 48" xfId="1757"/>
    <cellStyle name="Normal 49" xfId="1758"/>
    <cellStyle name="Normal 5" xfId="327"/>
    <cellStyle name="Normal 5 2" xfId="1759"/>
    <cellStyle name="Normal 5 2 2" xfId="1760"/>
    <cellStyle name="Normal 5 3" xfId="1761"/>
    <cellStyle name="Normal 5 4" xfId="1762"/>
    <cellStyle name="Normal 5 5" xfId="1919"/>
    <cellStyle name="Normal 50" xfId="1763"/>
    <cellStyle name="Normal 51" xfId="1764"/>
    <cellStyle name="Normal 6" xfId="328"/>
    <cellStyle name="Normal 6 2" xfId="1765"/>
    <cellStyle name="Normal 6 3" xfId="1766"/>
    <cellStyle name="Normal 6_3.03 &amp; 3.04 Ratebase-WC E &amp; G" xfId="1767"/>
    <cellStyle name="Normal 7" xfId="329"/>
    <cellStyle name="Normal 7 2" xfId="1768"/>
    <cellStyle name="Normal 7_3.03 &amp; 3.04 Ratebase-WC E &amp; G" xfId="1769"/>
    <cellStyle name="Normal 8" xfId="330"/>
    <cellStyle name="Normal 8 2" xfId="1770"/>
    <cellStyle name="Normal 8 3" xfId="1771"/>
    <cellStyle name="Normal 8 4" xfId="1772"/>
    <cellStyle name="Normal 8 5" xfId="1773"/>
    <cellStyle name="Normal 8 6" xfId="1774"/>
    <cellStyle name="Normal 9" xfId="331"/>
    <cellStyle name="Normal 9 2" xfId="1775"/>
    <cellStyle name="Normal 9 3" xfId="1776"/>
    <cellStyle name="Normal_2.21E Wage Increase" xfId="1916"/>
    <cellStyle name="Normal_2010 Direct Labor December" xfId="1924"/>
    <cellStyle name="Normal_2010 IS" xfId="1912"/>
    <cellStyle name="Normal_3.01 Income Statement Ele &amp; Gas_0905" xfId="1911"/>
    <cellStyle name="Normal_3.05E &amp; 3.05G ALLOC METHOD working fileMI" xfId="1922"/>
    <cellStyle name="Normal_Actual June10" xfId="1915"/>
    <cellStyle name="Normal_BASECOST" xfId="332"/>
    <cellStyle name="Normal_Classified Plant - Compare ways to calculate" xfId="1910"/>
    <cellStyle name="Normal_Combined Route Counts Dec 2010" xfId="1909"/>
    <cellStyle name="Normal_Elect Cust Count Report 12-2010" xfId="1926"/>
    <cellStyle name="Normal_Excise Taxes - TY Activity in Orders" xfId="1903"/>
    <cellStyle name="Normal_FERC 354-355 copy (2)" xfId="1918"/>
    <cellStyle name="Normal_Gas Cust Count Report 12-2010" xfId="1927"/>
    <cellStyle name="Normal_IS for 12ME Sept 07" xfId="1914"/>
    <cellStyle name="Normal_Monthly" xfId="1905"/>
    <cellStyle name="Normal_Monthly 2" xfId="1906"/>
    <cellStyle name="Normal_Non-prod Plant - correct retirements in general plant" xfId="1925"/>
    <cellStyle name="Normal_Pro Forma Rev 09 GRC (2)" xfId="1933"/>
    <cellStyle name="Normal_RESCOST" xfId="333"/>
    <cellStyle name="Normal_UIP Summary" xfId="1913"/>
    <cellStyle name="Normal_Unit Cost Gas 2003 to 2001" xfId="334"/>
    <cellStyle name="Normal_wage.benefit&amp;taxes.SAPDownload" xfId="1917"/>
    <cellStyle name="Note 10" xfId="1777"/>
    <cellStyle name="Note 11" xfId="1778"/>
    <cellStyle name="Note 12" xfId="1779"/>
    <cellStyle name="Note 2" xfId="335"/>
    <cellStyle name="Note 2 2" xfId="1780"/>
    <cellStyle name="Note 3" xfId="1781"/>
    <cellStyle name="Note 39" xfId="1782"/>
    <cellStyle name="Note 4" xfId="1783"/>
    <cellStyle name="Note 5" xfId="1784"/>
    <cellStyle name="Note 6" xfId="1785"/>
    <cellStyle name="Note 7" xfId="1786"/>
    <cellStyle name="Note 8" xfId="1787"/>
    <cellStyle name="Note 9" xfId="1788"/>
    <cellStyle name="Output" xfId="336" builtinId="21" customBuiltin="1"/>
    <cellStyle name="Output 12" xfId="1789"/>
    <cellStyle name="Output 2 2" xfId="1790"/>
    <cellStyle name="Output Amounts" xfId="1948"/>
    <cellStyle name="Output Column Headings" xfId="1949"/>
    <cellStyle name="Output Line Items" xfId="1950"/>
    <cellStyle name="Output Report Heading" xfId="1951"/>
    <cellStyle name="Output Report Title" xfId="1952"/>
    <cellStyle name="Percen - Style1" xfId="337"/>
    <cellStyle name="Percen - Style2" xfId="338"/>
    <cellStyle name="Percen - Style3" xfId="339"/>
    <cellStyle name="Percen - Style3 2" xfId="340"/>
    <cellStyle name="Percen - Style3_Electric Rev Req Model (2009 GRC) Rebuttal" xfId="341"/>
    <cellStyle name="Percent" xfId="342" builtinId="5"/>
    <cellStyle name="Percent (0)" xfId="1791"/>
    <cellStyle name="Percent [2]" xfId="343"/>
    <cellStyle name="Percent [2] 2" xfId="1792"/>
    <cellStyle name="Percent 10" xfId="1793"/>
    <cellStyle name="Percent 11" xfId="1794"/>
    <cellStyle name="Percent 12" xfId="1795"/>
    <cellStyle name="Percent 13" xfId="1796"/>
    <cellStyle name="Percent 14" xfId="1797"/>
    <cellStyle name="Percent 15" xfId="1798"/>
    <cellStyle name="Percent 15 2" xfId="1799"/>
    <cellStyle name="Percent 16" xfId="1800"/>
    <cellStyle name="Percent 17" xfId="448"/>
    <cellStyle name="Percent 18" xfId="1801"/>
    <cellStyle name="Percent 19" xfId="1802"/>
    <cellStyle name="Percent 2" xfId="344"/>
    <cellStyle name="Percent 2 2" xfId="345"/>
    <cellStyle name="Percent 2 2 2" xfId="1803"/>
    <cellStyle name="Percent 2 2 3" xfId="1963"/>
    <cellStyle name="Percent 2 3" xfId="346"/>
    <cellStyle name="Percent 2 4" xfId="347"/>
    <cellStyle name="Percent 20" xfId="1804"/>
    <cellStyle name="Percent 21" xfId="1805"/>
    <cellStyle name="Percent 22" xfId="1806"/>
    <cellStyle name="Percent 23" xfId="1807"/>
    <cellStyle name="Percent 24" xfId="1808"/>
    <cellStyle name="Percent 25" xfId="1809"/>
    <cellStyle name="Percent 26" xfId="1810"/>
    <cellStyle name="Percent 27" xfId="1929"/>
    <cellStyle name="Percent 3" xfId="348"/>
    <cellStyle name="Percent 3 2" xfId="1811"/>
    <cellStyle name="Percent 3 3" xfId="1812"/>
    <cellStyle name="Percent 3 4" xfId="1813"/>
    <cellStyle name="Percent 4" xfId="1814"/>
    <cellStyle name="Percent 4 2" xfId="349"/>
    <cellStyle name="Percent 4 3" xfId="1815"/>
    <cellStyle name="Percent 5" xfId="350"/>
    <cellStyle name="Percent 5 2" xfId="1816"/>
    <cellStyle name="Percent 6" xfId="351"/>
    <cellStyle name="Percent 6 2" xfId="1817"/>
    <cellStyle name="Percent 7" xfId="352"/>
    <cellStyle name="Percent 7 2" xfId="1818"/>
    <cellStyle name="Percent 7 3" xfId="1819"/>
    <cellStyle name="Percent 8" xfId="353"/>
    <cellStyle name="Percent 8 2" xfId="1820"/>
    <cellStyle name="Percent 9" xfId="1821"/>
    <cellStyle name="Percent 9 2" xfId="1822"/>
    <cellStyle name="Percent 9 3" xfId="1823"/>
    <cellStyle name="Percent 9 4" xfId="1824"/>
    <cellStyle name="Processing" xfId="354"/>
    <cellStyle name="Processing 2" xfId="355"/>
    <cellStyle name="Processing_Electric Rev Req Model (2009 GRC) Rebuttal" xfId="356"/>
    <cellStyle name="PSChar" xfId="357"/>
    <cellStyle name="PSChar 2" xfId="358"/>
    <cellStyle name="PSChar 3" xfId="359"/>
    <cellStyle name="PSDate" xfId="360"/>
    <cellStyle name="PSDate 2" xfId="361"/>
    <cellStyle name="PSDate 3" xfId="362"/>
    <cellStyle name="PSDec" xfId="363"/>
    <cellStyle name="PSDec 2" xfId="364"/>
    <cellStyle name="PSDec 3" xfId="365"/>
    <cellStyle name="PSHeading" xfId="366"/>
    <cellStyle name="PSHeading 2" xfId="367"/>
    <cellStyle name="PSHeading 3" xfId="368"/>
    <cellStyle name="PSInt" xfId="369"/>
    <cellStyle name="PSInt 2" xfId="370"/>
    <cellStyle name="PSInt 3" xfId="371"/>
    <cellStyle name="PSSpacer" xfId="372"/>
    <cellStyle name="PSSpacer 2" xfId="373"/>
    <cellStyle name="PSSpacer 3" xfId="374"/>
    <cellStyle name="purple - Style8" xfId="375"/>
    <cellStyle name="purple - Style8 2" xfId="376"/>
    <cellStyle name="purple - Style8_Electric Rev Req Model (2009 GRC) Rebuttal" xfId="377"/>
    <cellStyle name="RED" xfId="378"/>
    <cellStyle name="Red - Style7" xfId="379"/>
    <cellStyle name="Red - Style7 2" xfId="380"/>
    <cellStyle name="Red - Style7_Electric Rev Req Model (2009 GRC) Rebuttal" xfId="381"/>
    <cellStyle name="RED_04 07E Wild Horse Wind Expansion (C) (2)" xfId="382"/>
    <cellStyle name="Report" xfId="383"/>
    <cellStyle name="Report - Style5" xfId="384"/>
    <cellStyle name="Report - Style6" xfId="385"/>
    <cellStyle name="Report - Style7" xfId="386"/>
    <cellStyle name="Report - Style8" xfId="387"/>
    <cellStyle name="Report 2" xfId="388"/>
    <cellStyle name="Report Bar" xfId="389"/>
    <cellStyle name="Report Bar 2" xfId="390"/>
    <cellStyle name="Report Bar_Electric Rev Req Model (2009 GRC) Rebuttal" xfId="391"/>
    <cellStyle name="Report Heading" xfId="392"/>
    <cellStyle name="Report Heading 2" xfId="393"/>
    <cellStyle name="Report Heading_Electric Rev Req Model (2009 GRC) Rebuttal" xfId="394"/>
    <cellStyle name="Report Percent" xfId="395"/>
    <cellStyle name="Report Percent 2" xfId="396"/>
    <cellStyle name="Report Percent_Electric Rev Req Model (2009 GRC) Rebuttal" xfId="397"/>
    <cellStyle name="Report Unit Cost" xfId="398"/>
    <cellStyle name="Report Unit Cost 2" xfId="399"/>
    <cellStyle name="Report Unit Cost_Electric Rev Req Model (2009 GRC) Rebuttal" xfId="400"/>
    <cellStyle name="Report_Adj Bench DR 3 for Initial Briefs (Electric)" xfId="1825"/>
    <cellStyle name="Reports" xfId="401"/>
    <cellStyle name="Reports Total" xfId="402"/>
    <cellStyle name="Reports Total 2" xfId="403"/>
    <cellStyle name="Reports Total_Electric Rev Req Model (2009 GRC) Rebuttal" xfId="404"/>
    <cellStyle name="Reports Unit Cost Total" xfId="405"/>
    <cellStyle name="Reports_14.21G &amp; 16.28E Incentive Pay" xfId="1826"/>
    <cellStyle name="Reset  - Style4" xfId="1953"/>
    <cellStyle name="Reset  - Style7" xfId="1954"/>
    <cellStyle name="RevList" xfId="406"/>
    <cellStyle name="round100" xfId="407"/>
    <cellStyle name="round100 2" xfId="408"/>
    <cellStyle name="round100 3" xfId="409"/>
    <cellStyle name="SAPBEXaggData" xfId="1827"/>
    <cellStyle name="SAPBEXaggDataEmph" xfId="1828"/>
    <cellStyle name="SAPBEXaggItem" xfId="1829"/>
    <cellStyle name="SAPBEXaggItemX" xfId="1830"/>
    <cellStyle name="SAPBEXchaText" xfId="1831"/>
    <cellStyle name="SAPBEXchaText 2" xfId="1832"/>
    <cellStyle name="SAPBEXchaText_3.01 Income Statement 2011 GRC" xfId="1833"/>
    <cellStyle name="SAPBEXexcBad7" xfId="1834"/>
    <cellStyle name="SAPBEXexcBad8" xfId="1835"/>
    <cellStyle name="SAPBEXexcBad9" xfId="1836"/>
    <cellStyle name="SAPBEXexcCritical4" xfId="1837"/>
    <cellStyle name="SAPBEXexcCritical5" xfId="1838"/>
    <cellStyle name="SAPBEXexcCritical6" xfId="1839"/>
    <cellStyle name="SAPBEXexcGood1" xfId="1840"/>
    <cellStyle name="SAPBEXexcGood2" xfId="1841"/>
    <cellStyle name="SAPBEXexcGood3" xfId="1842"/>
    <cellStyle name="SAPBEXfilterDrill" xfId="1843"/>
    <cellStyle name="SAPBEXfilterItem" xfId="1844"/>
    <cellStyle name="SAPBEXfilterText" xfId="1845"/>
    <cellStyle name="SAPBEXformats" xfId="1846"/>
    <cellStyle name="SAPBEXheaderItem" xfId="1847"/>
    <cellStyle name="SAPBEXheaderText" xfId="1848"/>
    <cellStyle name="SAPBEXHLevel0" xfId="1849"/>
    <cellStyle name="SAPBEXHLevel0X" xfId="1850"/>
    <cellStyle name="SAPBEXHLevel1" xfId="1851"/>
    <cellStyle name="SAPBEXHLevel1X" xfId="1852"/>
    <cellStyle name="SAPBEXHLevel2" xfId="1853"/>
    <cellStyle name="SAPBEXHLevel2X" xfId="1854"/>
    <cellStyle name="SAPBEXHLevel3" xfId="1855"/>
    <cellStyle name="SAPBEXHLevel3X" xfId="1856"/>
    <cellStyle name="SAPBEXinputData" xfId="1857"/>
    <cellStyle name="SAPBEXItemHeader" xfId="1858"/>
    <cellStyle name="SAPBEXresData" xfId="1859"/>
    <cellStyle name="SAPBEXresDataEmph" xfId="1860"/>
    <cellStyle name="SAPBEXresItem" xfId="1861"/>
    <cellStyle name="SAPBEXresItemX" xfId="1862"/>
    <cellStyle name="SAPBEXstdData" xfId="410"/>
    <cellStyle name="SAPBEXstdData 2" xfId="1863"/>
    <cellStyle name="SAPBEXstdDataEmph" xfId="1864"/>
    <cellStyle name="SAPBEXstdItem" xfId="1865"/>
    <cellStyle name="SAPBEXstdItem 2" xfId="1866"/>
    <cellStyle name="SAPBEXstdItemX" xfId="1867"/>
    <cellStyle name="SAPBEXtitle" xfId="1868"/>
    <cellStyle name="SAPBEXunassignedItem" xfId="1869"/>
    <cellStyle name="SAPBEXundefined" xfId="1870"/>
    <cellStyle name="shade" xfId="411"/>
    <cellStyle name="shade 2" xfId="412"/>
    <cellStyle name="shade 3" xfId="413"/>
    <cellStyle name="Sheet Title" xfId="1871"/>
    <cellStyle name="StmtTtl1" xfId="414"/>
    <cellStyle name="StmtTtl1 2" xfId="415"/>
    <cellStyle name="StmtTtl1 3" xfId="416"/>
    <cellStyle name="StmtTtl1 4" xfId="417"/>
    <cellStyle name="StmtTtl1_(C) WHE Proforma with ITC cash grant 10 Yr Amort_for deferral_102809" xfId="1872"/>
    <cellStyle name="StmtTtl2" xfId="418"/>
    <cellStyle name="StmtTtl2 2" xfId="419"/>
    <cellStyle name="StmtTtl2 3" xfId="420"/>
    <cellStyle name="STYL1 - Style1" xfId="421"/>
    <cellStyle name="Style 1" xfId="422"/>
    <cellStyle name="Style 1 2" xfId="423"/>
    <cellStyle name="Style 1 2 2" xfId="1873"/>
    <cellStyle name="Style 1 2 3" xfId="1874"/>
    <cellStyle name="Style 1 3" xfId="424"/>
    <cellStyle name="Style 1 3 2" xfId="1875"/>
    <cellStyle name="Style 1 3 2 2" xfId="1876"/>
    <cellStyle name="Style 1 3 2 3" xfId="1877"/>
    <cellStyle name="Style 1 3 3" xfId="1878"/>
    <cellStyle name="Style 1 3 4" xfId="1879"/>
    <cellStyle name="Style 1 3 5" xfId="1880"/>
    <cellStyle name="Style 1 3 6" xfId="1881"/>
    <cellStyle name="Style 1 3 7" xfId="1882"/>
    <cellStyle name="Style 1 3 8" xfId="1883"/>
    <cellStyle name="Style 1 4" xfId="425"/>
    <cellStyle name="Style 1 5" xfId="1884"/>
    <cellStyle name="Style 1 5 2" xfId="1885"/>
    <cellStyle name="Style 1 6" xfId="1886"/>
    <cellStyle name="Style 1 6 2" xfId="1887"/>
    <cellStyle name="Style 1 6 3" xfId="1888"/>
    <cellStyle name="Style 1 6 4" xfId="1889"/>
    <cellStyle name="Style 1 6 5" xfId="1890"/>
    <cellStyle name="Style 1 7" xfId="1891"/>
    <cellStyle name="Style 1_04.07E Wild Horse Wind Expansion" xfId="1892"/>
    <cellStyle name="Subtotal" xfId="426"/>
    <cellStyle name="Sub-total" xfId="427"/>
    <cellStyle name="Table  - Style5" xfId="1955"/>
    <cellStyle name="Table  - Style6" xfId="1956"/>
    <cellStyle name="taples Plaza" xfId="1893"/>
    <cellStyle name="Test" xfId="428"/>
    <cellStyle name="Tickmark" xfId="1894"/>
    <cellStyle name="Title" xfId="429" builtinId="15" customBuiltin="1"/>
    <cellStyle name="Title  - Style1" xfId="1957"/>
    <cellStyle name="Title  - Style6" xfId="1958"/>
    <cellStyle name="Title 2 2" xfId="1895"/>
    <cellStyle name="Title: - Style3" xfId="430"/>
    <cellStyle name="Title: - Style4" xfId="431"/>
    <cellStyle name="Title: Major" xfId="432"/>
    <cellStyle name="Title: Minor" xfId="433"/>
    <cellStyle name="Title: Minor 2" xfId="434"/>
    <cellStyle name="Title: Minor_Electric Rev Req Model (2009 GRC) Rebuttal" xfId="435"/>
    <cellStyle name="Title: Worksheet" xfId="436"/>
    <cellStyle name="Total" xfId="437" builtinId="25" customBuiltin="1"/>
    <cellStyle name="Total 12" xfId="1896"/>
    <cellStyle name="Total 2" xfId="438"/>
    <cellStyle name="Total 2 2" xfId="1897"/>
    <cellStyle name="Total 3" xfId="439"/>
    <cellStyle name="Total4 - Style4" xfId="440"/>
    <cellStyle name="Total4 - Style4 2" xfId="441"/>
    <cellStyle name="Total4 - Style4_Electric Rev Req Model (2009 GRC) Rebuttal" xfId="442"/>
    <cellStyle name="TotCol - Style5" xfId="1959"/>
    <cellStyle name="TotCol - Style7" xfId="1960"/>
    <cellStyle name="TotRow - Style4" xfId="1961"/>
    <cellStyle name="TotRow - Style8" xfId="1962"/>
    <cellStyle name="Warning Text" xfId="443" builtinId="11" customBuiltin="1"/>
    <cellStyle name="Warning Text 12" xfId="1898"/>
    <cellStyle name="Warning Text 2 2" xfId="1899"/>
  </cellStyles>
  <dxfs count="14">
    <dxf>
      <fill>
        <patternFill>
          <bgColor indexed="60"/>
        </patternFill>
      </fill>
    </dxf>
    <dxf>
      <fill>
        <patternFill>
          <bgColor indexed="60"/>
        </patternFill>
      </fill>
    </dxf>
    <dxf>
      <font>
        <b/>
        <i val="0"/>
        <condense val="0"/>
        <extend val="0"/>
      </font>
      <fill>
        <patternFill>
          <bgColor indexed="10"/>
        </patternFill>
      </fill>
      <border>
        <left style="thin">
          <color indexed="64"/>
        </left>
        <right style="thin">
          <color indexed="64"/>
        </right>
        <top style="thin">
          <color indexed="64"/>
        </top>
        <bottom style="thin">
          <color indexed="64"/>
        </bottom>
      </border>
    </dxf>
    <dxf>
      <font>
        <b/>
        <i val="0"/>
        <condense val="0"/>
        <extend val="0"/>
      </font>
      <fill>
        <patternFill>
          <bgColor indexed="10"/>
        </patternFill>
      </fill>
      <border>
        <left style="thin">
          <color indexed="64"/>
        </left>
        <right style="thin">
          <color indexed="64"/>
        </right>
        <top style="thin">
          <color indexed="64"/>
        </top>
        <bottom style="thin">
          <color indexed="64"/>
        </bottom>
      </border>
    </dxf>
    <dxf>
      <font>
        <b/>
        <i val="0"/>
        <condense val="0"/>
        <extend val="0"/>
      </font>
      <fill>
        <patternFill>
          <bgColor indexed="10"/>
        </patternFill>
      </fill>
      <border>
        <left style="thin">
          <color indexed="64"/>
        </left>
        <right style="thin">
          <color indexed="64"/>
        </right>
        <top style="thin">
          <color indexed="64"/>
        </top>
        <bottom style="thin">
          <color indexed="64"/>
        </bottom>
      </border>
    </dxf>
    <dxf>
      <font>
        <b/>
        <i val="0"/>
        <condense val="0"/>
        <extend val="0"/>
      </font>
      <fill>
        <patternFill>
          <bgColor indexed="10"/>
        </patternFill>
      </fill>
      <border>
        <left style="thin">
          <color indexed="64"/>
        </left>
        <right style="thin">
          <color indexed="64"/>
        </right>
        <top style="thin">
          <color indexed="64"/>
        </top>
        <bottom style="thin">
          <color indexed="64"/>
        </bottom>
      </border>
    </dxf>
    <dxf>
      <font>
        <b/>
        <i val="0"/>
        <condense val="0"/>
        <extend val="0"/>
      </font>
      <fill>
        <patternFill>
          <bgColor indexed="10"/>
        </patternFill>
      </fill>
      <border>
        <left style="thin">
          <color indexed="64"/>
        </left>
        <right style="thin">
          <color indexed="64"/>
        </right>
        <top style="thin">
          <color indexed="64"/>
        </top>
        <bottom style="thin">
          <color indexed="64"/>
        </bottom>
      </border>
    </dxf>
    <dxf>
      <font>
        <b/>
        <i val="0"/>
        <condense val="0"/>
        <extend val="0"/>
      </font>
      <fill>
        <patternFill>
          <bgColor indexed="10"/>
        </patternFill>
      </fill>
      <border>
        <left style="thin">
          <color indexed="64"/>
        </left>
        <right style="thin">
          <color indexed="64"/>
        </right>
        <top style="thin">
          <color indexed="64"/>
        </top>
        <bottom style="thin">
          <color indexed="64"/>
        </bottom>
      </border>
    </dxf>
    <dxf>
      <font>
        <b/>
        <i val="0"/>
        <condense val="0"/>
        <extend val="0"/>
      </font>
      <fill>
        <patternFill>
          <bgColor indexed="10"/>
        </patternFill>
      </fill>
      <border>
        <left style="thin">
          <color indexed="64"/>
        </left>
        <right style="thin">
          <color indexed="64"/>
        </right>
        <top style="thin">
          <color indexed="64"/>
        </top>
        <bottom style="thin">
          <color indexed="64"/>
        </bottom>
      </border>
    </dxf>
    <dxf>
      <font>
        <b/>
        <i val="0"/>
        <condense val="0"/>
        <extend val="0"/>
      </font>
      <fill>
        <patternFill>
          <bgColor indexed="10"/>
        </patternFill>
      </fill>
      <border>
        <left style="thin">
          <color indexed="64"/>
        </left>
        <right style="thin">
          <color indexed="64"/>
        </right>
        <top style="thin">
          <color indexed="64"/>
        </top>
        <bottom style="thin">
          <color indexed="64"/>
        </bottom>
      </border>
    </dxf>
    <dxf>
      <font>
        <b/>
        <i val="0"/>
        <condense val="0"/>
        <extend val="0"/>
      </font>
      <fill>
        <patternFill>
          <bgColor indexed="10"/>
        </patternFill>
      </fill>
      <border>
        <left style="thin">
          <color indexed="64"/>
        </left>
        <right style="thin">
          <color indexed="64"/>
        </right>
        <top style="thin">
          <color indexed="64"/>
        </top>
        <bottom style="thin">
          <color indexed="64"/>
        </bottom>
      </border>
    </dxf>
    <dxf>
      <font>
        <b/>
        <i val="0"/>
        <condense val="0"/>
        <extend val="0"/>
      </font>
      <fill>
        <patternFill>
          <bgColor indexed="10"/>
        </patternFill>
      </fill>
      <border>
        <left style="thin">
          <color indexed="64"/>
        </left>
        <right style="thin">
          <color indexed="64"/>
        </right>
        <top style="thin">
          <color indexed="64"/>
        </top>
        <bottom style="thin">
          <color indexed="64"/>
        </bottom>
      </border>
    </dxf>
    <dxf>
      <font>
        <b/>
        <i val="0"/>
        <condense val="0"/>
        <extend val="0"/>
      </font>
      <fill>
        <patternFill>
          <bgColor indexed="10"/>
        </patternFill>
      </fill>
      <border>
        <left style="thin">
          <color indexed="64"/>
        </left>
        <right style="thin">
          <color indexed="64"/>
        </right>
        <top style="thin">
          <color indexed="64"/>
        </top>
        <bottom style="thin">
          <color indexed="64"/>
        </bottom>
      </border>
    </dxf>
    <dxf>
      <font>
        <b/>
        <i val="0"/>
        <condense val="0"/>
        <extend val="0"/>
      </font>
      <fill>
        <patternFill>
          <bgColor indexed="1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39.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6.xml"/><Relationship Id="rId89" Type="http://schemas.openxmlformats.org/officeDocument/2006/relationships/externalLink" Target="externalLinks/externalLink11.xml"/><Relationship Id="rId112" Type="http://schemas.openxmlformats.org/officeDocument/2006/relationships/externalLink" Target="externalLinks/externalLink34.xml"/><Relationship Id="rId16" Type="http://schemas.openxmlformats.org/officeDocument/2006/relationships/worksheet" Target="worksheets/sheet16.xml"/><Relationship Id="rId107" Type="http://schemas.openxmlformats.org/officeDocument/2006/relationships/externalLink" Target="externalLinks/externalLink29.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1.xml"/><Relationship Id="rId102" Type="http://schemas.openxmlformats.org/officeDocument/2006/relationships/externalLink" Target="externalLinks/externalLink24.xml"/><Relationship Id="rId123" Type="http://schemas.openxmlformats.org/officeDocument/2006/relationships/externalLink" Target="externalLinks/externalLink45.xml"/><Relationship Id="rId128" Type="http://schemas.openxmlformats.org/officeDocument/2006/relationships/customXml" Target="../customXml/item1.xml"/><Relationship Id="rId5" Type="http://schemas.openxmlformats.org/officeDocument/2006/relationships/worksheet" Target="worksheets/sheet5.xml"/><Relationship Id="rId90" Type="http://schemas.openxmlformats.org/officeDocument/2006/relationships/externalLink" Target="externalLinks/externalLink12.xml"/><Relationship Id="rId95" Type="http://schemas.openxmlformats.org/officeDocument/2006/relationships/externalLink" Target="externalLinks/externalLink1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5.xml"/><Relationship Id="rId118" Type="http://schemas.openxmlformats.org/officeDocument/2006/relationships/externalLink" Target="externalLinks/externalLink40.xml"/><Relationship Id="rId80" Type="http://schemas.openxmlformats.org/officeDocument/2006/relationships/externalLink" Target="externalLinks/externalLink2.xml"/><Relationship Id="rId85" Type="http://schemas.openxmlformats.org/officeDocument/2006/relationships/externalLink" Target="externalLinks/externalLink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5.xml"/><Relationship Id="rId108" Type="http://schemas.openxmlformats.org/officeDocument/2006/relationships/externalLink" Target="externalLinks/externalLink30.xml"/><Relationship Id="rId124" Type="http://schemas.openxmlformats.org/officeDocument/2006/relationships/theme" Target="theme/theme1.xml"/><Relationship Id="rId129" Type="http://schemas.openxmlformats.org/officeDocument/2006/relationships/customXml" Target="../customXml/item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13.xml"/><Relationship Id="rId96"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6.xml"/><Relationship Id="rId119" Type="http://schemas.openxmlformats.org/officeDocument/2006/relationships/externalLink" Target="externalLinks/externalLink4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externalLink" Target="externalLinks/externalLink3.xml"/><Relationship Id="rId86" Type="http://schemas.openxmlformats.org/officeDocument/2006/relationships/externalLink" Target="externalLinks/externalLink8.xml"/><Relationship Id="rId130"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9.xml"/><Relationship Id="rId104" Type="http://schemas.openxmlformats.org/officeDocument/2006/relationships/externalLink" Target="externalLinks/externalLink26.xml"/><Relationship Id="rId120" Type="http://schemas.openxmlformats.org/officeDocument/2006/relationships/externalLink" Target="externalLinks/externalLink42.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9.xml"/><Relationship Id="rId110" Type="http://schemas.openxmlformats.org/officeDocument/2006/relationships/externalLink" Target="externalLinks/externalLink32.xml"/><Relationship Id="rId115" Type="http://schemas.openxmlformats.org/officeDocument/2006/relationships/externalLink" Target="externalLinks/externalLink37.xml"/><Relationship Id="rId131" Type="http://schemas.openxmlformats.org/officeDocument/2006/relationships/customXml" Target="../customXml/item4.xml"/><Relationship Id="rId61" Type="http://schemas.openxmlformats.org/officeDocument/2006/relationships/worksheet" Target="worksheets/sheet61.xml"/><Relationship Id="rId82"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2.xml"/><Relationship Id="rId105" Type="http://schemas.openxmlformats.org/officeDocument/2006/relationships/externalLink" Target="externalLinks/externalLink27.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5.xml"/><Relationship Id="rId98" Type="http://schemas.openxmlformats.org/officeDocument/2006/relationships/externalLink" Target="externalLinks/externalLink20.xml"/><Relationship Id="rId121" Type="http://schemas.openxmlformats.org/officeDocument/2006/relationships/externalLink" Target="externalLinks/externalLink4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5.xml"/><Relationship Id="rId88" Type="http://schemas.openxmlformats.org/officeDocument/2006/relationships/externalLink" Target="externalLinks/externalLink10.xml"/><Relationship Id="rId111" Type="http://schemas.openxmlformats.org/officeDocument/2006/relationships/externalLink" Target="externalLinks/externalLink3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8.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16.xml"/><Relationship Id="rId99" Type="http://schemas.openxmlformats.org/officeDocument/2006/relationships/externalLink" Target="externalLinks/externalLink21.xml"/><Relationship Id="rId101" Type="http://schemas.openxmlformats.org/officeDocument/2006/relationships/externalLink" Target="externalLinks/externalLink23.xml"/><Relationship Id="rId122" Type="http://schemas.openxmlformats.org/officeDocument/2006/relationships/externalLink" Target="externalLinks/externalLink44.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val>
            <c:numRef>
              <c:f>'6.03G - LoInBilled 12ME 12-2010'!$G$38:$R$38</c:f>
              <c:numCache>
                <c:formatCode>_(* #,##0.00_);_(* \(#,##0.00\);_(* "-"??_);_(@_)</c:formatCode>
                <c:ptCount val="11"/>
                <c:pt idx="0">
                  <c:v>679.55</c:v>
                </c:pt>
                <c:pt idx="1">
                  <c:v>96.52</c:v>
                </c:pt>
                <c:pt idx="2">
                  <c:v>97.63</c:v>
                </c:pt>
                <c:pt idx="3">
                  <c:v>90.07</c:v>
                </c:pt>
                <c:pt idx="4">
                  <c:v>124.65</c:v>
                </c:pt>
                <c:pt idx="5">
                  <c:v>108.56</c:v>
                </c:pt>
                <c:pt idx="6">
                  <c:v>95.5</c:v>
                </c:pt>
                <c:pt idx="7">
                  <c:v>83.55</c:v>
                </c:pt>
                <c:pt idx="8">
                  <c:v>129.71</c:v>
                </c:pt>
                <c:pt idx="9">
                  <c:v>128.84</c:v>
                </c:pt>
                <c:pt idx="10">
                  <c:v>148.09</c:v>
                </c:pt>
              </c:numCache>
            </c:numRef>
          </c:val>
          <c:smooth val="0"/>
        </c:ser>
        <c:dLbls>
          <c:showLegendKey val="0"/>
          <c:showVal val="0"/>
          <c:showCatName val="0"/>
          <c:showSerName val="0"/>
          <c:showPercent val="0"/>
          <c:showBubbleSize val="0"/>
        </c:dLbls>
        <c:marker val="1"/>
        <c:smooth val="0"/>
        <c:axId val="195300352"/>
        <c:axId val="194450176"/>
      </c:lineChart>
      <c:catAx>
        <c:axId val="195300352"/>
        <c:scaling>
          <c:orientation val="minMax"/>
        </c:scaling>
        <c:delete val="0"/>
        <c:axPos val="b"/>
        <c:majorTickMark val="out"/>
        <c:minorTickMark val="none"/>
        <c:tickLblPos val="nextTo"/>
        <c:crossAx val="194450176"/>
        <c:crosses val="autoZero"/>
        <c:auto val="1"/>
        <c:lblAlgn val="ctr"/>
        <c:lblOffset val="100"/>
        <c:noMultiLvlLbl val="0"/>
      </c:catAx>
      <c:valAx>
        <c:axId val="194450176"/>
        <c:scaling>
          <c:orientation val="minMax"/>
        </c:scaling>
        <c:delete val="0"/>
        <c:axPos val="l"/>
        <c:majorGridlines/>
        <c:numFmt formatCode="_(* #,##0.00_);_(* \(#,##0.00\);_(* &quot;-&quot;??_);_(@_)" sourceLinked="1"/>
        <c:majorTickMark val="out"/>
        <c:minorTickMark val="none"/>
        <c:tickLblPos val="nextTo"/>
        <c:crossAx val="1953003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20</xdr:col>
      <xdr:colOff>358589</xdr:colOff>
      <xdr:row>10</xdr:row>
      <xdr:rowOff>1120</xdr:rowOff>
    </xdr:from>
    <xdr:to>
      <xdr:col>29</xdr:col>
      <xdr:colOff>89648</xdr:colOff>
      <xdr:row>27</xdr:row>
      <xdr:rowOff>77320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7</xdr:row>
      <xdr:rowOff>0</xdr:rowOff>
    </xdr:from>
    <xdr:to>
      <xdr:col>6</xdr:col>
      <xdr:colOff>0</xdr:colOff>
      <xdr:row>7</xdr:row>
      <xdr:rowOff>0</xdr:rowOff>
    </xdr:to>
    <xdr:sp macro="" textlink="">
      <xdr:nvSpPr>
        <xdr:cNvPr id="2" name="Line 1"/>
        <xdr:cNvSpPr>
          <a:spLocks noChangeShapeType="1"/>
        </xdr:cNvSpPr>
      </xdr:nvSpPr>
      <xdr:spPr bwMode="auto">
        <a:xfrm flipV="1">
          <a:off x="4572000" y="125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3" name="Line 2"/>
        <xdr:cNvSpPr>
          <a:spLocks noChangeShapeType="1"/>
        </xdr:cNvSpPr>
      </xdr:nvSpPr>
      <xdr:spPr bwMode="auto">
        <a:xfrm flipV="1">
          <a:off x="4572000" y="125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7</xdr:row>
      <xdr:rowOff>0</xdr:rowOff>
    </xdr:from>
    <xdr:to>
      <xdr:col>6</xdr:col>
      <xdr:colOff>0</xdr:colOff>
      <xdr:row>7</xdr:row>
      <xdr:rowOff>0</xdr:rowOff>
    </xdr:to>
    <xdr:sp macro="" textlink="">
      <xdr:nvSpPr>
        <xdr:cNvPr id="2" name="Line 1"/>
        <xdr:cNvSpPr>
          <a:spLocks noChangeShapeType="1"/>
        </xdr:cNvSpPr>
      </xdr:nvSpPr>
      <xdr:spPr bwMode="auto">
        <a:xfrm flipV="1">
          <a:off x="4572000" y="125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3" name="Line 2"/>
        <xdr:cNvSpPr>
          <a:spLocks noChangeShapeType="1"/>
        </xdr:cNvSpPr>
      </xdr:nvSpPr>
      <xdr:spPr bwMode="auto">
        <a:xfrm flipV="1">
          <a:off x="4572000" y="125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7</xdr:row>
      <xdr:rowOff>0</xdr:rowOff>
    </xdr:from>
    <xdr:to>
      <xdr:col>6</xdr:col>
      <xdr:colOff>0</xdr:colOff>
      <xdr:row>7</xdr:row>
      <xdr:rowOff>0</xdr:rowOff>
    </xdr:to>
    <xdr:sp macro="" textlink="">
      <xdr:nvSpPr>
        <xdr:cNvPr id="2" name="Line 1"/>
        <xdr:cNvSpPr>
          <a:spLocks noChangeShapeType="1"/>
        </xdr:cNvSpPr>
      </xdr:nvSpPr>
      <xdr:spPr bwMode="auto">
        <a:xfrm flipV="1">
          <a:off x="4572000" y="129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3" name="Line 2"/>
        <xdr:cNvSpPr>
          <a:spLocks noChangeShapeType="1"/>
        </xdr:cNvSpPr>
      </xdr:nvSpPr>
      <xdr:spPr bwMode="auto">
        <a:xfrm flipV="1">
          <a:off x="4572000" y="129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TEMP\PPE%2013%20month%20by%20su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bbfiles\Colorado\Study%201202\AppendixA2002-12%20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cmickels\AppData\Local\Temp\notesEA312D\UE-111048%20PSE%20MJS-11-16%20Stranik%20rebuttal%20exhs%201-6%2001.17.1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Revenue%20Requirements\Mid-States\Missouri\2005%20Sept%2030\Revenue%20Requirements\Greeley\Kansas\Study%203-31-01\Kansas%20Study%203-31-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GrpRevnu/PUBLIC/RFDRWEB/PSE%20Funding/2008/042008%20PSE%20Funding.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GrpRevnu/PUBLIC/WUTC/Puget%20Sound%20Energy/Quarterly%20Reporting/2005/3rd%20Quarter%202005/WC_RB%203Q2005/WC-RB%20Overview.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Revenue%20Requirements\Mid-States\Missouri\2005%20Sept%2030\Revenue%20Requirements\Mid-States\VIRGINIA\2003%20AIF\2003%2009%20AIF\REVISED%202003%2009%20FILED%20AIF.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Jun_30_99/Electric/cb069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Revenue%20Requirements\Mid-States\Missouri\2005%20Sept%2030\Missouri%20Study%20ending%209-30-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Acct/newgas/2000/Oct00/REVNEW0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kbreda\My%20Documents\PSE%20General%20Rate%20Case%20UE-111048\UG-111049%20Gas%20RR%20Model.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Documents%20and%20Settings\jsl\My%20Documents\My%20TAI\PPL%20Electric\PPL%20Schedul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ZNetwork%20Restructuring\02Inputs\JE143-Electric_Unbilled_Revenue_Current_&amp;_Reverse_Prior_mo\0902%20JE143\09-02%20Elec_Unb%20(93.5%25%2009%20month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GrpRevnu/PUBLIC/%23%20PCA%20&amp;%20RC%2006_2003%20TY/PCA/New%20Plant-093003/FredDispatch%209.3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3%20CommBasisRp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ocuments%20and%20Settings/scartwri/My%20Documents/Projects/PSE/Projects/BHP/Due%20Diligence/BHP%20IS.BS.CF%20Mode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TM1EXC/PSE_VER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pRevnu/PUBLIC/%23%202006%20GRC/2006%20GRC%20Original%20Filing/Models&amp;Adjs/3.05E%20&amp;%203.05G%20ALLOC%20METHOD%20working%20fil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2/Gas/semi1202.rev.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CASES\TAI\06%20Cases\0636%20%20UNS%20Gas\UNS%20Gas%20Schedule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966INFBW\03-09%20Elec_Unb%20(93%203%25%208%20months)%20final.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GrpRevnu/PUBLIC/%23%20NOT%20USED%20-%202007%20GRC/4.04G%20Pass%20Through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GrpRevnu/PUBLIC/%23%20PCA%20&amp;%20RC%2006_2003%20TY/GRC/LaborInctvOH%200903%20GRC.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07%20JE143\12-2007\12-07%20Elec_Unb%20(93.3%25%205%20months)%20fin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Cost%20Accounting/Resource%20Costs/Forecast%20&amp;%20Variance/PCORC/RORC%20Filing/PC%20Summary%202004-2008%20Aurora%20+%20Not%20Auror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Cost%20Accounting\Resource%20Costs\REPWBook_P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frc\Rate%20Case\Rate%20Case%20Info\RATE%20CASE%2096\SUPMENT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bus_intg\Rate%20Case_01\MSFR_Wps%20&amp;%20Scheds%20to%20file\RATECAS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GrpRevnu/PUBLIC/Unbilled%20Rev%20Electric%20-%20Gas%20-%20SOE%20-%20SOG/2006/09-06%20Elec_Unb%20(93%203%25%202%20months)fin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Revenue%20Requirements\Mid-States\Missouri\2005%20Sept%2030\Revenue%20Requirements\Energas\Amarillo\DefStudyMay01\Exhibits%20May%2001%20Amarill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frc\Rate%20Case\Rate%20Case%20Info\RATE%20CASE%2096\SUPLMEN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p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pRevnu/PUBLIC/%23%202010%20GTIF/Original2010GTIF-Oct/Models%20&amp;%20Adjustments%20Oct-10%20filing/3.03%203.04%20RB%20&amp;%20WC-RC%20June%2010%20Working%20Fi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nts%20and%20Settings\buchanan\My%20Documents\bbfiles\Colorado\CO%202005-06%20GCA\AppendixA%202005-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TEMP\Cash%20Working%20Capital\Cash%20Working%20Capit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Jun 99"/>
      <sheetName val="Jul 99"/>
      <sheetName val="Aug 99"/>
      <sheetName val="Sep 99"/>
      <sheetName val="Oct 99"/>
      <sheetName val="Nov 99"/>
      <sheetName val="Dec 99"/>
      <sheetName val="Jan 00"/>
      <sheetName val="Feb 00"/>
      <sheetName val="Mar 00"/>
      <sheetName val="Apr 00"/>
      <sheetName val="May 00"/>
      <sheetName val="Jun-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lloc factors"/>
      <sheetName val="A-1"/>
      <sheetName val="Schedule 1"/>
      <sheetName val="Schedule 2"/>
      <sheetName val="Summary"/>
      <sheetName val="billing summary"/>
      <sheetName val="Wp 2-1"/>
      <sheetName val="WP 2-2"/>
      <sheetName val="WP 2-3"/>
      <sheetName val="Wp 2-4"/>
      <sheetName val="WP 2-5"/>
      <sheetName val="Wp 2-6"/>
      <sheetName val="WP 2-7"/>
      <sheetName val="WP 2-8"/>
      <sheetName val="Wp 2-9"/>
      <sheetName val="WP 2-10"/>
      <sheetName val="Schedule 3"/>
      <sheetName val="Wp 3-1"/>
      <sheetName val="Schedule 4 O&amp;M"/>
      <sheetName val="Wp 4-1 per bk 33,34,35,36"/>
      <sheetName val="WP 4-2 payroll"/>
      <sheetName val="WP4-2-1 Labor subaccts"/>
      <sheetName val="WP 4-3 benefits"/>
      <sheetName val="WP 4-3-1 benefits"/>
      <sheetName val="WP 4-3-2 benefits subaccts"/>
      <sheetName val="WP 4-4 alloc gen office"/>
      <sheetName val="Wp 4-4-1 per bk 24,30,31"/>
      <sheetName val="WP 4-5 dues donate"/>
      <sheetName val="Wp 4-5-1 dues donate adv"/>
      <sheetName val="WP 4-6 int cust dep"/>
      <sheetName val="WP 4-7 CapRate"/>
      <sheetName val="WP 4-8 Bad Debt"/>
      <sheetName val="Schedule 5 taxes other"/>
      <sheetName val="WP 5-1 taxes other"/>
      <sheetName val="Schedule 6 depr amort"/>
      <sheetName val="WP 6-1 deprec amort"/>
      <sheetName val="Schedule 7 FIT"/>
      <sheetName val="WP 7-1 FAS106"/>
      <sheetName val="Wp 7-1-1 FAS106"/>
      <sheetName val="Rate Base - Regional"/>
      <sheetName val="Plant"/>
      <sheetName val="Depr"/>
      <sheetName val="WP CWIP 1070"/>
      <sheetName val="WP M&amp;S 1540"/>
      <sheetName val="WP M&amp;S sheet 2"/>
      <sheetName val="WP Storg Gas per bk 1641"/>
      <sheetName val="WP 1641 per bk subaccts"/>
      <sheetName val="WP Storg Gas 1641 Normal"/>
      <sheetName val="WP PPs 1650"/>
      <sheetName val="WP PPs 165 subaccts"/>
      <sheetName val="WP Cust Dep 2350"/>
      <sheetName val="WP Cust Adv 2520"/>
      <sheetName val="PP Pension 186"/>
      <sheetName val="WP2-8 ADIT 1900,2820,2830"/>
      <sheetName val="WP 2-8-1 ADIT"/>
      <sheetName val="WP 7-7 Cash Working Capital"/>
      <sheetName val="WP 7-7-1 tax collections"/>
      <sheetName val="Cap Struc"/>
      <sheetName val="WP Equity LTD"/>
      <sheetName val="WP Equity detail"/>
      <sheetName val="WP LTD Rate"/>
    </sheetNames>
    <sheetDataSet>
      <sheetData sheetId="0" refreshError="1"/>
      <sheetData sheetId="1" refreshError="1">
        <row r="13">
          <cell r="D13">
            <v>0.12939999999999999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JS-11"/>
      <sheetName val="MJS-12"/>
      <sheetName val="MJS-13"/>
      <sheetName val="MJS-14"/>
      <sheetName val="MJS-15"/>
      <sheetName val="MJS-16"/>
    </sheetNames>
    <sheetDataSet>
      <sheetData sheetId="0">
        <row r="3">
          <cell r="M3" t="str">
            <v>Exhibit No. ___ (MJS-11)</v>
          </cell>
        </row>
      </sheetData>
      <sheetData sheetId="1">
        <row r="3">
          <cell r="E3" t="str">
            <v>Exhibit No. ___ (MJS-12)</v>
          </cell>
        </row>
      </sheetData>
      <sheetData sheetId="2">
        <row r="2">
          <cell r="F2" t="str">
            <v>WUTC Docket No. UG-111049</v>
          </cell>
        </row>
        <row r="3">
          <cell r="F3" t="str">
            <v>Exhibit No. ___ (MJS-13)</v>
          </cell>
        </row>
      </sheetData>
      <sheetData sheetId="3">
        <row r="15">
          <cell r="O15">
            <v>2E-3</v>
          </cell>
        </row>
        <row r="21">
          <cell r="N21">
            <v>0.35</v>
          </cell>
        </row>
      </sheetData>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Exh 1"/>
      <sheetName val="Exh 2"/>
      <sheetName val="Wp 2-1"/>
      <sheetName val="Wp 2-2"/>
      <sheetName val="Wp 2-3"/>
      <sheetName val="Wp 2-4"/>
      <sheetName val="Wp 2-5"/>
      <sheetName val="Wp 2-6"/>
      <sheetName val="Wp 2-7"/>
      <sheetName val="Wp 2-8"/>
      <sheetName val="Wp 2-9"/>
      <sheetName val="Wp 2-10"/>
      <sheetName val="Exh 3"/>
      <sheetName val="Exh 4"/>
      <sheetName val="Wp 4-1"/>
      <sheetName val="Exh 5"/>
      <sheetName val="Exh 6"/>
      <sheetName val="Exh 7"/>
      <sheetName val="WP 7-1"/>
      <sheetName val="WP7-1-1"/>
      <sheetName val="WP 7-2"/>
      <sheetName val="Wp 7-3"/>
      <sheetName val="WP 7-3-1"/>
      <sheetName val="WP 7-4"/>
      <sheetName val="Wp 7-4-1"/>
      <sheetName val="WP 7-5"/>
      <sheetName val="WP 7-6"/>
      <sheetName val="WP 7-7"/>
      <sheetName val="WP 7-8"/>
      <sheetName val="Exh 8"/>
      <sheetName val="Exh 9"/>
      <sheetName val="WP 9-1"/>
    </sheetNames>
    <sheetDataSet>
      <sheetData sheetId="0" refreshError="1">
        <row r="29">
          <cell r="E29">
            <v>8.3450884513631737E-2</v>
          </cell>
        </row>
        <row r="31">
          <cell r="E31">
            <v>0.68700349864976129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TB SUMMARY"/>
      <sheetName val="DTB INPUT"/>
      <sheetName val="BS INPUT"/>
      <sheetName val="IS INPUT"/>
      <sheetName val="STOCK DATA INPUT"/>
      <sheetName val="INDEX"/>
      <sheetName val="Sch 1"/>
      <sheetName val="Wp 1-1"/>
      <sheetName val="Sch 2"/>
      <sheetName val="Wp 2-1"/>
      <sheetName val="Sch 3"/>
      <sheetName val="Sch 4"/>
      <sheetName val="Wp 4-1"/>
      <sheetName val="Sch 5"/>
      <sheetName val="Sch 6"/>
      <sheetName val="Sch 7"/>
      <sheetName val="Sch 8"/>
      <sheetName val="WP 8-1"/>
      <sheetName val="WP 8-2"/>
      <sheetName val="WP 8-3"/>
      <sheetName val="Sch 9"/>
      <sheetName val="Wp 9-1"/>
      <sheetName val="Wp 9-2"/>
      <sheetName val="Wp 9-3"/>
      <sheetName val="Wp 9-4"/>
      <sheetName val="Wp 9-5"/>
      <sheetName val="Wp 9-6"/>
      <sheetName val="Wp 9-7"/>
      <sheetName val="WP 9-7-1"/>
      <sheetName val="WP 9-8"/>
      <sheetName val="Sch 10"/>
      <sheetName val="WP 10-1"/>
      <sheetName val="WP 10-2"/>
      <sheetName val="Wp 10-3"/>
      <sheetName val="WP 10-4 "/>
      <sheetName val="WP 10-5"/>
      <sheetName val="WP 10-6"/>
      <sheetName val="WP10-7"/>
      <sheetName val="WP 10-8"/>
      <sheetName val="WP 10-9 "/>
      <sheetName val="WP 10-10"/>
      <sheetName val="Sch 11"/>
      <sheetName val="WP 11-1"/>
      <sheetName val="WP 11-2 "/>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3"/>
      <sheetName val="ADJ 12-14"/>
      <sheetName val="ADJ 12-15"/>
      <sheetName val="ADJ 12-16"/>
      <sheetName val="Sch 13"/>
      <sheetName val="Sch 14 "/>
      <sheetName val="Sch 15"/>
      <sheetName val="WP 15-1"/>
      <sheetName val="WP 15-1-1"/>
      <sheetName val="WP 15-2"/>
      <sheetName val="WP 15-3"/>
      <sheetName val="WP 15-4"/>
      <sheetName val="Sch 16"/>
      <sheetName val="WP 16-1"/>
      <sheetName val="WP 16-2"/>
      <sheetName val="WP 16-3"/>
      <sheetName val="WP 16-4"/>
      <sheetName val="WP16-5"/>
      <sheetName val="WP 16-6"/>
      <sheetName val="WP 16-7"/>
      <sheetName val="WP 16-8"/>
      <sheetName val="Sch 17"/>
      <sheetName val="ADJ 17-1"/>
      <sheetName val="WP 17-1"/>
      <sheetName val="WP 17-1-1"/>
      <sheetName val="WP 17-1-2 "/>
      <sheetName val="WP 17-1-3"/>
      <sheetName val="ADJ 17- 2"/>
      <sheetName val="Wp 17-2"/>
      <sheetName val="WP 17-2-1"/>
      <sheetName val="Wp 17-2-2"/>
      <sheetName val="ADJ 17-3"/>
      <sheetName val="WP 17-3"/>
      <sheetName val="WP 17-3-1"/>
      <sheetName val="ADJ 17-4"/>
      <sheetName val="ADJ 17-5"/>
      <sheetName val="ADJ 17-6"/>
      <sheetName val="ADJ 17-7"/>
      <sheetName val="Wp 17-7"/>
      <sheetName val="ADJ 17-8"/>
      <sheetName val="WP 17-8"/>
      <sheetName val="ADJ 17-9"/>
      <sheetName val="ADJ 17-10"/>
      <sheetName val="ADJ 17-11"/>
      <sheetName val="ADJ 17-12"/>
      <sheetName val="WP 17-12"/>
      <sheetName val="ADJ 17-13"/>
      <sheetName val="ADJ 17-14"/>
      <sheetName val="ADJ 17-15"/>
      <sheetName val="ADJ 17-16"/>
      <sheetName val="ADJ 17-17"/>
      <sheetName val="WP 17-17-1"/>
      <sheetName val="Wp 17-17-2"/>
      <sheetName val="Wp 17-17-3"/>
      <sheetName val="Wp 17-17-4"/>
      <sheetName val="ADJ 17-18"/>
      <sheetName val="ADJ 17-19"/>
      <sheetName val="ADJ 17-20"/>
      <sheetName val="ADJ 17-21"/>
      <sheetName val="ADJ 17-22"/>
      <sheetName val="ADJ 17-23"/>
      <sheetName val="ADJ 17-24"/>
      <sheetName val="ADJ 17-25"/>
      <sheetName val="ADJ 17-26"/>
      <sheetName val="ADJ 17-27"/>
      <sheetName val="ADJ 17-28"/>
      <sheetName val="ADJ 17-29"/>
      <sheetName val="ADJ 17-30"/>
      <sheetName val="ADJ 17-31"/>
      <sheetName val="ADJ 17-32"/>
      <sheetName val="ADJ 17-33"/>
      <sheetName val="ADJ 17-34"/>
      <sheetName val="ADJ 17-35"/>
      <sheetName val="ADJ 17-36"/>
      <sheetName val="ADJ 17-37"/>
      <sheetName val="ADJ 17-38"/>
      <sheetName val="Sch 18"/>
      <sheetName val="Sch 19"/>
      <sheetName val="Sch 20"/>
      <sheetName val="Sch 21"/>
      <sheetName val="Sch 26A"/>
      <sheetName val="Sch 26B"/>
      <sheetName val="SCH 29"/>
      <sheetName val="Sch 30"/>
      <sheetName val="WP 30-1"/>
      <sheetName val=" WP 30-2 PEAK DAYS"/>
      <sheetName val=" WP 30-3 METER SIZE"/>
      <sheetName val="WP 30-4 BF BY CLASS"/>
      <sheetName val="SCH 31"/>
      <sheetName val="SCH 32"/>
      <sheetName val="WP 32-1"/>
      <sheetName val="SCH 33"/>
      <sheetName val="SCH 34"/>
      <sheetName val="SCH 34A"/>
    </sheetNames>
    <sheetDataSet>
      <sheetData sheetId="0" refreshError="1">
        <row r="9">
          <cell r="C9">
            <v>37894</v>
          </cell>
        </row>
        <row r="43">
          <cell r="D43">
            <v>0.218</v>
          </cell>
        </row>
        <row r="53">
          <cell r="D53">
            <v>7.0599999999999996E-2</v>
          </cell>
        </row>
        <row r="57">
          <cell r="D57">
            <v>8.7400000000000005E-2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sheetName val="ROR"/>
      <sheetName val="Common Allocation"/>
      <sheetName val="Adjust Explanation"/>
      <sheetName val="model"/>
      <sheetName val="cost of debt"/>
      <sheetName val="Restating Print Macros"/>
      <sheetName val="Module13"/>
      <sheetName val="Module14"/>
      <sheetName val="Module15"/>
      <sheetName val="Module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ure"/>
      <sheetName val="Rate Base Deductions"/>
      <sheetName val="Input "/>
      <sheetName val="Sch 1"/>
      <sheetName val="Sch 2"/>
      <sheetName val="WP 2-1 Rev70"/>
      <sheetName val="WP 2-2 Rev71"/>
      <sheetName val="WP 2-3 Rev72"/>
      <sheetName val="WP 2-4 Rev97Pal"/>
      <sheetName val="WP 2-5 Rev97U Paducah"/>
      <sheetName val="WP 2-6 Rev97U StL"/>
      <sheetName val="WP 2-7 Rev29"/>
      <sheetName val="WP 2-8 HDDs"/>
      <sheetName val="Sch 3 Gas Cost"/>
      <sheetName val="Sch 4 O&amp;M"/>
      <sheetName val="Sch 4-1 O&amp;M Per Book"/>
      <sheetName val="WP 4-2 Labor Adj"/>
      <sheetName val="WP 4-2-1 Labor O&amp;M subaccts"/>
      <sheetName val="WP 4-2-2 MO Union Labor exp"/>
      <sheetName val="WP 4- Benefits Adj"/>
      <sheetName val="WP 4- Benefits O&amp;M subaccts"/>
      <sheetName val="WP 4-3 M&amp;I "/>
      <sheetName val="WP 4-5 realloc 922"/>
      <sheetName val="WP 4-6 Ins Prem"/>
      <sheetName val="WP 4- Postage"/>
      <sheetName val="WP 4- Bad Debt adj"/>
      <sheetName val="WP4-Outside Srvc adj"/>
      <sheetName val="Sch 5 Taxes Other"/>
      <sheetName val="WP 5-1 Other Tax subaccts"/>
      <sheetName val="WP 5-2 MO AdValorem Summary"/>
      <sheetName val="Sch 6 Deprec"/>
      <sheetName val="WP 6-1 SS"/>
      <sheetName val="WP 6-2 Div91GO"/>
      <sheetName val="WP 6-3 Div88Central"/>
      <sheetName val="WP 6-4 Div70"/>
      <sheetName val="WP 6-5 Div71"/>
      <sheetName val="WP 6-6 Div72"/>
      <sheetName val="WP 6-7 Div97"/>
      <sheetName val="WP 6-8 Div30 CoKs GO"/>
      <sheetName val="WP 6-10 Div29"/>
      <sheetName val="WP 6- Meter"/>
      <sheetName val="WP 6-11 Deprec Exp SubAccts"/>
      <sheetName val="4060 Amort Acq Adj"/>
      <sheetName val="Sch 7 RateBase"/>
      <sheetName val="WP 7-1NetPlant"/>
      <sheetName val="WP 7-2 Alloc NetPlant"/>
      <sheetName val="WP 7-3 CWIP"/>
      <sheetName val="WP 7-4 ADIT"/>
      <sheetName val="WP 7-4-1 ADIT"/>
      <sheetName val="WP 7-4-2 Def Alloc Adjusted"/>
      <sheetName val="WP 7-5 PrePaids"/>
      <sheetName val="WP 7-6"/>
      <sheetName val="WP 7-6-1CustAdv"/>
      <sheetName val="WP 7-6-2CustDep "/>
      <sheetName val="WP 7-7 M&amp;S"/>
      <sheetName val="M&amp;S new"/>
      <sheetName val="WP 7-8 StorgGas"/>
      <sheetName val="WP7- Storg Gas 1641 Repriced"/>
      <sheetName val="WP 7- ANG Rate Base Deduct"/>
      <sheetName val="Sch 8 FIT"/>
      <sheetName val="Sch 9 CapStruc"/>
      <sheetName val="WP 9-1-1 Cap Bal"/>
      <sheetName val="WP 9-1-2 Proj Bal"/>
      <sheetName val="WP 9-2-1 LTD rate"/>
      <sheetName val="WP 9-2-2 Proj LTD rate"/>
      <sheetName val="Sch 10 Int on Deposits"/>
      <sheetName val="WP 2-8"/>
      <sheetName val="WP 4-4 Int on Deposits"/>
      <sheetName val="WP 7-4 DefFIT"/>
      <sheetName val="WP 7-4-1DefFIT"/>
      <sheetName val="WP 7-5 PP"/>
      <sheetName val="PP new"/>
      <sheetName val="WP Storg Gas 1641 Repriced"/>
      <sheetName val="WP 9-1"/>
      <sheetName val="WP 9-1-1Proj"/>
      <sheetName val="WP 9-2 LTD rate"/>
      <sheetName val="WP 9-2-1 Proj LTD rate"/>
    </sheetNames>
    <sheetDataSet>
      <sheetData sheetId="0" refreshError="1"/>
      <sheetData sheetId="1" refreshError="1"/>
      <sheetData sheetId="2" refreshError="1">
        <row r="8">
          <cell r="C8" t="str">
            <v>Missouri</v>
          </cell>
        </row>
        <row r="9">
          <cell r="C9" t="str">
            <v>Atmos Energy Mid-States</v>
          </cell>
        </row>
        <row r="10">
          <cell r="C10" t="str">
            <v>September 30, 2005</v>
          </cell>
        </row>
        <row r="23">
          <cell r="C23">
            <v>5.5753243416792088E-2</v>
          </cell>
        </row>
        <row r="24">
          <cell r="C24">
            <v>4.0312366146111597E-2</v>
          </cell>
        </row>
        <row r="25">
          <cell r="C25">
            <v>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 KBH-3 P3.1"/>
      <sheetName val="EXH KBH-3 P3.2"/>
      <sheetName val="EXH KBH-3 P3.3"/>
      <sheetName val="EXH KBH-3 P3.4"/>
      <sheetName val="EXH KBH-3 P3.5"/>
      <sheetName val=" Adj 9.01 P3.6"/>
      <sheetName val=" Adj 9.02 P3.7"/>
      <sheetName val=" Adj 9.03 P3.8"/>
      <sheetName val=" Adj 9.04 P3.9"/>
      <sheetName val="Adj 9.05 P3.10"/>
      <sheetName val=" Adj 9.06 P3.11"/>
      <sheetName val=" Adj 9.07 P3.12"/>
      <sheetName val=" Adj 9.08 P3.13"/>
      <sheetName val=" Adj 9.09 P3.14"/>
      <sheetName val=" Adj 9.10 P3.15"/>
      <sheetName val=" Adj 9.11 P3.16"/>
      <sheetName val=" Adj 9.12 P3.17"/>
      <sheetName val=" Adj 9.13 P3.18"/>
      <sheetName val=" Adj 9.14 P3.19"/>
      <sheetName val=" Adj 9.15 P3.20"/>
      <sheetName val=" Adj 9.16 P3.21"/>
      <sheetName val=" Adj 9.17 P3.22"/>
      <sheetName val=" Adj 9.18 P3.23"/>
      <sheetName val=" Adj 9.19 P3.24"/>
      <sheetName val=" Adj 9.20 P3.25"/>
      <sheetName val=" Adj 9.21 P3.26"/>
      <sheetName val=" Adj 9.22 P3.27"/>
      <sheetName val=" Adj 9.23 P3.28"/>
      <sheetName val="Adj 9.24 P3.29"/>
      <sheetName val="Gen Inc P3.30"/>
      <sheetName val="Capital P3.31"/>
      <sheetName val="Conv Fact P3.32"/>
      <sheetName val="Rev Req Comp P3.33"/>
      <sheetName val="Company Gas"/>
      <sheetName val="Staff Gas"/>
      <sheetName val="Capital"/>
    </sheetNames>
    <sheetDataSet>
      <sheetData sheetId="0"/>
      <sheetData sheetId="1"/>
      <sheetData sheetId="2"/>
      <sheetData sheetId="3"/>
      <sheetData sheetId="4"/>
      <sheetData sheetId="5">
        <row r="1">
          <cell r="A1" t="str">
            <v>Puget Sound Energy</v>
          </cell>
        </row>
        <row r="7">
          <cell r="A7" t="str">
            <v>FOR THE TWELVE MONTHS ENDED DECEMBER  31, 2008</v>
          </cell>
        </row>
        <row r="8">
          <cell r="A8" t="str">
            <v>GENERAL RATE INCREASE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2">
          <cell r="D22">
            <v>0.35</v>
          </cell>
        </row>
      </sheetData>
      <sheetData sheetId="32"/>
      <sheetData sheetId="33"/>
      <sheetData sheetId="34"/>
      <sheetData sheetId="35">
        <row r="9">
          <cell r="C9">
            <v>8.4999999999999992E-2</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2, p 1"/>
      <sheetName val="Sch 2, p 2 "/>
      <sheetName val="Sch 2, p 3"/>
      <sheetName val="Sch 3"/>
      <sheetName val="Sch 4"/>
      <sheetName val="Sch 5"/>
      <sheetName val="Sch 6, p1"/>
      <sheetName val="Sch 6, p 2"/>
      <sheetName val="Sch 6, p 3"/>
      <sheetName val="Company Groups"/>
      <sheetName val="Company Data Inputs"/>
      <sheetName val="Sch 7"/>
      <sheetName val="Sch 8 "/>
      <sheetName val="Sch 9, p1"/>
      <sheetName val="Sch 9, p 2"/>
      <sheetName val="Sch 9, p 3"/>
      <sheetName val="Sch 9, p 4"/>
      <sheetName val="Sch 10"/>
      <sheetName val="Sch 11"/>
      <sheetName val="Sch 12, p 1"/>
      <sheetName val="Sch 12, p 2"/>
      <sheetName val="Sch 13"/>
      <sheetName val="Sch 12 WP"/>
      <sheetName val="Sch 14 "/>
      <sheetName val="Sch 15"/>
      <sheetName val="Sch 16"/>
      <sheetName val="p.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efreshError="1">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efreshError="1">
        <row r="222">
          <cell r="AJ222">
            <v>35430</v>
          </cell>
        </row>
      </sheetData>
      <sheetData sheetId="2"/>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efreshError="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s>
    <sheetDataSet>
      <sheetData sheetId="0" refreshError="1">
        <row r="11">
          <cell r="B11">
            <v>38315912.890000001</v>
          </cell>
          <cell r="D11">
            <v>38617570.920000002</v>
          </cell>
        </row>
        <row r="35">
          <cell r="B35">
            <v>3291140.23</v>
          </cell>
          <cell r="D35">
            <v>2850009.59</v>
          </cell>
        </row>
      </sheetData>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refreshError="1"/>
      <sheetData sheetId="1" refreshError="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refreshError="1"/>
      <sheetData sheetId="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y Groups"/>
      <sheetName val="Company Data Inputs"/>
      <sheetName val="Sch 2, p 1"/>
      <sheetName val="Sch 2, p 2 "/>
      <sheetName val="Sch 2, p 3"/>
      <sheetName val="Sch 3"/>
      <sheetName val="Sch 4, p1"/>
      <sheetName val="Sch 4, p 2"/>
      <sheetName val="Sch 4, p 3"/>
      <sheetName val="Sch 5"/>
      <sheetName val="Sch 6"/>
      <sheetName val="Sch 7, p1"/>
      <sheetName val="Sch 7, p 2"/>
      <sheetName val="Sch 7, p 3"/>
      <sheetName val="Sch 7, p 4"/>
      <sheetName val="Sch 8"/>
      <sheetName val="Sch 9"/>
      <sheetName val="Sch 10, p 1"/>
      <sheetName val="Sch 10, p 2"/>
      <sheetName val="Sch 11"/>
      <sheetName val="Sch 12 WP"/>
      <sheetName val="Sch 12"/>
      <sheetName val="Sch 13"/>
      <sheetName val="Sch 14"/>
      <sheetName val="p. 1"/>
    </sheetNames>
    <sheetDataSet>
      <sheetData sheetId="0" refreshError="1">
        <row r="3">
          <cell r="B3" t="str">
            <v>UNISOURCE ENERGY CONSOLIDATED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Lost Factor"/>
      <sheetName val="Sch120Rsbl"/>
      <sheetName val="Sch_120"/>
      <sheetName val="Sch95Rsbl"/>
      <sheetName val="Bs Unbl Rt"/>
      <sheetName val="GPI (2)"/>
      <sheetName val="GPI"/>
      <sheetName val="Pended"/>
      <sheetName val="Target KWHs"/>
      <sheetName val="KWH Rsbl"/>
      <sheetName val="Billing Loss"/>
      <sheetName val="Sch_194"/>
      <sheetName val="Historical"/>
      <sheetName val="Sch194KWHs"/>
      <sheetName val="RateInc"/>
      <sheetName val="2-03 Rd Schd"/>
      <sheetName val="Page 1"/>
      <sheetName val="UnbDays"/>
      <sheetName val="Sch94Read"/>
      <sheetName val="Sch94Read0408"/>
      <sheetName val="Sch194 Rlfwd"/>
      <sheetName val="Sch_194Rsbl"/>
      <sheetName val="Sch_132"/>
      <sheetName val="Sch132Rsbl"/>
      <sheetName val="Sch132Read"/>
      <sheetName val="Unbilled Revenue"/>
      <sheetName val="Billed KWHs"/>
      <sheetName val="APUA"/>
      <sheetName val="UnbLowIncJE"/>
      <sheetName val="Sch120Read"/>
      <sheetName val="UnbLowInc Rsbl"/>
      <sheetName val="Unbilled Days elec"/>
      <sheetName val="JE #s"/>
      <sheetName val="INPUT TAB 2005"/>
      <sheetName val="INPUT TAB 2006"/>
      <sheetName val="INPUT TAB 2007"/>
      <sheetName val="INPUT TAB 2008"/>
    </sheetNames>
    <sheetDataSet>
      <sheetData sheetId="0" refreshError="1"/>
      <sheetData sheetId="1" refreshError="1"/>
      <sheetData sheetId="2"/>
      <sheetData sheetId="3" refreshError="1"/>
      <sheetData sheetId="4" refreshError="1"/>
      <sheetData sheetId="5" refreshError="1"/>
      <sheetData sheetId="6" refreshError="1"/>
      <sheetData sheetId="7">
        <row r="21">
          <cell r="I21">
            <v>2968420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1">
          <cell r="M31">
            <v>-9.1350000000000008E-3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s>
    <sheetDataSet>
      <sheetData sheetId="0"/>
      <sheetData sheetId="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s>
    <sheetDataSet>
      <sheetData sheetId="0"/>
      <sheetData sheetId="1"/>
      <sheetData sheetId="2"/>
      <sheetData sheetId="3"/>
      <sheetData sheetId="4"/>
      <sheetData sheetId="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2)"/>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194 Rlfwd"/>
      <sheetName val="Sch_194Rsbl"/>
      <sheetName val="UnbLowInc Rsbl"/>
      <sheetName val="Unbilled Days elec"/>
      <sheetName val="INPUT TAB 2005"/>
      <sheetName val="INPUT TAB 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_G"/>
      <sheetName val="WP_G6"/>
      <sheetName val="WP_G14"/>
      <sheetName val="WP_G15"/>
      <sheetName val="WP_G-16"/>
      <sheetName val="WP_G-17"/>
      <sheetName val="WP_G-18a"/>
      <sheetName val="WP_G-18b"/>
      <sheetName val="WP_H1"/>
      <sheetName val="WP_H1.1"/>
      <sheetName val="WP_H1.2"/>
      <sheetName val="WP_H3"/>
      <sheetName val="WP_H3-1"/>
      <sheetName val="WP_H4"/>
      <sheetName val="WP_H4.1"/>
      <sheetName val="WP_H4.2"/>
      <sheetName val="WP_H4.3"/>
      <sheetName val="WP_H4.4"/>
      <sheetName val="WP_H4.5"/>
      <sheetName val="WP_H4.6"/>
      <sheetName val="WP_H5"/>
      <sheetName val="WP_H6"/>
      <sheetName val="WP_H7"/>
      <sheetName val="WP_H8"/>
      <sheetName val="WP_H8.1"/>
      <sheetName val="WP_H8.2"/>
      <sheetName val="WP_H9"/>
      <sheetName val="WP_H9.1"/>
      <sheetName val="WP_H9.2"/>
      <sheetName val="WP_H10"/>
      <sheetName val="WP_H10.1"/>
      <sheetName val="WP_H10.2"/>
      <sheetName val="WP_H11"/>
      <sheetName val="WP_H12"/>
      <sheetName val="WP_H13"/>
      <sheetName val="WP_H14"/>
      <sheetName val="WP_H15"/>
      <sheetName val="WP_H16"/>
      <sheetName val="WP_H17"/>
      <sheetName val="WP_H18"/>
      <sheetName val="WP_H19"/>
      <sheetName val="WP_H20"/>
      <sheetName val="WP_H21"/>
      <sheetName val="WP_H22"/>
      <sheetName val="WP_I1"/>
      <sheetName val="WP_I2"/>
      <sheetName val="WP_I3"/>
      <sheetName val="WP_J1"/>
      <sheetName val="WP_J2"/>
      <sheetName val="WP_J3"/>
      <sheetName val="WP_J4"/>
      <sheetName val="WP_J5"/>
      <sheetName val="WP_J6"/>
      <sheetName val="SECT_K"/>
      <sheetName val="SECT_L"/>
      <sheetName val="SECT_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2">
          <cell r="B2" t="str">
            <v>Section H - Operating Income Statement</v>
          </cell>
        </row>
        <row r="3">
          <cell r="B3" t="str">
            <v>W/P H-9</v>
          </cell>
        </row>
        <row r="4">
          <cell r="A4" t="str">
            <v>OKLAHOMA GAS AND ELECTRIC SERVICES</v>
          </cell>
        </row>
        <row r="5">
          <cell r="A5" t="str">
            <v>DIRECTORS' FEES &amp; EXECUTIVE SALARIES &amp; EXPENSES</v>
          </cell>
        </row>
        <row r="6">
          <cell r="A6" t="str">
            <v>TEST YEAR ENDING DECEMBER 31, 1995</v>
          </cell>
        </row>
        <row r="7">
          <cell r="A7" t="str">
            <v>CAUSE NO. PUD  960000116</v>
          </cell>
        </row>
        <row r="10">
          <cell r="B10" t="str">
            <v>Line</v>
          </cell>
          <cell r="F10" t="str">
            <v>Fees &amp;</v>
          </cell>
          <cell r="H10" t="str">
            <v>Incentive</v>
          </cell>
          <cell r="J10" t="str">
            <v>Restricted</v>
          </cell>
        </row>
        <row r="11">
          <cell r="B11" t="str">
            <v>No.</v>
          </cell>
          <cell r="D11" t="str">
            <v>Description</v>
          </cell>
          <cell r="F11" t="str">
            <v>Salaries</v>
          </cell>
          <cell r="H11" t="str">
            <v>Compensation</v>
          </cell>
          <cell r="J11" t="str">
            <v>Stock</v>
          </cell>
          <cell r="L11" t="str">
            <v>Expenses</v>
          </cell>
        </row>
        <row r="13">
          <cell r="B13" t="str">
            <v>1.</v>
          </cell>
          <cell r="D13" t="str">
            <v>Herbert H Champlin</v>
          </cell>
          <cell r="F13">
            <v>34000</v>
          </cell>
          <cell r="L13">
            <v>1495</v>
          </cell>
        </row>
        <row r="14">
          <cell r="D14" t="str">
            <v>William E Durrett</v>
          </cell>
          <cell r="F14">
            <v>35000</v>
          </cell>
        </row>
        <row r="15">
          <cell r="D15" t="str">
            <v>Martha W Griffin</v>
          </cell>
          <cell r="F15">
            <v>34000</v>
          </cell>
          <cell r="L15">
            <v>1740</v>
          </cell>
        </row>
        <row r="16">
          <cell r="D16" t="str">
            <v>Hugh Hembree</v>
          </cell>
          <cell r="F16">
            <v>30000</v>
          </cell>
          <cell r="L16">
            <v>2074</v>
          </cell>
        </row>
        <row r="17">
          <cell r="D17" t="str">
            <v>Donald S Kennedy</v>
          </cell>
          <cell r="F17">
            <v>8000</v>
          </cell>
        </row>
        <row r="18">
          <cell r="D18" t="str">
            <v>Wayne A Parker</v>
          </cell>
          <cell r="F18">
            <v>24000</v>
          </cell>
        </row>
        <row r="19">
          <cell r="D19" t="str">
            <v>John F Snodgrass</v>
          </cell>
          <cell r="F19">
            <v>31000</v>
          </cell>
          <cell r="L19">
            <v>1329</v>
          </cell>
        </row>
        <row r="20">
          <cell r="D20" t="str">
            <v>John A Taylor</v>
          </cell>
          <cell r="F20">
            <v>35000</v>
          </cell>
          <cell r="L20">
            <v>407</v>
          </cell>
        </row>
        <row r="21">
          <cell r="D21" t="str">
            <v>Ronald White</v>
          </cell>
          <cell r="F21">
            <v>31000</v>
          </cell>
        </row>
        <row r="24">
          <cell r="D24" t="str">
            <v>J G Harlow jr</v>
          </cell>
          <cell r="F24">
            <v>500000</v>
          </cell>
          <cell r="H24">
            <v>183000</v>
          </cell>
          <cell r="J24">
            <v>149972</v>
          </cell>
          <cell r="L24">
            <v>6850</v>
          </cell>
        </row>
        <row r="25">
          <cell r="D25" t="str">
            <v>Patrick J Ryan</v>
          </cell>
          <cell r="F25">
            <v>295000</v>
          </cell>
          <cell r="H25">
            <v>63130</v>
          </cell>
          <cell r="J25">
            <v>58968</v>
          </cell>
          <cell r="L25">
            <v>5218</v>
          </cell>
        </row>
        <row r="26">
          <cell r="D26" t="str">
            <v>S E Moore</v>
          </cell>
          <cell r="F26">
            <v>212000</v>
          </cell>
          <cell r="H26">
            <v>58591</v>
          </cell>
          <cell r="J26">
            <v>52974</v>
          </cell>
          <cell r="L26">
            <v>1912</v>
          </cell>
        </row>
        <row r="27">
          <cell r="D27" t="str">
            <v>A M Strecker</v>
          </cell>
          <cell r="F27">
            <v>200000</v>
          </cell>
          <cell r="H27">
            <v>46800</v>
          </cell>
          <cell r="J27">
            <v>39974</v>
          </cell>
          <cell r="L27">
            <v>602</v>
          </cell>
        </row>
        <row r="28">
          <cell r="D28" t="str">
            <v>J T Coffman</v>
          </cell>
          <cell r="F28">
            <v>127500</v>
          </cell>
          <cell r="H28">
            <v>31720</v>
          </cell>
          <cell r="J28">
            <v>25475</v>
          </cell>
          <cell r="L28">
            <v>3758</v>
          </cell>
        </row>
        <row r="29">
          <cell r="D29" t="str">
            <v>J R Hatfield</v>
          </cell>
          <cell r="F29">
            <v>127500</v>
          </cell>
          <cell r="H29">
            <v>29835</v>
          </cell>
          <cell r="J29">
            <v>25475</v>
          </cell>
          <cell r="L29">
            <v>1902</v>
          </cell>
        </row>
        <row r="30">
          <cell r="D30" t="str">
            <v>D L Young</v>
          </cell>
          <cell r="F30">
            <v>120000</v>
          </cell>
          <cell r="H30">
            <v>25894</v>
          </cell>
          <cell r="J30">
            <v>23976</v>
          </cell>
          <cell r="L30">
            <v>2050</v>
          </cell>
        </row>
        <row r="31">
          <cell r="D31" t="str">
            <v>M D Bowen jr</v>
          </cell>
          <cell r="F31">
            <v>119167</v>
          </cell>
          <cell r="H31">
            <v>28548</v>
          </cell>
          <cell r="J31">
            <v>23814</v>
          </cell>
          <cell r="L31">
            <v>3474</v>
          </cell>
        </row>
        <row r="32">
          <cell r="D32" t="str">
            <v>M G Davis</v>
          </cell>
          <cell r="F32">
            <v>118000</v>
          </cell>
          <cell r="H32">
            <v>25680</v>
          </cell>
          <cell r="J32">
            <v>23571</v>
          </cell>
        </row>
        <row r="33">
          <cell r="D33" t="str">
            <v>D R Rowlett</v>
          </cell>
          <cell r="F33">
            <v>94167</v>
          </cell>
          <cell r="H33">
            <v>15960</v>
          </cell>
          <cell r="J33">
            <v>18833</v>
          </cell>
          <cell r="L33">
            <v>1053</v>
          </cell>
        </row>
        <row r="34">
          <cell r="D34" t="str">
            <v>I B Elliott</v>
          </cell>
          <cell r="F34">
            <v>94333</v>
          </cell>
          <cell r="H34">
            <v>16128</v>
          </cell>
          <cell r="J34">
            <v>9396</v>
          </cell>
          <cell r="L34">
            <v>763</v>
          </cell>
        </row>
        <row r="37">
          <cell r="D37" t="str">
            <v>B G Anthony</v>
          </cell>
          <cell r="F37">
            <v>104772</v>
          </cell>
          <cell r="J37">
            <v>8384</v>
          </cell>
          <cell r="L37">
            <v>7579</v>
          </cell>
        </row>
        <row r="38">
          <cell r="D38" t="str">
            <v>T C Vincent</v>
          </cell>
          <cell r="F38">
            <v>104472</v>
          </cell>
          <cell r="J38">
            <v>8384</v>
          </cell>
          <cell r="L38">
            <v>1091</v>
          </cell>
        </row>
        <row r="39">
          <cell r="D39" t="str">
            <v>W L Wylie</v>
          </cell>
          <cell r="F39">
            <v>104472</v>
          </cell>
          <cell r="J39">
            <v>8384</v>
          </cell>
          <cell r="L39">
            <v>5126</v>
          </cell>
        </row>
        <row r="40">
          <cell r="D40" t="str">
            <v>P M Dean</v>
          </cell>
          <cell r="F40">
            <v>104472</v>
          </cell>
          <cell r="J40">
            <v>6278</v>
          </cell>
          <cell r="L40">
            <v>7328</v>
          </cell>
        </row>
        <row r="41">
          <cell r="D41" t="str">
            <v>O W Beasley</v>
          </cell>
          <cell r="F41">
            <v>103712</v>
          </cell>
          <cell r="J41">
            <v>5184</v>
          </cell>
          <cell r="L41">
            <v>3143</v>
          </cell>
        </row>
        <row r="42">
          <cell r="D42" t="str">
            <v>T L Henry</v>
          </cell>
          <cell r="F42">
            <v>102340</v>
          </cell>
          <cell r="J42">
            <v>5103</v>
          </cell>
          <cell r="L42">
            <v>3483</v>
          </cell>
        </row>
        <row r="43">
          <cell r="D43" t="str">
            <v>J R Helton</v>
          </cell>
          <cell r="F43">
            <v>101980</v>
          </cell>
          <cell r="J43">
            <v>5103</v>
          </cell>
          <cell r="L43">
            <v>8777</v>
          </cell>
        </row>
        <row r="44">
          <cell r="D44" t="str">
            <v>R P Schmid</v>
          </cell>
          <cell r="F44">
            <v>95820</v>
          </cell>
          <cell r="J44">
            <v>9599</v>
          </cell>
          <cell r="L44">
            <v>4449</v>
          </cell>
        </row>
        <row r="45">
          <cell r="D45" t="str">
            <v>J E Wilson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Info_Factors &amp; Rates"/>
      <sheetName val="Index"/>
      <sheetName val="SCH_B1"/>
      <sheetName val="SCH_B2"/>
      <sheetName val="SCH_B2.1"/>
      <sheetName val="SCH_B2.2"/>
      <sheetName val="SCH_B2.3"/>
      <sheetName val="SCH_B2.4"/>
      <sheetName val="SCH_B3"/>
      <sheetName val="SCH_B4_P forma Adjs list"/>
      <sheetName val="SCH_C1"/>
      <sheetName val="SCH_C2"/>
      <sheetName val="SCH_C2.1"/>
      <sheetName val="SCH_D1A"/>
      <sheetName val="SCH_D2"/>
      <sheetName val="SCH_D2.1"/>
      <sheetName val="SCH_E1"/>
      <sheetName val="SCH_F1"/>
      <sheetName val="SCH_F-2"/>
      <sheetName val="SCH_F-3"/>
      <sheetName val="SCH_G"/>
      <sheetName val="SCH_H1"/>
      <sheetName val="SCH_H2"/>
      <sheetName val="SCH_H3"/>
      <sheetName val="SCH_I1"/>
      <sheetName val="SCH_I1_1"/>
      <sheetName val="SCH_J1 &amp; J2"/>
      <sheetName val="SCH_J3"/>
      <sheetName val="SCH_J4"/>
      <sheetName val="SCH_B4_Adjs list"/>
      <sheetName val="SCH_C3 Adjs List"/>
      <sheetName val="SCH_D1"/>
      <sheetName val="SCH_D3 Adjs list"/>
      <sheetName val="Sheet1"/>
      <sheetName val="SCH_B3.1"/>
      <sheetName val="SCH_C1-a"/>
      <sheetName val="SCH_I1a"/>
      <sheetName val="SCH_J1"/>
    </sheetNames>
    <sheetDataSet>
      <sheetData sheetId="0" refreshError="1"/>
      <sheetData sheetId="1" refreshError="1"/>
      <sheetData sheetId="2" refreshError="1">
        <row r="2">
          <cell r="B2" t="str">
            <v>SCHEDULE B - 1</v>
          </cell>
        </row>
        <row r="4">
          <cell r="B4" t="str">
            <v>OKLAHOMA GAS AND ELECTRIC SERVICES</v>
          </cell>
        </row>
        <row r="5">
          <cell r="B5" t="str">
            <v>REVENUE REQUIREMENT</v>
          </cell>
        </row>
        <row r="6">
          <cell r="B6" t="str">
            <v>TEST YEAR ENDING SEPTEMBER 30, 2001</v>
          </cell>
        </row>
        <row r="7">
          <cell r="B7" t="str">
            <v>CAUSE NO. PUD  200100455</v>
          </cell>
        </row>
        <row r="10">
          <cell r="B10" t="str">
            <v>Line</v>
          </cell>
        </row>
        <row r="11">
          <cell r="B11" t="str">
            <v>No.</v>
          </cell>
          <cell r="D11" t="str">
            <v>Description</v>
          </cell>
          <cell r="F11" t="str">
            <v>Reference</v>
          </cell>
        </row>
        <row r="13">
          <cell r="B13" t="str">
            <v>1.</v>
          </cell>
          <cell r="D13" t="str">
            <v>Pro Forma Rate Base</v>
          </cell>
          <cell r="F13" t="str">
            <v>Sch B-2</v>
          </cell>
        </row>
        <row r="15">
          <cell r="B15" t="str">
            <v>2.</v>
          </cell>
          <cell r="D15" t="str">
            <v>Rate of Return</v>
          </cell>
          <cell r="F15" t="str">
            <v>Sch F-1</v>
          </cell>
        </row>
        <row r="17">
          <cell r="B17" t="str">
            <v>3.</v>
          </cell>
          <cell r="D17" t="str">
            <v>Return on Rate Base</v>
          </cell>
          <cell r="F17" t="str">
            <v>1 times 2</v>
          </cell>
        </row>
        <row r="19">
          <cell r="B19" t="str">
            <v>4.</v>
          </cell>
          <cell r="D19" t="str">
            <v>Operating Efficiency Allowance</v>
          </cell>
          <cell r="F19" t="str">
            <v>1 times .383</v>
          </cell>
        </row>
        <row r="21">
          <cell r="B21" t="str">
            <v>5.</v>
          </cell>
          <cell r="D21" t="str">
            <v>Operating Income Required</v>
          </cell>
          <cell r="F21" t="str">
            <v>3 plus 4</v>
          </cell>
        </row>
        <row r="23">
          <cell r="B23" t="str">
            <v>6.</v>
          </cell>
          <cell r="D23" t="str">
            <v>Pro Forma Operating Income</v>
          </cell>
          <cell r="F23" t="str">
            <v>Sch H-1</v>
          </cell>
        </row>
        <row r="25">
          <cell r="B25" t="str">
            <v>7.</v>
          </cell>
          <cell r="D25" t="str">
            <v>Difference</v>
          </cell>
          <cell r="F25" t="str">
            <v>5 minus 6</v>
          </cell>
        </row>
        <row r="27">
          <cell r="B27" t="str">
            <v>8.</v>
          </cell>
          <cell r="D27" t="str">
            <v>Income Tax Gross Up Factor</v>
          </cell>
        </row>
        <row r="29">
          <cell r="B29" t="str">
            <v>9.</v>
          </cell>
          <cell r="D29" t="str">
            <v>Revenue Change</v>
          </cell>
          <cell r="F29" t="str">
            <v>7 times 8</v>
          </cell>
        </row>
      </sheetData>
      <sheetData sheetId="3" refreshError="1"/>
      <sheetData sheetId="4" refreshError="1"/>
      <sheetData sheetId="5" refreshError="1"/>
      <sheetData sheetId="6" refreshError="1"/>
      <sheetData sheetId="7" refreshError="1"/>
      <sheetData sheetId="8" refreshError="1">
        <row r="2">
          <cell r="B2" t="str">
            <v>SCHEDULE   B - 3</v>
          </cell>
        </row>
        <row r="4">
          <cell r="B4" t="str">
            <v>OKLAHOMA GAS AND ELECTRIC SERVICES</v>
          </cell>
        </row>
        <row r="5">
          <cell r="B5" t="str">
            <v>ADJUSTMENTS TO RATE BASE</v>
          </cell>
        </row>
        <row r="6">
          <cell r="B6" t="str">
            <v>TEST YEAR ENDING SEPTEMBER 30, 2001</v>
          </cell>
        </row>
        <row r="7">
          <cell r="B7" t="str">
            <v>CAUSE NO. PUD  200100455</v>
          </cell>
        </row>
        <row r="11">
          <cell r="B11" t="str">
            <v>Line</v>
          </cell>
        </row>
        <row r="12">
          <cell r="B12" t="str">
            <v>No.</v>
          </cell>
          <cell r="D12" t="str">
            <v>Description</v>
          </cell>
          <cell r="F12" t="str">
            <v>Ref.</v>
          </cell>
        </row>
        <row r="14">
          <cell r="D14" t="str">
            <v>Plant in Service</v>
          </cell>
        </row>
        <row r="15">
          <cell r="B15" t="str">
            <v>1.</v>
          </cell>
          <cell r="D15" t="str">
            <v>Utility Plant</v>
          </cell>
          <cell r="F15" t="str">
            <v>Sch C-1</v>
          </cell>
        </row>
        <row r="17">
          <cell r="B17" t="str">
            <v>2.</v>
          </cell>
          <cell r="D17" t="str">
            <v>Accumulated Depreciation</v>
          </cell>
          <cell r="F17" t="str">
            <v>Sch D-1</v>
          </cell>
        </row>
        <row r="19">
          <cell r="B19" t="str">
            <v>3.</v>
          </cell>
          <cell r="D19" t="str">
            <v>Plant held for future use</v>
          </cell>
          <cell r="F19" t="str">
            <v>Sch C-1</v>
          </cell>
        </row>
        <row r="21">
          <cell r="B21" t="str">
            <v>4.</v>
          </cell>
          <cell r="D21" t="str">
            <v>Net Plant</v>
          </cell>
        </row>
        <row r="23">
          <cell r="B23" t="str">
            <v>5.</v>
          </cell>
          <cell r="D23" t="str">
            <v>Other Rate Base Investment</v>
          </cell>
        </row>
        <row r="24">
          <cell r="D24" t="str">
            <v>Cash Working Capital</v>
          </cell>
          <cell r="F24" t="str">
            <v>Sch E-1</v>
          </cell>
        </row>
        <row r="26">
          <cell r="B26" t="str">
            <v>6.</v>
          </cell>
          <cell r="D26" t="str">
            <v>Prepayments</v>
          </cell>
          <cell r="F26" t="str">
            <v>Sch B 2-1</v>
          </cell>
        </row>
        <row r="28">
          <cell r="B28" t="str">
            <v>7.</v>
          </cell>
          <cell r="D28" t="str">
            <v>Material &amp; Supplies</v>
          </cell>
          <cell r="F28" t="str">
            <v>Sch B 2-1</v>
          </cell>
        </row>
        <row r="30">
          <cell r="B30" t="str">
            <v>8.</v>
          </cell>
          <cell r="D30" t="str">
            <v>Fuel Inventories</v>
          </cell>
          <cell r="F30" t="str">
            <v>Sch B 2-1</v>
          </cell>
        </row>
        <row r="32">
          <cell r="B32" t="str">
            <v>9.</v>
          </cell>
          <cell r="D32" t="str">
            <v>Gas in Storage</v>
          </cell>
          <cell r="F32" t="str">
            <v>Sch B 2-1</v>
          </cell>
        </row>
        <row r="34">
          <cell r="B34" t="str">
            <v>10.</v>
          </cell>
          <cell r="D34" t="str">
            <v>Other</v>
          </cell>
        </row>
        <row r="36">
          <cell r="B36" t="str">
            <v>11.</v>
          </cell>
          <cell r="D36" t="str">
            <v>Rate Base Additions &amp; Reductions</v>
          </cell>
        </row>
        <row r="37">
          <cell r="D37" t="str">
            <v>Accum Deferred Inc Taxes</v>
          </cell>
          <cell r="F37" t="str">
            <v>Sch B 2-2</v>
          </cell>
        </row>
        <row r="39">
          <cell r="B39" t="str">
            <v>13.</v>
          </cell>
          <cell r="D39" t="str">
            <v>Regulatory Assets</v>
          </cell>
          <cell r="F39" t="str">
            <v>Sch B 2-4</v>
          </cell>
        </row>
        <row r="41">
          <cell r="B41" t="str">
            <v>14.</v>
          </cell>
          <cell r="D41" t="str">
            <v>Regulatory Liabilities</v>
          </cell>
          <cell r="F41" t="str">
            <v>Sch B 2-4</v>
          </cell>
        </row>
      </sheetData>
      <sheetData sheetId="9" refreshError="1"/>
      <sheetData sheetId="10" refreshError="1"/>
      <sheetData sheetId="11" refreshError="1">
        <row r="2">
          <cell r="B2" t="str">
            <v>SCHEDULE   C - 2</v>
          </cell>
        </row>
        <row r="4">
          <cell r="A4" t="str">
            <v>OKLAHOMA GAS AND ELECTRIC SERVICES</v>
          </cell>
        </row>
        <row r="5">
          <cell r="A5" t="str">
            <v>ADJUSTMENTS TO PLANT IN SERVICE</v>
          </cell>
        </row>
        <row r="6">
          <cell r="A6" t="str">
            <v>TEST YEAR ENDING SEPTEMBER 30, 2001</v>
          </cell>
        </row>
        <row r="7">
          <cell r="A7" t="str">
            <v>CAUSE NO. PUD  200100455</v>
          </cell>
        </row>
        <row r="8">
          <cell r="D8" t="str">
            <v xml:space="preserve">   &lt;&lt;&lt;</v>
          </cell>
          <cell r="E8" t="str">
            <v xml:space="preserve">  shows where data was entered in last rate case ….  Fyi only</v>
          </cell>
        </row>
        <row r="12">
          <cell r="B12" t="str">
            <v>Line</v>
          </cell>
        </row>
        <row r="13">
          <cell r="B13" t="str">
            <v>No.</v>
          </cell>
          <cell r="D13" t="str">
            <v>Account</v>
          </cell>
          <cell r="F13" t="str">
            <v xml:space="preserve">Plant </v>
          </cell>
        </row>
        <row r="14">
          <cell r="F14" t="str">
            <v xml:space="preserve">            INTANGIBLE PLANT</v>
          </cell>
        </row>
        <row r="15">
          <cell r="B15" t="str">
            <v>1.</v>
          </cell>
          <cell r="D15">
            <v>301</v>
          </cell>
          <cell r="F15" t="str">
            <v xml:space="preserve">Organization </v>
          </cell>
        </row>
        <row r="16">
          <cell r="B16" t="str">
            <v>2.</v>
          </cell>
          <cell r="D16">
            <v>302</v>
          </cell>
          <cell r="F16" t="str">
            <v>Franchise and Consents</v>
          </cell>
        </row>
        <row r="17">
          <cell r="B17" t="str">
            <v>3.</v>
          </cell>
          <cell r="D17">
            <v>303</v>
          </cell>
          <cell r="F17" t="str">
            <v>Miscellaneous Intangible Plant</v>
          </cell>
        </row>
        <row r="18">
          <cell r="B18" t="str">
            <v>4.</v>
          </cell>
          <cell r="F18" t="str">
            <v>CWIP</v>
          </cell>
        </row>
        <row r="19">
          <cell r="B19" t="str">
            <v>5.</v>
          </cell>
          <cell r="F19" t="str">
            <v>TOTAL INTANGIBLE PLANT</v>
          </cell>
        </row>
        <row r="21">
          <cell r="F21" t="str">
            <v xml:space="preserve">            PRODUCTION PLANT</v>
          </cell>
        </row>
        <row r="22">
          <cell r="F22" t="str">
            <v xml:space="preserve">   STEAM PRODUCTION</v>
          </cell>
        </row>
        <row r="23">
          <cell r="B23" t="str">
            <v>6.</v>
          </cell>
          <cell r="D23">
            <v>310</v>
          </cell>
          <cell r="F23" t="str">
            <v>Land and Land Rights</v>
          </cell>
        </row>
        <row r="24">
          <cell r="B24" t="str">
            <v>7.</v>
          </cell>
          <cell r="D24">
            <v>311</v>
          </cell>
          <cell r="F24" t="str">
            <v>Structures and Improvements</v>
          </cell>
        </row>
        <row r="25">
          <cell r="B25" t="str">
            <v>8.</v>
          </cell>
          <cell r="D25">
            <v>312</v>
          </cell>
          <cell r="F25" t="str">
            <v>Boiler Plant Equipment</v>
          </cell>
        </row>
        <row r="26">
          <cell r="B26" t="str">
            <v>9.</v>
          </cell>
          <cell r="D26">
            <v>313</v>
          </cell>
          <cell r="F26" t="str">
            <v>Engines and Engine-Driven Generators</v>
          </cell>
        </row>
        <row r="27">
          <cell r="B27" t="str">
            <v>10.</v>
          </cell>
          <cell r="D27">
            <v>314</v>
          </cell>
          <cell r="F27" t="str">
            <v>Turbogenerator Units</v>
          </cell>
        </row>
        <row r="28">
          <cell r="B28" t="str">
            <v>11.</v>
          </cell>
          <cell r="D28">
            <v>315</v>
          </cell>
          <cell r="F28" t="str">
            <v>Accessory Electric Equipment</v>
          </cell>
        </row>
        <row r="29">
          <cell r="B29" t="str">
            <v>12.</v>
          </cell>
          <cell r="D29">
            <v>316</v>
          </cell>
          <cell r="F29" t="str">
            <v>Miscellaneous Power Plant Equipment</v>
          </cell>
        </row>
        <row r="30">
          <cell r="B30" t="str">
            <v>13.</v>
          </cell>
          <cell r="F30" t="str">
            <v>TOTAL STEAM PRODUCTION</v>
          </cell>
        </row>
        <row r="32">
          <cell r="F32" t="str">
            <v xml:space="preserve">   OTHER PRODUCTION</v>
          </cell>
        </row>
        <row r="33">
          <cell r="B33" t="str">
            <v>14.</v>
          </cell>
          <cell r="D33">
            <v>340</v>
          </cell>
          <cell r="F33" t="str">
            <v>Land and Land Rights</v>
          </cell>
        </row>
        <row r="34">
          <cell r="B34" t="str">
            <v>15.</v>
          </cell>
          <cell r="D34">
            <v>341</v>
          </cell>
          <cell r="F34" t="str">
            <v>Structures and Improvements</v>
          </cell>
        </row>
        <row r="35">
          <cell r="B35" t="str">
            <v>16.</v>
          </cell>
          <cell r="D35">
            <v>342</v>
          </cell>
          <cell r="F35" t="str">
            <v>Fuel Holders, Producers and Accessories</v>
          </cell>
        </row>
        <row r="36">
          <cell r="B36" t="str">
            <v>17.</v>
          </cell>
          <cell r="D36">
            <v>343</v>
          </cell>
          <cell r="F36" t="str">
            <v>Prime movers</v>
          </cell>
        </row>
        <row r="37">
          <cell r="B37" t="str">
            <v>18.</v>
          </cell>
          <cell r="D37">
            <v>344</v>
          </cell>
          <cell r="F37" t="str">
            <v>Generators</v>
          </cell>
        </row>
        <row r="38">
          <cell r="B38" t="str">
            <v>19.</v>
          </cell>
          <cell r="D38">
            <v>345</v>
          </cell>
          <cell r="F38" t="str">
            <v>Accessory Electric Equipment</v>
          </cell>
        </row>
        <row r="39">
          <cell r="B39" t="str">
            <v>20.</v>
          </cell>
          <cell r="D39">
            <v>346</v>
          </cell>
          <cell r="F39" t="str">
            <v>Miscellaneous Power Plant Equipment</v>
          </cell>
        </row>
        <row r="40">
          <cell r="B40" t="str">
            <v>21.</v>
          </cell>
          <cell r="F40" t="str">
            <v>TOTAL OTHER PRODUCTION</v>
          </cell>
        </row>
        <row r="42">
          <cell r="B42" t="str">
            <v>22.</v>
          </cell>
          <cell r="F42" t="str">
            <v>CWIP</v>
          </cell>
        </row>
      </sheetData>
      <sheetData sheetId="12" refreshError="1"/>
      <sheetData sheetId="13" refreshError="1"/>
      <sheetData sheetId="14" refreshError="1">
        <row r="2">
          <cell r="B2" t="str">
            <v>SCHEDULE   D - 2</v>
          </cell>
        </row>
        <row r="4">
          <cell r="A4" t="str">
            <v>OKLAHOMA GAS AND ELECTRIC SERVICES</v>
          </cell>
        </row>
        <row r="5">
          <cell r="A5" t="str">
            <v>ADJUSTMENTS TO ACCUMULATED PROVISION FOR DEPRECIATION, AMORTIZATION AND DEPLETION</v>
          </cell>
        </row>
        <row r="6">
          <cell r="A6" t="str">
            <v>TEST YEAR ENDING SEPTEMBER 30, 2001</v>
          </cell>
        </row>
        <row r="7">
          <cell r="A7" t="str">
            <v>CAUSE NO. PUD  200100455</v>
          </cell>
        </row>
        <row r="12">
          <cell r="B12" t="str">
            <v>Line</v>
          </cell>
        </row>
        <row r="13">
          <cell r="B13" t="str">
            <v>No.</v>
          </cell>
          <cell r="D13" t="str">
            <v>Account</v>
          </cell>
          <cell r="F13" t="str">
            <v xml:space="preserve">Plant </v>
          </cell>
        </row>
        <row r="14">
          <cell r="F14" t="str">
            <v xml:space="preserve">            INTANGIBLE PLANT</v>
          </cell>
        </row>
        <row r="15">
          <cell r="B15" t="str">
            <v>1.</v>
          </cell>
          <cell r="D15">
            <v>301</v>
          </cell>
          <cell r="F15" t="str">
            <v xml:space="preserve">Organization </v>
          </cell>
        </row>
        <row r="16">
          <cell r="B16" t="str">
            <v>2.</v>
          </cell>
          <cell r="D16">
            <v>302</v>
          </cell>
          <cell r="F16" t="str">
            <v>Franchise and Consents</v>
          </cell>
        </row>
        <row r="17">
          <cell r="B17" t="str">
            <v>3.</v>
          </cell>
          <cell r="D17">
            <v>303</v>
          </cell>
          <cell r="F17" t="str">
            <v>Miscellaneous Intangible Plant</v>
          </cell>
        </row>
        <row r="18">
          <cell r="B18" t="str">
            <v>4.</v>
          </cell>
          <cell r="F18" t="str">
            <v>TOTAL INTANGIBLE PLANT</v>
          </cell>
        </row>
        <row r="20">
          <cell r="F20" t="str">
            <v xml:space="preserve">            PRODUCTION PLANT</v>
          </cell>
        </row>
        <row r="21">
          <cell r="F21" t="str">
            <v xml:space="preserve">   STEAM PRODUCTION</v>
          </cell>
        </row>
        <row r="22">
          <cell r="B22" t="str">
            <v>5.</v>
          </cell>
          <cell r="D22">
            <v>310</v>
          </cell>
          <cell r="F22" t="str">
            <v>Land and Land Rights</v>
          </cell>
        </row>
        <row r="23">
          <cell r="B23" t="str">
            <v>6.</v>
          </cell>
          <cell r="D23">
            <v>311</v>
          </cell>
          <cell r="F23" t="str">
            <v>Structures and Improvements</v>
          </cell>
        </row>
        <row r="24">
          <cell r="B24" t="str">
            <v>7.</v>
          </cell>
          <cell r="D24">
            <v>312</v>
          </cell>
          <cell r="F24" t="str">
            <v>Boiler Plant Equipment</v>
          </cell>
        </row>
        <row r="25">
          <cell r="B25" t="str">
            <v>8.</v>
          </cell>
          <cell r="D25">
            <v>313</v>
          </cell>
          <cell r="F25" t="str">
            <v>Engines and Engine-Driven Generators</v>
          </cell>
        </row>
        <row r="26">
          <cell r="B26" t="str">
            <v>9.</v>
          </cell>
          <cell r="D26">
            <v>314</v>
          </cell>
          <cell r="F26" t="str">
            <v>Turbogenerator Units</v>
          </cell>
        </row>
        <row r="27">
          <cell r="B27" t="str">
            <v>10.</v>
          </cell>
          <cell r="D27">
            <v>315</v>
          </cell>
          <cell r="F27" t="str">
            <v>Accessory Electric Equipment</v>
          </cell>
        </row>
        <row r="28">
          <cell r="B28" t="str">
            <v>11.</v>
          </cell>
          <cell r="D28">
            <v>316</v>
          </cell>
          <cell r="F28" t="str">
            <v>Miscellaneous Power Plant Equipment</v>
          </cell>
        </row>
        <row r="29">
          <cell r="B29" t="str">
            <v>12.</v>
          </cell>
          <cell r="F29" t="str">
            <v>TOTAL STEAM PRODUCTION</v>
          </cell>
        </row>
        <row r="31">
          <cell r="F31" t="str">
            <v xml:space="preserve">   OTHER PRODUCTION</v>
          </cell>
        </row>
        <row r="32">
          <cell r="B32" t="str">
            <v>13.</v>
          </cell>
          <cell r="D32">
            <v>340</v>
          </cell>
          <cell r="F32" t="str">
            <v>Land and Land Rights</v>
          </cell>
        </row>
        <row r="33">
          <cell r="B33" t="str">
            <v>14.</v>
          </cell>
          <cell r="D33">
            <v>341</v>
          </cell>
          <cell r="F33" t="str">
            <v>Structures and Improvements</v>
          </cell>
        </row>
        <row r="34">
          <cell r="B34" t="str">
            <v>15.</v>
          </cell>
          <cell r="D34">
            <v>342</v>
          </cell>
          <cell r="F34" t="str">
            <v>Fuel Holders, Producers and Accessories</v>
          </cell>
        </row>
        <row r="35">
          <cell r="B35" t="str">
            <v>16.</v>
          </cell>
          <cell r="D35">
            <v>343</v>
          </cell>
          <cell r="F35" t="str">
            <v>Prime movers</v>
          </cell>
        </row>
        <row r="36">
          <cell r="B36" t="str">
            <v>17.</v>
          </cell>
          <cell r="D36">
            <v>344</v>
          </cell>
          <cell r="F36" t="str">
            <v>Generators</v>
          </cell>
        </row>
        <row r="37">
          <cell r="B37" t="str">
            <v>18.</v>
          </cell>
          <cell r="D37">
            <v>345</v>
          </cell>
          <cell r="F37" t="str">
            <v>Accessory Electric Equipment</v>
          </cell>
        </row>
        <row r="38">
          <cell r="B38" t="str">
            <v>19.</v>
          </cell>
          <cell r="D38">
            <v>346</v>
          </cell>
          <cell r="F38" t="str">
            <v>Miscellaneous Power Plant Equipment</v>
          </cell>
        </row>
        <row r="39">
          <cell r="B39" t="str">
            <v>20.</v>
          </cell>
          <cell r="F39" t="str">
            <v>TOTAL OTHER PRODUCTION</v>
          </cell>
        </row>
        <row r="41">
          <cell r="B41" t="str">
            <v>21.</v>
          </cell>
          <cell r="F41" t="str">
            <v>TOTAL PRODUCTION PLANT</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B2" t="str">
            <v>SCHEDULE  H - 2</v>
          </cell>
        </row>
        <row r="4">
          <cell r="B4" t="str">
            <v>OKLAHOMA GAS AND ELECTRIC SERVICES</v>
          </cell>
        </row>
        <row r="5">
          <cell r="B5" t="str">
            <v>OPERATING INCOME PRO FORMA ADJUSTMENTS</v>
          </cell>
        </row>
        <row r="6">
          <cell r="B6" t="str">
            <v>TEST YEAR ENDING SEPTEMBER 30, 2001</v>
          </cell>
        </row>
        <row r="7">
          <cell r="B7" t="str">
            <v>CAUSE NO. PUD  200100455</v>
          </cell>
        </row>
        <row r="11">
          <cell r="F11" t="str">
            <v>Total</v>
          </cell>
        </row>
        <row r="12">
          <cell r="B12" t="str">
            <v>Line</v>
          </cell>
          <cell r="F12" t="str">
            <v>Company</v>
          </cell>
        </row>
        <row r="13">
          <cell r="B13" t="str">
            <v>No.</v>
          </cell>
          <cell r="D13" t="str">
            <v>Description</v>
          </cell>
          <cell r="F13" t="str">
            <v>Per Books</v>
          </cell>
        </row>
        <row r="15">
          <cell r="B15" t="str">
            <v>1.</v>
          </cell>
          <cell r="D15" t="str">
            <v>Operating Revenue:</v>
          </cell>
        </row>
        <row r="16">
          <cell r="B16" t="str">
            <v>2.</v>
          </cell>
          <cell r="D16" t="str">
            <v xml:space="preserve">     Electric </v>
          </cell>
          <cell r="F16">
            <v>1149203275</v>
          </cell>
        </row>
        <row r="17">
          <cell r="B17" t="str">
            <v>3.</v>
          </cell>
          <cell r="D17" t="str">
            <v xml:space="preserve">     Other</v>
          </cell>
          <cell r="F17">
            <v>19083683</v>
          </cell>
        </row>
        <row r="19">
          <cell r="B19" t="str">
            <v>4.</v>
          </cell>
          <cell r="D19" t="str">
            <v>Total Operating Revenue</v>
          </cell>
          <cell r="F19">
            <v>0</v>
          </cell>
        </row>
        <row r="21">
          <cell r="B21" t="str">
            <v>5.</v>
          </cell>
          <cell r="D21" t="str">
            <v>Operating Expenses:</v>
          </cell>
        </row>
        <row r="22">
          <cell r="B22" t="str">
            <v>6.</v>
          </cell>
          <cell r="D22" t="str">
            <v xml:space="preserve">     Fuel</v>
          </cell>
          <cell r="F22">
            <v>304775108</v>
          </cell>
        </row>
        <row r="23">
          <cell r="B23" t="str">
            <v>7.</v>
          </cell>
          <cell r="D23" t="str">
            <v xml:space="preserve">     Purchased Power</v>
          </cell>
          <cell r="F23">
            <v>216597409</v>
          </cell>
        </row>
        <row r="24">
          <cell r="B24" t="str">
            <v>8.</v>
          </cell>
          <cell r="D24" t="str">
            <v xml:space="preserve">     Other O&amp;M</v>
          </cell>
          <cell r="F24">
            <v>249872967</v>
          </cell>
        </row>
        <row r="25">
          <cell r="B25" t="str">
            <v>9.</v>
          </cell>
          <cell r="D25" t="str">
            <v xml:space="preserve">     Depreciation</v>
          </cell>
          <cell r="F25">
            <v>110718649</v>
          </cell>
        </row>
        <row r="26">
          <cell r="B26" t="str">
            <v>10.</v>
          </cell>
          <cell r="D26" t="str">
            <v xml:space="preserve">     Misc. Taxes</v>
          </cell>
          <cell r="F26">
            <v>101895</v>
          </cell>
        </row>
        <row r="27">
          <cell r="B27" t="str">
            <v>11.</v>
          </cell>
          <cell r="D27" t="str">
            <v xml:space="preserve">     Property Taxes</v>
          </cell>
          <cell r="F27">
            <v>33272491</v>
          </cell>
        </row>
        <row r="28">
          <cell r="B28" t="str">
            <v>12.</v>
          </cell>
          <cell r="D28" t="str">
            <v xml:space="preserve">     Payroll Taxes</v>
          </cell>
          <cell r="F28">
            <v>6615366</v>
          </cell>
        </row>
        <row r="30">
          <cell r="B30" t="str">
            <v>13.</v>
          </cell>
          <cell r="D30" t="str">
            <v>Total Operating Expenses</v>
          </cell>
          <cell r="F30">
            <v>0</v>
          </cell>
        </row>
        <row r="32">
          <cell r="B32" t="str">
            <v>14.</v>
          </cell>
          <cell r="D32" t="str">
            <v>Operating Income Before Income Tax</v>
          </cell>
          <cell r="F32">
            <v>0</v>
          </cell>
        </row>
        <row r="34">
          <cell r="B34" t="str">
            <v>15.</v>
          </cell>
          <cell r="D34" t="str">
            <v>Less: Income Tax</v>
          </cell>
          <cell r="F34">
            <v>0</v>
          </cell>
        </row>
        <row r="36">
          <cell r="B36" t="str">
            <v>16.</v>
          </cell>
          <cell r="D36" t="str">
            <v>Operating Income</v>
          </cell>
          <cell r="F36">
            <v>0</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h 1"/>
      <sheetName val="Wp 1-1"/>
      <sheetName val="Exh 2"/>
      <sheetName val="Wp 2-1"/>
      <sheetName val="Wp 2-2 Res"/>
      <sheetName val="Wp 2-2 Com"/>
      <sheetName val="Wp 2-2 Ind"/>
      <sheetName val="Wp 2-3 Res"/>
      <sheetName val="Wp 2-3 Com"/>
      <sheetName val="Wp 2-3 Ind"/>
      <sheetName val="Wp 2-4"/>
      <sheetName val="Wp 2-5"/>
      <sheetName val="WP 2-6"/>
      <sheetName val="WP 2-6-2"/>
      <sheetName val="WP2-6-3"/>
      <sheetName val="Exh 3"/>
      <sheetName val="Exh 4"/>
      <sheetName val="Wp 4-1"/>
      <sheetName val="Wp 4-2"/>
      <sheetName val="Wp 4-3"/>
      <sheetName val="Wp 4-4"/>
      <sheetName val="Wp 4-5"/>
      <sheetName val="Wp 4-6"/>
      <sheetName val="Wp 4-7"/>
      <sheetName val="Exh 5"/>
      <sheetName val="Wp 5-1"/>
      <sheetName val="Wp 5-2"/>
      <sheetName val="Wp 5-3"/>
      <sheetName val="wp 5-4"/>
      <sheetName val="Exh 6"/>
      <sheetName val="Wp 6-1"/>
      <sheetName val="Wp 6-2"/>
      <sheetName val="Wp 6-3"/>
      <sheetName val="Wp 6-4"/>
      <sheetName val="Exh 7"/>
      <sheetName val="Wp 7-1"/>
      <sheetName val="Wp 7-1-1"/>
      <sheetName val="Wp 7-1-2"/>
      <sheetName val="Wp 7-2"/>
      <sheetName val="Wp 7-2-1"/>
      <sheetName val="Wp 7-2-2"/>
      <sheetName val="Wp 7-3"/>
      <sheetName val="Wp 7-4"/>
      <sheetName val="Wp 7-5"/>
      <sheetName val="Wp 7-6"/>
      <sheetName val="Wp 7-7"/>
      <sheetName val="Exh 8"/>
      <sheetName val="Exh 9"/>
      <sheetName val="Wp 9-1"/>
      <sheetName val="Module1"/>
    </sheetNames>
    <sheetDataSet>
      <sheetData sheetId="0" refreshError="1">
        <row r="20">
          <cell r="D20">
            <v>37042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ECT_A"/>
      <sheetName val="WP_B1"/>
      <sheetName val="WP_B2"/>
      <sheetName val="WP_B4"/>
      <sheetName val="WP_B5"/>
      <sheetName val="WP_B6"/>
      <sheetName val="WP_B6.1"/>
      <sheetName val="WP_B6.2"/>
      <sheetName val="WP_B7"/>
      <sheetName val="WP_B8"/>
      <sheetName val="WP_B9"/>
      <sheetName val="WP_C1"/>
      <sheetName val="WP_C1.1"/>
      <sheetName val="WP_C1.2"/>
      <sheetName val="WP_C2"/>
      <sheetName val="WP_C3"/>
      <sheetName val="WP_C4"/>
      <sheetName val="WP_C4a"/>
      <sheetName val="WP_C4.1"/>
      <sheetName val="WP_C4.2"/>
      <sheetName val="WP_C4.3"/>
      <sheetName val="WP_C5"/>
      <sheetName val="WP_C6"/>
      <sheetName val="WP_C7"/>
      <sheetName val="WP_C8"/>
      <sheetName val="WP_C9"/>
      <sheetName val="WP_C10"/>
      <sheetName val="WP_C11"/>
      <sheetName val="WP_C12"/>
      <sheetName val="WP_C13"/>
      <sheetName val="WP_C14"/>
      <sheetName val="WP_D1"/>
      <sheetName val="WP_D2"/>
      <sheetName val="WP_E1 "/>
      <sheetName val="WP_E1.1"/>
      <sheetName val="WP_E2"/>
      <sheetName val="WP_E3"/>
      <sheetName val="WP_E4"/>
      <sheetName val="WP_E5"/>
      <sheetName val="WP_F1"/>
      <sheetName val="WP_F-2"/>
      <sheetName val="WP_F-2-1"/>
      <sheetName val="WP_F-2-2"/>
      <sheetName val="WP_F-3"/>
      <sheetName val="WP_F-3-1"/>
      <sheetName val="WP_F-3-2"/>
      <sheetName val="WP_F-4"/>
      <sheetName val="WP_F-4.1"/>
      <sheetName val="WP_F-4.2"/>
      <sheetName val="WP_F-5"/>
      <sheetName val="WP_F-6"/>
      <sheetName val="WP_F-7"/>
    </sheetNames>
    <sheetDataSet>
      <sheetData sheetId="0" refreshError="1"/>
      <sheetData sheetId="1" refreshError="1"/>
      <sheetData sheetId="2" refreshError="1"/>
      <sheetData sheetId="3" refreshError="1"/>
      <sheetData sheetId="4" refreshError="1"/>
      <sheetData sheetId="5" refreshError="1">
        <row r="14">
          <cell r="B14" t="str">
            <v>1.</v>
          </cell>
          <cell r="D14" t="str">
            <v>December 1994</v>
          </cell>
          <cell r="F14">
            <v>24941476.600000001</v>
          </cell>
          <cell r="H14">
            <v>1866801.99</v>
          </cell>
          <cell r="J14">
            <v>26808278.59</v>
          </cell>
        </row>
        <row r="15">
          <cell r="B15" t="str">
            <v>2.</v>
          </cell>
          <cell r="D15" t="str">
            <v>January 1995</v>
          </cell>
          <cell r="F15">
            <v>25485000.73</v>
          </cell>
          <cell r="H15">
            <v>1814996.68</v>
          </cell>
          <cell r="J15">
            <v>27299997.41</v>
          </cell>
        </row>
        <row r="16">
          <cell r="B16" t="str">
            <v>3.</v>
          </cell>
          <cell r="D16" t="str">
            <v>February 1995</v>
          </cell>
          <cell r="F16">
            <v>24987449.539999999</v>
          </cell>
          <cell r="H16">
            <v>1814532.74</v>
          </cell>
          <cell r="J16">
            <v>26801982.279999997</v>
          </cell>
        </row>
        <row r="17">
          <cell r="B17" t="str">
            <v>4.</v>
          </cell>
          <cell r="D17" t="str">
            <v>March 1995</v>
          </cell>
          <cell r="F17">
            <v>25178482.41</v>
          </cell>
          <cell r="H17">
            <v>2163538.5099999998</v>
          </cell>
          <cell r="J17">
            <v>27342020.920000002</v>
          </cell>
        </row>
        <row r="18">
          <cell r="B18" t="str">
            <v>5.</v>
          </cell>
          <cell r="D18" t="str">
            <v>April 1995</v>
          </cell>
          <cell r="F18">
            <v>24197150.059999999</v>
          </cell>
          <cell r="H18">
            <v>2279739.9700000002</v>
          </cell>
          <cell r="J18">
            <v>26476890.029999997</v>
          </cell>
        </row>
        <row r="19">
          <cell r="B19" t="str">
            <v>6.</v>
          </cell>
          <cell r="D19" t="str">
            <v>May 1995</v>
          </cell>
          <cell r="F19">
            <v>23165235.16</v>
          </cell>
          <cell r="H19">
            <v>2343292.67</v>
          </cell>
          <cell r="J19">
            <v>25508527.829999998</v>
          </cell>
        </row>
        <row r="20">
          <cell r="B20" t="str">
            <v>7.</v>
          </cell>
          <cell r="D20" t="str">
            <v>June 1995</v>
          </cell>
          <cell r="F20">
            <v>21010269.390000001</v>
          </cell>
          <cell r="H20">
            <v>2226928.59</v>
          </cell>
          <cell r="J20">
            <v>23237197.98</v>
          </cell>
        </row>
        <row r="21">
          <cell r="B21" t="str">
            <v>8.</v>
          </cell>
          <cell r="D21" t="str">
            <v>July 1995</v>
          </cell>
          <cell r="F21">
            <v>19948585.600000001</v>
          </cell>
          <cell r="H21">
            <v>2104992.17</v>
          </cell>
          <cell r="J21">
            <v>22053577.770000003</v>
          </cell>
        </row>
        <row r="22">
          <cell r="B22" t="str">
            <v>9.</v>
          </cell>
          <cell r="D22" t="str">
            <v>August 1995</v>
          </cell>
          <cell r="F22">
            <v>18877211.559999999</v>
          </cell>
          <cell r="H22">
            <v>1470401.39</v>
          </cell>
          <cell r="J22">
            <v>20347612.949999999</v>
          </cell>
        </row>
        <row r="23">
          <cell r="B23" t="str">
            <v>10.</v>
          </cell>
          <cell r="D23" t="str">
            <v>September 1995</v>
          </cell>
          <cell r="F23">
            <v>18181226.510000002</v>
          </cell>
          <cell r="H23">
            <v>1189428.6499999999</v>
          </cell>
          <cell r="J23">
            <v>19370655.16</v>
          </cell>
        </row>
        <row r="24">
          <cell r="B24" t="str">
            <v>11.</v>
          </cell>
          <cell r="D24" t="str">
            <v>October 1995</v>
          </cell>
          <cell r="F24">
            <v>17322422.190000001</v>
          </cell>
          <cell r="H24">
            <v>832329.37</v>
          </cell>
          <cell r="J24">
            <v>18154751.560000002</v>
          </cell>
        </row>
        <row r="25">
          <cell r="B25" t="str">
            <v>12.</v>
          </cell>
          <cell r="D25" t="str">
            <v>November 1995</v>
          </cell>
          <cell r="F25">
            <v>16855400.690000001</v>
          </cell>
          <cell r="H25">
            <v>1273455.75</v>
          </cell>
          <cell r="J25">
            <v>18128856.440000001</v>
          </cell>
        </row>
        <row r="26">
          <cell r="B26" t="str">
            <v>13.</v>
          </cell>
          <cell r="D26" t="str">
            <v>December 1995</v>
          </cell>
          <cell r="F26">
            <v>17102940.969999999</v>
          </cell>
          <cell r="H26">
            <v>1752853.75</v>
          </cell>
          <cell r="J26">
            <v>18855794.719999999</v>
          </cell>
        </row>
        <row r="28">
          <cell r="B28" t="str">
            <v>14.</v>
          </cell>
          <cell r="D28" t="str">
            <v>13 month average</v>
          </cell>
          <cell r="F28">
            <v>21327142.416153844</v>
          </cell>
          <cell r="H28">
            <v>1779484.0176923077</v>
          </cell>
          <cell r="J28">
            <v>23106626.433846153</v>
          </cell>
        </row>
      </sheetData>
      <sheetData sheetId="6" refreshError="1"/>
      <sheetData sheetId="7" refreshError="1"/>
      <sheetData sheetId="8" refreshError="1"/>
      <sheetData sheetId="9" refreshError="1"/>
      <sheetData sheetId="10" refreshError="1"/>
      <sheetData sheetId="11" refreshError="1">
        <row r="31">
          <cell r="F31" t="str">
            <v>Group</v>
          </cell>
          <cell r="H31" t="str">
            <v>Workers</v>
          </cell>
          <cell r="J31" t="str">
            <v>Rate</v>
          </cell>
          <cell r="L31" t="str">
            <v>Post Retirement</v>
          </cell>
          <cell r="N31" t="str">
            <v>Post Retirement</v>
          </cell>
          <cell r="P31" t="str">
            <v>Incentive</v>
          </cell>
          <cell r="R31" t="str">
            <v>Severance</v>
          </cell>
        </row>
        <row r="32">
          <cell r="D32" t="str">
            <v>Month</v>
          </cell>
          <cell r="F32" t="str">
            <v>Dental</v>
          </cell>
          <cell r="H32" t="str">
            <v>Comp</v>
          </cell>
          <cell r="J32" t="str">
            <v>Refunds</v>
          </cell>
          <cell r="L32" t="str">
            <v>Medical</v>
          </cell>
          <cell r="N32" t="str">
            <v>Life</v>
          </cell>
          <cell r="P32" t="str">
            <v>Compensation</v>
          </cell>
          <cell r="R32" t="str">
            <v>Compensation</v>
          </cell>
        </row>
        <row r="34">
          <cell r="B34" t="str">
            <v>15.</v>
          </cell>
          <cell r="D34" t="str">
            <v>December 1994</v>
          </cell>
          <cell r="F34">
            <v>30358.33</v>
          </cell>
          <cell r="H34">
            <v>5170388.96</v>
          </cell>
          <cell r="J34">
            <v>2970183.74</v>
          </cell>
          <cell r="L34">
            <v>0</v>
          </cell>
          <cell r="N34">
            <v>32447.89</v>
          </cell>
          <cell r="P34">
            <v>400000</v>
          </cell>
          <cell r="R34">
            <v>1441439</v>
          </cell>
        </row>
        <row r="35">
          <cell r="B35" t="str">
            <v>16.</v>
          </cell>
          <cell r="D35" t="str">
            <v>January 1995</v>
          </cell>
          <cell r="F35">
            <v>33319.870000000003</v>
          </cell>
          <cell r="H35">
            <v>5151038.8099999996</v>
          </cell>
          <cell r="J35">
            <v>2970184.74</v>
          </cell>
          <cell r="L35">
            <v>18265.27</v>
          </cell>
          <cell r="N35">
            <v>43220.53</v>
          </cell>
          <cell r="P35">
            <v>441667</v>
          </cell>
          <cell r="R35">
            <v>1177844</v>
          </cell>
        </row>
        <row r="36">
          <cell r="B36" t="str">
            <v>17.</v>
          </cell>
          <cell r="D36" t="str">
            <v>February 1995</v>
          </cell>
          <cell r="F36">
            <v>45759.4</v>
          </cell>
          <cell r="H36">
            <v>5755217.0899999999</v>
          </cell>
          <cell r="J36">
            <v>2970184.74</v>
          </cell>
          <cell r="L36">
            <v>-48260.160000000003</v>
          </cell>
          <cell r="N36">
            <v>47433.53</v>
          </cell>
          <cell r="P36">
            <v>483334</v>
          </cell>
          <cell r="R36">
            <v>994287.87</v>
          </cell>
        </row>
        <row r="37">
          <cell r="B37" t="str">
            <v>18.</v>
          </cell>
          <cell r="D37" t="str">
            <v>March 1995</v>
          </cell>
          <cell r="F37">
            <v>52402.04</v>
          </cell>
          <cell r="H37">
            <v>5652991.3499999996</v>
          </cell>
          <cell r="J37">
            <v>2000000</v>
          </cell>
          <cell r="L37">
            <v>-244097.81</v>
          </cell>
          <cell r="N37">
            <v>-3894.47</v>
          </cell>
          <cell r="P37">
            <v>36161</v>
          </cell>
          <cell r="R37">
            <v>875794.72</v>
          </cell>
        </row>
        <row r="38">
          <cell r="B38" t="str">
            <v>19.</v>
          </cell>
          <cell r="D38" t="str">
            <v>April 1995</v>
          </cell>
          <cell r="F38">
            <v>73487.13</v>
          </cell>
          <cell r="H38">
            <v>5480393.5300000003</v>
          </cell>
          <cell r="J38">
            <v>2000000</v>
          </cell>
          <cell r="L38">
            <v>-360241.96</v>
          </cell>
          <cell r="N38">
            <v>-36243.19</v>
          </cell>
          <cell r="P38">
            <v>77828</v>
          </cell>
          <cell r="R38">
            <v>816363.78</v>
          </cell>
        </row>
        <row r="39">
          <cell r="B39" t="str">
            <v>20.</v>
          </cell>
          <cell r="D39" t="str">
            <v>May 1995</v>
          </cell>
          <cell r="F39">
            <v>67667.02</v>
          </cell>
          <cell r="H39">
            <v>5490327.5300000003</v>
          </cell>
          <cell r="J39">
            <v>2000000</v>
          </cell>
          <cell r="L39">
            <v>-592392.78</v>
          </cell>
          <cell r="N39">
            <v>38756.81</v>
          </cell>
          <cell r="P39">
            <v>119495</v>
          </cell>
          <cell r="R39">
            <v>793188.66</v>
          </cell>
        </row>
        <row r="40">
          <cell r="B40" t="str">
            <v>21.</v>
          </cell>
          <cell r="D40" t="str">
            <v>June 1995</v>
          </cell>
          <cell r="F40">
            <v>83440.09</v>
          </cell>
          <cell r="H40">
            <v>5622117.9500000002</v>
          </cell>
          <cell r="J40">
            <v>4650000</v>
          </cell>
          <cell r="L40">
            <v>-646602.88</v>
          </cell>
          <cell r="N40">
            <v>-11678.11</v>
          </cell>
          <cell r="P40">
            <v>161161</v>
          </cell>
          <cell r="R40">
            <v>782547.16</v>
          </cell>
        </row>
        <row r="41">
          <cell r="B41" t="str">
            <v>22.</v>
          </cell>
          <cell r="D41" t="str">
            <v>July 1995</v>
          </cell>
          <cell r="F41">
            <v>86127.38</v>
          </cell>
          <cell r="H41">
            <v>5450518.1500000004</v>
          </cell>
          <cell r="J41">
            <v>4650000</v>
          </cell>
          <cell r="L41">
            <v>-427867.11</v>
          </cell>
          <cell r="N41">
            <v>-34648.35</v>
          </cell>
          <cell r="P41">
            <v>202828</v>
          </cell>
          <cell r="R41">
            <v>778673.28</v>
          </cell>
        </row>
        <row r="42">
          <cell r="B42" t="str">
            <v>23.</v>
          </cell>
          <cell r="D42" t="str">
            <v>August 1995</v>
          </cell>
          <cell r="F42">
            <v>95197.93</v>
          </cell>
          <cell r="H42">
            <v>5872340.1600000001</v>
          </cell>
          <cell r="J42">
            <v>4650000</v>
          </cell>
          <cell r="L42">
            <v>-501333.55</v>
          </cell>
          <cell r="N42">
            <v>-46707.63</v>
          </cell>
          <cell r="P42">
            <v>333334</v>
          </cell>
          <cell r="R42">
            <v>777543.63</v>
          </cell>
        </row>
        <row r="43">
          <cell r="B43" t="str">
            <v>24.</v>
          </cell>
          <cell r="D43" t="str">
            <v>September 1995</v>
          </cell>
          <cell r="F43">
            <v>94530.13</v>
          </cell>
          <cell r="H43">
            <v>5795458.7300000004</v>
          </cell>
          <cell r="J43">
            <v>5050000</v>
          </cell>
          <cell r="L43">
            <v>-608582.40000000002</v>
          </cell>
          <cell r="N43">
            <v>-79414.7</v>
          </cell>
          <cell r="P43">
            <v>375000</v>
          </cell>
          <cell r="R43">
            <v>776193.63</v>
          </cell>
        </row>
        <row r="44">
          <cell r="B44" t="str">
            <v>25.</v>
          </cell>
          <cell r="D44" t="str">
            <v>October 1995</v>
          </cell>
          <cell r="F44">
            <v>115083.46</v>
          </cell>
          <cell r="H44">
            <v>5758658.5700000003</v>
          </cell>
          <cell r="J44">
            <v>5050000</v>
          </cell>
          <cell r="L44">
            <v>-687945.5</v>
          </cell>
          <cell r="N44">
            <v>-18529.939999999999</v>
          </cell>
          <cell r="P44">
            <v>416667</v>
          </cell>
          <cell r="R44">
            <v>774931.63</v>
          </cell>
        </row>
        <row r="45">
          <cell r="B45" t="str">
            <v>26.</v>
          </cell>
          <cell r="D45" t="str">
            <v>November 1995</v>
          </cell>
          <cell r="F45">
            <v>91129.83</v>
          </cell>
          <cell r="H45">
            <v>5610187.6900000004</v>
          </cell>
          <cell r="J45">
            <v>5111916</v>
          </cell>
          <cell r="L45">
            <v>-413312.39</v>
          </cell>
          <cell r="N45">
            <v>-17650.78</v>
          </cell>
          <cell r="P45">
            <v>458334</v>
          </cell>
          <cell r="R45">
            <v>774616.13</v>
          </cell>
        </row>
        <row r="46">
          <cell r="B46" t="str">
            <v>27.</v>
          </cell>
          <cell r="D46" t="str">
            <v>December 1995</v>
          </cell>
          <cell r="F46">
            <v>66275.490000000005</v>
          </cell>
          <cell r="H46">
            <v>5563949.29</v>
          </cell>
          <cell r="J46">
            <v>2650000</v>
          </cell>
          <cell r="L46">
            <v>0</v>
          </cell>
          <cell r="N46">
            <v>54223.18</v>
          </cell>
          <cell r="P46">
            <v>500000</v>
          </cell>
          <cell r="R46">
            <v>80300.63</v>
          </cell>
        </row>
        <row r="48">
          <cell r="B48" t="str">
            <v>28.</v>
          </cell>
          <cell r="D48" t="str">
            <v>13 month average</v>
          </cell>
          <cell r="F48">
            <v>71906.007692307685</v>
          </cell>
          <cell r="H48">
            <v>5567199.0623076921</v>
          </cell>
          <cell r="J48">
            <v>3594036.0938461539</v>
          </cell>
          <cell r="L48">
            <v>-347105.48230769229</v>
          </cell>
          <cell r="N48">
            <v>-2514.2484615384619</v>
          </cell>
          <cell r="P48">
            <v>308139.15384615387</v>
          </cell>
          <cell r="R48">
            <v>834132.62461538496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W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W9">
            <v>0</v>
          </cell>
          <cell r="Y9">
            <v>0</v>
          </cell>
          <cell r="AA9">
            <v>0</v>
          </cell>
          <cell r="AJ9">
            <v>0</v>
          </cell>
          <cell r="AL9">
            <v>0</v>
          </cell>
          <cell r="AN9">
            <v>0</v>
          </cell>
          <cell r="AR9">
            <v>0</v>
          </cell>
          <cell r="AV9">
            <v>0</v>
          </cell>
          <cell r="AZ9">
            <v>0</v>
          </cell>
        </row>
        <row r="10">
          <cell r="Q10">
            <v>0</v>
          </cell>
          <cell r="S10">
            <v>0</v>
          </cell>
          <cell r="U10">
            <v>0</v>
          </cell>
          <cell r="V10">
            <v>0</v>
          </cell>
          <cell r="W10">
            <v>0</v>
          </cell>
          <cell r="Y10">
            <v>0</v>
          </cell>
          <cell r="AA10">
            <v>0</v>
          </cell>
          <cell r="AJ10">
            <v>0</v>
          </cell>
          <cell r="AL10">
            <v>0</v>
          </cell>
          <cell r="AN10">
            <v>0</v>
          </cell>
          <cell r="AR10">
            <v>0</v>
          </cell>
          <cell r="AV10">
            <v>0</v>
          </cell>
          <cell r="AZ10">
            <v>0</v>
          </cell>
        </row>
        <row r="11">
          <cell r="Q11">
            <v>0</v>
          </cell>
          <cell r="S11">
            <v>0</v>
          </cell>
          <cell r="U11">
            <v>0</v>
          </cell>
          <cell r="V11">
            <v>0</v>
          </cell>
          <cell r="W11">
            <v>0</v>
          </cell>
          <cell r="Y11">
            <v>0</v>
          </cell>
          <cell r="AA11">
            <v>0</v>
          </cell>
          <cell r="AJ11">
            <v>0</v>
          </cell>
          <cell r="AL11">
            <v>0</v>
          </cell>
          <cell r="AN11">
            <v>0</v>
          </cell>
          <cell r="AR11">
            <v>0</v>
          </cell>
          <cell r="AV11">
            <v>0</v>
          </cell>
          <cell r="AZ11">
            <v>0</v>
          </cell>
        </row>
        <row r="12">
          <cell r="Q12">
            <v>0</v>
          </cell>
          <cell r="S12">
            <v>0</v>
          </cell>
          <cell r="U12">
            <v>0</v>
          </cell>
          <cell r="V12">
            <v>0</v>
          </cell>
          <cell r="W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W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W14">
            <v>6198743579.6000004</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W15">
            <v>2493181952.1500001</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W16">
            <v>537617929.95000005</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W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W18">
            <v>14552321.119999999</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W19">
            <v>44066126.560000002</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W20">
            <v>1062128.33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W21">
            <v>0</v>
          </cell>
          <cell r="Y21">
            <v>0</v>
          </cell>
          <cell r="AA21">
            <v>0</v>
          </cell>
          <cell r="AJ21">
            <v>0</v>
          </cell>
          <cell r="AL21">
            <v>0</v>
          </cell>
          <cell r="AN21">
            <v>0</v>
          </cell>
          <cell r="AR21">
            <v>0</v>
          </cell>
          <cell r="AV21">
            <v>0</v>
          </cell>
          <cell r="AZ21">
            <v>0</v>
          </cell>
        </row>
        <row r="22">
          <cell r="Q22">
            <v>0</v>
          </cell>
          <cell r="S22">
            <v>0</v>
          </cell>
          <cell r="U22">
            <v>0</v>
          </cell>
          <cell r="V22">
            <v>0</v>
          </cell>
          <cell r="W22">
            <v>0</v>
          </cell>
          <cell r="Y22">
            <v>0</v>
          </cell>
          <cell r="AA22">
            <v>0</v>
          </cell>
          <cell r="AJ22">
            <v>0</v>
          </cell>
          <cell r="AL22">
            <v>0</v>
          </cell>
          <cell r="AN22">
            <v>0</v>
          </cell>
          <cell r="AR22">
            <v>0</v>
          </cell>
          <cell r="AV22">
            <v>0</v>
          </cell>
          <cell r="AZ22">
            <v>0</v>
          </cell>
        </row>
        <row r="23">
          <cell r="Q23">
            <v>0</v>
          </cell>
          <cell r="S23">
            <v>0</v>
          </cell>
          <cell r="U23">
            <v>0</v>
          </cell>
          <cell r="V23">
            <v>0</v>
          </cell>
          <cell r="W23">
            <v>0</v>
          </cell>
          <cell r="Y23">
            <v>0</v>
          </cell>
          <cell r="AA23">
            <v>0</v>
          </cell>
          <cell r="AJ23">
            <v>0</v>
          </cell>
          <cell r="AL23">
            <v>0</v>
          </cell>
          <cell r="AN23">
            <v>0</v>
          </cell>
          <cell r="AR23">
            <v>0</v>
          </cell>
          <cell r="AV23">
            <v>0</v>
          </cell>
          <cell r="AZ23">
            <v>0</v>
          </cell>
        </row>
        <row r="24">
          <cell r="Q24">
            <v>0</v>
          </cell>
          <cell r="S24">
            <v>0</v>
          </cell>
          <cell r="U24">
            <v>0</v>
          </cell>
          <cell r="V24">
            <v>0</v>
          </cell>
          <cell r="W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W25">
            <v>0</v>
          </cell>
          <cell r="Y25">
            <v>0</v>
          </cell>
          <cell r="AA25">
            <v>0</v>
          </cell>
          <cell r="AJ25">
            <v>0</v>
          </cell>
          <cell r="AL25">
            <v>0</v>
          </cell>
          <cell r="AN25">
            <v>0</v>
          </cell>
          <cell r="AR25">
            <v>0</v>
          </cell>
          <cell r="AV25">
            <v>0</v>
          </cell>
          <cell r="AZ25">
            <v>0</v>
          </cell>
        </row>
        <row r="26">
          <cell r="Q26">
            <v>0</v>
          </cell>
          <cell r="S26">
            <v>0</v>
          </cell>
          <cell r="U26">
            <v>0</v>
          </cell>
          <cell r="V26">
            <v>0</v>
          </cell>
          <cell r="W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W27">
            <v>20429519.73</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W28">
            <v>12524418.74</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W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W30">
            <v>50997799.93</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W31">
            <v>26885033.300000001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W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W33">
            <v>0</v>
          </cell>
          <cell r="Y33">
            <v>0</v>
          </cell>
          <cell r="AA33">
            <v>0</v>
          </cell>
          <cell r="AJ33">
            <v>0</v>
          </cell>
          <cell r="AL33">
            <v>0</v>
          </cell>
          <cell r="AN33">
            <v>0</v>
          </cell>
          <cell r="AR33">
            <v>0</v>
          </cell>
          <cell r="AV33">
            <v>0</v>
          </cell>
          <cell r="AZ33">
            <v>0</v>
          </cell>
        </row>
        <row r="34">
          <cell r="Q34">
            <v>0</v>
          </cell>
          <cell r="S34">
            <v>0</v>
          </cell>
          <cell r="U34">
            <v>0</v>
          </cell>
          <cell r="V34">
            <v>0</v>
          </cell>
          <cell r="W34">
            <v>0</v>
          </cell>
          <cell r="Y34">
            <v>0</v>
          </cell>
          <cell r="AA34">
            <v>0</v>
          </cell>
          <cell r="AJ34">
            <v>0</v>
          </cell>
          <cell r="AL34">
            <v>0</v>
          </cell>
          <cell r="AN34">
            <v>0</v>
          </cell>
          <cell r="AR34">
            <v>0</v>
          </cell>
          <cell r="AV34">
            <v>0</v>
          </cell>
          <cell r="AZ34">
            <v>0</v>
          </cell>
        </row>
        <row r="35">
          <cell r="Q35">
            <v>0</v>
          </cell>
          <cell r="S35">
            <v>0</v>
          </cell>
          <cell r="U35">
            <v>0</v>
          </cell>
          <cell r="V35">
            <v>0</v>
          </cell>
          <cell r="W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W36">
            <v>5097670.09</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W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W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W39">
            <v>5044592.8600000003</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W40">
            <v>17216151.350000001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W41">
            <v>241258447.31999999</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W42">
            <v>22504845.75</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W43">
            <v>44497880.82</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W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W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W46">
            <v>0</v>
          </cell>
          <cell r="Y46">
            <v>0</v>
          </cell>
          <cell r="AA46">
            <v>0</v>
          </cell>
          <cell r="AJ46">
            <v>0</v>
          </cell>
          <cell r="AN46">
            <v>0</v>
          </cell>
          <cell r="AR46">
            <v>0</v>
          </cell>
          <cell r="AV46">
            <v>0</v>
          </cell>
          <cell r="AZ46">
            <v>0</v>
          </cell>
        </row>
        <row r="47">
          <cell r="Q47">
            <v>0</v>
          </cell>
          <cell r="S47">
            <v>0</v>
          </cell>
          <cell r="U47">
            <v>0</v>
          </cell>
          <cell r="V47">
            <v>0</v>
          </cell>
          <cell r="W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W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W49">
            <v>0</v>
          </cell>
          <cell r="Y49">
            <v>0</v>
          </cell>
          <cell r="AA49">
            <v>0</v>
          </cell>
          <cell r="AJ49">
            <v>0</v>
          </cell>
          <cell r="AN49">
            <v>0</v>
          </cell>
          <cell r="AR49">
            <v>0</v>
          </cell>
          <cell r="AV49">
            <v>0</v>
          </cell>
          <cell r="AZ49">
            <v>0</v>
          </cell>
        </row>
        <row r="50">
          <cell r="Q50">
            <v>0</v>
          </cell>
          <cell r="S50">
            <v>0</v>
          </cell>
          <cell r="U50">
            <v>0</v>
          </cell>
          <cell r="V50">
            <v>0</v>
          </cell>
          <cell r="W50">
            <v>0</v>
          </cell>
          <cell r="Y50">
            <v>0</v>
          </cell>
          <cell r="AA50">
            <v>0</v>
          </cell>
          <cell r="AJ50">
            <v>0</v>
          </cell>
          <cell r="AN50">
            <v>0</v>
          </cell>
          <cell r="AR50">
            <v>0</v>
          </cell>
          <cell r="AV50">
            <v>0</v>
          </cell>
          <cell r="AZ50">
            <v>0</v>
          </cell>
        </row>
        <row r="51">
          <cell r="Q51">
            <v>0</v>
          </cell>
          <cell r="S51">
            <v>0</v>
          </cell>
          <cell r="U51">
            <v>0</v>
          </cell>
          <cell r="V51">
            <v>0</v>
          </cell>
          <cell r="W51">
            <v>0</v>
          </cell>
          <cell r="Y51">
            <v>0</v>
          </cell>
          <cell r="AA51">
            <v>0</v>
          </cell>
          <cell r="AJ51">
            <v>0</v>
          </cell>
          <cell r="AN51">
            <v>0</v>
          </cell>
          <cell r="AR51">
            <v>0</v>
          </cell>
          <cell r="AV51">
            <v>0</v>
          </cell>
          <cell r="AZ51">
            <v>0</v>
          </cell>
        </row>
        <row r="52">
          <cell r="Q52">
            <v>0</v>
          </cell>
          <cell r="S52">
            <v>0</v>
          </cell>
          <cell r="U52">
            <v>0</v>
          </cell>
          <cell r="V52">
            <v>0</v>
          </cell>
          <cell r="W52">
            <v>0</v>
          </cell>
          <cell r="Y52">
            <v>0</v>
          </cell>
          <cell r="AA52">
            <v>0</v>
          </cell>
          <cell r="AJ52">
            <v>0</v>
          </cell>
          <cell r="AN52">
            <v>0</v>
          </cell>
          <cell r="AR52">
            <v>0</v>
          </cell>
          <cell r="AV52">
            <v>0</v>
          </cell>
          <cell r="AZ52">
            <v>0</v>
          </cell>
        </row>
        <row r="53">
          <cell r="Q53">
            <v>0</v>
          </cell>
          <cell r="S53">
            <v>0</v>
          </cell>
          <cell r="U53">
            <v>0</v>
          </cell>
          <cell r="V53">
            <v>0</v>
          </cell>
          <cell r="W53">
            <v>0</v>
          </cell>
          <cell r="Y53">
            <v>0</v>
          </cell>
          <cell r="AA53">
            <v>0</v>
          </cell>
          <cell r="AJ53">
            <v>0</v>
          </cell>
          <cell r="AN53">
            <v>0</v>
          </cell>
          <cell r="AR53">
            <v>0</v>
          </cell>
          <cell r="AV53">
            <v>0</v>
          </cell>
          <cell r="AZ53">
            <v>0</v>
          </cell>
        </row>
        <row r="54">
          <cell r="Q54">
            <v>-42834236</v>
          </cell>
          <cell r="S54">
            <v>-42834236</v>
          </cell>
          <cell r="U54">
            <v>-42151986</v>
          </cell>
          <cell r="V54">
            <v>-42151986</v>
          </cell>
          <cell r="W54">
            <v>-43721207</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W55">
            <v>-121613173</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W56">
            <v>43721207</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W57">
            <v>121613173</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W58">
            <v>0</v>
          </cell>
          <cell r="Y58">
            <v>0</v>
          </cell>
          <cell r="AA58">
            <v>0</v>
          </cell>
          <cell r="AJ58">
            <v>0</v>
          </cell>
          <cell r="AN58">
            <v>0</v>
          </cell>
          <cell r="AR58">
            <v>0</v>
          </cell>
          <cell r="AV58">
            <v>0</v>
          </cell>
          <cell r="AZ58">
            <v>0</v>
          </cell>
        </row>
        <row r="59">
          <cell r="Q59">
            <v>0</v>
          </cell>
          <cell r="S59">
            <v>0</v>
          </cell>
          <cell r="U59">
            <v>0</v>
          </cell>
          <cell r="V59">
            <v>0</v>
          </cell>
          <cell r="W59">
            <v>0</v>
          </cell>
          <cell r="Y59">
            <v>0</v>
          </cell>
          <cell r="AA59">
            <v>0</v>
          </cell>
          <cell r="AJ59">
            <v>0</v>
          </cell>
          <cell r="AN59">
            <v>0</v>
          </cell>
          <cell r="AR59">
            <v>0</v>
          </cell>
          <cell r="AV59">
            <v>0</v>
          </cell>
          <cell r="AZ59">
            <v>0</v>
          </cell>
        </row>
        <row r="60">
          <cell r="Q60">
            <v>0</v>
          </cell>
          <cell r="S60">
            <v>0</v>
          </cell>
          <cell r="U60">
            <v>0</v>
          </cell>
          <cell r="V60">
            <v>0</v>
          </cell>
          <cell r="W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W61">
            <v>-2484160269.9699998</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W62">
            <v>-803072108.48000002</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W63">
            <v>-45971763.850000001</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W64">
            <v>4925868.76</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W65">
            <v>32280.97</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W66">
            <v>1597358.61</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W67">
            <v>0</v>
          </cell>
          <cell r="Y67">
            <v>0</v>
          </cell>
          <cell r="AA67">
            <v>0</v>
          </cell>
          <cell r="AJ67">
            <v>0</v>
          </cell>
          <cell r="AN67">
            <v>0</v>
          </cell>
          <cell r="AR67">
            <v>0</v>
          </cell>
          <cell r="AV67">
            <v>0</v>
          </cell>
          <cell r="AZ67">
            <v>0</v>
          </cell>
        </row>
        <row r="68">
          <cell r="Q68">
            <v>0</v>
          </cell>
          <cell r="S68">
            <v>0</v>
          </cell>
          <cell r="U68">
            <v>0</v>
          </cell>
          <cell r="V68">
            <v>0</v>
          </cell>
          <cell r="W68">
            <v>0</v>
          </cell>
          <cell r="Y68">
            <v>0</v>
          </cell>
          <cell r="AA68">
            <v>0</v>
          </cell>
          <cell r="AJ68">
            <v>0</v>
          </cell>
          <cell r="AN68">
            <v>0</v>
          </cell>
          <cell r="AR68">
            <v>0</v>
          </cell>
          <cell r="AV68">
            <v>0</v>
          </cell>
          <cell r="AZ68">
            <v>0</v>
          </cell>
        </row>
        <row r="69">
          <cell r="Q69">
            <v>0</v>
          </cell>
          <cell r="S69">
            <v>0</v>
          </cell>
          <cell r="U69">
            <v>0</v>
          </cell>
          <cell r="V69">
            <v>0</v>
          </cell>
          <cell r="W69">
            <v>0</v>
          </cell>
          <cell r="Y69">
            <v>0</v>
          </cell>
          <cell r="AA69">
            <v>0</v>
          </cell>
          <cell r="AJ69">
            <v>0</v>
          </cell>
          <cell r="AN69">
            <v>0</v>
          </cell>
          <cell r="AR69">
            <v>0</v>
          </cell>
          <cell r="AV69">
            <v>0</v>
          </cell>
          <cell r="AZ69">
            <v>0</v>
          </cell>
        </row>
        <row r="70">
          <cell r="Q70">
            <v>0</v>
          </cell>
          <cell r="S70">
            <v>0</v>
          </cell>
          <cell r="U70">
            <v>0</v>
          </cell>
          <cell r="V70">
            <v>0</v>
          </cell>
          <cell r="W70">
            <v>0</v>
          </cell>
          <cell r="Y70">
            <v>0</v>
          </cell>
          <cell r="AA70">
            <v>0</v>
          </cell>
          <cell r="AJ70">
            <v>0</v>
          </cell>
          <cell r="AN70">
            <v>0</v>
          </cell>
          <cell r="AR70">
            <v>0</v>
          </cell>
          <cell r="AV70">
            <v>0</v>
          </cell>
          <cell r="AZ70">
            <v>0</v>
          </cell>
        </row>
        <row r="71">
          <cell r="Q71">
            <v>0</v>
          </cell>
          <cell r="S71">
            <v>0</v>
          </cell>
          <cell r="U71">
            <v>0</v>
          </cell>
          <cell r="V71">
            <v>0</v>
          </cell>
          <cell r="W71">
            <v>0</v>
          </cell>
          <cell r="Y71">
            <v>0</v>
          </cell>
          <cell r="AA71">
            <v>0</v>
          </cell>
          <cell r="AJ71">
            <v>0</v>
          </cell>
          <cell r="AN71">
            <v>0</v>
          </cell>
          <cell r="AR71">
            <v>0</v>
          </cell>
          <cell r="AV71">
            <v>0</v>
          </cell>
          <cell r="AZ71">
            <v>0</v>
          </cell>
        </row>
        <row r="72">
          <cell r="Q72">
            <v>0</v>
          </cell>
          <cell r="S72">
            <v>0</v>
          </cell>
          <cell r="U72">
            <v>0</v>
          </cell>
          <cell r="V72">
            <v>0</v>
          </cell>
          <cell r="W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W73">
            <v>-12786869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W74">
            <v>-11836615.32</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W75">
            <v>-279455032</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W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W77">
            <v>0</v>
          </cell>
          <cell r="Y77">
            <v>0</v>
          </cell>
          <cell r="AA77">
            <v>0</v>
          </cell>
          <cell r="AJ77">
            <v>0</v>
          </cell>
          <cell r="AN77">
            <v>0</v>
          </cell>
          <cell r="AR77">
            <v>0</v>
          </cell>
          <cell r="AV77">
            <v>0</v>
          </cell>
          <cell r="AZ77">
            <v>0</v>
          </cell>
        </row>
        <row r="78">
          <cell r="Q78">
            <v>302358.01</v>
          </cell>
          <cell r="S78">
            <v>302358.01</v>
          </cell>
          <cell r="U78">
            <v>302358.01</v>
          </cell>
          <cell r="V78">
            <v>302358.01</v>
          </cell>
          <cell r="W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W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W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W81">
            <v>154925691.68000001</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W82">
            <v>16950332.899999999</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W84">
            <v>-706089</v>
          </cell>
          <cell r="Y84">
            <v>-710389</v>
          </cell>
          <cell r="AA84">
            <v>-714689</v>
          </cell>
          <cell r="AJ84">
            <v>-680289</v>
          </cell>
          <cell r="AN84">
            <v>-688889</v>
          </cell>
          <cell r="AR84">
            <v>-697489</v>
          </cell>
          <cell r="AV84">
            <v>-706089</v>
          </cell>
          <cell r="AZ84">
            <v>-714689</v>
          </cell>
        </row>
        <row r="85">
          <cell r="Q85">
            <v>0</v>
          </cell>
          <cell r="S85">
            <v>0</v>
          </cell>
          <cell r="U85">
            <v>0</v>
          </cell>
          <cell r="V85">
            <v>0</v>
          </cell>
          <cell r="W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W86">
            <v>-277199.02</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W88">
            <v>-2582520.31</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W89">
            <v>-932426.17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W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W91">
            <v>7238534.71</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W92">
            <v>0</v>
          </cell>
          <cell r="Y92">
            <v>0</v>
          </cell>
          <cell r="AA92">
            <v>0</v>
          </cell>
          <cell r="AJ92">
            <v>0</v>
          </cell>
          <cell r="AN92">
            <v>0</v>
          </cell>
          <cell r="AR92">
            <v>0</v>
          </cell>
          <cell r="AV92">
            <v>0</v>
          </cell>
          <cell r="AZ92">
            <v>0</v>
          </cell>
        </row>
        <row r="93">
          <cell r="Q93">
            <v>0</v>
          </cell>
          <cell r="S93">
            <v>0</v>
          </cell>
          <cell r="U93">
            <v>0</v>
          </cell>
          <cell r="V93">
            <v>0</v>
          </cell>
          <cell r="W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W94">
            <v>-434425.04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W95">
            <v>2840031.21</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W96">
            <v>0</v>
          </cell>
          <cell r="Y96">
            <v>0</v>
          </cell>
          <cell r="AA96">
            <v>0</v>
          </cell>
          <cell r="AJ96">
            <v>0</v>
          </cell>
          <cell r="AN96">
            <v>0</v>
          </cell>
          <cell r="AR96">
            <v>0</v>
          </cell>
          <cell r="AV96">
            <v>0</v>
          </cell>
          <cell r="AZ96">
            <v>0</v>
          </cell>
        </row>
        <row r="97">
          <cell r="Q97">
            <v>-446720.92</v>
          </cell>
          <cell r="S97">
            <v>-446720.92</v>
          </cell>
          <cell r="U97">
            <v>-446720.92</v>
          </cell>
          <cell r="V97">
            <v>-446720.92</v>
          </cell>
          <cell r="W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W98">
            <v>56218650.359999999</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W99">
            <v>0</v>
          </cell>
          <cell r="Y99">
            <v>0</v>
          </cell>
          <cell r="AA99">
            <v>0</v>
          </cell>
          <cell r="AJ99">
            <v>0</v>
          </cell>
          <cell r="AN99">
            <v>0</v>
          </cell>
          <cell r="AR99">
            <v>0</v>
          </cell>
          <cell r="AV99">
            <v>0</v>
          </cell>
          <cell r="AZ99">
            <v>0</v>
          </cell>
        </row>
        <row r="100">
          <cell r="Q100">
            <v>100000</v>
          </cell>
          <cell r="S100">
            <v>100000</v>
          </cell>
          <cell r="U100">
            <v>100000</v>
          </cell>
          <cell r="V100">
            <v>100000</v>
          </cell>
          <cell r="W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W101">
            <v>63312723.689999998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W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W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W104">
            <v>0</v>
          </cell>
          <cell r="Y104">
            <v>0</v>
          </cell>
          <cell r="AA104">
            <v>0</v>
          </cell>
          <cell r="AJ104">
            <v>0</v>
          </cell>
          <cell r="AN104">
            <v>0</v>
          </cell>
          <cell r="AR104">
            <v>0</v>
          </cell>
          <cell r="AV104">
            <v>0</v>
          </cell>
          <cell r="AZ104">
            <v>0</v>
          </cell>
        </row>
        <row r="105">
          <cell r="Q105">
            <v>6324.69</v>
          </cell>
          <cell r="S105">
            <v>6324.69</v>
          </cell>
          <cell r="U105">
            <v>6848.69</v>
          </cell>
          <cell r="V105">
            <v>6848.69</v>
          </cell>
          <cell r="W105">
            <v>4796.6000000000004</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W106">
            <v>989834.27</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W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W108">
            <v>3328488.78</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W109">
            <v>0</v>
          </cell>
          <cell r="Y109">
            <v>0</v>
          </cell>
          <cell r="AA109">
            <v>0</v>
          </cell>
          <cell r="AJ109">
            <v>0</v>
          </cell>
          <cell r="AN109">
            <v>0</v>
          </cell>
          <cell r="AR109">
            <v>0</v>
          </cell>
          <cell r="AV109">
            <v>0</v>
          </cell>
          <cell r="AZ109">
            <v>0</v>
          </cell>
        </row>
        <row r="110">
          <cell r="Q110">
            <v>0</v>
          </cell>
          <cell r="S110">
            <v>0</v>
          </cell>
          <cell r="U110">
            <v>0</v>
          </cell>
          <cell r="V110">
            <v>0</v>
          </cell>
          <cell r="W110">
            <v>0</v>
          </cell>
          <cell r="Y110">
            <v>0</v>
          </cell>
          <cell r="AA110">
            <v>0</v>
          </cell>
          <cell r="AJ110">
            <v>0</v>
          </cell>
          <cell r="AN110">
            <v>0</v>
          </cell>
          <cell r="AR110">
            <v>0</v>
          </cell>
          <cell r="AV110">
            <v>0</v>
          </cell>
          <cell r="AZ110">
            <v>0</v>
          </cell>
        </row>
        <row r="111">
          <cell r="Q111">
            <v>0</v>
          </cell>
          <cell r="S111">
            <v>0</v>
          </cell>
          <cell r="U111">
            <v>0</v>
          </cell>
          <cell r="V111">
            <v>0</v>
          </cell>
          <cell r="W111">
            <v>0</v>
          </cell>
          <cell r="Y111">
            <v>0</v>
          </cell>
          <cell r="AA111">
            <v>0</v>
          </cell>
          <cell r="AJ111">
            <v>0</v>
          </cell>
          <cell r="AN111">
            <v>0</v>
          </cell>
          <cell r="AR111">
            <v>0</v>
          </cell>
          <cell r="AV111">
            <v>0</v>
          </cell>
          <cell r="AZ111">
            <v>0</v>
          </cell>
        </row>
        <row r="112">
          <cell r="Q112">
            <v>0</v>
          </cell>
          <cell r="S112">
            <v>0</v>
          </cell>
          <cell r="U112">
            <v>0</v>
          </cell>
          <cell r="V112">
            <v>0</v>
          </cell>
          <cell r="W112">
            <v>0</v>
          </cell>
          <cell r="Y112">
            <v>0</v>
          </cell>
          <cell r="AA112">
            <v>0</v>
          </cell>
          <cell r="AJ112">
            <v>0</v>
          </cell>
          <cell r="AN112">
            <v>0</v>
          </cell>
          <cell r="AR112">
            <v>0</v>
          </cell>
          <cell r="AV112">
            <v>0</v>
          </cell>
          <cell r="AZ112">
            <v>0</v>
          </cell>
        </row>
        <row r="113">
          <cell r="Q113">
            <v>7556.66</v>
          </cell>
          <cell r="S113">
            <v>7556.66</v>
          </cell>
          <cell r="U113">
            <v>7556.66</v>
          </cell>
          <cell r="V113">
            <v>7556.66</v>
          </cell>
          <cell r="W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W114">
            <v>0</v>
          </cell>
          <cell r="Y114">
            <v>0</v>
          </cell>
          <cell r="AA114">
            <v>0</v>
          </cell>
          <cell r="AJ114">
            <v>0</v>
          </cell>
          <cell r="AN114">
            <v>0</v>
          </cell>
          <cell r="AR114">
            <v>0</v>
          </cell>
          <cell r="AV114">
            <v>0</v>
          </cell>
          <cell r="AZ114">
            <v>0</v>
          </cell>
        </row>
        <row r="115">
          <cell r="Q115">
            <v>0</v>
          </cell>
          <cell r="S115">
            <v>0</v>
          </cell>
          <cell r="U115">
            <v>0</v>
          </cell>
          <cell r="V115">
            <v>0</v>
          </cell>
          <cell r="W115">
            <v>0</v>
          </cell>
          <cell r="Y115">
            <v>0</v>
          </cell>
          <cell r="AA115">
            <v>0</v>
          </cell>
          <cell r="AJ115">
            <v>0</v>
          </cell>
          <cell r="AN115">
            <v>0</v>
          </cell>
          <cell r="AR115">
            <v>0</v>
          </cell>
          <cell r="AV115">
            <v>0</v>
          </cell>
          <cell r="AZ115">
            <v>0</v>
          </cell>
        </row>
        <row r="116">
          <cell r="Q116">
            <v>0</v>
          </cell>
          <cell r="S116">
            <v>0</v>
          </cell>
          <cell r="U116">
            <v>0</v>
          </cell>
          <cell r="V116">
            <v>0</v>
          </cell>
          <cell r="W116">
            <v>0</v>
          </cell>
          <cell r="Y116">
            <v>0</v>
          </cell>
          <cell r="AA116">
            <v>0</v>
          </cell>
          <cell r="AJ116">
            <v>0</v>
          </cell>
          <cell r="AN116">
            <v>0</v>
          </cell>
          <cell r="AR116">
            <v>0</v>
          </cell>
          <cell r="AV116">
            <v>0</v>
          </cell>
          <cell r="AZ116">
            <v>0</v>
          </cell>
        </row>
        <row r="117">
          <cell r="Q117">
            <v>0</v>
          </cell>
          <cell r="S117">
            <v>0</v>
          </cell>
          <cell r="U117">
            <v>0</v>
          </cell>
          <cell r="V117">
            <v>0</v>
          </cell>
          <cell r="W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W118">
            <v>0</v>
          </cell>
          <cell r="Y118">
            <v>0</v>
          </cell>
          <cell r="AA118">
            <v>0</v>
          </cell>
          <cell r="AJ118">
            <v>0</v>
          </cell>
          <cell r="AN118">
            <v>0</v>
          </cell>
          <cell r="AR118">
            <v>0</v>
          </cell>
          <cell r="AV118">
            <v>0</v>
          </cell>
          <cell r="AZ118">
            <v>0</v>
          </cell>
        </row>
        <row r="119">
          <cell r="Q119">
            <v>0</v>
          </cell>
          <cell r="S119">
            <v>0</v>
          </cell>
          <cell r="U119">
            <v>0</v>
          </cell>
          <cell r="V119">
            <v>0</v>
          </cell>
          <cell r="W119">
            <v>0</v>
          </cell>
          <cell r="Y119">
            <v>0</v>
          </cell>
          <cell r="AA119">
            <v>0</v>
          </cell>
          <cell r="AJ119">
            <v>0</v>
          </cell>
          <cell r="AN119">
            <v>0</v>
          </cell>
          <cell r="AR119">
            <v>0</v>
          </cell>
          <cell r="AV119">
            <v>0</v>
          </cell>
          <cell r="AZ119">
            <v>0</v>
          </cell>
        </row>
        <row r="120">
          <cell r="Q120">
            <v>0</v>
          </cell>
          <cell r="S120">
            <v>0</v>
          </cell>
          <cell r="U120">
            <v>0</v>
          </cell>
          <cell r="V120">
            <v>0</v>
          </cell>
          <cell r="W120">
            <v>0</v>
          </cell>
          <cell r="Y120">
            <v>0</v>
          </cell>
          <cell r="AA120">
            <v>0</v>
          </cell>
          <cell r="AJ120">
            <v>0</v>
          </cell>
          <cell r="AN120">
            <v>0</v>
          </cell>
          <cell r="AR120">
            <v>0</v>
          </cell>
          <cell r="AV120">
            <v>0</v>
          </cell>
          <cell r="AZ120">
            <v>0</v>
          </cell>
        </row>
        <row r="121">
          <cell r="Q121">
            <v>0</v>
          </cell>
          <cell r="S121">
            <v>0</v>
          </cell>
          <cell r="U121">
            <v>0</v>
          </cell>
          <cell r="V121">
            <v>0</v>
          </cell>
          <cell r="W121">
            <v>0</v>
          </cell>
          <cell r="Y121">
            <v>0</v>
          </cell>
          <cell r="AA121">
            <v>0</v>
          </cell>
          <cell r="AJ121">
            <v>0</v>
          </cell>
          <cell r="AN121">
            <v>0</v>
          </cell>
          <cell r="AR121">
            <v>0</v>
          </cell>
          <cell r="AV121">
            <v>0</v>
          </cell>
          <cell r="AZ121">
            <v>0</v>
          </cell>
        </row>
        <row r="122">
          <cell r="Q122">
            <v>0</v>
          </cell>
          <cell r="S122">
            <v>0</v>
          </cell>
          <cell r="U122">
            <v>0</v>
          </cell>
          <cell r="V122">
            <v>0</v>
          </cell>
          <cell r="W122">
            <v>0</v>
          </cell>
          <cell r="Y122">
            <v>0</v>
          </cell>
          <cell r="AA122">
            <v>0</v>
          </cell>
          <cell r="AJ122">
            <v>0</v>
          </cell>
          <cell r="AN122">
            <v>0</v>
          </cell>
          <cell r="AR122">
            <v>0</v>
          </cell>
          <cell r="AV122">
            <v>0</v>
          </cell>
          <cell r="AZ122">
            <v>0</v>
          </cell>
        </row>
        <row r="123">
          <cell r="Q123">
            <v>0</v>
          </cell>
          <cell r="S123">
            <v>0</v>
          </cell>
          <cell r="U123">
            <v>0</v>
          </cell>
          <cell r="V123">
            <v>0</v>
          </cell>
          <cell r="W123">
            <v>0</v>
          </cell>
          <cell r="Y123">
            <v>0</v>
          </cell>
          <cell r="AA123">
            <v>0</v>
          </cell>
          <cell r="AJ123">
            <v>0</v>
          </cell>
          <cell r="AN123">
            <v>0</v>
          </cell>
          <cell r="AR123">
            <v>0</v>
          </cell>
          <cell r="AV123">
            <v>0</v>
          </cell>
          <cell r="AZ123">
            <v>0</v>
          </cell>
        </row>
        <row r="124">
          <cell r="Q124">
            <v>0</v>
          </cell>
          <cell r="S124">
            <v>0</v>
          </cell>
          <cell r="U124">
            <v>0</v>
          </cell>
          <cell r="V124">
            <v>0</v>
          </cell>
          <cell r="W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W125">
            <v>59036.480000000003</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W126">
            <v>987145.77</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W127">
            <v>16155.03</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W128">
            <v>0</v>
          </cell>
          <cell r="Y128">
            <v>0</v>
          </cell>
          <cell r="AA128">
            <v>0</v>
          </cell>
          <cell r="AJ128">
            <v>0</v>
          </cell>
          <cell r="AN128">
            <v>0</v>
          </cell>
          <cell r="AR128">
            <v>0</v>
          </cell>
          <cell r="AV128">
            <v>0</v>
          </cell>
          <cell r="AZ128">
            <v>0</v>
          </cell>
        </row>
        <row r="129">
          <cell r="Q129">
            <v>0</v>
          </cell>
          <cell r="S129">
            <v>0</v>
          </cell>
          <cell r="U129">
            <v>0</v>
          </cell>
          <cell r="V129">
            <v>0</v>
          </cell>
          <cell r="W129">
            <v>0</v>
          </cell>
          <cell r="Y129">
            <v>0</v>
          </cell>
          <cell r="AA129">
            <v>0</v>
          </cell>
          <cell r="AJ129">
            <v>0</v>
          </cell>
          <cell r="AN129">
            <v>0</v>
          </cell>
          <cell r="AR129">
            <v>0</v>
          </cell>
          <cell r="AV129">
            <v>0</v>
          </cell>
          <cell r="AZ129">
            <v>0</v>
          </cell>
        </row>
        <row r="130">
          <cell r="Q130">
            <v>0</v>
          </cell>
          <cell r="S130">
            <v>0</v>
          </cell>
          <cell r="U130">
            <v>0</v>
          </cell>
          <cell r="V130">
            <v>0</v>
          </cell>
          <cell r="W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W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W132">
            <v>9114943.5299999993</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W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W134">
            <v>2329383.0299999998</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W135">
            <v>-245933.44</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W136">
            <v>0</v>
          </cell>
          <cell r="Y136">
            <v>0</v>
          </cell>
          <cell r="AA136">
            <v>0</v>
          </cell>
          <cell r="AJ136">
            <v>0</v>
          </cell>
          <cell r="AN136">
            <v>0</v>
          </cell>
          <cell r="AR136">
            <v>0</v>
          </cell>
          <cell r="AV136">
            <v>0</v>
          </cell>
          <cell r="AZ136">
            <v>0</v>
          </cell>
        </row>
        <row r="137">
          <cell r="Q137">
            <v>0</v>
          </cell>
          <cell r="S137">
            <v>0</v>
          </cell>
          <cell r="U137">
            <v>0</v>
          </cell>
          <cell r="V137">
            <v>0</v>
          </cell>
          <cell r="W137">
            <v>0</v>
          </cell>
          <cell r="Y137">
            <v>0</v>
          </cell>
          <cell r="AA137">
            <v>0</v>
          </cell>
          <cell r="AJ137">
            <v>0</v>
          </cell>
          <cell r="AN137">
            <v>0</v>
          </cell>
          <cell r="AR137">
            <v>0</v>
          </cell>
          <cell r="AV137">
            <v>0</v>
          </cell>
          <cell r="AZ137">
            <v>0</v>
          </cell>
        </row>
        <row r="138">
          <cell r="Q138">
            <v>54.1</v>
          </cell>
          <cell r="S138">
            <v>-40.96</v>
          </cell>
          <cell r="U138">
            <v>1588.57</v>
          </cell>
          <cell r="V138">
            <v>331.63</v>
          </cell>
          <cell r="W138">
            <v>4959.42</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W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W140">
            <v>-466.28</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W141">
            <v>-2817055.73</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W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W143">
            <v>-4760648.8899999997</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W144">
            <v>-1344553.14</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W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W146">
            <v>324636.11</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W147">
            <v>212891.99</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W148">
            <v>21407.4</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W150">
            <v>353882.56</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W151">
            <v>0</v>
          </cell>
          <cell r="Y151">
            <v>0</v>
          </cell>
          <cell r="AA151">
            <v>0</v>
          </cell>
          <cell r="AJ151">
            <v>0</v>
          </cell>
          <cell r="AN151">
            <v>0</v>
          </cell>
          <cell r="AR151">
            <v>0</v>
          </cell>
          <cell r="AV151">
            <v>0</v>
          </cell>
          <cell r="AZ151">
            <v>0</v>
          </cell>
        </row>
        <row r="152">
          <cell r="Q152">
            <v>0</v>
          </cell>
          <cell r="S152">
            <v>0</v>
          </cell>
          <cell r="U152">
            <v>0</v>
          </cell>
          <cell r="V152">
            <v>0</v>
          </cell>
          <cell r="W152">
            <v>0</v>
          </cell>
          <cell r="Y152">
            <v>0</v>
          </cell>
          <cell r="AA152">
            <v>0</v>
          </cell>
          <cell r="AJ152">
            <v>0</v>
          </cell>
          <cell r="AN152">
            <v>0</v>
          </cell>
          <cell r="AR152">
            <v>0</v>
          </cell>
          <cell r="AV152">
            <v>0</v>
          </cell>
          <cell r="AZ152">
            <v>0</v>
          </cell>
        </row>
        <row r="153">
          <cell r="Q153">
            <v>0</v>
          </cell>
          <cell r="S153">
            <v>0</v>
          </cell>
          <cell r="U153">
            <v>0</v>
          </cell>
          <cell r="V153">
            <v>0</v>
          </cell>
          <cell r="W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W154">
            <v>153188.81</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W155">
            <v>0</v>
          </cell>
          <cell r="Y155">
            <v>0</v>
          </cell>
          <cell r="AA155">
            <v>0</v>
          </cell>
          <cell r="AJ155">
            <v>0</v>
          </cell>
          <cell r="AN155">
            <v>0</v>
          </cell>
          <cell r="AR155">
            <v>0</v>
          </cell>
          <cell r="AV155">
            <v>0</v>
          </cell>
          <cell r="AZ155">
            <v>0</v>
          </cell>
        </row>
        <row r="156">
          <cell r="Q156">
            <v>0</v>
          </cell>
          <cell r="S156">
            <v>0</v>
          </cell>
          <cell r="U156">
            <v>0</v>
          </cell>
          <cell r="V156">
            <v>0</v>
          </cell>
          <cell r="W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W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W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W159">
            <v>0</v>
          </cell>
          <cell r="Y159">
            <v>0</v>
          </cell>
          <cell r="AA159">
            <v>0</v>
          </cell>
          <cell r="AJ159">
            <v>144400</v>
          </cell>
          <cell r="AN159">
            <v>83600</v>
          </cell>
          <cell r="AR159">
            <v>22800</v>
          </cell>
          <cell r="AV159">
            <v>0</v>
          </cell>
          <cell r="AZ159">
            <v>0</v>
          </cell>
        </row>
        <row r="160">
          <cell r="Q160">
            <v>0</v>
          </cell>
          <cell r="S160">
            <v>0</v>
          </cell>
          <cell r="U160">
            <v>0</v>
          </cell>
          <cell r="V160">
            <v>0</v>
          </cell>
          <cell r="W160">
            <v>0</v>
          </cell>
          <cell r="Y160">
            <v>0</v>
          </cell>
          <cell r="AA160">
            <v>0</v>
          </cell>
          <cell r="AJ160">
            <v>0</v>
          </cell>
          <cell r="AN160">
            <v>0</v>
          </cell>
          <cell r="AR160">
            <v>0</v>
          </cell>
          <cell r="AV160">
            <v>0</v>
          </cell>
          <cell r="AZ160">
            <v>0</v>
          </cell>
        </row>
        <row r="161">
          <cell r="Q161">
            <v>8512</v>
          </cell>
          <cell r="S161">
            <v>8512</v>
          </cell>
          <cell r="U161">
            <v>0</v>
          </cell>
          <cell r="V161">
            <v>0</v>
          </cell>
          <cell r="W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W162">
            <v>0</v>
          </cell>
          <cell r="Y162">
            <v>0</v>
          </cell>
          <cell r="AA162">
            <v>0</v>
          </cell>
          <cell r="AJ162">
            <v>0</v>
          </cell>
          <cell r="AN162">
            <v>0</v>
          </cell>
          <cell r="AR162">
            <v>0</v>
          </cell>
          <cell r="AV162">
            <v>0</v>
          </cell>
          <cell r="AZ162">
            <v>0</v>
          </cell>
        </row>
        <row r="163">
          <cell r="Q163">
            <v>0</v>
          </cell>
          <cell r="S163">
            <v>0</v>
          </cell>
          <cell r="U163">
            <v>0</v>
          </cell>
          <cell r="V163">
            <v>0</v>
          </cell>
          <cell r="W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W164">
            <v>3449840.06</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W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W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W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W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W169">
            <v>263903</v>
          </cell>
          <cell r="Y169">
            <v>263903</v>
          </cell>
          <cell r="AA169">
            <v>263903</v>
          </cell>
          <cell r="AJ169">
            <v>151196.45833333334</v>
          </cell>
          <cell r="AN169">
            <v>241671.79166666666</v>
          </cell>
          <cell r="AR169">
            <v>282886.25</v>
          </cell>
          <cell r="AV169">
            <v>242335.54416666666</v>
          </cell>
          <cell r="AZ169">
            <v>150399.96083333335</v>
          </cell>
        </row>
        <row r="170">
          <cell r="W170">
            <v>150447.59</v>
          </cell>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W171">
            <v>519200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W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W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W174">
            <v>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W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W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W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W182">
            <v>96149.97</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W183">
            <v>231254.16</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W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W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W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W187">
            <v>0</v>
          </cell>
          <cell r="Y187">
            <v>0</v>
          </cell>
          <cell r="AA187">
            <v>0</v>
          </cell>
          <cell r="AJ187">
            <v>0</v>
          </cell>
          <cell r="AN187">
            <v>0</v>
          </cell>
          <cell r="AR187">
            <v>0</v>
          </cell>
          <cell r="AV187">
            <v>0</v>
          </cell>
          <cell r="AZ187">
            <v>0</v>
          </cell>
        </row>
        <row r="188">
          <cell r="Q188">
            <v>0</v>
          </cell>
          <cell r="S188">
            <v>0</v>
          </cell>
          <cell r="U188">
            <v>0</v>
          </cell>
          <cell r="V188">
            <v>0</v>
          </cell>
          <cell r="W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W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W190">
            <v>8692.23</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W191">
            <v>0</v>
          </cell>
          <cell r="Y191">
            <v>0</v>
          </cell>
          <cell r="AA191">
            <v>0</v>
          </cell>
          <cell r="AJ191">
            <v>0</v>
          </cell>
          <cell r="AN191">
            <v>0</v>
          </cell>
          <cell r="AR191">
            <v>0</v>
          </cell>
          <cell r="AV191">
            <v>0</v>
          </cell>
          <cell r="AZ191">
            <v>0</v>
          </cell>
        </row>
        <row r="192">
          <cell r="Q192">
            <v>0</v>
          </cell>
          <cell r="S192">
            <v>0</v>
          </cell>
          <cell r="U192">
            <v>0</v>
          </cell>
          <cell r="V192">
            <v>0</v>
          </cell>
          <cell r="W192">
            <v>0</v>
          </cell>
          <cell r="Y192">
            <v>0</v>
          </cell>
          <cell r="AA192">
            <v>0</v>
          </cell>
          <cell r="AJ192">
            <v>0</v>
          </cell>
          <cell r="AN192">
            <v>0</v>
          </cell>
          <cell r="AR192">
            <v>0</v>
          </cell>
          <cell r="AV192">
            <v>0</v>
          </cell>
          <cell r="AZ192">
            <v>0</v>
          </cell>
        </row>
        <row r="193">
          <cell r="Q193">
            <v>1000</v>
          </cell>
          <cell r="S193">
            <v>1000</v>
          </cell>
          <cell r="U193">
            <v>1000</v>
          </cell>
          <cell r="V193">
            <v>1000</v>
          </cell>
          <cell r="W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W194">
            <v>0</v>
          </cell>
          <cell r="Y194">
            <v>0</v>
          </cell>
          <cell r="AA194">
            <v>0</v>
          </cell>
          <cell r="AJ194">
            <v>0</v>
          </cell>
          <cell r="AN194">
            <v>0</v>
          </cell>
          <cell r="AR194">
            <v>0</v>
          </cell>
          <cell r="AV194">
            <v>0</v>
          </cell>
          <cell r="AZ194">
            <v>0</v>
          </cell>
        </row>
        <row r="195">
          <cell r="Q195">
            <v>0</v>
          </cell>
          <cell r="S195">
            <v>0</v>
          </cell>
          <cell r="U195">
            <v>0</v>
          </cell>
          <cell r="V195">
            <v>0</v>
          </cell>
          <cell r="W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W196">
            <v>9550000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W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W198">
            <v>8452607.9700000007</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W199">
            <v>0</v>
          </cell>
          <cell r="Y199">
            <v>0</v>
          </cell>
          <cell r="AA199">
            <v>0</v>
          </cell>
          <cell r="AJ199">
            <v>217206.93666666668</v>
          </cell>
          <cell r="AN199">
            <v>217206.93666666668</v>
          </cell>
          <cell r="AR199">
            <v>0</v>
          </cell>
          <cell r="AV199">
            <v>0</v>
          </cell>
          <cell r="AZ199">
            <v>0</v>
          </cell>
        </row>
        <row r="200">
          <cell r="U200">
            <v>658810.86</v>
          </cell>
          <cell r="V200">
            <v>659217.71</v>
          </cell>
          <cell r="W200">
            <v>685640.93</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W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W202">
            <v>6016147.0499999998</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W204">
            <v>-285702.51</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W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W206">
            <v>137096880.41999999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W207">
            <v>0</v>
          </cell>
          <cell r="Y207">
            <v>0</v>
          </cell>
          <cell r="AA207">
            <v>0</v>
          </cell>
          <cell r="AJ207">
            <v>0</v>
          </cell>
          <cell r="AN207">
            <v>0</v>
          </cell>
          <cell r="AR207">
            <v>0</v>
          </cell>
          <cell r="AV207">
            <v>0</v>
          </cell>
          <cell r="AZ207">
            <v>0</v>
          </cell>
        </row>
        <row r="208">
          <cell r="Q208">
            <v>158000000</v>
          </cell>
          <cell r="S208">
            <v>0</v>
          </cell>
          <cell r="U208">
            <v>0</v>
          </cell>
          <cell r="V208">
            <v>0</v>
          </cell>
          <cell r="W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W209">
            <v>0</v>
          </cell>
          <cell r="Y209">
            <v>0</v>
          </cell>
          <cell r="AA209">
            <v>0</v>
          </cell>
          <cell r="AJ209">
            <v>0</v>
          </cell>
          <cell r="AN209">
            <v>0</v>
          </cell>
          <cell r="AR209">
            <v>0</v>
          </cell>
          <cell r="AV209">
            <v>0</v>
          </cell>
          <cell r="AZ209">
            <v>0</v>
          </cell>
        </row>
        <row r="210">
          <cell r="Q210">
            <v>0</v>
          </cell>
          <cell r="S210">
            <v>0</v>
          </cell>
          <cell r="U210">
            <v>0</v>
          </cell>
          <cell r="V210">
            <v>0</v>
          </cell>
          <cell r="W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W211">
            <v>67191192.010000005</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W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W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W214">
            <v>0</v>
          </cell>
          <cell r="Y214">
            <v>0</v>
          </cell>
          <cell r="AA214">
            <v>0</v>
          </cell>
          <cell r="AJ214">
            <v>0</v>
          </cell>
          <cell r="AN214">
            <v>0</v>
          </cell>
          <cell r="AR214">
            <v>0</v>
          </cell>
          <cell r="AV214">
            <v>0</v>
          </cell>
          <cell r="AZ214">
            <v>0</v>
          </cell>
        </row>
        <row r="215">
          <cell r="Q215">
            <v>0</v>
          </cell>
          <cell r="S215">
            <v>0</v>
          </cell>
          <cell r="U215">
            <v>0</v>
          </cell>
          <cell r="V215">
            <v>0</v>
          </cell>
          <cell r="W215">
            <v>0</v>
          </cell>
          <cell r="Y215">
            <v>0</v>
          </cell>
          <cell r="AA215">
            <v>0</v>
          </cell>
          <cell r="AJ215">
            <v>0</v>
          </cell>
          <cell r="AN215">
            <v>0</v>
          </cell>
          <cell r="AR215">
            <v>0</v>
          </cell>
          <cell r="AV215">
            <v>0</v>
          </cell>
          <cell r="AZ215">
            <v>0</v>
          </cell>
        </row>
        <row r="216">
          <cell r="Q216">
            <v>49801.93</v>
          </cell>
          <cell r="S216">
            <v>0</v>
          </cell>
          <cell r="U216">
            <v>0</v>
          </cell>
          <cell r="V216">
            <v>0</v>
          </cell>
          <cell r="W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W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W218">
            <v>-12508174.630000001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W219">
            <v>5504.87</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W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W221">
            <v>7831199.25</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W222">
            <v>5258.76</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W223">
            <v>80690.38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W224">
            <v>192.36</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W225">
            <v>0</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W226">
            <v>735.57</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W227">
            <v>5789.66</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W228">
            <v>5612300.04</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W229">
            <v>125000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W230">
            <v>509727.61</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W231">
            <v>5668702.6399999997</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W232">
            <v>844366</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W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W234">
            <v>6731.91</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W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W236">
            <v>0</v>
          </cell>
          <cell r="Y236">
            <v>0</v>
          </cell>
          <cell r="AA236">
            <v>0</v>
          </cell>
          <cell r="AJ236">
            <v>0</v>
          </cell>
          <cell r="AN236">
            <v>423.95</v>
          </cell>
          <cell r="AR236">
            <v>847.9</v>
          </cell>
          <cell r="AV236">
            <v>847.9</v>
          </cell>
          <cell r="AZ236">
            <v>423.95</v>
          </cell>
        </row>
        <row r="237">
          <cell r="U237">
            <v>850698.03</v>
          </cell>
          <cell r="V237">
            <v>850698.03</v>
          </cell>
          <cell r="W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W238">
            <v>0</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W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W241">
            <v>145758.07999999999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W242">
            <v>4961353.8600000003</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W243">
            <v>14628.32</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W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W245">
            <v>42525.64</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W246">
            <v>11315327.16</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W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W248">
            <v>0</v>
          </cell>
          <cell r="Y248">
            <v>0</v>
          </cell>
          <cell r="AA248">
            <v>0</v>
          </cell>
          <cell r="AJ248">
            <v>0</v>
          </cell>
          <cell r="AN248">
            <v>0</v>
          </cell>
          <cell r="AR248">
            <v>0</v>
          </cell>
          <cell r="AV248">
            <v>0</v>
          </cell>
          <cell r="AZ248">
            <v>0</v>
          </cell>
        </row>
        <row r="249">
          <cell r="Q249">
            <v>0</v>
          </cell>
          <cell r="S249">
            <v>0</v>
          </cell>
          <cell r="U249">
            <v>0</v>
          </cell>
          <cell r="V249">
            <v>0</v>
          </cell>
          <cell r="W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W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W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W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W253">
            <v>519584.28</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W254">
            <v>0</v>
          </cell>
          <cell r="Y254">
            <v>0</v>
          </cell>
          <cell r="AA254">
            <v>0</v>
          </cell>
          <cell r="AJ254">
            <v>0</v>
          </cell>
          <cell r="AN254">
            <v>0</v>
          </cell>
          <cell r="AR254">
            <v>0</v>
          </cell>
          <cell r="AV254">
            <v>0</v>
          </cell>
          <cell r="AZ254">
            <v>0</v>
          </cell>
        </row>
        <row r="255">
          <cell r="Q255">
            <v>0</v>
          </cell>
          <cell r="S255">
            <v>0</v>
          </cell>
          <cell r="U255">
            <v>0</v>
          </cell>
          <cell r="V255">
            <v>0</v>
          </cell>
          <cell r="W255">
            <v>0</v>
          </cell>
          <cell r="Y255">
            <v>0</v>
          </cell>
          <cell r="AA255">
            <v>0</v>
          </cell>
          <cell r="AJ255">
            <v>0</v>
          </cell>
          <cell r="AN255">
            <v>0</v>
          </cell>
          <cell r="AR255">
            <v>0</v>
          </cell>
          <cell r="AV255">
            <v>0</v>
          </cell>
          <cell r="AZ255">
            <v>0</v>
          </cell>
        </row>
        <row r="256">
          <cell r="Q256">
            <v>8327.23</v>
          </cell>
          <cell r="S256">
            <v>7249.76</v>
          </cell>
          <cell r="U256">
            <v>7049.76</v>
          </cell>
          <cell r="V256">
            <v>6949.76</v>
          </cell>
          <cell r="W256">
            <v>6849.76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W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W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W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W260">
            <v>137000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W261">
            <v>0</v>
          </cell>
          <cell r="Y261">
            <v>0</v>
          </cell>
          <cell r="AA261">
            <v>0</v>
          </cell>
          <cell r="AJ261">
            <v>0</v>
          </cell>
          <cell r="AN261">
            <v>0</v>
          </cell>
          <cell r="AR261">
            <v>0</v>
          </cell>
          <cell r="AV261">
            <v>0</v>
          </cell>
          <cell r="AZ261">
            <v>0</v>
          </cell>
        </row>
        <row r="262">
          <cell r="Q262">
            <v>0</v>
          </cell>
          <cell r="S262">
            <v>0</v>
          </cell>
          <cell r="U262">
            <v>0</v>
          </cell>
          <cell r="V262">
            <v>0</v>
          </cell>
          <cell r="W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W263">
            <v>2059862.23</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W264">
            <v>-3583223.03</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W265">
            <v>-1512518.6</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W266">
            <v>0</v>
          </cell>
          <cell r="Y266">
            <v>0</v>
          </cell>
          <cell r="AA266">
            <v>0</v>
          </cell>
          <cell r="AJ266">
            <v>0</v>
          </cell>
          <cell r="AN266">
            <v>0</v>
          </cell>
          <cell r="AR266">
            <v>0</v>
          </cell>
          <cell r="AV266">
            <v>0</v>
          </cell>
          <cell r="AZ266">
            <v>0</v>
          </cell>
        </row>
        <row r="267">
          <cell r="Q267">
            <v>3199410.1</v>
          </cell>
          <cell r="S267">
            <v>0</v>
          </cell>
          <cell r="U267">
            <v>0</v>
          </cell>
          <cell r="V267">
            <v>0</v>
          </cell>
          <cell r="W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W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W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W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W271">
            <v>-782666.77</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W272">
            <v>1525.51</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W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W274">
            <v>61391.08</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W275">
            <v>0</v>
          </cell>
          <cell r="Y275">
            <v>0</v>
          </cell>
          <cell r="AA275">
            <v>0</v>
          </cell>
          <cell r="AJ275">
            <v>0</v>
          </cell>
          <cell r="AN275">
            <v>0</v>
          </cell>
          <cell r="AR275">
            <v>0</v>
          </cell>
          <cell r="AV275">
            <v>0</v>
          </cell>
          <cell r="AZ275">
            <v>0</v>
          </cell>
        </row>
        <row r="276">
          <cell r="Q276">
            <v>0</v>
          </cell>
          <cell r="S276">
            <v>0</v>
          </cell>
          <cell r="U276">
            <v>0</v>
          </cell>
          <cell r="V276">
            <v>0</v>
          </cell>
          <cell r="W276">
            <v>0</v>
          </cell>
          <cell r="Y276">
            <v>0</v>
          </cell>
          <cell r="AA276">
            <v>0</v>
          </cell>
          <cell r="AJ276">
            <v>0</v>
          </cell>
          <cell r="AN276">
            <v>0</v>
          </cell>
          <cell r="AR276">
            <v>0</v>
          </cell>
          <cell r="AV276">
            <v>0</v>
          </cell>
          <cell r="AZ276">
            <v>0</v>
          </cell>
        </row>
        <row r="277">
          <cell r="Q277">
            <v>0</v>
          </cell>
          <cell r="S277">
            <v>0</v>
          </cell>
          <cell r="U277">
            <v>0</v>
          </cell>
          <cell r="V277">
            <v>0</v>
          </cell>
          <cell r="W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W278">
            <v>-519584.28</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W279">
            <v>112476.9</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W280">
            <v>0</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W281">
            <v>862744.42</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W282">
            <v>1299715.27</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W283">
            <v>233406.99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W284">
            <v>27464.67</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W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W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W287">
            <v>1436482.69</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W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W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W290">
            <v>0</v>
          </cell>
          <cell r="Y290">
            <v>0</v>
          </cell>
          <cell r="AA290">
            <v>0</v>
          </cell>
          <cell r="AJ290">
            <v>0</v>
          </cell>
          <cell r="AN290">
            <v>0</v>
          </cell>
          <cell r="AR290">
            <v>0</v>
          </cell>
          <cell r="AV290">
            <v>0</v>
          </cell>
          <cell r="AZ290">
            <v>0</v>
          </cell>
        </row>
        <row r="291">
          <cell r="Q291">
            <v>0</v>
          </cell>
          <cell r="S291">
            <v>0</v>
          </cell>
          <cell r="U291">
            <v>0</v>
          </cell>
          <cell r="V291">
            <v>0</v>
          </cell>
          <cell r="W291">
            <v>0</v>
          </cell>
          <cell r="Y291">
            <v>0</v>
          </cell>
          <cell r="AA291">
            <v>0</v>
          </cell>
          <cell r="AJ291">
            <v>0</v>
          </cell>
          <cell r="AN291">
            <v>0</v>
          </cell>
          <cell r="AR291">
            <v>0</v>
          </cell>
          <cell r="AV291">
            <v>0</v>
          </cell>
          <cell r="AZ291">
            <v>0</v>
          </cell>
        </row>
        <row r="292">
          <cell r="Q292">
            <v>0</v>
          </cell>
          <cell r="S292">
            <v>0</v>
          </cell>
          <cell r="U292">
            <v>0</v>
          </cell>
          <cell r="V292">
            <v>0</v>
          </cell>
          <cell r="W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W293">
            <v>171486.11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W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W295">
            <v>-243357.72</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W296">
            <v>647990.86</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W297">
            <v>-155336.56</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W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W299">
            <v>0</v>
          </cell>
          <cell r="Y299">
            <v>0</v>
          </cell>
          <cell r="AA299">
            <v>0</v>
          </cell>
          <cell r="AJ299">
            <v>0</v>
          </cell>
          <cell r="AN299">
            <v>0</v>
          </cell>
          <cell r="AR299">
            <v>0</v>
          </cell>
          <cell r="AV299">
            <v>0</v>
          </cell>
          <cell r="AZ299">
            <v>0</v>
          </cell>
        </row>
        <row r="300">
          <cell r="Q300">
            <v>0</v>
          </cell>
          <cell r="S300">
            <v>0</v>
          </cell>
          <cell r="U300">
            <v>0</v>
          </cell>
          <cell r="V300">
            <v>0</v>
          </cell>
          <cell r="W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W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W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W303">
            <v>11385559.310000001</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W304">
            <v>3793324.87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W305">
            <v>-11385559.310000001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W306">
            <v>2910033.79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W307">
            <v>10041976.82</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W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W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W310">
            <v>37309929.359999999</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W311">
            <v>8473294.4299999997</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W312">
            <v>3880110</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W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W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W315">
            <v>29345.3</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W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W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W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W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W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W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W323">
            <v>2963123.53</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W324">
            <v>804923.6</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W325">
            <v>0</v>
          </cell>
          <cell r="Y325">
            <v>0</v>
          </cell>
          <cell r="AA325">
            <v>0</v>
          </cell>
          <cell r="AJ325">
            <v>0</v>
          </cell>
          <cell r="AN325">
            <v>0</v>
          </cell>
          <cell r="AR325">
            <v>0</v>
          </cell>
          <cell r="AV325">
            <v>0</v>
          </cell>
          <cell r="AZ325">
            <v>0</v>
          </cell>
        </row>
        <row r="326">
          <cell r="Q326">
            <v>0</v>
          </cell>
          <cell r="S326">
            <v>0</v>
          </cell>
          <cell r="U326">
            <v>0</v>
          </cell>
          <cell r="V326">
            <v>0</v>
          </cell>
          <cell r="W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W327">
            <v>238199.27</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W328">
            <v>33058033.059999999</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W329">
            <v>7681886.54</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W330">
            <v>47383496.969999999</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W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W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W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W334">
            <v>32253.75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W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W336">
            <v>1167127.81</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W337">
            <v>23259.23</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W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W339">
            <v>17196.11</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W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W341">
            <v>0</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W342">
            <v>76664.570000000007</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W343">
            <v>45518.95</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W344">
            <v>2399297.31</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W345">
            <v>7493.75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W346">
            <v>55000</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W347">
            <v>242790</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W348">
            <v>631263.54</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W349">
            <v>626364</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W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W351">
            <v>8611.68</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W352">
            <v>0</v>
          </cell>
          <cell r="Y352">
            <v>0</v>
          </cell>
          <cell r="AA352">
            <v>0</v>
          </cell>
          <cell r="AJ352">
            <v>0</v>
          </cell>
          <cell r="AN352">
            <v>0</v>
          </cell>
          <cell r="AR352">
            <v>0</v>
          </cell>
          <cell r="AV352">
            <v>0</v>
          </cell>
          <cell r="AZ352">
            <v>0</v>
          </cell>
        </row>
        <row r="353">
          <cell r="Q353">
            <v>0</v>
          </cell>
          <cell r="S353">
            <v>0</v>
          </cell>
          <cell r="U353">
            <v>0</v>
          </cell>
          <cell r="V353">
            <v>0</v>
          </cell>
          <cell r="W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W354">
            <v>657212.39</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W355">
            <v>0</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W356">
            <v>302.63</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W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W358">
            <v>15125</v>
          </cell>
          <cell r="Y358">
            <v>12100</v>
          </cell>
          <cell r="AA358">
            <v>9075</v>
          </cell>
          <cell r="AJ358">
            <v>33275</v>
          </cell>
          <cell r="AN358">
            <v>27225</v>
          </cell>
          <cell r="AR358">
            <v>21175</v>
          </cell>
          <cell r="AV358">
            <v>15125</v>
          </cell>
          <cell r="AZ358">
            <v>9075</v>
          </cell>
        </row>
        <row r="359">
          <cell r="Q359">
            <v>0</v>
          </cell>
          <cell r="S359">
            <v>0</v>
          </cell>
          <cell r="U359">
            <v>0</v>
          </cell>
          <cell r="V359">
            <v>0</v>
          </cell>
          <cell r="W359">
            <v>0</v>
          </cell>
          <cell r="Y359">
            <v>0</v>
          </cell>
          <cell r="AA359">
            <v>0</v>
          </cell>
          <cell r="AJ359">
            <v>0</v>
          </cell>
          <cell r="AN359">
            <v>0</v>
          </cell>
          <cell r="AR359">
            <v>0</v>
          </cell>
          <cell r="AV359">
            <v>0</v>
          </cell>
          <cell r="AZ359">
            <v>0</v>
          </cell>
        </row>
        <row r="360">
          <cell r="Q360">
            <v>0</v>
          </cell>
          <cell r="S360">
            <v>0</v>
          </cell>
          <cell r="U360">
            <v>0</v>
          </cell>
          <cell r="V360">
            <v>0</v>
          </cell>
          <cell r="W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W361">
            <v>0</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W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W363">
            <v>67448.679999999993</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W364">
            <v>36439.46</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W365">
            <v>67448.7</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W366">
            <v>120053.13</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W367">
            <v>0</v>
          </cell>
          <cell r="Y367">
            <v>0</v>
          </cell>
          <cell r="AA367">
            <v>0</v>
          </cell>
          <cell r="AJ367">
            <v>0</v>
          </cell>
          <cell r="AN367">
            <v>0</v>
          </cell>
          <cell r="AR367">
            <v>0</v>
          </cell>
          <cell r="AV367">
            <v>0</v>
          </cell>
          <cell r="AZ367">
            <v>0</v>
          </cell>
        </row>
        <row r="368">
          <cell r="Q368">
            <v>0</v>
          </cell>
          <cell r="S368">
            <v>0</v>
          </cell>
          <cell r="U368">
            <v>0</v>
          </cell>
          <cell r="V368">
            <v>0</v>
          </cell>
          <cell r="W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W370">
            <v>0</v>
          </cell>
          <cell r="Y370">
            <v>0</v>
          </cell>
          <cell r="AA370">
            <v>0</v>
          </cell>
          <cell r="AJ370">
            <v>0</v>
          </cell>
          <cell r="AN370">
            <v>0</v>
          </cell>
          <cell r="AR370">
            <v>0</v>
          </cell>
          <cell r="AV370">
            <v>0</v>
          </cell>
          <cell r="AZ370">
            <v>0</v>
          </cell>
        </row>
        <row r="371">
          <cell r="Q371">
            <v>0</v>
          </cell>
          <cell r="S371">
            <v>0</v>
          </cell>
          <cell r="U371">
            <v>0</v>
          </cell>
          <cell r="V371">
            <v>0</v>
          </cell>
          <cell r="W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W372">
            <v>21960.18</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W373">
            <v>90446.399999999994</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W374">
            <v>0</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W375">
            <v>42387.83</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W376">
            <v>0</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W377">
            <v>45388.52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W378">
            <v>240581.26</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W379">
            <v>113355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W380">
            <v>1017161.26</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W381">
            <v>265520.52</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W382">
            <v>191709</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W383">
            <v>1750000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W384">
            <v>0</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W385">
            <v>24400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W386">
            <v>212979.48</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W387">
            <v>0</v>
          </cell>
          <cell r="Y387">
            <v>0</v>
          </cell>
          <cell r="AA387">
            <v>0</v>
          </cell>
          <cell r="AJ387">
            <v>0</v>
          </cell>
          <cell r="AN387">
            <v>0</v>
          </cell>
          <cell r="AR387">
            <v>0</v>
          </cell>
          <cell r="AV387">
            <v>0</v>
          </cell>
          <cell r="AZ387">
            <v>0</v>
          </cell>
        </row>
        <row r="388">
          <cell r="S388">
            <v>221443.22</v>
          </cell>
          <cell r="U388">
            <v>208417.14</v>
          </cell>
          <cell r="V388">
            <v>201904.1</v>
          </cell>
          <cell r="W388">
            <v>195391.06</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W389">
            <v>1313.82</v>
          </cell>
          <cell r="Y389">
            <v>30797.759999999998</v>
          </cell>
          <cell r="AA389">
            <v>108449.96</v>
          </cell>
          <cell r="AJ389">
            <v>23669.454999999998</v>
          </cell>
          <cell r="AN389">
            <v>70470.728750000009</v>
          </cell>
          <cell r="AR389">
            <v>93291.893333333355</v>
          </cell>
          <cell r="AV389">
            <v>104809.7375</v>
          </cell>
          <cell r="AZ389">
            <v>117630.96208333335</v>
          </cell>
        </row>
        <row r="390">
          <cell r="W390">
            <v>0</v>
          </cell>
          <cell r="Y390">
            <v>0</v>
          </cell>
          <cell r="AA390">
            <v>0</v>
          </cell>
          <cell r="AJ390">
            <v>0</v>
          </cell>
          <cell r="AN390">
            <v>0</v>
          </cell>
          <cell r="AR390">
            <v>0</v>
          </cell>
          <cell r="AV390">
            <v>0</v>
          </cell>
          <cell r="AZ390">
            <v>0</v>
          </cell>
        </row>
        <row r="391">
          <cell r="Q391">
            <v>245103.43</v>
          </cell>
          <cell r="S391">
            <v>282507.26</v>
          </cell>
          <cell r="U391">
            <v>365257.8</v>
          </cell>
          <cell r="V391">
            <v>365292.89</v>
          </cell>
          <cell r="W391">
            <v>2842.37</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W393">
            <v>1275.92</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W395">
            <v>54656.99</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W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W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W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W400">
            <v>508576.64</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W401">
            <v>610805.06999999995</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W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W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W404">
            <v>0</v>
          </cell>
          <cell r="Y404">
            <v>0</v>
          </cell>
          <cell r="AA404">
            <v>0</v>
          </cell>
          <cell r="AJ404">
            <v>0</v>
          </cell>
          <cell r="AN404">
            <v>0</v>
          </cell>
          <cell r="AR404">
            <v>0</v>
          </cell>
          <cell r="AV404">
            <v>0</v>
          </cell>
          <cell r="AZ404">
            <v>0</v>
          </cell>
        </row>
        <row r="405">
          <cell r="Q405">
            <v>0</v>
          </cell>
          <cell r="S405">
            <v>0</v>
          </cell>
          <cell r="U405">
            <v>0</v>
          </cell>
          <cell r="V405">
            <v>0</v>
          </cell>
          <cell r="W405">
            <v>0</v>
          </cell>
          <cell r="Y405">
            <v>0</v>
          </cell>
          <cell r="AA405">
            <v>0</v>
          </cell>
          <cell r="AJ405">
            <v>0</v>
          </cell>
          <cell r="AN405">
            <v>0</v>
          </cell>
          <cell r="AR405">
            <v>0</v>
          </cell>
          <cell r="AV405">
            <v>0</v>
          </cell>
          <cell r="AZ405">
            <v>0</v>
          </cell>
        </row>
        <row r="406">
          <cell r="Q406">
            <v>0</v>
          </cell>
          <cell r="S406">
            <v>0</v>
          </cell>
          <cell r="U406">
            <v>0</v>
          </cell>
          <cell r="V406">
            <v>0</v>
          </cell>
          <cell r="W406">
            <v>0</v>
          </cell>
          <cell r="Y406">
            <v>0</v>
          </cell>
          <cell r="AA406">
            <v>0</v>
          </cell>
          <cell r="AJ406">
            <v>0</v>
          </cell>
          <cell r="AN406">
            <v>0</v>
          </cell>
          <cell r="AR406">
            <v>0</v>
          </cell>
          <cell r="AV406">
            <v>0</v>
          </cell>
          <cell r="AZ406">
            <v>0</v>
          </cell>
        </row>
        <row r="407">
          <cell r="Q407">
            <v>442116</v>
          </cell>
          <cell r="S407">
            <v>0</v>
          </cell>
          <cell r="U407">
            <v>0</v>
          </cell>
          <cell r="V407">
            <v>0</v>
          </cell>
          <cell r="W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W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W409">
            <v>277634.96999999997</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W410">
            <v>0</v>
          </cell>
          <cell r="Y410">
            <v>0</v>
          </cell>
          <cell r="AA410">
            <v>0</v>
          </cell>
          <cell r="AJ410">
            <v>0</v>
          </cell>
          <cell r="AN410">
            <v>35031.666666666664</v>
          </cell>
          <cell r="AR410">
            <v>35031.666666666664</v>
          </cell>
          <cell r="AV410">
            <v>35031.666666666664</v>
          </cell>
          <cell r="AZ410">
            <v>0</v>
          </cell>
        </row>
        <row r="411">
          <cell r="U411">
            <v>0</v>
          </cell>
          <cell r="V411">
            <v>0</v>
          </cell>
          <cell r="W411">
            <v>0</v>
          </cell>
          <cell r="Y411">
            <v>0</v>
          </cell>
          <cell r="AA411">
            <v>0</v>
          </cell>
          <cell r="AJ411">
            <v>0</v>
          </cell>
          <cell r="AN411">
            <v>0</v>
          </cell>
          <cell r="AR411">
            <v>0</v>
          </cell>
          <cell r="AV411">
            <v>0</v>
          </cell>
          <cell r="AZ411">
            <v>0</v>
          </cell>
        </row>
        <row r="412">
          <cell r="U412">
            <v>62092.4</v>
          </cell>
          <cell r="V412">
            <v>62092.4</v>
          </cell>
          <cell r="W412">
            <v>60371.34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W413">
            <v>446232.38</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W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W418">
            <v>6442</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W419">
            <v>730125.57</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W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W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W424">
            <v>0</v>
          </cell>
          <cell r="Y424">
            <v>0</v>
          </cell>
          <cell r="AA424">
            <v>0</v>
          </cell>
          <cell r="AJ424">
            <v>0</v>
          </cell>
          <cell r="AN424">
            <v>0</v>
          </cell>
          <cell r="AR424">
            <v>0</v>
          </cell>
          <cell r="AV424">
            <v>0</v>
          </cell>
          <cell r="AZ424">
            <v>0</v>
          </cell>
        </row>
        <row r="425">
          <cell r="Q425">
            <v>0</v>
          </cell>
          <cell r="S425">
            <v>0</v>
          </cell>
          <cell r="U425">
            <v>0</v>
          </cell>
          <cell r="V425">
            <v>0</v>
          </cell>
          <cell r="W425">
            <v>0</v>
          </cell>
          <cell r="Y425">
            <v>0</v>
          </cell>
          <cell r="AA425">
            <v>0</v>
          </cell>
          <cell r="AJ425">
            <v>0</v>
          </cell>
          <cell r="AN425">
            <v>0</v>
          </cell>
          <cell r="AR425">
            <v>0</v>
          </cell>
          <cell r="AV425">
            <v>0</v>
          </cell>
          <cell r="AZ425">
            <v>0</v>
          </cell>
        </row>
        <row r="426">
          <cell r="Q426">
            <v>0</v>
          </cell>
          <cell r="S426">
            <v>0</v>
          </cell>
          <cell r="U426">
            <v>0</v>
          </cell>
          <cell r="V426">
            <v>0</v>
          </cell>
          <cell r="W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W427">
            <v>403.04</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W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W429">
            <v>68264911</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W430">
            <v>15056369.640000001</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W431">
            <v>762802</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W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W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W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W435">
            <v>1022570.04</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W436">
            <v>12742443.26</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W437">
            <v>2726493.55</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W438">
            <v>7230120.8499999996</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W439">
            <v>0</v>
          </cell>
          <cell r="Y439">
            <v>0</v>
          </cell>
          <cell r="AA439">
            <v>0</v>
          </cell>
          <cell r="AJ439">
            <v>0</v>
          </cell>
          <cell r="AN439">
            <v>0</v>
          </cell>
          <cell r="AR439">
            <v>0</v>
          </cell>
          <cell r="AV439">
            <v>0</v>
          </cell>
          <cell r="AZ439">
            <v>0</v>
          </cell>
        </row>
        <row r="440">
          <cell r="Q440">
            <v>-28332</v>
          </cell>
          <cell r="S440">
            <v>-28332</v>
          </cell>
          <cell r="U440">
            <v>0</v>
          </cell>
          <cell r="V440">
            <v>0</v>
          </cell>
          <cell r="W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W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W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W443">
            <v>0</v>
          </cell>
          <cell r="Y443">
            <v>0</v>
          </cell>
          <cell r="AA443">
            <v>0</v>
          </cell>
          <cell r="AJ443">
            <v>-9.25</v>
          </cell>
          <cell r="AN443">
            <v>-55.5</v>
          </cell>
          <cell r="AR443">
            <v>-55.5</v>
          </cell>
          <cell r="AV443">
            <v>-46.25</v>
          </cell>
          <cell r="AZ443">
            <v>0</v>
          </cell>
        </row>
        <row r="444">
          <cell r="Q444">
            <v>0</v>
          </cell>
          <cell r="S444">
            <v>0</v>
          </cell>
          <cell r="U444">
            <v>0</v>
          </cell>
          <cell r="V444">
            <v>0</v>
          </cell>
          <cell r="W444">
            <v>0</v>
          </cell>
          <cell r="Y444">
            <v>0</v>
          </cell>
          <cell r="AA444">
            <v>0</v>
          </cell>
          <cell r="AJ444">
            <v>195299.75</v>
          </cell>
          <cell r="AN444">
            <v>129955</v>
          </cell>
          <cell r="AR444">
            <v>0</v>
          </cell>
          <cell r="AV444">
            <v>0</v>
          </cell>
          <cell r="AZ444">
            <v>0</v>
          </cell>
        </row>
        <row r="445">
          <cell r="Q445">
            <v>53005</v>
          </cell>
          <cell r="S445">
            <v>0</v>
          </cell>
          <cell r="U445">
            <v>0</v>
          </cell>
          <cell r="V445">
            <v>0</v>
          </cell>
          <cell r="W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W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W447">
            <v>522293.57</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W448">
            <v>0</v>
          </cell>
          <cell r="Y448">
            <v>0</v>
          </cell>
          <cell r="AA448">
            <v>0</v>
          </cell>
          <cell r="AJ448">
            <v>2249357.375</v>
          </cell>
          <cell r="AN448">
            <v>0</v>
          </cell>
          <cell r="AR448">
            <v>0</v>
          </cell>
          <cell r="AV448">
            <v>0</v>
          </cell>
          <cell r="AZ448">
            <v>0</v>
          </cell>
        </row>
        <row r="449">
          <cell r="Q449">
            <v>0</v>
          </cell>
          <cell r="S449">
            <v>0</v>
          </cell>
          <cell r="U449">
            <v>0</v>
          </cell>
          <cell r="V449">
            <v>0</v>
          </cell>
          <cell r="W449">
            <v>0</v>
          </cell>
          <cell r="Y449">
            <v>0</v>
          </cell>
          <cell r="AA449">
            <v>0</v>
          </cell>
          <cell r="AJ449">
            <v>393.5</v>
          </cell>
          <cell r="AN449">
            <v>196.75</v>
          </cell>
          <cell r="AR449">
            <v>0</v>
          </cell>
          <cell r="AV449">
            <v>0</v>
          </cell>
          <cell r="AZ449">
            <v>0</v>
          </cell>
        </row>
        <row r="450">
          <cell r="Q450">
            <v>0</v>
          </cell>
          <cell r="S450">
            <v>0</v>
          </cell>
          <cell r="U450">
            <v>0</v>
          </cell>
          <cell r="V450">
            <v>0</v>
          </cell>
          <cell r="W450">
            <v>0</v>
          </cell>
          <cell r="Y450">
            <v>0</v>
          </cell>
          <cell r="AA450">
            <v>0</v>
          </cell>
          <cell r="AJ450">
            <v>0</v>
          </cell>
          <cell r="AN450">
            <v>0</v>
          </cell>
          <cell r="AR450">
            <v>0</v>
          </cell>
          <cell r="AV450">
            <v>0</v>
          </cell>
          <cell r="AZ450">
            <v>0</v>
          </cell>
        </row>
        <row r="451">
          <cell r="Q451">
            <v>0</v>
          </cell>
          <cell r="S451">
            <v>0</v>
          </cell>
          <cell r="U451">
            <v>0</v>
          </cell>
          <cell r="V451">
            <v>0</v>
          </cell>
          <cell r="W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W452">
            <v>0</v>
          </cell>
          <cell r="Y452">
            <v>0</v>
          </cell>
          <cell r="AA452">
            <v>0</v>
          </cell>
          <cell r="AJ452">
            <v>-14993.75</v>
          </cell>
          <cell r="AN452">
            <v>0</v>
          </cell>
          <cell r="AR452">
            <v>0</v>
          </cell>
          <cell r="AV452">
            <v>0</v>
          </cell>
          <cell r="AZ452">
            <v>0</v>
          </cell>
        </row>
        <row r="453">
          <cell r="Q453">
            <v>0</v>
          </cell>
          <cell r="S453">
            <v>0</v>
          </cell>
          <cell r="U453">
            <v>0</v>
          </cell>
          <cell r="V453">
            <v>0</v>
          </cell>
          <cell r="W453">
            <v>0</v>
          </cell>
          <cell r="Y453">
            <v>0</v>
          </cell>
          <cell r="AA453">
            <v>0</v>
          </cell>
          <cell r="AJ453">
            <v>0</v>
          </cell>
          <cell r="AN453">
            <v>0</v>
          </cell>
          <cell r="AR453">
            <v>0</v>
          </cell>
          <cell r="AV453">
            <v>0</v>
          </cell>
          <cell r="AZ453">
            <v>0</v>
          </cell>
        </row>
        <row r="454">
          <cell r="Q454">
            <v>0</v>
          </cell>
          <cell r="S454">
            <v>0</v>
          </cell>
          <cell r="U454">
            <v>0</v>
          </cell>
          <cell r="V454">
            <v>0</v>
          </cell>
          <cell r="W454">
            <v>0</v>
          </cell>
          <cell r="Y454">
            <v>0</v>
          </cell>
          <cell r="AA454">
            <v>0</v>
          </cell>
          <cell r="AJ454">
            <v>-4685.083333333333</v>
          </cell>
          <cell r="AN454">
            <v>0</v>
          </cell>
          <cell r="AR454">
            <v>0</v>
          </cell>
          <cell r="AV454">
            <v>0</v>
          </cell>
          <cell r="AZ454">
            <v>0</v>
          </cell>
        </row>
        <row r="455">
          <cell r="Q455">
            <v>0</v>
          </cell>
          <cell r="S455">
            <v>0</v>
          </cell>
          <cell r="U455">
            <v>0</v>
          </cell>
          <cell r="V455">
            <v>0</v>
          </cell>
          <cell r="W455">
            <v>0</v>
          </cell>
          <cell r="Y455">
            <v>0</v>
          </cell>
          <cell r="AA455">
            <v>0</v>
          </cell>
          <cell r="AJ455">
            <v>626364.625</v>
          </cell>
          <cell r="AN455">
            <v>0</v>
          </cell>
          <cell r="AR455">
            <v>0</v>
          </cell>
          <cell r="AV455">
            <v>0</v>
          </cell>
          <cell r="AZ455">
            <v>0</v>
          </cell>
        </row>
        <row r="456">
          <cell r="Q456">
            <v>0</v>
          </cell>
          <cell r="S456">
            <v>0</v>
          </cell>
          <cell r="U456">
            <v>0</v>
          </cell>
          <cell r="V456">
            <v>0</v>
          </cell>
          <cell r="W456">
            <v>0</v>
          </cell>
          <cell r="Y456">
            <v>0</v>
          </cell>
          <cell r="AA456">
            <v>0</v>
          </cell>
          <cell r="AJ456">
            <v>0</v>
          </cell>
          <cell r="AN456">
            <v>0</v>
          </cell>
          <cell r="AR456">
            <v>0</v>
          </cell>
          <cell r="AV456">
            <v>0</v>
          </cell>
          <cell r="AZ456">
            <v>0</v>
          </cell>
        </row>
        <row r="457">
          <cell r="Q457">
            <v>0</v>
          </cell>
          <cell r="S457">
            <v>0</v>
          </cell>
          <cell r="U457">
            <v>0</v>
          </cell>
          <cell r="V457">
            <v>0</v>
          </cell>
          <cell r="W457">
            <v>0</v>
          </cell>
          <cell r="Y457">
            <v>0</v>
          </cell>
          <cell r="AA457">
            <v>0</v>
          </cell>
          <cell r="AJ457">
            <v>0</v>
          </cell>
          <cell r="AN457">
            <v>0</v>
          </cell>
          <cell r="AR457">
            <v>0</v>
          </cell>
          <cell r="AV457">
            <v>0</v>
          </cell>
          <cell r="AZ457">
            <v>0</v>
          </cell>
        </row>
        <row r="458">
          <cell r="Q458">
            <v>-122</v>
          </cell>
          <cell r="S458">
            <v>-122</v>
          </cell>
          <cell r="U458">
            <v>0</v>
          </cell>
          <cell r="V458">
            <v>0</v>
          </cell>
          <cell r="W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W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W460">
            <v>904156.2</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W461">
            <v>56012</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W462">
            <v>32261.3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W463">
            <v>123578.06</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W464">
            <v>0</v>
          </cell>
          <cell r="Y464">
            <v>0</v>
          </cell>
          <cell r="AA464">
            <v>0</v>
          </cell>
          <cell r="AJ464">
            <v>0</v>
          </cell>
          <cell r="AN464">
            <v>0</v>
          </cell>
          <cell r="AR464">
            <v>0</v>
          </cell>
          <cell r="AV464">
            <v>0</v>
          </cell>
          <cell r="AZ464">
            <v>0</v>
          </cell>
        </row>
        <row r="465">
          <cell r="Q465">
            <v>0</v>
          </cell>
          <cell r="S465">
            <v>0</v>
          </cell>
          <cell r="U465">
            <v>0</v>
          </cell>
          <cell r="V465">
            <v>0</v>
          </cell>
          <cell r="W465">
            <v>0</v>
          </cell>
          <cell r="Y465">
            <v>0</v>
          </cell>
          <cell r="AA465">
            <v>0</v>
          </cell>
          <cell r="AJ465">
            <v>0</v>
          </cell>
          <cell r="AN465">
            <v>0</v>
          </cell>
          <cell r="AR465">
            <v>0</v>
          </cell>
          <cell r="AV465">
            <v>0</v>
          </cell>
          <cell r="AZ465">
            <v>0</v>
          </cell>
        </row>
        <row r="466">
          <cell r="Q466">
            <v>0</v>
          </cell>
          <cell r="S466">
            <v>0</v>
          </cell>
          <cell r="U466">
            <v>0</v>
          </cell>
          <cell r="V466">
            <v>0</v>
          </cell>
          <cell r="W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W467">
            <v>2125605.7999999998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W468">
            <v>0</v>
          </cell>
          <cell r="Y468">
            <v>0</v>
          </cell>
          <cell r="AA468">
            <v>0</v>
          </cell>
          <cell r="AJ468">
            <v>0</v>
          </cell>
          <cell r="AN468">
            <v>0</v>
          </cell>
          <cell r="AR468">
            <v>0</v>
          </cell>
          <cell r="AV468">
            <v>0</v>
          </cell>
          <cell r="AZ468">
            <v>0</v>
          </cell>
        </row>
        <row r="469">
          <cell r="Q469">
            <v>0</v>
          </cell>
          <cell r="S469">
            <v>0</v>
          </cell>
          <cell r="U469">
            <v>0</v>
          </cell>
          <cell r="V469">
            <v>0</v>
          </cell>
          <cell r="W469">
            <v>0</v>
          </cell>
          <cell r="Y469">
            <v>0</v>
          </cell>
          <cell r="AA469">
            <v>0</v>
          </cell>
          <cell r="AJ469">
            <v>0</v>
          </cell>
          <cell r="AN469">
            <v>0</v>
          </cell>
          <cell r="AR469">
            <v>0</v>
          </cell>
          <cell r="AV469">
            <v>0</v>
          </cell>
          <cell r="AZ469">
            <v>0</v>
          </cell>
        </row>
        <row r="470">
          <cell r="Q470">
            <v>0</v>
          </cell>
          <cell r="S470">
            <v>0</v>
          </cell>
          <cell r="U470">
            <v>0</v>
          </cell>
          <cell r="V470">
            <v>0</v>
          </cell>
          <cell r="W470">
            <v>0</v>
          </cell>
          <cell r="Y470">
            <v>0</v>
          </cell>
          <cell r="AA470">
            <v>0</v>
          </cell>
          <cell r="AJ470">
            <v>0</v>
          </cell>
          <cell r="AN470">
            <v>0</v>
          </cell>
          <cell r="AR470">
            <v>0</v>
          </cell>
          <cell r="AV470">
            <v>0</v>
          </cell>
          <cell r="AZ470">
            <v>0</v>
          </cell>
        </row>
        <row r="471">
          <cell r="Q471">
            <v>138086.82999999999</v>
          </cell>
          <cell r="S471">
            <v>0</v>
          </cell>
          <cell r="U471">
            <v>0</v>
          </cell>
          <cell r="V471">
            <v>0</v>
          </cell>
          <cell r="W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W472">
            <v>0</v>
          </cell>
          <cell r="Y472">
            <v>0</v>
          </cell>
          <cell r="AA472">
            <v>0</v>
          </cell>
          <cell r="AJ472">
            <v>0</v>
          </cell>
          <cell r="AN472">
            <v>0</v>
          </cell>
          <cell r="AR472">
            <v>0</v>
          </cell>
          <cell r="AV472">
            <v>0</v>
          </cell>
          <cell r="AZ472">
            <v>0</v>
          </cell>
        </row>
        <row r="473">
          <cell r="Q473">
            <v>0</v>
          </cell>
          <cell r="S473">
            <v>0</v>
          </cell>
          <cell r="U473">
            <v>0</v>
          </cell>
          <cell r="V473">
            <v>0</v>
          </cell>
          <cell r="W473">
            <v>0</v>
          </cell>
          <cell r="Y473">
            <v>0</v>
          </cell>
          <cell r="AA473">
            <v>0</v>
          </cell>
          <cell r="AJ473">
            <v>0</v>
          </cell>
          <cell r="AN473">
            <v>0</v>
          </cell>
          <cell r="AR473">
            <v>0</v>
          </cell>
          <cell r="AV473">
            <v>0</v>
          </cell>
          <cell r="AZ473">
            <v>0</v>
          </cell>
        </row>
        <row r="474">
          <cell r="Q474">
            <v>0</v>
          </cell>
          <cell r="S474">
            <v>0</v>
          </cell>
          <cell r="U474">
            <v>0</v>
          </cell>
          <cell r="V474">
            <v>0</v>
          </cell>
          <cell r="W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W475">
            <v>1863320.76</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W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W477">
            <v>626873.63</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W478">
            <v>110488.15</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W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W480">
            <v>289388.90000000002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W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W482">
            <v>4784903.4000000004</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W483">
            <v>808657.59</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W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W485">
            <v>0</v>
          </cell>
          <cell r="Y485">
            <v>0</v>
          </cell>
          <cell r="AA485">
            <v>0</v>
          </cell>
          <cell r="AJ485">
            <v>0</v>
          </cell>
          <cell r="AN485">
            <v>0</v>
          </cell>
          <cell r="AR485">
            <v>0</v>
          </cell>
          <cell r="AV485">
            <v>0</v>
          </cell>
          <cell r="AZ485">
            <v>0</v>
          </cell>
        </row>
        <row r="486">
          <cell r="Q486">
            <v>0</v>
          </cell>
          <cell r="S486">
            <v>0</v>
          </cell>
          <cell r="U486">
            <v>0</v>
          </cell>
          <cell r="V486">
            <v>0</v>
          </cell>
          <cell r="W486">
            <v>0</v>
          </cell>
          <cell r="Y486">
            <v>0</v>
          </cell>
          <cell r="AA486">
            <v>0</v>
          </cell>
          <cell r="AJ486">
            <v>0</v>
          </cell>
          <cell r="AN486">
            <v>0</v>
          </cell>
          <cell r="AR486">
            <v>0</v>
          </cell>
          <cell r="AV486">
            <v>0</v>
          </cell>
          <cell r="AZ486">
            <v>0</v>
          </cell>
        </row>
        <row r="487">
          <cell r="Q487">
            <v>0</v>
          </cell>
          <cell r="S487">
            <v>0</v>
          </cell>
          <cell r="U487">
            <v>0</v>
          </cell>
          <cell r="V487">
            <v>0</v>
          </cell>
          <cell r="W487">
            <v>0</v>
          </cell>
          <cell r="Y487">
            <v>0</v>
          </cell>
          <cell r="AA487">
            <v>0</v>
          </cell>
          <cell r="AJ487">
            <v>0</v>
          </cell>
          <cell r="AN487">
            <v>0</v>
          </cell>
          <cell r="AR487">
            <v>0</v>
          </cell>
          <cell r="AV487">
            <v>0</v>
          </cell>
          <cell r="AZ487">
            <v>0</v>
          </cell>
        </row>
        <row r="488">
          <cell r="Q488">
            <v>0</v>
          </cell>
          <cell r="S488">
            <v>0</v>
          </cell>
          <cell r="U488">
            <v>0</v>
          </cell>
          <cell r="V488">
            <v>0</v>
          </cell>
          <cell r="W488">
            <v>0</v>
          </cell>
          <cell r="Y488">
            <v>0</v>
          </cell>
          <cell r="AA488">
            <v>0</v>
          </cell>
          <cell r="AJ488">
            <v>0</v>
          </cell>
          <cell r="AN488">
            <v>0</v>
          </cell>
          <cell r="AR488">
            <v>0</v>
          </cell>
          <cell r="AV488">
            <v>0</v>
          </cell>
          <cell r="AZ488">
            <v>0</v>
          </cell>
        </row>
        <row r="489">
          <cell r="Q489">
            <v>0</v>
          </cell>
          <cell r="S489">
            <v>0</v>
          </cell>
          <cell r="U489">
            <v>0</v>
          </cell>
          <cell r="V489">
            <v>0</v>
          </cell>
          <cell r="W489">
            <v>0</v>
          </cell>
          <cell r="Y489">
            <v>0</v>
          </cell>
          <cell r="AA489">
            <v>0</v>
          </cell>
          <cell r="AJ489">
            <v>0</v>
          </cell>
          <cell r="AN489">
            <v>0</v>
          </cell>
          <cell r="AR489">
            <v>0</v>
          </cell>
          <cell r="AV489">
            <v>0</v>
          </cell>
          <cell r="AZ489">
            <v>0</v>
          </cell>
        </row>
        <row r="490">
          <cell r="Q490">
            <v>0</v>
          </cell>
          <cell r="S490">
            <v>0</v>
          </cell>
          <cell r="U490">
            <v>0</v>
          </cell>
          <cell r="V490">
            <v>0</v>
          </cell>
          <cell r="W490">
            <v>0</v>
          </cell>
          <cell r="Y490">
            <v>0</v>
          </cell>
          <cell r="AA490">
            <v>0</v>
          </cell>
          <cell r="AJ490">
            <v>0</v>
          </cell>
          <cell r="AN490">
            <v>0</v>
          </cell>
          <cell r="AR490">
            <v>0</v>
          </cell>
          <cell r="AV490">
            <v>0</v>
          </cell>
          <cell r="AZ490">
            <v>0</v>
          </cell>
        </row>
        <row r="491">
          <cell r="Q491">
            <v>0</v>
          </cell>
          <cell r="S491">
            <v>0</v>
          </cell>
          <cell r="U491">
            <v>0</v>
          </cell>
          <cell r="V491">
            <v>0</v>
          </cell>
          <cell r="W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W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W493">
            <v>1782120.24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W494">
            <v>756587.53</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W495">
            <v>2282269.2400000002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W496">
            <v>2654366.9500000002</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W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W498">
            <v>3515689.22</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W499">
            <v>7575862.1600000001</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W500">
            <v>7575862.1699999999</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W501">
            <v>6623307.2400000002</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W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W506">
            <v>0</v>
          </cell>
          <cell r="Y506">
            <v>0</v>
          </cell>
          <cell r="AA506">
            <v>0</v>
          </cell>
          <cell r="AJ506">
            <v>0</v>
          </cell>
          <cell r="AN506">
            <v>0</v>
          </cell>
          <cell r="AR506">
            <v>0</v>
          </cell>
          <cell r="AV506">
            <v>0</v>
          </cell>
          <cell r="AZ506">
            <v>0</v>
          </cell>
        </row>
        <row r="507">
          <cell r="Q507">
            <v>0</v>
          </cell>
          <cell r="S507">
            <v>0</v>
          </cell>
          <cell r="U507">
            <v>0</v>
          </cell>
          <cell r="V507">
            <v>0</v>
          </cell>
          <cell r="W507">
            <v>0</v>
          </cell>
          <cell r="Y507">
            <v>0</v>
          </cell>
          <cell r="AA507">
            <v>0</v>
          </cell>
          <cell r="AJ507">
            <v>0</v>
          </cell>
          <cell r="AN507">
            <v>0</v>
          </cell>
          <cell r="AR507">
            <v>0</v>
          </cell>
          <cell r="AV507">
            <v>0</v>
          </cell>
          <cell r="AZ507">
            <v>0</v>
          </cell>
        </row>
        <row r="508">
          <cell r="Q508">
            <v>0</v>
          </cell>
          <cell r="S508">
            <v>0</v>
          </cell>
          <cell r="U508">
            <v>0</v>
          </cell>
          <cell r="V508">
            <v>0</v>
          </cell>
          <cell r="W508">
            <v>0</v>
          </cell>
          <cell r="Y508">
            <v>0</v>
          </cell>
          <cell r="AA508">
            <v>0</v>
          </cell>
          <cell r="AJ508">
            <v>0</v>
          </cell>
          <cell r="AN508">
            <v>0</v>
          </cell>
          <cell r="AR508">
            <v>0</v>
          </cell>
          <cell r="AV508">
            <v>0</v>
          </cell>
          <cell r="AZ508">
            <v>0</v>
          </cell>
        </row>
        <row r="509">
          <cell r="Q509">
            <v>2125913.37</v>
          </cell>
          <cell r="S509">
            <v>937910.71</v>
          </cell>
          <cell r="U509">
            <v>0</v>
          </cell>
          <cell r="V509">
            <v>0</v>
          </cell>
          <cell r="W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W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W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W512">
            <v>2072992.11</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W513">
            <v>74287177</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W514">
            <v>22978733.390000001</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W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W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W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W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W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W521">
            <v>-8158581.7400000002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W523">
            <v>94499754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W524">
            <v>5883954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W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W526">
            <v>29719799.27</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W527">
            <v>41932335.869999997</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W528">
            <v>7826290.0300000003</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W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W530">
            <v>11385464.85</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W531">
            <v>-12970919.609999999</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W532">
            <v>2079871</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W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W535">
            <v>777056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W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W537">
            <v>0</v>
          </cell>
          <cell r="Y537">
            <v>0</v>
          </cell>
          <cell r="AA537">
            <v>0</v>
          </cell>
          <cell r="AJ537">
            <v>0</v>
          </cell>
          <cell r="AN537">
            <v>0</v>
          </cell>
          <cell r="AR537">
            <v>0</v>
          </cell>
          <cell r="AV537">
            <v>0</v>
          </cell>
          <cell r="AZ537">
            <v>0</v>
          </cell>
        </row>
        <row r="538">
          <cell r="Q538">
            <v>65629.84</v>
          </cell>
          <cell r="S538">
            <v>0</v>
          </cell>
          <cell r="U538">
            <v>0</v>
          </cell>
          <cell r="V538">
            <v>0</v>
          </cell>
          <cell r="W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W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W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W541">
            <v>1444706.66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W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W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W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W545">
            <v>873358.39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W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W547">
            <v>46622.18</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W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W549">
            <v>119614004.69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W550">
            <v>-873358.39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W551">
            <v>2102916.4500000002</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W552">
            <v>8433833</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W553">
            <v>1277860.1000000001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W554">
            <v>1501.03</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W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W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W557">
            <v>-1334142.21</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W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W559">
            <v>2085392.47</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W560">
            <v>-29143295.739999998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W561">
            <v>84678132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W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W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W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W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W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W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W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W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W570">
            <v>-15438160</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W571">
            <v>15438160</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W572">
            <v>1376425</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W573">
            <v>0</v>
          </cell>
          <cell r="Y573">
            <v>0</v>
          </cell>
          <cell r="AA573">
            <v>0</v>
          </cell>
          <cell r="AJ573">
            <v>0</v>
          </cell>
          <cell r="AN573">
            <v>0</v>
          </cell>
          <cell r="AR573">
            <v>0</v>
          </cell>
          <cell r="AV573">
            <v>0</v>
          </cell>
          <cell r="AZ573">
            <v>0</v>
          </cell>
        </row>
        <row r="574">
          <cell r="Q574">
            <v>-57848</v>
          </cell>
          <cell r="S574">
            <v>-57848</v>
          </cell>
          <cell r="U574">
            <v>-57848</v>
          </cell>
          <cell r="V574">
            <v>-57848</v>
          </cell>
          <cell r="W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W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W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W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W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W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W580">
            <v>-20856556</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W581">
            <v>20856556</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W583">
            <v>2796.99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W584">
            <v>9076605.2200000007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W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W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W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W588">
            <v>2600531.56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W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W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W596">
            <v>1934984.95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W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W599">
            <v>0</v>
          </cell>
          <cell r="Y599">
            <v>0</v>
          </cell>
          <cell r="AA599">
            <v>0</v>
          </cell>
          <cell r="AJ599">
            <v>0</v>
          </cell>
          <cell r="AN599">
            <v>0</v>
          </cell>
          <cell r="AR599">
            <v>0</v>
          </cell>
          <cell r="AV599">
            <v>0</v>
          </cell>
          <cell r="AZ599">
            <v>0</v>
          </cell>
        </row>
        <row r="600">
          <cell r="Q600">
            <v>0</v>
          </cell>
          <cell r="S600">
            <v>0</v>
          </cell>
          <cell r="U600">
            <v>0</v>
          </cell>
          <cell r="V600">
            <v>0</v>
          </cell>
          <cell r="W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W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W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W604">
            <v>0</v>
          </cell>
          <cell r="Y604">
            <v>0</v>
          </cell>
          <cell r="AA604">
            <v>0</v>
          </cell>
          <cell r="AJ604">
            <v>0</v>
          </cell>
          <cell r="AN604">
            <v>0</v>
          </cell>
          <cell r="AR604">
            <v>0</v>
          </cell>
          <cell r="AV604">
            <v>0</v>
          </cell>
          <cell r="AZ604">
            <v>0</v>
          </cell>
        </row>
        <row r="605">
          <cell r="Q605">
            <v>0</v>
          </cell>
          <cell r="S605">
            <v>0</v>
          </cell>
          <cell r="U605">
            <v>0</v>
          </cell>
          <cell r="V605">
            <v>0</v>
          </cell>
          <cell r="W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W606">
            <v>28377.82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W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W608">
            <v>0</v>
          </cell>
          <cell r="Y608">
            <v>0</v>
          </cell>
          <cell r="AA608">
            <v>0</v>
          </cell>
          <cell r="AJ608">
            <v>0</v>
          </cell>
          <cell r="AN608">
            <v>0</v>
          </cell>
          <cell r="AR608">
            <v>0</v>
          </cell>
          <cell r="AV608">
            <v>0</v>
          </cell>
          <cell r="AZ608">
            <v>0</v>
          </cell>
        </row>
        <row r="609">
          <cell r="Q609">
            <v>0</v>
          </cell>
          <cell r="S609">
            <v>307.75</v>
          </cell>
          <cell r="U609">
            <v>0</v>
          </cell>
          <cell r="V609">
            <v>0</v>
          </cell>
          <cell r="W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W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W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W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W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W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W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W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W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W620">
            <v>224685.54</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W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W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W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W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W625">
            <v>583715.23</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W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W629">
            <v>0</v>
          </cell>
          <cell r="Y629">
            <v>0</v>
          </cell>
          <cell r="AA629">
            <v>0</v>
          </cell>
          <cell r="AJ629">
            <v>0</v>
          </cell>
          <cell r="AN629">
            <v>0</v>
          </cell>
          <cell r="AR629">
            <v>0</v>
          </cell>
          <cell r="AV629">
            <v>0</v>
          </cell>
          <cell r="AZ629">
            <v>0</v>
          </cell>
        </row>
        <row r="630">
          <cell r="Q630">
            <v>0</v>
          </cell>
          <cell r="S630">
            <v>0</v>
          </cell>
          <cell r="U630">
            <v>0</v>
          </cell>
          <cell r="V630">
            <v>0</v>
          </cell>
          <cell r="W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W631">
            <v>249978.82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W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W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W634">
            <v>53995.63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W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W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W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W638">
            <v>0</v>
          </cell>
          <cell r="Y638">
            <v>0</v>
          </cell>
          <cell r="AA638">
            <v>0</v>
          </cell>
          <cell r="AJ638">
            <v>0</v>
          </cell>
          <cell r="AN638">
            <v>0</v>
          </cell>
          <cell r="AR638">
            <v>0</v>
          </cell>
          <cell r="AV638">
            <v>0</v>
          </cell>
          <cell r="AZ638">
            <v>0</v>
          </cell>
        </row>
        <row r="639">
          <cell r="Q639">
            <v>0</v>
          </cell>
          <cell r="S639">
            <v>0</v>
          </cell>
          <cell r="U639">
            <v>0</v>
          </cell>
          <cell r="V639">
            <v>0</v>
          </cell>
          <cell r="W639">
            <v>0</v>
          </cell>
          <cell r="Y639">
            <v>0</v>
          </cell>
          <cell r="AA639">
            <v>0</v>
          </cell>
          <cell r="AJ639">
            <v>0</v>
          </cell>
          <cell r="AN639">
            <v>0</v>
          </cell>
          <cell r="AR639">
            <v>0</v>
          </cell>
          <cell r="AV639">
            <v>0</v>
          </cell>
          <cell r="AZ639">
            <v>0</v>
          </cell>
        </row>
        <row r="640">
          <cell r="Q640">
            <v>0</v>
          </cell>
          <cell r="S640">
            <v>0</v>
          </cell>
          <cell r="U640">
            <v>0</v>
          </cell>
          <cell r="V640">
            <v>0</v>
          </cell>
          <cell r="W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W641">
            <v>34709022.649999999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W642">
            <v>13455308.98</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W643">
            <v>1347595.9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W644">
            <v>646321.62</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W646">
            <v>7637615.7000000002</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W647">
            <v>3692209.54</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W649">
            <v>-43694234.25</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W650">
            <v>-17793840.140000001</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W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W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W653">
            <v>1356767</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W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W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W656">
            <v>1971597.45</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W657">
            <v>-255445.13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W658">
            <v>185297.27</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W659">
            <v>928016.75</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W660">
            <v>0</v>
          </cell>
          <cell r="Y660">
            <v>0</v>
          </cell>
          <cell r="AA660">
            <v>0</v>
          </cell>
          <cell r="AJ660">
            <v>0</v>
          </cell>
          <cell r="AN660">
            <v>0</v>
          </cell>
          <cell r="AR660">
            <v>0</v>
          </cell>
          <cell r="AV660">
            <v>0</v>
          </cell>
          <cell r="AZ660">
            <v>0</v>
          </cell>
        </row>
        <row r="661">
          <cell r="Q661">
            <v>0</v>
          </cell>
          <cell r="S661">
            <v>0</v>
          </cell>
          <cell r="U661">
            <v>0</v>
          </cell>
          <cell r="V661">
            <v>0</v>
          </cell>
          <cell r="W661">
            <v>0</v>
          </cell>
          <cell r="Y661">
            <v>0</v>
          </cell>
          <cell r="AA661">
            <v>0</v>
          </cell>
          <cell r="AJ661">
            <v>0</v>
          </cell>
          <cell r="AN661">
            <v>0</v>
          </cell>
          <cell r="AR661">
            <v>0</v>
          </cell>
          <cell r="AV661">
            <v>0</v>
          </cell>
          <cell r="AZ661">
            <v>0</v>
          </cell>
        </row>
        <row r="662">
          <cell r="Q662">
            <v>0</v>
          </cell>
          <cell r="S662">
            <v>0</v>
          </cell>
          <cell r="U662">
            <v>0</v>
          </cell>
          <cell r="V662">
            <v>0</v>
          </cell>
          <cell r="W662">
            <v>0</v>
          </cell>
          <cell r="Y662">
            <v>0</v>
          </cell>
          <cell r="AA662">
            <v>0</v>
          </cell>
          <cell r="AJ662">
            <v>0</v>
          </cell>
          <cell r="AN662">
            <v>0</v>
          </cell>
          <cell r="AR662">
            <v>0</v>
          </cell>
          <cell r="AV662">
            <v>0</v>
          </cell>
          <cell r="AZ662">
            <v>0</v>
          </cell>
        </row>
        <row r="663">
          <cell r="Q663">
            <v>0</v>
          </cell>
          <cell r="S663">
            <v>0</v>
          </cell>
          <cell r="U663">
            <v>0</v>
          </cell>
          <cell r="V663">
            <v>0</v>
          </cell>
          <cell r="W663">
            <v>0</v>
          </cell>
          <cell r="Y663">
            <v>0</v>
          </cell>
          <cell r="AA663">
            <v>0</v>
          </cell>
          <cell r="AJ663">
            <v>0</v>
          </cell>
          <cell r="AN663">
            <v>0</v>
          </cell>
          <cell r="AR663">
            <v>0</v>
          </cell>
          <cell r="AV663">
            <v>0</v>
          </cell>
          <cell r="AZ663">
            <v>0</v>
          </cell>
        </row>
        <row r="664">
          <cell r="Q664">
            <v>280246.48</v>
          </cell>
          <cell r="S664">
            <v>0</v>
          </cell>
          <cell r="U664">
            <v>13157.17</v>
          </cell>
          <cell r="V664">
            <v>13157.17</v>
          </cell>
          <cell r="W664">
            <v>300828.67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W665">
            <v>0</v>
          </cell>
          <cell r="Y665">
            <v>0</v>
          </cell>
          <cell r="AA665">
            <v>0</v>
          </cell>
          <cell r="AJ665">
            <v>0</v>
          </cell>
          <cell r="AN665">
            <v>0</v>
          </cell>
          <cell r="AR665">
            <v>0</v>
          </cell>
          <cell r="AV665">
            <v>0</v>
          </cell>
          <cell r="AZ665">
            <v>0</v>
          </cell>
        </row>
        <row r="666">
          <cell r="Q666">
            <v>0</v>
          </cell>
          <cell r="S666">
            <v>0</v>
          </cell>
          <cell r="U666">
            <v>0</v>
          </cell>
          <cell r="V666">
            <v>0</v>
          </cell>
          <cell r="W666">
            <v>0</v>
          </cell>
          <cell r="Y666">
            <v>0</v>
          </cell>
          <cell r="AA666">
            <v>0</v>
          </cell>
          <cell r="AJ666">
            <v>0</v>
          </cell>
          <cell r="AN666">
            <v>0</v>
          </cell>
          <cell r="AR666">
            <v>0</v>
          </cell>
          <cell r="AV666">
            <v>0</v>
          </cell>
          <cell r="AZ666">
            <v>0</v>
          </cell>
        </row>
        <row r="667">
          <cell r="Q667">
            <v>0</v>
          </cell>
          <cell r="S667">
            <v>0</v>
          </cell>
          <cell r="U667">
            <v>0</v>
          </cell>
          <cell r="V667">
            <v>0</v>
          </cell>
          <cell r="W667">
            <v>0</v>
          </cell>
          <cell r="Y667">
            <v>0</v>
          </cell>
          <cell r="AA667">
            <v>0</v>
          </cell>
          <cell r="AJ667">
            <v>0</v>
          </cell>
          <cell r="AN667">
            <v>0</v>
          </cell>
          <cell r="AR667">
            <v>0</v>
          </cell>
          <cell r="AV667">
            <v>0</v>
          </cell>
          <cell r="AZ667">
            <v>0</v>
          </cell>
        </row>
        <row r="668">
          <cell r="Q668">
            <v>0</v>
          </cell>
          <cell r="S668">
            <v>0</v>
          </cell>
          <cell r="U668">
            <v>0</v>
          </cell>
          <cell r="V668">
            <v>0</v>
          </cell>
          <cell r="W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W670">
            <v>0</v>
          </cell>
          <cell r="Y670">
            <v>0</v>
          </cell>
          <cell r="AA670">
            <v>0</v>
          </cell>
          <cell r="AJ670">
            <v>0</v>
          </cell>
          <cell r="AN670">
            <v>0</v>
          </cell>
          <cell r="AR670">
            <v>0</v>
          </cell>
          <cell r="AV670">
            <v>0</v>
          </cell>
          <cell r="AZ670">
            <v>0</v>
          </cell>
        </row>
        <row r="671">
          <cell r="Q671">
            <v>0</v>
          </cell>
          <cell r="S671">
            <v>0</v>
          </cell>
          <cell r="U671">
            <v>0</v>
          </cell>
          <cell r="V671">
            <v>0</v>
          </cell>
          <cell r="W671">
            <v>0</v>
          </cell>
          <cell r="Y671">
            <v>0</v>
          </cell>
          <cell r="AA671">
            <v>0</v>
          </cell>
          <cell r="AJ671">
            <v>0</v>
          </cell>
          <cell r="AN671">
            <v>0</v>
          </cell>
          <cell r="AR671">
            <v>0</v>
          </cell>
          <cell r="AV671">
            <v>0</v>
          </cell>
          <cell r="AZ671">
            <v>0</v>
          </cell>
        </row>
        <row r="672">
          <cell r="Q672">
            <v>0</v>
          </cell>
          <cell r="S672">
            <v>0</v>
          </cell>
          <cell r="U672">
            <v>0</v>
          </cell>
          <cell r="V672">
            <v>0</v>
          </cell>
          <cell r="W672">
            <v>0</v>
          </cell>
          <cell r="Y672">
            <v>0</v>
          </cell>
          <cell r="AA672">
            <v>0</v>
          </cell>
          <cell r="AJ672">
            <v>0</v>
          </cell>
          <cell r="AN672">
            <v>0</v>
          </cell>
          <cell r="AR672">
            <v>0</v>
          </cell>
          <cell r="AV672">
            <v>0</v>
          </cell>
          <cell r="AZ672">
            <v>0</v>
          </cell>
        </row>
        <row r="673">
          <cell r="U673">
            <v>0</v>
          </cell>
          <cell r="V673">
            <v>0</v>
          </cell>
          <cell r="W673">
            <v>0</v>
          </cell>
          <cell r="Y673">
            <v>0</v>
          </cell>
          <cell r="AA673">
            <v>0</v>
          </cell>
          <cell r="AJ673">
            <v>0</v>
          </cell>
          <cell r="AN673">
            <v>0</v>
          </cell>
          <cell r="AR673">
            <v>0</v>
          </cell>
          <cell r="AV673">
            <v>0</v>
          </cell>
          <cell r="AZ673">
            <v>0</v>
          </cell>
        </row>
        <row r="674">
          <cell r="U674">
            <v>0</v>
          </cell>
          <cell r="V674">
            <v>0</v>
          </cell>
          <cell r="W674">
            <v>0</v>
          </cell>
          <cell r="Y674">
            <v>0</v>
          </cell>
          <cell r="AA674">
            <v>0</v>
          </cell>
          <cell r="AJ674">
            <v>0</v>
          </cell>
          <cell r="AN674">
            <v>0</v>
          </cell>
          <cell r="AR674">
            <v>0</v>
          </cell>
          <cell r="AV674">
            <v>0</v>
          </cell>
          <cell r="AZ674">
            <v>0</v>
          </cell>
        </row>
        <row r="675">
          <cell r="Q675">
            <v>0</v>
          </cell>
          <cell r="S675">
            <v>0</v>
          </cell>
          <cell r="U675">
            <v>0</v>
          </cell>
          <cell r="V675">
            <v>0</v>
          </cell>
          <cell r="W675">
            <v>0</v>
          </cell>
          <cell r="Y675">
            <v>0</v>
          </cell>
          <cell r="AA675">
            <v>0</v>
          </cell>
          <cell r="AJ675">
            <v>0</v>
          </cell>
          <cell r="AN675">
            <v>0</v>
          </cell>
          <cell r="AR675">
            <v>0</v>
          </cell>
          <cell r="AV675">
            <v>0</v>
          </cell>
          <cell r="AZ675">
            <v>0</v>
          </cell>
        </row>
        <row r="676">
          <cell r="Q676">
            <v>0</v>
          </cell>
          <cell r="S676">
            <v>0</v>
          </cell>
          <cell r="U676">
            <v>0</v>
          </cell>
          <cell r="V676">
            <v>0</v>
          </cell>
          <cell r="W676">
            <v>0</v>
          </cell>
          <cell r="Y676">
            <v>0</v>
          </cell>
          <cell r="AA676">
            <v>0</v>
          </cell>
          <cell r="AJ676">
            <v>0</v>
          </cell>
          <cell r="AN676">
            <v>0</v>
          </cell>
          <cell r="AR676">
            <v>0</v>
          </cell>
          <cell r="AV676">
            <v>0</v>
          </cell>
          <cell r="AZ676">
            <v>0</v>
          </cell>
        </row>
        <row r="677">
          <cell r="Q677">
            <v>0</v>
          </cell>
          <cell r="S677">
            <v>0</v>
          </cell>
          <cell r="U677">
            <v>0</v>
          </cell>
          <cell r="V677">
            <v>0</v>
          </cell>
          <cell r="W677">
            <v>0</v>
          </cell>
          <cell r="Y677">
            <v>0</v>
          </cell>
          <cell r="AA677">
            <v>0</v>
          </cell>
          <cell r="AJ677">
            <v>0</v>
          </cell>
          <cell r="AN677">
            <v>0</v>
          </cell>
          <cell r="AR677">
            <v>0</v>
          </cell>
          <cell r="AV677">
            <v>0</v>
          </cell>
          <cell r="AZ677">
            <v>0</v>
          </cell>
        </row>
        <row r="678">
          <cell r="Q678">
            <v>0</v>
          </cell>
          <cell r="S678">
            <v>0</v>
          </cell>
          <cell r="U678">
            <v>0</v>
          </cell>
          <cell r="V678">
            <v>0</v>
          </cell>
          <cell r="W678">
            <v>0</v>
          </cell>
          <cell r="Y678">
            <v>0</v>
          </cell>
          <cell r="AA678">
            <v>0</v>
          </cell>
          <cell r="AJ678">
            <v>0</v>
          </cell>
          <cell r="AN678">
            <v>0</v>
          </cell>
          <cell r="AR678">
            <v>0</v>
          </cell>
          <cell r="AV678">
            <v>0</v>
          </cell>
          <cell r="AZ678">
            <v>0</v>
          </cell>
        </row>
        <row r="679">
          <cell r="Q679">
            <v>0</v>
          </cell>
          <cell r="S679">
            <v>0</v>
          </cell>
          <cell r="U679">
            <v>0</v>
          </cell>
          <cell r="V679">
            <v>0</v>
          </cell>
          <cell r="W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W681">
            <v>0</v>
          </cell>
          <cell r="Y681">
            <v>0</v>
          </cell>
          <cell r="AA681">
            <v>0</v>
          </cell>
          <cell r="AJ681">
            <v>0</v>
          </cell>
          <cell r="AN681">
            <v>0</v>
          </cell>
          <cell r="AR681">
            <v>0</v>
          </cell>
          <cell r="AV681">
            <v>0</v>
          </cell>
          <cell r="AZ681">
            <v>0</v>
          </cell>
        </row>
        <row r="682">
          <cell r="Q682">
            <v>0</v>
          </cell>
          <cell r="S682">
            <v>0</v>
          </cell>
          <cell r="U682">
            <v>0</v>
          </cell>
          <cell r="V682">
            <v>0</v>
          </cell>
          <cell r="W682">
            <v>0</v>
          </cell>
          <cell r="Y682">
            <v>0</v>
          </cell>
          <cell r="AA682">
            <v>0</v>
          </cell>
          <cell r="AJ682">
            <v>0</v>
          </cell>
          <cell r="AN682">
            <v>0</v>
          </cell>
          <cell r="AR682">
            <v>0</v>
          </cell>
          <cell r="AV682">
            <v>0</v>
          </cell>
          <cell r="AZ682">
            <v>0</v>
          </cell>
        </row>
        <row r="683">
          <cell r="Q683">
            <v>0</v>
          </cell>
          <cell r="S683">
            <v>0</v>
          </cell>
          <cell r="U683">
            <v>0</v>
          </cell>
          <cell r="V683">
            <v>0</v>
          </cell>
          <cell r="W683">
            <v>0</v>
          </cell>
          <cell r="Y683">
            <v>0</v>
          </cell>
          <cell r="AA683">
            <v>0</v>
          </cell>
          <cell r="AJ683">
            <v>0</v>
          </cell>
          <cell r="AN683">
            <v>0</v>
          </cell>
          <cell r="AR683">
            <v>0</v>
          </cell>
          <cell r="AV683">
            <v>0</v>
          </cell>
          <cell r="AZ683">
            <v>0</v>
          </cell>
        </row>
        <row r="684">
          <cell r="U684">
            <v>0</v>
          </cell>
          <cell r="V684">
            <v>0</v>
          </cell>
          <cell r="W684">
            <v>0</v>
          </cell>
          <cell r="Y684">
            <v>0</v>
          </cell>
          <cell r="AA684">
            <v>0</v>
          </cell>
          <cell r="AJ684">
            <v>0</v>
          </cell>
          <cell r="AN684">
            <v>-8.3333333333333339E-4</v>
          </cell>
          <cell r="AR684">
            <v>-8.3333333333333339E-4</v>
          </cell>
          <cell r="AV684">
            <v>-8.3333333333333339E-4</v>
          </cell>
          <cell r="AZ684">
            <v>0</v>
          </cell>
        </row>
        <row r="685">
          <cell r="U685">
            <v>0</v>
          </cell>
          <cell r="V685">
            <v>0</v>
          </cell>
          <cell r="W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W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W688">
            <v>-96681.95</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W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W690">
            <v>-166710.67000000001</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W691">
            <v>1124580.44</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W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W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W694">
            <v>1763383.43</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W695">
            <v>35.159999999999997</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W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W697">
            <v>643221.56999999995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W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W699">
            <v>8827.93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W700">
            <v>0</v>
          </cell>
          <cell r="Y700">
            <v>0</v>
          </cell>
          <cell r="AA700">
            <v>0</v>
          </cell>
          <cell r="AJ700">
            <v>0</v>
          </cell>
          <cell r="AN700">
            <v>0</v>
          </cell>
          <cell r="AR700">
            <v>0</v>
          </cell>
          <cell r="AV700">
            <v>0</v>
          </cell>
          <cell r="AZ700">
            <v>0</v>
          </cell>
        </row>
        <row r="701">
          <cell r="Q701">
            <v>0</v>
          </cell>
          <cell r="S701">
            <v>0</v>
          </cell>
          <cell r="U701">
            <v>0</v>
          </cell>
          <cell r="V701">
            <v>0</v>
          </cell>
          <cell r="W701">
            <v>0</v>
          </cell>
          <cell r="Y701">
            <v>0</v>
          </cell>
          <cell r="AA701">
            <v>0</v>
          </cell>
          <cell r="AJ701">
            <v>0</v>
          </cell>
          <cell r="AN701">
            <v>0</v>
          </cell>
          <cell r="AR701">
            <v>0</v>
          </cell>
          <cell r="AV701">
            <v>0</v>
          </cell>
          <cell r="AZ701">
            <v>0</v>
          </cell>
        </row>
        <row r="702">
          <cell r="Q702">
            <v>0</v>
          </cell>
          <cell r="S702">
            <v>0</v>
          </cell>
          <cell r="U702">
            <v>0</v>
          </cell>
          <cell r="V702">
            <v>0</v>
          </cell>
          <cell r="W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W703">
            <v>704.77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W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W705">
            <v>-124317.97</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W706">
            <v>692691.08</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W707">
            <v>124317.97</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W708">
            <v>76533.61</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W709">
            <v>0</v>
          </cell>
          <cell r="Y709">
            <v>0</v>
          </cell>
          <cell r="AA709">
            <v>0</v>
          </cell>
          <cell r="AJ709">
            <v>0</v>
          </cell>
          <cell r="AN709">
            <v>0</v>
          </cell>
          <cell r="AR709">
            <v>0</v>
          </cell>
          <cell r="AV709">
            <v>0</v>
          </cell>
          <cell r="AZ709">
            <v>0</v>
          </cell>
        </row>
        <row r="710">
          <cell r="Q710">
            <v>798675.66</v>
          </cell>
          <cell r="S710">
            <v>0</v>
          </cell>
          <cell r="U710">
            <v>0</v>
          </cell>
          <cell r="V710">
            <v>0</v>
          </cell>
          <cell r="W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W711">
            <v>0</v>
          </cell>
          <cell r="Y711">
            <v>0</v>
          </cell>
          <cell r="AA711">
            <v>0</v>
          </cell>
          <cell r="AJ711">
            <v>0</v>
          </cell>
          <cell r="AN711">
            <v>0</v>
          </cell>
          <cell r="AR711">
            <v>0</v>
          </cell>
          <cell r="AV711">
            <v>0</v>
          </cell>
          <cell r="AZ711">
            <v>0</v>
          </cell>
        </row>
        <row r="712">
          <cell r="Q712">
            <v>22434.03</v>
          </cell>
          <cell r="S712">
            <v>0</v>
          </cell>
          <cell r="U712">
            <v>0</v>
          </cell>
          <cell r="V712">
            <v>0</v>
          </cell>
          <cell r="W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W713">
            <v>12651.14</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W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W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W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W717">
            <v>0</v>
          </cell>
          <cell r="Y717">
            <v>0</v>
          </cell>
          <cell r="AA717">
            <v>0</v>
          </cell>
          <cell r="AJ717">
            <v>0</v>
          </cell>
          <cell r="AN717">
            <v>0</v>
          </cell>
          <cell r="AR717">
            <v>0</v>
          </cell>
          <cell r="AV717">
            <v>0</v>
          </cell>
          <cell r="AZ717">
            <v>0</v>
          </cell>
        </row>
        <row r="718">
          <cell r="Q718">
            <v>0</v>
          </cell>
          <cell r="S718">
            <v>0</v>
          </cell>
          <cell r="U718">
            <v>0</v>
          </cell>
          <cell r="V718">
            <v>0</v>
          </cell>
          <cell r="W718">
            <v>0</v>
          </cell>
          <cell r="Y718">
            <v>0</v>
          </cell>
          <cell r="AA718">
            <v>0</v>
          </cell>
          <cell r="AJ718">
            <v>1832.9875</v>
          </cell>
          <cell r="AN718">
            <v>0</v>
          </cell>
          <cell r="AR718">
            <v>0</v>
          </cell>
          <cell r="AV718">
            <v>0</v>
          </cell>
          <cell r="AZ718">
            <v>0</v>
          </cell>
        </row>
        <row r="719">
          <cell r="U719">
            <v>30871.599999999999</v>
          </cell>
          <cell r="V719">
            <v>31131.599999999999</v>
          </cell>
          <cell r="W719">
            <v>32709.29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W720">
            <v>7813631</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W722">
            <v>-1206106.26</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W723">
            <v>15607624</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W724">
            <v>-49767.55</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W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W726">
            <v>88905.24</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W727">
            <v>0</v>
          </cell>
          <cell r="Y727">
            <v>0</v>
          </cell>
          <cell r="AA727">
            <v>0</v>
          </cell>
          <cell r="AJ727">
            <v>0</v>
          </cell>
          <cell r="AN727">
            <v>0</v>
          </cell>
          <cell r="AR727">
            <v>0</v>
          </cell>
          <cell r="AV727">
            <v>0</v>
          </cell>
          <cell r="AZ727">
            <v>0</v>
          </cell>
        </row>
        <row r="728">
          <cell r="Q728">
            <v>0</v>
          </cell>
          <cell r="S728">
            <v>0</v>
          </cell>
          <cell r="U728">
            <v>0</v>
          </cell>
          <cell r="V728">
            <v>0</v>
          </cell>
          <cell r="W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W729">
            <v>134036097.37</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W730">
            <v>144904.6</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W731">
            <v>0</v>
          </cell>
          <cell r="Y731">
            <v>0</v>
          </cell>
          <cell r="AA731">
            <v>0</v>
          </cell>
          <cell r="AJ731">
            <v>-383455.83333333331</v>
          </cell>
          <cell r="AN731">
            <v>-484363.33333333331</v>
          </cell>
          <cell r="AR731">
            <v>-484363.33333333331</v>
          </cell>
          <cell r="AV731">
            <v>-100907.5</v>
          </cell>
          <cell r="AZ731">
            <v>0</v>
          </cell>
        </row>
        <row r="732">
          <cell r="W732">
            <v>1015374</v>
          </cell>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W733">
            <v>9346571</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W734">
            <v>71870994</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W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W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W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W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W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W745">
            <v>0</v>
          </cell>
          <cell r="Y745">
            <v>0</v>
          </cell>
          <cell r="AA745">
            <v>0</v>
          </cell>
          <cell r="AJ745">
            <v>0</v>
          </cell>
          <cell r="AN745">
            <v>0</v>
          </cell>
          <cell r="AR745">
            <v>0</v>
          </cell>
          <cell r="AV745">
            <v>0</v>
          </cell>
          <cell r="AZ745">
            <v>0</v>
          </cell>
        </row>
        <row r="746">
          <cell r="Q746">
            <v>0</v>
          </cell>
          <cell r="S746">
            <v>0</v>
          </cell>
          <cell r="U746">
            <v>0</v>
          </cell>
          <cell r="V746">
            <v>0</v>
          </cell>
          <cell r="W746">
            <v>0</v>
          </cell>
          <cell r="Y746">
            <v>0</v>
          </cell>
          <cell r="AA746">
            <v>0</v>
          </cell>
          <cell r="AJ746">
            <v>19670.1675</v>
          </cell>
          <cell r="AN746">
            <v>7965.6274999999987</v>
          </cell>
          <cell r="AR746">
            <v>1463.0874999999999</v>
          </cell>
          <cell r="AV746">
            <v>0</v>
          </cell>
          <cell r="AZ746">
            <v>0</v>
          </cell>
        </row>
        <row r="747">
          <cell r="U747">
            <v>3088604.12</v>
          </cell>
          <cell r="V747">
            <v>3151785.34</v>
          </cell>
          <cell r="W747">
            <v>3194992.75</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W748">
            <v>0</v>
          </cell>
          <cell r="Y748">
            <v>0</v>
          </cell>
          <cell r="AA748">
            <v>0</v>
          </cell>
          <cell r="AJ748">
            <v>0</v>
          </cell>
          <cell r="AN748">
            <v>0</v>
          </cell>
          <cell r="AR748">
            <v>0</v>
          </cell>
          <cell r="AV748">
            <v>0</v>
          </cell>
          <cell r="AZ748">
            <v>0</v>
          </cell>
        </row>
        <row r="749">
          <cell r="U749">
            <v>441471.45</v>
          </cell>
          <cell r="V749">
            <v>490336.87</v>
          </cell>
          <cell r="W749">
            <v>462833.2</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W750">
            <v>6646026.79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W752">
            <v>0</v>
          </cell>
          <cell r="Y752">
            <v>0</v>
          </cell>
          <cell r="AA752">
            <v>0</v>
          </cell>
          <cell r="AJ752">
            <v>0</v>
          </cell>
          <cell r="AN752">
            <v>0</v>
          </cell>
          <cell r="AR752">
            <v>0</v>
          </cell>
          <cell r="AV752">
            <v>0</v>
          </cell>
          <cell r="AZ752">
            <v>0</v>
          </cell>
        </row>
        <row r="753">
          <cell r="Q753">
            <v>0</v>
          </cell>
          <cell r="S753">
            <v>0</v>
          </cell>
          <cell r="U753">
            <v>0</v>
          </cell>
          <cell r="V753">
            <v>0</v>
          </cell>
          <cell r="W753">
            <v>0</v>
          </cell>
          <cell r="Y753">
            <v>0</v>
          </cell>
          <cell r="AA753">
            <v>0</v>
          </cell>
          <cell r="AJ753">
            <v>0</v>
          </cell>
          <cell r="AN753">
            <v>0</v>
          </cell>
          <cell r="AR753">
            <v>0</v>
          </cell>
          <cell r="AV753">
            <v>0</v>
          </cell>
          <cell r="AZ753">
            <v>0</v>
          </cell>
        </row>
        <row r="754">
          <cell r="V754">
            <v>0</v>
          </cell>
          <cell r="W754">
            <v>353509.25</v>
          </cell>
          <cell r="Y754">
            <v>329941.96999999997</v>
          </cell>
          <cell r="AA754">
            <v>306374.69</v>
          </cell>
          <cell r="AJ754">
            <v>0</v>
          </cell>
          <cell r="AN754">
            <v>0</v>
          </cell>
          <cell r="AR754">
            <v>71683.820416666669</v>
          </cell>
          <cell r="AV754">
            <v>173808.71708333332</v>
          </cell>
          <cell r="AZ754">
            <v>260222.09375</v>
          </cell>
        </row>
        <row r="755">
          <cell r="V755">
            <v>0</v>
          </cell>
          <cell r="W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W757">
            <v>0</v>
          </cell>
          <cell r="Y757">
            <v>0</v>
          </cell>
          <cell r="AA757">
            <v>0</v>
          </cell>
          <cell r="AJ757">
            <v>0</v>
          </cell>
          <cell r="AN757">
            <v>0</v>
          </cell>
          <cell r="AR757">
            <v>0</v>
          </cell>
          <cell r="AV757">
            <v>0</v>
          </cell>
          <cell r="AZ757">
            <v>0</v>
          </cell>
        </row>
        <row r="758">
          <cell r="U758">
            <v>0</v>
          </cell>
          <cell r="V758">
            <v>0</v>
          </cell>
          <cell r="W758">
            <v>0</v>
          </cell>
          <cell r="Y758">
            <v>0</v>
          </cell>
          <cell r="AA758">
            <v>0</v>
          </cell>
          <cell r="AJ758">
            <v>0</v>
          </cell>
          <cell r="AN758">
            <v>0</v>
          </cell>
          <cell r="AR758">
            <v>0</v>
          </cell>
          <cell r="AV758">
            <v>0</v>
          </cell>
          <cell r="AZ758">
            <v>0</v>
          </cell>
        </row>
        <row r="759">
          <cell r="Q759">
            <v>0</v>
          </cell>
          <cell r="S759">
            <v>0</v>
          </cell>
          <cell r="U759">
            <v>0</v>
          </cell>
          <cell r="V759">
            <v>0</v>
          </cell>
          <cell r="W759">
            <v>0</v>
          </cell>
          <cell r="Y759">
            <v>0</v>
          </cell>
          <cell r="AA759">
            <v>0</v>
          </cell>
          <cell r="AJ759">
            <v>0</v>
          </cell>
          <cell r="AN759">
            <v>0</v>
          </cell>
          <cell r="AR759">
            <v>0</v>
          </cell>
          <cell r="AV759">
            <v>0</v>
          </cell>
          <cell r="AZ759">
            <v>0</v>
          </cell>
        </row>
        <row r="760">
          <cell r="Q760">
            <v>0</v>
          </cell>
          <cell r="S760">
            <v>0</v>
          </cell>
          <cell r="U760">
            <v>0</v>
          </cell>
          <cell r="V760">
            <v>0</v>
          </cell>
          <cell r="W760">
            <v>0</v>
          </cell>
          <cell r="Y760">
            <v>0</v>
          </cell>
          <cell r="AA760">
            <v>0</v>
          </cell>
          <cell r="AJ760">
            <v>0</v>
          </cell>
          <cell r="AN760">
            <v>0</v>
          </cell>
          <cell r="AR760">
            <v>0</v>
          </cell>
          <cell r="AV760">
            <v>0</v>
          </cell>
          <cell r="AZ760">
            <v>0</v>
          </cell>
        </row>
        <row r="761">
          <cell r="Q761">
            <v>0</v>
          </cell>
          <cell r="S761">
            <v>0</v>
          </cell>
          <cell r="U761">
            <v>0</v>
          </cell>
          <cell r="V761">
            <v>0</v>
          </cell>
          <cell r="W761">
            <v>0</v>
          </cell>
          <cell r="Y761">
            <v>0</v>
          </cell>
          <cell r="AA761">
            <v>0</v>
          </cell>
          <cell r="AJ761">
            <v>0</v>
          </cell>
          <cell r="AN761">
            <v>0</v>
          </cell>
          <cell r="AR761">
            <v>0</v>
          </cell>
          <cell r="AV761">
            <v>0</v>
          </cell>
          <cell r="AZ761">
            <v>0</v>
          </cell>
        </row>
        <row r="762">
          <cell r="Q762">
            <v>0</v>
          </cell>
          <cell r="S762">
            <v>0</v>
          </cell>
          <cell r="U762">
            <v>0</v>
          </cell>
          <cell r="V762">
            <v>0</v>
          </cell>
          <cell r="W762">
            <v>0</v>
          </cell>
          <cell r="Y762">
            <v>0</v>
          </cell>
          <cell r="AA762">
            <v>0</v>
          </cell>
          <cell r="AJ762">
            <v>0</v>
          </cell>
          <cell r="AN762">
            <v>0</v>
          </cell>
          <cell r="AR762">
            <v>0</v>
          </cell>
          <cell r="AV762">
            <v>0</v>
          </cell>
          <cell r="AZ762">
            <v>0</v>
          </cell>
        </row>
        <row r="763">
          <cell r="Q763">
            <v>0</v>
          </cell>
          <cell r="S763">
            <v>0</v>
          </cell>
          <cell r="U763">
            <v>0</v>
          </cell>
          <cell r="V763">
            <v>0</v>
          </cell>
          <cell r="W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W764">
            <v>4267120</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W765">
            <v>2953050</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W769">
            <v>44179.64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W770">
            <v>81168.09</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W771">
            <v>69294.720000000001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W772">
            <v>630705.28</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W773">
            <v>247470.7</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W774">
            <v>43497629.240000002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W775">
            <v>452529.3</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W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W777">
            <v>441639.56</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W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W779">
            <v>-68004614.450000003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W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W781">
            <v>59998.09</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W782">
            <v>0</v>
          </cell>
          <cell r="Y782">
            <v>0</v>
          </cell>
          <cell r="AA782">
            <v>0</v>
          </cell>
          <cell r="AJ782">
            <v>0</v>
          </cell>
          <cell r="AN782">
            <v>0</v>
          </cell>
          <cell r="AR782">
            <v>0</v>
          </cell>
          <cell r="AV782">
            <v>0</v>
          </cell>
          <cell r="AZ782">
            <v>0</v>
          </cell>
        </row>
        <row r="783">
          <cell r="Q783">
            <v>0</v>
          </cell>
          <cell r="S783">
            <v>0</v>
          </cell>
          <cell r="U783">
            <v>0</v>
          </cell>
          <cell r="V783">
            <v>0</v>
          </cell>
          <cell r="W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W784">
            <v>37607413.969999999</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W785">
            <v>290001.90999999997</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W786">
            <v>0</v>
          </cell>
          <cell r="Y786">
            <v>0</v>
          </cell>
          <cell r="AA786">
            <v>0</v>
          </cell>
          <cell r="AJ786">
            <v>948.33333333333337</v>
          </cell>
          <cell r="AN786">
            <v>948.33333333333337</v>
          </cell>
          <cell r="AR786">
            <v>948.33333333333337</v>
          </cell>
          <cell r="AV786">
            <v>0</v>
          </cell>
          <cell r="AZ786">
            <v>0</v>
          </cell>
        </row>
        <row r="787">
          <cell r="W787">
            <v>0</v>
          </cell>
          <cell r="Y787">
            <v>0</v>
          </cell>
          <cell r="AA787">
            <v>0</v>
          </cell>
          <cell r="AJ787">
            <v>0</v>
          </cell>
          <cell r="AN787">
            <v>0</v>
          </cell>
          <cell r="AR787">
            <v>0</v>
          </cell>
          <cell r="AV787">
            <v>0</v>
          </cell>
          <cell r="AZ787">
            <v>0</v>
          </cell>
        </row>
        <row r="788">
          <cell r="W788">
            <v>0</v>
          </cell>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W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W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W792">
            <v>1340741.81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W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W794">
            <v>2767190.39</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W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W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W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W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W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W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W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W802">
            <v>3820379.01</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W803">
            <v>4369226.54</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W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W805">
            <v>0</v>
          </cell>
          <cell r="Y805">
            <v>0</v>
          </cell>
          <cell r="AA805">
            <v>0</v>
          </cell>
          <cell r="AJ805">
            <v>0</v>
          </cell>
          <cell r="AN805">
            <v>0</v>
          </cell>
          <cell r="AR805">
            <v>0</v>
          </cell>
          <cell r="AV805">
            <v>0</v>
          </cell>
          <cell r="AZ805">
            <v>0</v>
          </cell>
        </row>
        <row r="806">
          <cell r="Q806">
            <v>0</v>
          </cell>
          <cell r="S806">
            <v>0</v>
          </cell>
          <cell r="U806">
            <v>0</v>
          </cell>
          <cell r="V806">
            <v>0</v>
          </cell>
          <cell r="W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W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W808">
            <v>0</v>
          </cell>
          <cell r="Y808">
            <v>0</v>
          </cell>
          <cell r="AA808">
            <v>0</v>
          </cell>
          <cell r="AJ808">
            <v>0</v>
          </cell>
          <cell r="AN808">
            <v>0</v>
          </cell>
          <cell r="AR808">
            <v>0</v>
          </cell>
          <cell r="AV808">
            <v>0</v>
          </cell>
          <cell r="AZ808">
            <v>0</v>
          </cell>
        </row>
        <row r="809">
          <cell r="Q809">
            <v>0</v>
          </cell>
          <cell r="S809">
            <v>0</v>
          </cell>
          <cell r="U809">
            <v>0</v>
          </cell>
          <cell r="V809">
            <v>0</v>
          </cell>
          <cell r="W809">
            <v>0</v>
          </cell>
          <cell r="Y809">
            <v>0</v>
          </cell>
          <cell r="AA809">
            <v>0</v>
          </cell>
          <cell r="AJ809">
            <v>0</v>
          </cell>
          <cell r="AN809">
            <v>0</v>
          </cell>
          <cell r="AR809">
            <v>0</v>
          </cell>
          <cell r="AV809">
            <v>0</v>
          </cell>
          <cell r="AZ809">
            <v>0</v>
          </cell>
        </row>
        <row r="810">
          <cell r="Q810">
            <v>0</v>
          </cell>
          <cell r="S810">
            <v>0</v>
          </cell>
          <cell r="U810">
            <v>0</v>
          </cell>
          <cell r="V810">
            <v>0</v>
          </cell>
          <cell r="W810">
            <v>0</v>
          </cell>
          <cell r="Y810">
            <v>0</v>
          </cell>
          <cell r="AA810">
            <v>0</v>
          </cell>
          <cell r="AJ810">
            <v>0</v>
          </cell>
          <cell r="AN810">
            <v>0</v>
          </cell>
          <cell r="AR810">
            <v>0</v>
          </cell>
          <cell r="AV810">
            <v>0</v>
          </cell>
          <cell r="AZ810">
            <v>0</v>
          </cell>
        </row>
        <row r="811">
          <cell r="Q811">
            <v>0</v>
          </cell>
          <cell r="S811">
            <v>0</v>
          </cell>
          <cell r="U811">
            <v>0</v>
          </cell>
          <cell r="V811">
            <v>0</v>
          </cell>
          <cell r="W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W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W813">
            <v>8587670.2599999998</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W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W815">
            <v>144720.29</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W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W817">
            <v>23663.38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W818">
            <v>159479.07</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W824">
            <v>4575129.4800000004</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W825">
            <v>147022.96</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W826">
            <v>63838.94</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W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W828">
            <v>341052.98</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W829">
            <v>189686.14</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W830">
            <v>36172.28</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W831">
            <v>-10415.51</v>
          </cell>
          <cell r="Y831">
            <v>-9671.51</v>
          </cell>
          <cell r="AA831">
            <v>-8927.51</v>
          </cell>
          <cell r="AJ831">
            <v>-13360.51</v>
          </cell>
          <cell r="AN831">
            <v>-12864.51</v>
          </cell>
          <cell r="AR831">
            <v>-11872.509999999997</v>
          </cell>
          <cell r="AV831">
            <v>-10415.509999999997</v>
          </cell>
          <cell r="AZ831">
            <v>-8648.5304166666665</v>
          </cell>
        </row>
        <row r="832">
          <cell r="V832">
            <v>2733.07</v>
          </cell>
          <cell r="W832">
            <v>2733.07</v>
          </cell>
          <cell r="Y832">
            <v>3442.61</v>
          </cell>
          <cell r="AA832">
            <v>3442.61</v>
          </cell>
          <cell r="AJ832">
            <v>0</v>
          </cell>
          <cell r="AN832">
            <v>0</v>
          </cell>
          <cell r="AR832">
            <v>878.50458333333336</v>
          </cell>
          <cell r="AV832">
            <v>2026.0412500000002</v>
          </cell>
          <cell r="AZ832">
            <v>3030.1358333333337</v>
          </cell>
        </row>
        <row r="833">
          <cell r="V833">
            <v>0</v>
          </cell>
          <cell r="W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W837">
            <v>0</v>
          </cell>
          <cell r="Y837">
            <v>0</v>
          </cell>
          <cell r="AA837">
            <v>0</v>
          </cell>
          <cell r="AJ837">
            <v>0</v>
          </cell>
          <cell r="AN837">
            <v>0</v>
          </cell>
          <cell r="AR837">
            <v>0</v>
          </cell>
          <cell r="AV837">
            <v>0</v>
          </cell>
          <cell r="AZ837">
            <v>0</v>
          </cell>
        </row>
        <row r="838">
          <cell r="Q838">
            <v>144422</v>
          </cell>
          <cell r="S838">
            <v>141366</v>
          </cell>
          <cell r="U838">
            <v>138310</v>
          </cell>
          <cell r="V838">
            <v>136782</v>
          </cell>
          <cell r="W838">
            <v>135254</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W839">
            <v>0</v>
          </cell>
          <cell r="Y839">
            <v>0</v>
          </cell>
          <cell r="AA839">
            <v>0</v>
          </cell>
          <cell r="AJ839">
            <v>0</v>
          </cell>
          <cell r="AN839">
            <v>0</v>
          </cell>
          <cell r="AR839">
            <v>0</v>
          </cell>
          <cell r="AV839">
            <v>0</v>
          </cell>
          <cell r="AZ839">
            <v>0</v>
          </cell>
        </row>
        <row r="840">
          <cell r="Q840">
            <v>0</v>
          </cell>
          <cell r="S840">
            <v>0</v>
          </cell>
          <cell r="U840">
            <v>0</v>
          </cell>
          <cell r="V840">
            <v>0</v>
          </cell>
          <cell r="W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W841">
            <v>2462835.16</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W842">
            <v>442826.13</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W843">
            <v>4117324.51</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W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W845">
            <v>31489.13</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W846">
            <v>985409.83</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W847">
            <v>748830.3</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W848">
            <v>2292884.35</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W849">
            <v>699786.03</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W850">
            <v>14263.68</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W851">
            <v>33281.129999999997</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W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W853">
            <v>822728.48</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W854">
            <v>345937.19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W855">
            <v>42467.38</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W856">
            <v>150072.35999999999</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W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W858">
            <v>5319577.0599999996</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W859">
            <v>1511725.59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W860">
            <v>12197919.33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W861">
            <v>0</v>
          </cell>
          <cell r="Y861">
            <v>0</v>
          </cell>
          <cell r="AA861">
            <v>0</v>
          </cell>
          <cell r="AJ861">
            <v>0</v>
          </cell>
          <cell r="AN861">
            <v>0</v>
          </cell>
          <cell r="AR861">
            <v>0</v>
          </cell>
          <cell r="AV861">
            <v>0</v>
          </cell>
          <cell r="AZ861">
            <v>0</v>
          </cell>
        </row>
        <row r="862">
          <cell r="Q862">
            <v>0</v>
          </cell>
          <cell r="S862">
            <v>0</v>
          </cell>
          <cell r="U862">
            <v>0</v>
          </cell>
          <cell r="V862">
            <v>0</v>
          </cell>
          <cell r="W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W863">
            <v>5390249</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W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W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W866">
            <v>1314000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W867">
            <v>42861798.280000001</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W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W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W870">
            <v>11041233.23</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W871">
            <v>10264370</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W872">
            <v>0</v>
          </cell>
          <cell r="Y872">
            <v>0</v>
          </cell>
          <cell r="AA872">
            <v>0</v>
          </cell>
          <cell r="AJ872">
            <v>0</v>
          </cell>
          <cell r="AN872">
            <v>0</v>
          </cell>
          <cell r="AR872">
            <v>0</v>
          </cell>
          <cell r="AV872">
            <v>0</v>
          </cell>
          <cell r="AZ872">
            <v>0</v>
          </cell>
        </row>
        <row r="873">
          <cell r="Q873">
            <v>0</v>
          </cell>
          <cell r="S873">
            <v>0</v>
          </cell>
          <cell r="U873">
            <v>0</v>
          </cell>
          <cell r="V873">
            <v>0</v>
          </cell>
          <cell r="W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W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W875">
            <v>87561082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W876">
            <v>6799000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W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W878">
            <v>57336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W879">
            <v>53534945.759999998</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W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W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W882">
            <v>32084662.48</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W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W884">
            <v>3135379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W885">
            <v>409348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W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W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W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W891">
            <v>10261233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W892">
            <v>1225718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W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W894">
            <v>0</v>
          </cell>
          <cell r="Y894">
            <v>0</v>
          </cell>
          <cell r="AA894">
            <v>0</v>
          </cell>
          <cell r="AJ894">
            <v>0</v>
          </cell>
          <cell r="AN894">
            <v>0</v>
          </cell>
          <cell r="AR894">
            <v>0</v>
          </cell>
          <cell r="AV894">
            <v>0</v>
          </cell>
          <cell r="AZ894">
            <v>0</v>
          </cell>
        </row>
        <row r="895">
          <cell r="Q895">
            <v>0</v>
          </cell>
          <cell r="S895">
            <v>0</v>
          </cell>
          <cell r="U895">
            <v>0</v>
          </cell>
          <cell r="V895">
            <v>0</v>
          </cell>
          <cell r="W895">
            <v>0</v>
          </cell>
          <cell r="Y895">
            <v>0</v>
          </cell>
          <cell r="AA895">
            <v>0</v>
          </cell>
          <cell r="AJ895">
            <v>0</v>
          </cell>
          <cell r="AN895">
            <v>0</v>
          </cell>
          <cell r="AR895">
            <v>0</v>
          </cell>
          <cell r="AV895">
            <v>0</v>
          </cell>
          <cell r="AZ895">
            <v>0</v>
          </cell>
        </row>
        <row r="896">
          <cell r="Q896">
            <v>1595730</v>
          </cell>
          <cell r="S896">
            <v>1595730</v>
          </cell>
          <cell r="U896">
            <v>0</v>
          </cell>
          <cell r="V896">
            <v>0</v>
          </cell>
          <cell r="W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W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W898">
            <v>1238000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W899">
            <v>1530937</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W901">
            <v>0</v>
          </cell>
          <cell r="Y901">
            <v>0</v>
          </cell>
          <cell r="AA901">
            <v>0</v>
          </cell>
          <cell r="AJ901">
            <v>0</v>
          </cell>
          <cell r="AN901">
            <v>0</v>
          </cell>
          <cell r="AR901">
            <v>0</v>
          </cell>
          <cell r="AV901">
            <v>0</v>
          </cell>
          <cell r="AZ901">
            <v>0</v>
          </cell>
        </row>
        <row r="902">
          <cell r="Q902">
            <v>-122602</v>
          </cell>
          <cell r="S902">
            <v>-122602</v>
          </cell>
          <cell r="U902">
            <v>0</v>
          </cell>
          <cell r="V902">
            <v>0</v>
          </cell>
          <cell r="W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W903">
            <v>0</v>
          </cell>
          <cell r="Y903">
            <v>0</v>
          </cell>
          <cell r="AA903">
            <v>0</v>
          </cell>
          <cell r="AJ903">
            <v>0</v>
          </cell>
          <cell r="AN903">
            <v>0</v>
          </cell>
          <cell r="AR903">
            <v>0</v>
          </cell>
          <cell r="AV903">
            <v>0</v>
          </cell>
          <cell r="AZ903">
            <v>0</v>
          </cell>
        </row>
        <row r="904">
          <cell r="Q904">
            <v>-215214</v>
          </cell>
          <cell r="S904">
            <v>-215214</v>
          </cell>
          <cell r="U904">
            <v>0</v>
          </cell>
          <cell r="V904">
            <v>0</v>
          </cell>
          <cell r="W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W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W906">
            <v>3346388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W907">
            <v>0</v>
          </cell>
          <cell r="Y907">
            <v>0</v>
          </cell>
          <cell r="AA907">
            <v>0</v>
          </cell>
          <cell r="AJ907">
            <v>0</v>
          </cell>
          <cell r="AN907">
            <v>0</v>
          </cell>
          <cell r="AR907">
            <v>0</v>
          </cell>
          <cell r="AV907">
            <v>0</v>
          </cell>
          <cell r="AZ907">
            <v>0</v>
          </cell>
        </row>
        <row r="908">
          <cell r="Q908">
            <v>0</v>
          </cell>
          <cell r="S908">
            <v>0</v>
          </cell>
          <cell r="U908">
            <v>0</v>
          </cell>
          <cell r="V908">
            <v>0</v>
          </cell>
          <cell r="W908">
            <v>0</v>
          </cell>
          <cell r="Y908">
            <v>0</v>
          </cell>
          <cell r="AA908">
            <v>0</v>
          </cell>
          <cell r="AJ908">
            <v>0</v>
          </cell>
          <cell r="AN908">
            <v>0</v>
          </cell>
          <cell r="AR908">
            <v>0</v>
          </cell>
          <cell r="AV908">
            <v>0</v>
          </cell>
          <cell r="AZ908">
            <v>0</v>
          </cell>
        </row>
        <row r="909">
          <cell r="Q909">
            <v>0</v>
          </cell>
          <cell r="S909">
            <v>0</v>
          </cell>
          <cell r="U909">
            <v>0</v>
          </cell>
          <cell r="V909">
            <v>0</v>
          </cell>
          <cell r="W909">
            <v>0</v>
          </cell>
          <cell r="Y909">
            <v>0</v>
          </cell>
          <cell r="AA909">
            <v>0</v>
          </cell>
          <cell r="AJ909">
            <v>0</v>
          </cell>
          <cell r="AN909">
            <v>0</v>
          </cell>
          <cell r="AR909">
            <v>0</v>
          </cell>
          <cell r="AV909">
            <v>0</v>
          </cell>
          <cell r="AZ909">
            <v>0</v>
          </cell>
        </row>
        <row r="910">
          <cell r="Q910">
            <v>0</v>
          </cell>
          <cell r="S910">
            <v>0</v>
          </cell>
          <cell r="U910">
            <v>0</v>
          </cell>
          <cell r="V910">
            <v>0</v>
          </cell>
          <cell r="W910">
            <v>138460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W911">
            <v>0</v>
          </cell>
          <cell r="Y911">
            <v>0</v>
          </cell>
          <cell r="AA911">
            <v>0</v>
          </cell>
          <cell r="AJ911">
            <v>0</v>
          </cell>
          <cell r="AN911">
            <v>0</v>
          </cell>
          <cell r="AR911">
            <v>0</v>
          </cell>
          <cell r="AV911">
            <v>0</v>
          </cell>
          <cell r="AZ911">
            <v>0</v>
          </cell>
        </row>
        <row r="912">
          <cell r="Q912">
            <v>0</v>
          </cell>
          <cell r="S912">
            <v>0</v>
          </cell>
          <cell r="U912">
            <v>0</v>
          </cell>
          <cell r="V912">
            <v>0</v>
          </cell>
          <cell r="W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W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W914">
            <v>0</v>
          </cell>
          <cell r="Y914">
            <v>0</v>
          </cell>
          <cell r="AA914">
            <v>0</v>
          </cell>
          <cell r="AJ914">
            <v>0</v>
          </cell>
          <cell r="AN914">
            <v>0</v>
          </cell>
          <cell r="AR914">
            <v>0</v>
          </cell>
          <cell r="AV914">
            <v>0</v>
          </cell>
          <cell r="AZ914">
            <v>0</v>
          </cell>
        </row>
        <row r="915">
          <cell r="Q915">
            <v>0</v>
          </cell>
          <cell r="S915">
            <v>0</v>
          </cell>
          <cell r="U915">
            <v>0</v>
          </cell>
          <cell r="V915">
            <v>0</v>
          </cell>
          <cell r="W915">
            <v>0</v>
          </cell>
          <cell r="Y915">
            <v>0</v>
          </cell>
          <cell r="AA915">
            <v>0</v>
          </cell>
          <cell r="AJ915">
            <v>0</v>
          </cell>
          <cell r="AN915">
            <v>0</v>
          </cell>
          <cell r="AR915">
            <v>0</v>
          </cell>
          <cell r="AV915">
            <v>0</v>
          </cell>
          <cell r="AZ915">
            <v>0</v>
          </cell>
        </row>
        <row r="916">
          <cell r="Q916">
            <v>0</v>
          </cell>
          <cell r="S916">
            <v>0</v>
          </cell>
          <cell r="U916">
            <v>0</v>
          </cell>
          <cell r="V916">
            <v>0</v>
          </cell>
          <cell r="W916">
            <v>0</v>
          </cell>
          <cell r="Y916">
            <v>0</v>
          </cell>
          <cell r="AA916">
            <v>0</v>
          </cell>
          <cell r="AJ916">
            <v>0</v>
          </cell>
          <cell r="AN916">
            <v>0</v>
          </cell>
          <cell r="AR916">
            <v>0</v>
          </cell>
          <cell r="AV916">
            <v>0</v>
          </cell>
          <cell r="AZ916">
            <v>0</v>
          </cell>
        </row>
        <row r="917">
          <cell r="Q917">
            <v>159437</v>
          </cell>
          <cell r="S917">
            <v>159437</v>
          </cell>
          <cell r="U917">
            <v>159437</v>
          </cell>
          <cell r="V917">
            <v>159437</v>
          </cell>
          <cell r="W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W918">
            <v>1696586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W919">
            <v>0</v>
          </cell>
          <cell r="Y919">
            <v>0</v>
          </cell>
          <cell r="AA919">
            <v>0</v>
          </cell>
          <cell r="AJ919">
            <v>0</v>
          </cell>
          <cell r="AN919">
            <v>0</v>
          </cell>
          <cell r="AR919">
            <v>0</v>
          </cell>
          <cell r="AV919">
            <v>0</v>
          </cell>
          <cell r="AZ919">
            <v>0</v>
          </cell>
        </row>
        <row r="920">
          <cell r="Q920">
            <v>0</v>
          </cell>
          <cell r="S920">
            <v>0</v>
          </cell>
          <cell r="U920">
            <v>0</v>
          </cell>
          <cell r="V920">
            <v>0</v>
          </cell>
          <cell r="W920">
            <v>0</v>
          </cell>
          <cell r="Y920">
            <v>0</v>
          </cell>
          <cell r="AA920">
            <v>0</v>
          </cell>
          <cell r="AJ920">
            <v>0</v>
          </cell>
          <cell r="AN920">
            <v>0</v>
          </cell>
          <cell r="AR920">
            <v>0</v>
          </cell>
          <cell r="AV920">
            <v>0</v>
          </cell>
          <cell r="AZ920">
            <v>0</v>
          </cell>
        </row>
        <row r="921">
          <cell r="Q921">
            <v>199681</v>
          </cell>
          <cell r="S921">
            <v>198437</v>
          </cell>
          <cell r="U921">
            <v>197193</v>
          </cell>
          <cell r="V921">
            <v>196571</v>
          </cell>
          <cell r="W921">
            <v>195949</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W922">
            <v>0</v>
          </cell>
          <cell r="Y922">
            <v>0</v>
          </cell>
          <cell r="AA922">
            <v>0</v>
          </cell>
          <cell r="AJ922">
            <v>0</v>
          </cell>
          <cell r="AN922">
            <v>0</v>
          </cell>
          <cell r="AR922">
            <v>0</v>
          </cell>
          <cell r="AV922">
            <v>0</v>
          </cell>
          <cell r="AZ922">
            <v>0</v>
          </cell>
        </row>
        <row r="923">
          <cell r="Q923">
            <v>0</v>
          </cell>
          <cell r="S923">
            <v>0</v>
          </cell>
          <cell r="U923">
            <v>0</v>
          </cell>
          <cell r="V923">
            <v>0</v>
          </cell>
          <cell r="W923">
            <v>0</v>
          </cell>
          <cell r="Y923">
            <v>0</v>
          </cell>
          <cell r="AA923">
            <v>0</v>
          </cell>
          <cell r="AJ923">
            <v>0</v>
          </cell>
          <cell r="AN923">
            <v>0</v>
          </cell>
          <cell r="AR923">
            <v>0</v>
          </cell>
          <cell r="AV923">
            <v>0</v>
          </cell>
          <cell r="AZ923">
            <v>0</v>
          </cell>
        </row>
        <row r="924">
          <cell r="Q924">
            <v>0</v>
          </cell>
          <cell r="S924">
            <v>0</v>
          </cell>
          <cell r="U924">
            <v>0</v>
          </cell>
          <cell r="V924">
            <v>0</v>
          </cell>
          <cell r="W924">
            <v>0</v>
          </cell>
          <cell r="Y924">
            <v>0</v>
          </cell>
          <cell r="AA924">
            <v>0</v>
          </cell>
          <cell r="AJ924">
            <v>0</v>
          </cell>
          <cell r="AN924">
            <v>0</v>
          </cell>
          <cell r="AR924">
            <v>0</v>
          </cell>
          <cell r="AV924">
            <v>0</v>
          </cell>
          <cell r="AZ924">
            <v>0</v>
          </cell>
        </row>
        <row r="925">
          <cell r="Q925">
            <v>0</v>
          </cell>
          <cell r="S925">
            <v>2042000</v>
          </cell>
          <cell r="U925">
            <v>0</v>
          </cell>
          <cell r="V925">
            <v>0</v>
          </cell>
          <cell r="W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W926">
            <v>1551935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W927">
            <v>75464120.290000007</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W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W929">
            <v>3239929.65</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W930">
            <v>786274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W931">
            <v>-547283.32999999996</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W932">
            <v>1688301</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W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W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W935">
            <v>0</v>
          </cell>
          <cell r="Y935">
            <v>0</v>
          </cell>
          <cell r="AA935">
            <v>0</v>
          </cell>
          <cell r="AJ935">
            <v>0</v>
          </cell>
          <cell r="AN935">
            <v>0</v>
          </cell>
          <cell r="AR935">
            <v>0</v>
          </cell>
          <cell r="AV935">
            <v>0</v>
          </cell>
          <cell r="AZ935">
            <v>0</v>
          </cell>
        </row>
        <row r="936">
          <cell r="Q936">
            <v>0</v>
          </cell>
          <cell r="S936">
            <v>0</v>
          </cell>
          <cell r="U936">
            <v>0</v>
          </cell>
          <cell r="V936">
            <v>0</v>
          </cell>
          <cell r="W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W937">
            <v>6248000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W938">
            <v>44567278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W939">
            <v>773000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W940">
            <v>54000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W941">
            <v>2002000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W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W943">
            <v>2478324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W944">
            <v>679000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W946">
            <v>0</v>
          </cell>
          <cell r="Y946">
            <v>0</v>
          </cell>
          <cell r="AA946">
            <v>0</v>
          </cell>
          <cell r="AJ946">
            <v>0</v>
          </cell>
          <cell r="AN946">
            <v>0</v>
          </cell>
          <cell r="AR946">
            <v>0</v>
          </cell>
          <cell r="AV946">
            <v>0</v>
          </cell>
          <cell r="AZ946">
            <v>0</v>
          </cell>
        </row>
        <row r="947">
          <cell r="Q947">
            <v>0</v>
          </cell>
          <cell r="S947">
            <v>0</v>
          </cell>
          <cell r="U947">
            <v>0</v>
          </cell>
          <cell r="V947">
            <v>0</v>
          </cell>
          <cell r="W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W948">
            <v>4965000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W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W950">
            <v>-3382034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W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W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W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W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W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W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W958">
            <v>806967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W959">
            <v>2134338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W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W961">
            <v>-7238906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W962">
            <v>-1493492</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W963">
            <v>-1033568</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W965">
            <v>2976301.14</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W966">
            <v>-44238808.340000004</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W967">
            <v>-259804.71</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W968">
            <v>435706.43</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W969">
            <v>627316.38</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W970">
            <v>-1736238.67</v>
          </cell>
          <cell r="Y970">
            <v>-194546.38</v>
          </cell>
          <cell r="AA970">
            <v>-66586398.020000003</v>
          </cell>
          <cell r="AJ970">
            <v>-15000079.814166667</v>
          </cell>
          <cell r="AN970">
            <v>-8408858.4875000007</v>
          </cell>
          <cell r="AR970">
            <v>-7505948.1625000006</v>
          </cell>
          <cell r="AV970">
            <v>-16095840.709583335</v>
          </cell>
          <cell r="AZ970">
            <v>-23561772.892500002</v>
          </cell>
        </row>
        <row r="971">
          <cell r="W971">
            <v>-20701303.469999999</v>
          </cell>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W972">
            <v>8402764384.1999969</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W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W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W975">
            <v>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W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W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W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W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W980">
            <v>-2487705116.4699998</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W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W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W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W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W985">
            <v>0</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W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W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W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W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W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W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W992">
            <v>-389541.3</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W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W994">
            <v>-473362627.68000001</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W995">
            <v>-128754095.34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W996">
            <v>0</v>
          </cell>
          <cell r="Y996">
            <v>0</v>
          </cell>
          <cell r="AA996">
            <v>0</v>
          </cell>
          <cell r="AJ996">
            <v>0</v>
          </cell>
          <cell r="AN996">
            <v>0</v>
          </cell>
          <cell r="AR996">
            <v>0</v>
          </cell>
          <cell r="AV996">
            <v>0</v>
          </cell>
          <cell r="AZ996">
            <v>0</v>
          </cell>
        </row>
        <row r="997">
          <cell r="Q997">
            <v>0</v>
          </cell>
          <cell r="S997">
            <v>0</v>
          </cell>
          <cell r="U997">
            <v>0</v>
          </cell>
          <cell r="V997">
            <v>0</v>
          </cell>
          <cell r="W997">
            <v>0</v>
          </cell>
          <cell r="Y997">
            <v>0</v>
          </cell>
          <cell r="AA997">
            <v>0</v>
          </cell>
          <cell r="AJ997">
            <v>0</v>
          </cell>
          <cell r="AN997">
            <v>0</v>
          </cell>
          <cell r="AR997">
            <v>0</v>
          </cell>
          <cell r="AV997">
            <v>0</v>
          </cell>
          <cell r="AZ997">
            <v>0</v>
          </cell>
        </row>
        <row r="998">
          <cell r="Q998">
            <v>0</v>
          </cell>
          <cell r="S998">
            <v>0</v>
          </cell>
          <cell r="U998">
            <v>0</v>
          </cell>
          <cell r="V998">
            <v>0</v>
          </cell>
          <cell r="W998">
            <v>0</v>
          </cell>
          <cell r="Y998">
            <v>0</v>
          </cell>
          <cell r="AA998">
            <v>0</v>
          </cell>
          <cell r="AJ998">
            <v>0</v>
          </cell>
          <cell r="AN998">
            <v>0</v>
          </cell>
          <cell r="AR998">
            <v>0</v>
          </cell>
          <cell r="AV998">
            <v>0</v>
          </cell>
          <cell r="AZ998">
            <v>0</v>
          </cell>
        </row>
        <row r="999">
          <cell r="Q999">
            <v>0</v>
          </cell>
          <cell r="S999">
            <v>0</v>
          </cell>
          <cell r="U999">
            <v>0</v>
          </cell>
          <cell r="V999">
            <v>0</v>
          </cell>
          <cell r="W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W1000">
            <v>146421670.81</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W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W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W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W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W1008">
            <v>-6047751</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W1009">
            <v>27781206.809999999</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W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W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W1012">
            <v>181545494.40000001</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W1013">
            <v>-29396199.109999999</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W1014">
            <v>0</v>
          </cell>
          <cell r="Y1014">
            <v>0</v>
          </cell>
          <cell r="AA1014">
            <v>0</v>
          </cell>
          <cell r="AJ1014">
            <v>0</v>
          </cell>
          <cell r="AN1014">
            <v>0</v>
          </cell>
          <cell r="AR1014">
            <v>0</v>
          </cell>
          <cell r="AV1014">
            <v>0</v>
          </cell>
          <cell r="AZ1014">
            <v>0</v>
          </cell>
        </row>
        <row r="1015">
          <cell r="Q1015">
            <v>0</v>
          </cell>
          <cell r="S1015">
            <v>0</v>
          </cell>
          <cell r="U1015">
            <v>0</v>
          </cell>
          <cell r="V1015">
            <v>0</v>
          </cell>
          <cell r="W1015">
            <v>0</v>
          </cell>
          <cell r="Y1015">
            <v>0</v>
          </cell>
          <cell r="AA1015">
            <v>0</v>
          </cell>
          <cell r="AJ1015">
            <v>0</v>
          </cell>
          <cell r="AN1015">
            <v>0</v>
          </cell>
          <cell r="AR1015">
            <v>0</v>
          </cell>
          <cell r="AV1015">
            <v>0</v>
          </cell>
          <cell r="AZ1015">
            <v>0</v>
          </cell>
        </row>
        <row r="1016">
          <cell r="Q1016">
            <v>0</v>
          </cell>
          <cell r="S1016">
            <v>0</v>
          </cell>
          <cell r="U1016">
            <v>0</v>
          </cell>
          <cell r="V1016">
            <v>0</v>
          </cell>
          <cell r="W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W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W1018">
            <v>1387139</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W1019">
            <v>19827684</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W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W1021">
            <v>-38616</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W1022">
            <v>215611769.5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W1024">
            <v>9256941.5199999996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W1025">
            <v>-3239929.65</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W1026">
            <v>-3085000.01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W1027">
            <v>547283.32999999996</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W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W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W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W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W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W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W1035">
            <v>0</v>
          </cell>
          <cell r="Y1035">
            <v>0</v>
          </cell>
          <cell r="AA1035">
            <v>0</v>
          </cell>
          <cell r="AJ1035">
            <v>0</v>
          </cell>
          <cell r="AN1035">
            <v>0</v>
          </cell>
          <cell r="AR1035">
            <v>0</v>
          </cell>
          <cell r="AV1035">
            <v>0</v>
          </cell>
          <cell r="AZ1035">
            <v>0</v>
          </cell>
        </row>
        <row r="1036">
          <cell r="Q1036">
            <v>0</v>
          </cell>
          <cell r="S1036">
            <v>0</v>
          </cell>
          <cell r="U1036">
            <v>0</v>
          </cell>
          <cell r="V1036">
            <v>0</v>
          </cell>
          <cell r="W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W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W1038">
            <v>0</v>
          </cell>
          <cell r="Y1038">
            <v>0</v>
          </cell>
          <cell r="AA1038">
            <v>0</v>
          </cell>
          <cell r="AJ1038">
            <v>0</v>
          </cell>
          <cell r="AN1038">
            <v>0</v>
          </cell>
          <cell r="AR1038">
            <v>0</v>
          </cell>
          <cell r="AV1038">
            <v>0</v>
          </cell>
          <cell r="AZ1038">
            <v>0</v>
          </cell>
        </row>
        <row r="1039">
          <cell r="Q1039">
            <v>0</v>
          </cell>
          <cell r="S1039">
            <v>0</v>
          </cell>
          <cell r="U1039">
            <v>0</v>
          </cell>
          <cell r="V1039">
            <v>0</v>
          </cell>
          <cell r="W1039">
            <v>0</v>
          </cell>
          <cell r="Y1039">
            <v>0</v>
          </cell>
          <cell r="AA1039">
            <v>0</v>
          </cell>
          <cell r="AJ1039">
            <v>0</v>
          </cell>
          <cell r="AN1039">
            <v>0</v>
          </cell>
          <cell r="AR1039">
            <v>0</v>
          </cell>
          <cell r="AV1039">
            <v>0</v>
          </cell>
          <cell r="AZ1039">
            <v>0</v>
          </cell>
        </row>
        <row r="1040">
          <cell r="Q1040">
            <v>0</v>
          </cell>
          <cell r="S1040">
            <v>0</v>
          </cell>
          <cell r="U1040">
            <v>0</v>
          </cell>
          <cell r="V1040">
            <v>0</v>
          </cell>
          <cell r="W1040">
            <v>0</v>
          </cell>
          <cell r="Y1040">
            <v>0</v>
          </cell>
          <cell r="AA1040">
            <v>0</v>
          </cell>
          <cell r="AJ1040">
            <v>0</v>
          </cell>
          <cell r="AN1040">
            <v>0</v>
          </cell>
          <cell r="AR1040">
            <v>0</v>
          </cell>
          <cell r="AV1040">
            <v>0</v>
          </cell>
          <cell r="AZ1040">
            <v>0</v>
          </cell>
        </row>
        <row r="1041">
          <cell r="Q1041">
            <v>0</v>
          </cell>
          <cell r="S1041">
            <v>0</v>
          </cell>
          <cell r="U1041">
            <v>0</v>
          </cell>
          <cell r="V1041">
            <v>0</v>
          </cell>
          <cell r="W1041">
            <v>0</v>
          </cell>
          <cell r="Y1041">
            <v>0</v>
          </cell>
          <cell r="AA1041">
            <v>0</v>
          </cell>
          <cell r="AJ1041">
            <v>0</v>
          </cell>
          <cell r="AN1041">
            <v>0</v>
          </cell>
          <cell r="AR1041">
            <v>0</v>
          </cell>
          <cell r="AV1041">
            <v>0</v>
          </cell>
          <cell r="AZ1041">
            <v>0</v>
          </cell>
        </row>
        <row r="1042">
          <cell r="Q1042">
            <v>0</v>
          </cell>
          <cell r="S1042">
            <v>0</v>
          </cell>
          <cell r="U1042">
            <v>0</v>
          </cell>
          <cell r="V1042">
            <v>0</v>
          </cell>
          <cell r="W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W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W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W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W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W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W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W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W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W1051">
            <v>0</v>
          </cell>
          <cell r="Y1051">
            <v>0</v>
          </cell>
          <cell r="AA1051">
            <v>0</v>
          </cell>
          <cell r="AJ1051">
            <v>0</v>
          </cell>
          <cell r="AN1051">
            <v>0</v>
          </cell>
          <cell r="AR1051">
            <v>0</v>
          </cell>
          <cell r="AV1051">
            <v>0</v>
          </cell>
          <cell r="AZ1051">
            <v>0</v>
          </cell>
        </row>
        <row r="1052">
          <cell r="Q1052">
            <v>0</v>
          </cell>
          <cell r="S1052">
            <v>0</v>
          </cell>
          <cell r="U1052">
            <v>0</v>
          </cell>
          <cell r="V1052">
            <v>0</v>
          </cell>
          <cell r="W1052">
            <v>0</v>
          </cell>
          <cell r="Y1052">
            <v>0</v>
          </cell>
          <cell r="AA1052">
            <v>0</v>
          </cell>
          <cell r="AJ1052">
            <v>0</v>
          </cell>
          <cell r="AN1052">
            <v>0</v>
          </cell>
          <cell r="AR1052">
            <v>0</v>
          </cell>
          <cell r="AV1052">
            <v>0</v>
          </cell>
          <cell r="AZ1052">
            <v>0</v>
          </cell>
        </row>
        <row r="1053">
          <cell r="Q1053">
            <v>0</v>
          </cell>
          <cell r="S1053">
            <v>0</v>
          </cell>
          <cell r="U1053">
            <v>0</v>
          </cell>
          <cell r="V1053">
            <v>0</v>
          </cell>
          <cell r="W1053">
            <v>0</v>
          </cell>
          <cell r="Y1053">
            <v>0</v>
          </cell>
          <cell r="AA1053">
            <v>0</v>
          </cell>
          <cell r="AJ1053">
            <v>0</v>
          </cell>
          <cell r="AN1053">
            <v>0</v>
          </cell>
          <cell r="AR1053">
            <v>0</v>
          </cell>
          <cell r="AV1053">
            <v>0</v>
          </cell>
          <cell r="AZ1053">
            <v>0</v>
          </cell>
        </row>
        <row r="1054">
          <cell r="Q1054">
            <v>0</v>
          </cell>
          <cell r="S1054">
            <v>0</v>
          </cell>
          <cell r="U1054">
            <v>0</v>
          </cell>
          <cell r="V1054">
            <v>0</v>
          </cell>
          <cell r="W1054">
            <v>0</v>
          </cell>
          <cell r="Y1054">
            <v>0</v>
          </cell>
          <cell r="AA1054">
            <v>0</v>
          </cell>
          <cell r="AJ1054">
            <v>0</v>
          </cell>
          <cell r="AN1054">
            <v>0</v>
          </cell>
          <cell r="AR1054">
            <v>0</v>
          </cell>
          <cell r="AV1054">
            <v>0</v>
          </cell>
          <cell r="AZ1054">
            <v>0</v>
          </cell>
        </row>
        <row r="1055">
          <cell r="Q1055">
            <v>0</v>
          </cell>
          <cell r="S1055">
            <v>0</v>
          </cell>
          <cell r="U1055">
            <v>0</v>
          </cell>
          <cell r="V1055">
            <v>0</v>
          </cell>
          <cell r="W1055">
            <v>0</v>
          </cell>
          <cell r="Y1055">
            <v>0</v>
          </cell>
          <cell r="AA1055">
            <v>0</v>
          </cell>
          <cell r="AJ1055">
            <v>0</v>
          </cell>
          <cell r="AN1055">
            <v>0</v>
          </cell>
          <cell r="AR1055">
            <v>0</v>
          </cell>
          <cell r="AV1055">
            <v>0</v>
          </cell>
          <cell r="AZ1055">
            <v>0</v>
          </cell>
        </row>
        <row r="1056">
          <cell r="Q1056">
            <v>0</v>
          </cell>
          <cell r="S1056">
            <v>0</v>
          </cell>
          <cell r="U1056">
            <v>0</v>
          </cell>
          <cell r="V1056">
            <v>0</v>
          </cell>
          <cell r="W1056">
            <v>0</v>
          </cell>
          <cell r="Y1056">
            <v>0</v>
          </cell>
          <cell r="AA1056">
            <v>0</v>
          </cell>
          <cell r="AJ1056">
            <v>0</v>
          </cell>
          <cell r="AN1056">
            <v>0</v>
          </cell>
          <cell r="AR1056">
            <v>0</v>
          </cell>
          <cell r="AV1056">
            <v>0</v>
          </cell>
          <cell r="AZ1056">
            <v>0</v>
          </cell>
        </row>
        <row r="1057">
          <cell r="Q1057">
            <v>0</v>
          </cell>
          <cell r="S1057">
            <v>0</v>
          </cell>
          <cell r="U1057">
            <v>0</v>
          </cell>
          <cell r="V1057">
            <v>0</v>
          </cell>
          <cell r="W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W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W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W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W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W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W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W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W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W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W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W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W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W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W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W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W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W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W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W1079">
            <v>0</v>
          </cell>
          <cell r="Y1079">
            <v>0</v>
          </cell>
          <cell r="AA1079">
            <v>0</v>
          </cell>
          <cell r="AJ1079">
            <v>0</v>
          </cell>
          <cell r="AN1079">
            <v>0</v>
          </cell>
          <cell r="AR1079">
            <v>0</v>
          </cell>
          <cell r="AV1079">
            <v>0</v>
          </cell>
          <cell r="AZ1079">
            <v>0</v>
          </cell>
        </row>
        <row r="1080">
          <cell r="Q1080">
            <v>0</v>
          </cell>
          <cell r="S1080">
            <v>0</v>
          </cell>
          <cell r="U1080">
            <v>0</v>
          </cell>
          <cell r="V1080">
            <v>0</v>
          </cell>
          <cell r="W1080">
            <v>0</v>
          </cell>
          <cell r="Y1080">
            <v>0</v>
          </cell>
          <cell r="AA1080">
            <v>0</v>
          </cell>
          <cell r="AJ1080">
            <v>0</v>
          </cell>
          <cell r="AN1080">
            <v>0</v>
          </cell>
          <cell r="AR1080">
            <v>0</v>
          </cell>
          <cell r="AV1080">
            <v>0</v>
          </cell>
          <cell r="AZ1080">
            <v>0</v>
          </cell>
        </row>
        <row r="1081">
          <cell r="Q1081">
            <v>-431100</v>
          </cell>
          <cell r="S1081">
            <v>0</v>
          </cell>
          <cell r="U1081">
            <v>0</v>
          </cell>
          <cell r="V1081">
            <v>0</v>
          </cell>
          <cell r="W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W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W1083">
            <v>0</v>
          </cell>
          <cell r="Y1083">
            <v>0</v>
          </cell>
          <cell r="AA1083">
            <v>0</v>
          </cell>
          <cell r="AJ1083">
            <v>0</v>
          </cell>
          <cell r="AN1083">
            <v>0</v>
          </cell>
          <cell r="AR1083">
            <v>0</v>
          </cell>
          <cell r="AV1083">
            <v>0</v>
          </cell>
          <cell r="AZ1083">
            <v>0</v>
          </cell>
        </row>
        <row r="1084">
          <cell r="V1084">
            <v>7505790.9299999997</v>
          </cell>
          <cell r="W1084">
            <v>0</v>
          </cell>
          <cell r="Y1084">
            <v>0</v>
          </cell>
          <cell r="AA1084">
            <v>0</v>
          </cell>
          <cell r="AJ1084">
            <v>0</v>
          </cell>
          <cell r="AN1084">
            <v>0</v>
          </cell>
          <cell r="AR1084">
            <v>625482.57750000001</v>
          </cell>
          <cell r="AV1084">
            <v>625482.57750000001</v>
          </cell>
          <cell r="AZ1084">
            <v>625482.57750000001</v>
          </cell>
        </row>
        <row r="1085">
          <cell r="V1085">
            <v>7505790.9299999997</v>
          </cell>
          <cell r="W1085">
            <v>0</v>
          </cell>
          <cell r="Y1085">
            <v>0</v>
          </cell>
          <cell r="AA1085">
            <v>0</v>
          </cell>
          <cell r="AJ1085">
            <v>0</v>
          </cell>
          <cell r="AN1085">
            <v>0</v>
          </cell>
          <cell r="AR1085">
            <v>625482.57750000001</v>
          </cell>
          <cell r="AV1085">
            <v>625482.57750000001</v>
          </cell>
          <cell r="AZ1085">
            <v>625482.57750000001</v>
          </cell>
        </row>
        <row r="1086">
          <cell r="V1086">
            <v>6567824.7999999998</v>
          </cell>
          <cell r="W1086">
            <v>0</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W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W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W1089">
            <v>-250000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W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W1094">
            <v>-43722314.780000001</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W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W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W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W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W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W1100">
            <v>-46622.18</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W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W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W1103">
            <v>0</v>
          </cell>
          <cell r="Y1103">
            <v>0</v>
          </cell>
          <cell r="AA1103">
            <v>0</v>
          </cell>
          <cell r="AJ1103">
            <v>0</v>
          </cell>
          <cell r="AN1103">
            <v>0</v>
          </cell>
          <cell r="AR1103">
            <v>0</v>
          </cell>
          <cell r="AV1103">
            <v>0</v>
          </cell>
          <cell r="AZ1103">
            <v>0</v>
          </cell>
        </row>
        <row r="1104">
          <cell r="Q1104">
            <v>0</v>
          </cell>
          <cell r="S1104">
            <v>0</v>
          </cell>
          <cell r="U1104">
            <v>0</v>
          </cell>
          <cell r="V1104">
            <v>0</v>
          </cell>
          <cell r="W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W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W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W1107">
            <v>-500000</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W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W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W1110">
            <v>-630705.28</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W1111">
            <v>-452529.3</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W1112">
            <v>-441639.56</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W1113">
            <v>-290001.90999999997</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W1114">
            <v>-407226.92</v>
          </cell>
          <cell r="Y1114">
            <v>-402168.54</v>
          </cell>
          <cell r="AA1114">
            <v>-364262.97</v>
          </cell>
          <cell r="AJ1114">
            <v>-19796.028750000001</v>
          </cell>
          <cell r="AN1114">
            <v>-171491.90541666668</v>
          </cell>
          <cell r="AR1114">
            <v>-307942.6816666667</v>
          </cell>
          <cell r="AV1114">
            <v>-397718.60541666654</v>
          </cell>
          <cell r="AZ1114">
            <v>-245451.68708333329</v>
          </cell>
        </row>
        <row r="1115">
          <cell r="W1115">
            <v>0</v>
          </cell>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W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W1121">
            <v>-4578088.3600000003</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W1122">
            <v>0</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W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W1124">
            <v>-86711.65</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W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W1126">
            <v>-1337166.19</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W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W1128">
            <v>-832867.81</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W1129">
            <v>-1079466.3500000001</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W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W1131">
            <v>-3914737.41</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W1133">
            <v>-908725.94</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W1134">
            <v>-118685.01</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W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W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W1137">
            <v>-58256.65</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W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W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W1140">
            <v>-603103.59</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W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W1142">
            <v>-4984505.22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W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W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W1145">
            <v>-742386.9</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W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W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W1148">
            <v>-4465373.34</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W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W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W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W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W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W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W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W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W1158">
            <v>0</v>
          </cell>
          <cell r="Y1158">
            <v>0</v>
          </cell>
          <cell r="AA1158">
            <v>0</v>
          </cell>
          <cell r="AJ1158">
            <v>0</v>
          </cell>
          <cell r="AN1158">
            <v>0</v>
          </cell>
          <cell r="AR1158">
            <v>0</v>
          </cell>
          <cell r="AV1158">
            <v>0</v>
          </cell>
          <cell r="AZ1158">
            <v>0</v>
          </cell>
        </row>
        <row r="1159">
          <cell r="Q1159">
            <v>0</v>
          </cell>
          <cell r="S1159">
            <v>0</v>
          </cell>
          <cell r="U1159">
            <v>0</v>
          </cell>
          <cell r="V1159">
            <v>0</v>
          </cell>
          <cell r="W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W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W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W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W1163">
            <v>0</v>
          </cell>
          <cell r="Y1163">
            <v>0</v>
          </cell>
          <cell r="AA1163">
            <v>0</v>
          </cell>
          <cell r="AJ1163">
            <v>0</v>
          </cell>
          <cell r="AN1163">
            <v>0</v>
          </cell>
          <cell r="AR1163">
            <v>0</v>
          </cell>
          <cell r="AV1163">
            <v>0</v>
          </cell>
          <cell r="AZ1163">
            <v>0</v>
          </cell>
        </row>
        <row r="1164">
          <cell r="Q1164">
            <v>0</v>
          </cell>
          <cell r="S1164">
            <v>0</v>
          </cell>
          <cell r="U1164">
            <v>0</v>
          </cell>
          <cell r="V1164">
            <v>0</v>
          </cell>
          <cell r="W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W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W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W1167">
            <v>0</v>
          </cell>
          <cell r="Y1167">
            <v>0</v>
          </cell>
          <cell r="AA1167">
            <v>0</v>
          </cell>
          <cell r="AJ1167">
            <v>0</v>
          </cell>
          <cell r="AN1167">
            <v>0</v>
          </cell>
          <cell r="AR1167">
            <v>0</v>
          </cell>
          <cell r="AV1167">
            <v>0</v>
          </cell>
          <cell r="AZ1167">
            <v>0</v>
          </cell>
        </row>
        <row r="1168">
          <cell r="Q1168">
            <v>-431700000</v>
          </cell>
          <cell r="S1168">
            <v>0</v>
          </cell>
          <cell r="U1168">
            <v>0</v>
          </cell>
          <cell r="V1168">
            <v>0</v>
          </cell>
          <cell r="W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W1169">
            <v>-125000000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W1172">
            <v>-2955878.42</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W1173">
            <v>-9938898.2300000004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W1174">
            <v>-942812.21</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W1175">
            <v>-6476435</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W1177">
            <v>-20472222.77</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W1178">
            <v>0</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W1179">
            <v>-11794828.460000001</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W1180">
            <v>-1708712.33</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W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W1183">
            <v>-584175</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W1184">
            <v>-41118.199999999997</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W1185">
            <v>-369105.89</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W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W1187">
            <v>-1106555.98</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W1188">
            <v>0</v>
          </cell>
          <cell r="Y1188">
            <v>0</v>
          </cell>
          <cell r="AA1188">
            <v>0</v>
          </cell>
          <cell r="AJ1188">
            <v>0</v>
          </cell>
          <cell r="AN1188">
            <v>0</v>
          </cell>
          <cell r="AR1188">
            <v>0</v>
          </cell>
          <cell r="AV1188">
            <v>0</v>
          </cell>
          <cell r="AZ1188">
            <v>0</v>
          </cell>
        </row>
        <row r="1189">
          <cell r="Q1189">
            <v>0</v>
          </cell>
          <cell r="S1189">
            <v>0</v>
          </cell>
          <cell r="U1189">
            <v>0</v>
          </cell>
          <cell r="V1189">
            <v>0</v>
          </cell>
          <cell r="W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W1190">
            <v>-23388.080000000002</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W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W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W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W1194">
            <v>-8802206.6099999994</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W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W1196">
            <v>-26914454.66</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W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W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W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W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W1201">
            <v>-271.29000000000002</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W1202">
            <v>-4163.91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W1203">
            <v>0</v>
          </cell>
          <cell r="Y1203">
            <v>0</v>
          </cell>
          <cell r="AA1203">
            <v>0</v>
          </cell>
          <cell r="AJ1203">
            <v>0</v>
          </cell>
          <cell r="AN1203">
            <v>0</v>
          </cell>
          <cell r="AR1203">
            <v>0</v>
          </cell>
          <cell r="AV1203">
            <v>0</v>
          </cell>
          <cell r="AZ1203">
            <v>0</v>
          </cell>
        </row>
        <row r="1204">
          <cell r="Q1204">
            <v>0</v>
          </cell>
          <cell r="S1204">
            <v>0</v>
          </cell>
          <cell r="U1204">
            <v>0</v>
          </cell>
          <cell r="V1204">
            <v>0</v>
          </cell>
          <cell r="W1204">
            <v>0</v>
          </cell>
          <cell r="Y1204">
            <v>0</v>
          </cell>
          <cell r="AA1204">
            <v>0</v>
          </cell>
          <cell r="AJ1204">
            <v>0</v>
          </cell>
          <cell r="AN1204">
            <v>0</v>
          </cell>
          <cell r="AR1204">
            <v>0</v>
          </cell>
          <cell r="AV1204">
            <v>0</v>
          </cell>
          <cell r="AZ1204">
            <v>0</v>
          </cell>
        </row>
        <row r="1205">
          <cell r="Q1205">
            <v>0</v>
          </cell>
          <cell r="S1205">
            <v>0</v>
          </cell>
          <cell r="U1205">
            <v>0</v>
          </cell>
          <cell r="V1205">
            <v>0</v>
          </cell>
          <cell r="W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W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W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W1208">
            <v>0</v>
          </cell>
          <cell r="Y1208">
            <v>0</v>
          </cell>
          <cell r="AA1208">
            <v>0</v>
          </cell>
          <cell r="AJ1208">
            <v>0</v>
          </cell>
          <cell r="AN1208">
            <v>0</v>
          </cell>
          <cell r="AR1208">
            <v>0</v>
          </cell>
          <cell r="AV1208">
            <v>0</v>
          </cell>
          <cell r="AZ1208">
            <v>0</v>
          </cell>
        </row>
        <row r="1209">
          <cell r="Q1209">
            <v>0</v>
          </cell>
          <cell r="S1209">
            <v>0</v>
          </cell>
          <cell r="U1209">
            <v>0</v>
          </cell>
          <cell r="V1209">
            <v>0</v>
          </cell>
          <cell r="W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W1210">
            <v>-10463837.34</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W1211">
            <v>-5191440.7</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W1212">
            <v>-38816954.140000001</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W1213">
            <v>0</v>
          </cell>
          <cell r="Y1213">
            <v>0</v>
          </cell>
          <cell r="AA1213">
            <v>0</v>
          </cell>
          <cell r="AJ1213">
            <v>0</v>
          </cell>
          <cell r="AN1213">
            <v>0</v>
          </cell>
          <cell r="AR1213">
            <v>0</v>
          </cell>
          <cell r="AV1213">
            <v>0</v>
          </cell>
          <cell r="AZ1213">
            <v>0</v>
          </cell>
        </row>
        <row r="1214">
          <cell r="Q1214">
            <v>0</v>
          </cell>
          <cell r="S1214">
            <v>0</v>
          </cell>
          <cell r="U1214">
            <v>0</v>
          </cell>
          <cell r="V1214">
            <v>0</v>
          </cell>
          <cell r="W1214">
            <v>0</v>
          </cell>
          <cell r="Y1214">
            <v>0</v>
          </cell>
          <cell r="AA1214">
            <v>0</v>
          </cell>
          <cell r="AJ1214">
            <v>0</v>
          </cell>
          <cell r="AN1214">
            <v>0</v>
          </cell>
          <cell r="AR1214">
            <v>0</v>
          </cell>
          <cell r="AV1214">
            <v>0</v>
          </cell>
          <cell r="AZ1214">
            <v>0</v>
          </cell>
        </row>
        <row r="1215">
          <cell r="Q1215">
            <v>0</v>
          </cell>
          <cell r="S1215">
            <v>0</v>
          </cell>
          <cell r="U1215">
            <v>0</v>
          </cell>
          <cell r="V1215">
            <v>0</v>
          </cell>
          <cell r="W1215">
            <v>0</v>
          </cell>
          <cell r="Y1215">
            <v>0</v>
          </cell>
          <cell r="AA1215">
            <v>0</v>
          </cell>
          <cell r="AJ1215">
            <v>0</v>
          </cell>
          <cell r="AN1215">
            <v>0</v>
          </cell>
          <cell r="AR1215">
            <v>0</v>
          </cell>
          <cell r="AV1215">
            <v>0</v>
          </cell>
          <cell r="AZ1215">
            <v>0</v>
          </cell>
        </row>
        <row r="1216">
          <cell r="Q1216">
            <v>0</v>
          </cell>
          <cell r="S1216">
            <v>0</v>
          </cell>
          <cell r="U1216">
            <v>0</v>
          </cell>
          <cell r="V1216">
            <v>0</v>
          </cell>
          <cell r="W1216">
            <v>0</v>
          </cell>
          <cell r="Y1216">
            <v>0</v>
          </cell>
          <cell r="AA1216">
            <v>0</v>
          </cell>
          <cell r="AJ1216">
            <v>0</v>
          </cell>
          <cell r="AN1216">
            <v>0</v>
          </cell>
          <cell r="AR1216">
            <v>0</v>
          </cell>
          <cell r="AV1216">
            <v>0</v>
          </cell>
          <cell r="AZ1216">
            <v>0</v>
          </cell>
        </row>
        <row r="1217">
          <cell r="Q1217">
            <v>0</v>
          </cell>
          <cell r="S1217">
            <v>0</v>
          </cell>
          <cell r="U1217">
            <v>0</v>
          </cell>
          <cell r="V1217">
            <v>0</v>
          </cell>
          <cell r="W1217">
            <v>0</v>
          </cell>
          <cell r="Y1217">
            <v>0</v>
          </cell>
          <cell r="AA1217">
            <v>0</v>
          </cell>
          <cell r="AJ1217">
            <v>0</v>
          </cell>
          <cell r="AN1217">
            <v>0</v>
          </cell>
          <cell r="AR1217">
            <v>0</v>
          </cell>
          <cell r="AV1217">
            <v>0</v>
          </cell>
          <cell r="AZ1217">
            <v>0</v>
          </cell>
        </row>
        <row r="1218">
          <cell r="Q1218">
            <v>0</v>
          </cell>
          <cell r="S1218">
            <v>0</v>
          </cell>
          <cell r="U1218">
            <v>0</v>
          </cell>
          <cell r="V1218">
            <v>0</v>
          </cell>
          <cell r="W1218">
            <v>0</v>
          </cell>
          <cell r="Y1218">
            <v>0</v>
          </cell>
          <cell r="AA1218">
            <v>0</v>
          </cell>
          <cell r="AJ1218">
            <v>0</v>
          </cell>
          <cell r="AN1218">
            <v>0</v>
          </cell>
          <cell r="AR1218">
            <v>0</v>
          </cell>
          <cell r="AV1218">
            <v>0</v>
          </cell>
          <cell r="AZ1218">
            <v>0</v>
          </cell>
        </row>
        <row r="1219">
          <cell r="Q1219">
            <v>0</v>
          </cell>
          <cell r="S1219">
            <v>0</v>
          </cell>
          <cell r="U1219">
            <v>0</v>
          </cell>
          <cell r="V1219">
            <v>0</v>
          </cell>
          <cell r="W1219">
            <v>0</v>
          </cell>
          <cell r="Y1219">
            <v>0</v>
          </cell>
          <cell r="AA1219">
            <v>0</v>
          </cell>
          <cell r="AJ1219">
            <v>0</v>
          </cell>
          <cell r="AN1219">
            <v>0</v>
          </cell>
          <cell r="AR1219">
            <v>0</v>
          </cell>
          <cell r="AV1219">
            <v>0</v>
          </cell>
          <cell r="AZ1219">
            <v>0</v>
          </cell>
        </row>
        <row r="1220">
          <cell r="Q1220">
            <v>0</v>
          </cell>
          <cell r="S1220">
            <v>0</v>
          </cell>
          <cell r="U1220">
            <v>0</v>
          </cell>
          <cell r="V1220">
            <v>0</v>
          </cell>
          <cell r="W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W1221">
            <v>-4534105.16</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W1222">
            <v>-378789.06</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W1223">
            <v>0</v>
          </cell>
          <cell r="Y1223">
            <v>0</v>
          </cell>
          <cell r="AA1223">
            <v>0</v>
          </cell>
          <cell r="AJ1223">
            <v>0</v>
          </cell>
          <cell r="AN1223">
            <v>0</v>
          </cell>
          <cell r="AR1223">
            <v>0</v>
          </cell>
          <cell r="AV1223">
            <v>0</v>
          </cell>
          <cell r="AZ1223">
            <v>0</v>
          </cell>
        </row>
        <row r="1224">
          <cell r="Q1224">
            <v>0</v>
          </cell>
          <cell r="S1224">
            <v>0</v>
          </cell>
          <cell r="U1224">
            <v>0</v>
          </cell>
          <cell r="V1224">
            <v>0</v>
          </cell>
          <cell r="W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W1225">
            <v>-141219.9</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W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W1227">
            <v>738652.01</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W1228">
            <v>328281.46999999997</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W1229">
            <v>154195.89000000001</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W1230">
            <v>11033.59</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W1231">
            <v>-5223.29</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W1232">
            <v>-12229.42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W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W1234">
            <v>-1477072.5</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W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W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W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W1238">
            <v>-21660765.329999998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W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W1240">
            <v>-5891569.79</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W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W1242">
            <v>-120070.93</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W1243">
            <v>11786.68</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W1244">
            <v>0</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W1245">
            <v>-2665.64</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W1246">
            <v>-319920.69</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W1247">
            <v>-26949.31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W1248">
            <v>0</v>
          </cell>
          <cell r="Y1248">
            <v>0</v>
          </cell>
          <cell r="AA1248">
            <v>0</v>
          </cell>
          <cell r="AJ1248">
            <v>0</v>
          </cell>
          <cell r="AN1248">
            <v>0</v>
          </cell>
          <cell r="AR1248">
            <v>0</v>
          </cell>
          <cell r="AV1248">
            <v>0</v>
          </cell>
          <cell r="AZ1248">
            <v>0</v>
          </cell>
        </row>
        <row r="1249">
          <cell r="Q1249">
            <v>0</v>
          </cell>
          <cell r="S1249">
            <v>0</v>
          </cell>
          <cell r="U1249">
            <v>0</v>
          </cell>
          <cell r="V1249">
            <v>0</v>
          </cell>
          <cell r="W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W1250">
            <v>8292.66</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W1251">
            <v>-3051.87</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W1252">
            <v>-14392.19</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W1253">
            <v>261983.75</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W1254">
            <v>-130</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W1256">
            <v>410.02</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W1257">
            <v>-135.69999999999999</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W1258">
            <v>1419713.5</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W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W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W1263">
            <v>0</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W1264">
            <v>0</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W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W1266">
            <v>0</v>
          </cell>
          <cell r="Y1266">
            <v>0</v>
          </cell>
          <cell r="AA1266">
            <v>0</v>
          </cell>
          <cell r="AJ1266">
            <v>0</v>
          </cell>
          <cell r="AN1266">
            <v>0</v>
          </cell>
          <cell r="AR1266">
            <v>0</v>
          </cell>
          <cell r="AV1266">
            <v>0</v>
          </cell>
          <cell r="AZ1266">
            <v>0</v>
          </cell>
        </row>
        <row r="1267">
          <cell r="Q1267">
            <v>0</v>
          </cell>
          <cell r="S1267">
            <v>0</v>
          </cell>
          <cell r="U1267">
            <v>0</v>
          </cell>
          <cell r="V1267">
            <v>0</v>
          </cell>
          <cell r="W1267">
            <v>0</v>
          </cell>
          <cell r="Y1267">
            <v>0</v>
          </cell>
          <cell r="AA1267">
            <v>0</v>
          </cell>
          <cell r="AJ1267">
            <v>0</v>
          </cell>
          <cell r="AN1267">
            <v>0</v>
          </cell>
          <cell r="AR1267">
            <v>0</v>
          </cell>
          <cell r="AV1267">
            <v>0</v>
          </cell>
          <cell r="AZ1267">
            <v>0</v>
          </cell>
        </row>
        <row r="1268">
          <cell r="U1268">
            <v>-5426820</v>
          </cell>
          <cell r="V1268">
            <v>0</v>
          </cell>
          <cell r="W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W1269">
            <v>-7742376.5999999996</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W1270">
            <v>-15234208.630000001</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W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W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W1273">
            <v>0</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W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W1275">
            <v>-2673443.3199999998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W1276">
            <v>-579971.36</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W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W1278">
            <v>37818042.530000001</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W1279">
            <v>0</v>
          </cell>
          <cell r="Y1279">
            <v>0</v>
          </cell>
          <cell r="AA1279">
            <v>0</v>
          </cell>
          <cell r="AJ1279">
            <v>0</v>
          </cell>
          <cell r="AN1279">
            <v>0</v>
          </cell>
          <cell r="AR1279">
            <v>0</v>
          </cell>
          <cell r="AV1279">
            <v>0</v>
          </cell>
          <cell r="AZ1279">
            <v>0</v>
          </cell>
        </row>
        <row r="1280">
          <cell r="Q1280">
            <v>0</v>
          </cell>
          <cell r="S1280">
            <v>0</v>
          </cell>
          <cell r="U1280">
            <v>0</v>
          </cell>
          <cell r="V1280">
            <v>0</v>
          </cell>
          <cell r="W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W1281">
            <v>-689.18</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W1282">
            <v>-308254.15000000002</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W1283">
            <v>0</v>
          </cell>
          <cell r="Y1283">
            <v>0</v>
          </cell>
          <cell r="AA1283">
            <v>0</v>
          </cell>
          <cell r="AJ1283">
            <v>0</v>
          </cell>
          <cell r="AN1283">
            <v>0</v>
          </cell>
          <cell r="AR1283">
            <v>0</v>
          </cell>
          <cell r="AV1283">
            <v>0</v>
          </cell>
          <cell r="AZ1283">
            <v>0</v>
          </cell>
        </row>
        <row r="1284">
          <cell r="Q1284">
            <v>0</v>
          </cell>
          <cell r="S1284">
            <v>0</v>
          </cell>
          <cell r="U1284">
            <v>0</v>
          </cell>
          <cell r="V1284">
            <v>0</v>
          </cell>
          <cell r="W1284">
            <v>0</v>
          </cell>
          <cell r="Y1284">
            <v>0</v>
          </cell>
          <cell r="AA1284">
            <v>0</v>
          </cell>
          <cell r="AJ1284">
            <v>0</v>
          </cell>
          <cell r="AN1284">
            <v>0</v>
          </cell>
          <cell r="AR1284">
            <v>0</v>
          </cell>
          <cell r="AV1284">
            <v>0</v>
          </cell>
          <cell r="AZ1284">
            <v>0</v>
          </cell>
        </row>
        <row r="1285">
          <cell r="Q1285">
            <v>0</v>
          </cell>
          <cell r="S1285">
            <v>0</v>
          </cell>
          <cell r="U1285">
            <v>0</v>
          </cell>
          <cell r="V1285">
            <v>0</v>
          </cell>
          <cell r="W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W1286">
            <v>-22893149.48</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W1287">
            <v>-5089671.82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W1288">
            <v>-223155.87</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W1289">
            <v>0</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W1290">
            <v>-1406870</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W1291">
            <v>-11593659.92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W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W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W1295">
            <v>-419605.05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W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W1297">
            <v>953505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W1299">
            <v>-2169384.65</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W1300">
            <v>-3859464.73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W1301">
            <v>0</v>
          </cell>
          <cell r="Y1301">
            <v>0</v>
          </cell>
          <cell r="AA1301">
            <v>0</v>
          </cell>
          <cell r="AJ1301">
            <v>0</v>
          </cell>
          <cell r="AN1301">
            <v>0</v>
          </cell>
          <cell r="AR1301">
            <v>0</v>
          </cell>
          <cell r="AV1301">
            <v>0</v>
          </cell>
          <cell r="AZ1301">
            <v>0</v>
          </cell>
        </row>
        <row r="1302">
          <cell r="Q1302">
            <v>0</v>
          </cell>
          <cell r="S1302">
            <v>0</v>
          </cell>
          <cell r="U1302">
            <v>0</v>
          </cell>
          <cell r="V1302">
            <v>0</v>
          </cell>
          <cell r="W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W1303">
            <v>-349012.81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W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W1305">
            <v>-67384.67</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W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W1307">
            <v>-15789.51</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W1308">
            <v>0</v>
          </cell>
          <cell r="Y1308">
            <v>0</v>
          </cell>
          <cell r="AA1308">
            <v>0</v>
          </cell>
          <cell r="AJ1308">
            <v>0</v>
          </cell>
          <cell r="AN1308">
            <v>0</v>
          </cell>
          <cell r="AR1308">
            <v>0</v>
          </cell>
          <cell r="AV1308">
            <v>0</v>
          </cell>
          <cell r="AZ1308">
            <v>0</v>
          </cell>
        </row>
        <row r="1309">
          <cell r="Q1309">
            <v>0</v>
          </cell>
          <cell r="S1309">
            <v>0</v>
          </cell>
          <cell r="U1309">
            <v>0</v>
          </cell>
          <cell r="V1309">
            <v>0</v>
          </cell>
          <cell r="W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W1310">
            <v>-7589.11</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W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W1312">
            <v>-797500</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W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W1314">
            <v>-8537.5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W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W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W1317">
            <v>0</v>
          </cell>
          <cell r="Y1317">
            <v>0</v>
          </cell>
          <cell r="AA1317">
            <v>0</v>
          </cell>
          <cell r="AJ1317">
            <v>0</v>
          </cell>
          <cell r="AN1317">
            <v>0</v>
          </cell>
          <cell r="AR1317">
            <v>0</v>
          </cell>
          <cell r="AV1317">
            <v>0</v>
          </cell>
          <cell r="AZ1317">
            <v>0</v>
          </cell>
        </row>
        <row r="1318">
          <cell r="Q1318">
            <v>0</v>
          </cell>
          <cell r="S1318">
            <v>0</v>
          </cell>
          <cell r="U1318">
            <v>0</v>
          </cell>
          <cell r="V1318">
            <v>0</v>
          </cell>
          <cell r="W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W1319">
            <v>-28750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W1320">
            <v>0</v>
          </cell>
          <cell r="Y1320">
            <v>0</v>
          </cell>
          <cell r="AA1320">
            <v>0</v>
          </cell>
          <cell r="AJ1320">
            <v>0</v>
          </cell>
          <cell r="AN1320">
            <v>0</v>
          </cell>
          <cell r="AR1320">
            <v>0</v>
          </cell>
          <cell r="AV1320">
            <v>0</v>
          </cell>
          <cell r="AZ1320">
            <v>0</v>
          </cell>
        </row>
        <row r="1321">
          <cell r="Q1321">
            <v>0</v>
          </cell>
          <cell r="S1321">
            <v>0</v>
          </cell>
          <cell r="U1321">
            <v>0</v>
          </cell>
          <cell r="V1321">
            <v>0</v>
          </cell>
          <cell r="W1321">
            <v>0</v>
          </cell>
          <cell r="Y1321">
            <v>0</v>
          </cell>
          <cell r="AA1321">
            <v>0</v>
          </cell>
          <cell r="AJ1321">
            <v>0</v>
          </cell>
          <cell r="AN1321">
            <v>0</v>
          </cell>
          <cell r="AR1321">
            <v>0</v>
          </cell>
          <cell r="AV1321">
            <v>0</v>
          </cell>
          <cell r="AZ1321">
            <v>0</v>
          </cell>
        </row>
        <row r="1322">
          <cell r="Q1322">
            <v>0</v>
          </cell>
          <cell r="S1322">
            <v>0</v>
          </cell>
          <cell r="U1322">
            <v>0</v>
          </cell>
          <cell r="V1322">
            <v>0</v>
          </cell>
          <cell r="W1322">
            <v>0</v>
          </cell>
          <cell r="Y1322">
            <v>0</v>
          </cell>
          <cell r="AA1322">
            <v>0</v>
          </cell>
          <cell r="AJ1322">
            <v>0</v>
          </cell>
          <cell r="AN1322">
            <v>0</v>
          </cell>
          <cell r="AR1322">
            <v>0</v>
          </cell>
          <cell r="AV1322">
            <v>0</v>
          </cell>
          <cell r="AZ1322">
            <v>0</v>
          </cell>
        </row>
        <row r="1323">
          <cell r="Q1323">
            <v>0</v>
          </cell>
          <cell r="S1323">
            <v>0</v>
          </cell>
          <cell r="U1323">
            <v>0</v>
          </cell>
          <cell r="V1323">
            <v>0</v>
          </cell>
          <cell r="W1323">
            <v>0</v>
          </cell>
          <cell r="Y1323">
            <v>0</v>
          </cell>
          <cell r="AA1323">
            <v>0</v>
          </cell>
          <cell r="AJ1323">
            <v>0</v>
          </cell>
          <cell r="AN1323">
            <v>0</v>
          </cell>
          <cell r="AR1323">
            <v>0</v>
          </cell>
          <cell r="AV1323">
            <v>0</v>
          </cell>
          <cell r="AZ1323">
            <v>0</v>
          </cell>
        </row>
        <row r="1324">
          <cell r="Q1324">
            <v>0</v>
          </cell>
          <cell r="S1324">
            <v>0</v>
          </cell>
          <cell r="U1324">
            <v>0</v>
          </cell>
          <cell r="V1324">
            <v>0</v>
          </cell>
          <cell r="W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W1325">
            <v>-20766.650000000001</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W1326">
            <v>-30625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W1327">
            <v>-6133.35</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W1328">
            <v>-8262.5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W1329">
            <v>-13791.65</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W1330">
            <v>-44687.5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W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W1332">
            <v>-6000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W1333">
            <v>0</v>
          </cell>
          <cell r="Y1333">
            <v>0</v>
          </cell>
          <cell r="AA1333">
            <v>0</v>
          </cell>
          <cell r="AJ1333">
            <v>0</v>
          </cell>
          <cell r="AN1333">
            <v>0</v>
          </cell>
          <cell r="AR1333">
            <v>0</v>
          </cell>
          <cell r="AV1333">
            <v>0</v>
          </cell>
          <cell r="AZ1333">
            <v>0</v>
          </cell>
        </row>
        <row r="1334">
          <cell r="Q1334">
            <v>0</v>
          </cell>
          <cell r="S1334">
            <v>0</v>
          </cell>
          <cell r="U1334">
            <v>0</v>
          </cell>
          <cell r="V1334">
            <v>0</v>
          </cell>
          <cell r="W1334">
            <v>0</v>
          </cell>
          <cell r="Y1334">
            <v>0</v>
          </cell>
          <cell r="AA1334">
            <v>0</v>
          </cell>
          <cell r="AJ1334">
            <v>0</v>
          </cell>
          <cell r="AN1334">
            <v>0</v>
          </cell>
          <cell r="AR1334">
            <v>0</v>
          </cell>
          <cell r="AV1334">
            <v>0</v>
          </cell>
          <cell r="AZ1334">
            <v>0</v>
          </cell>
        </row>
        <row r="1335">
          <cell r="Q1335">
            <v>0</v>
          </cell>
          <cell r="S1335">
            <v>0</v>
          </cell>
          <cell r="U1335">
            <v>0</v>
          </cell>
          <cell r="V1335">
            <v>0</v>
          </cell>
          <cell r="W1335">
            <v>0</v>
          </cell>
          <cell r="Y1335">
            <v>0</v>
          </cell>
          <cell r="AA1335">
            <v>0</v>
          </cell>
          <cell r="AJ1335">
            <v>0</v>
          </cell>
          <cell r="AN1335">
            <v>0</v>
          </cell>
          <cell r="AR1335">
            <v>0</v>
          </cell>
          <cell r="AV1335">
            <v>0</v>
          </cell>
          <cell r="AZ1335">
            <v>0</v>
          </cell>
        </row>
        <row r="1336">
          <cell r="Q1336">
            <v>0</v>
          </cell>
          <cell r="S1336">
            <v>0</v>
          </cell>
          <cell r="U1336">
            <v>0</v>
          </cell>
          <cell r="V1336">
            <v>0</v>
          </cell>
          <cell r="W1336">
            <v>0</v>
          </cell>
          <cell r="Y1336">
            <v>0</v>
          </cell>
          <cell r="AA1336">
            <v>0</v>
          </cell>
          <cell r="AJ1336">
            <v>0</v>
          </cell>
          <cell r="AN1336">
            <v>0</v>
          </cell>
          <cell r="AR1336">
            <v>0</v>
          </cell>
          <cell r="AV1336">
            <v>0</v>
          </cell>
          <cell r="AZ1336">
            <v>0</v>
          </cell>
        </row>
        <row r="1337">
          <cell r="Q1337">
            <v>0</v>
          </cell>
          <cell r="S1337">
            <v>0</v>
          </cell>
          <cell r="U1337">
            <v>0</v>
          </cell>
          <cell r="V1337">
            <v>0</v>
          </cell>
          <cell r="W1337">
            <v>0</v>
          </cell>
          <cell r="Y1337">
            <v>0</v>
          </cell>
          <cell r="AA1337">
            <v>0</v>
          </cell>
          <cell r="AJ1337">
            <v>0</v>
          </cell>
          <cell r="AN1337">
            <v>0</v>
          </cell>
          <cell r="AR1337">
            <v>0</v>
          </cell>
          <cell r="AV1337">
            <v>0</v>
          </cell>
          <cell r="AZ1337">
            <v>0</v>
          </cell>
        </row>
        <row r="1338">
          <cell r="Q1338">
            <v>0</v>
          </cell>
          <cell r="S1338">
            <v>0</v>
          </cell>
          <cell r="U1338">
            <v>0</v>
          </cell>
          <cell r="V1338">
            <v>0</v>
          </cell>
          <cell r="W1338">
            <v>0</v>
          </cell>
          <cell r="Y1338">
            <v>0</v>
          </cell>
          <cell r="AA1338">
            <v>0</v>
          </cell>
          <cell r="AJ1338">
            <v>0</v>
          </cell>
          <cell r="AN1338">
            <v>0</v>
          </cell>
          <cell r="AR1338">
            <v>0</v>
          </cell>
          <cell r="AV1338">
            <v>0</v>
          </cell>
          <cell r="AZ1338">
            <v>0</v>
          </cell>
        </row>
        <row r="1339">
          <cell r="Q1339">
            <v>0</v>
          </cell>
          <cell r="S1339">
            <v>0</v>
          </cell>
          <cell r="U1339">
            <v>0</v>
          </cell>
          <cell r="V1339">
            <v>0</v>
          </cell>
          <cell r="W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W1340">
            <v>-11188.88</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W1341">
            <v>0</v>
          </cell>
          <cell r="Y1341">
            <v>0</v>
          </cell>
          <cell r="AA1341">
            <v>0</v>
          </cell>
          <cell r="AJ1341">
            <v>0</v>
          </cell>
          <cell r="AN1341">
            <v>0</v>
          </cell>
          <cell r="AR1341">
            <v>0</v>
          </cell>
          <cell r="AV1341">
            <v>0</v>
          </cell>
          <cell r="AZ1341">
            <v>0</v>
          </cell>
        </row>
        <row r="1342">
          <cell r="Q1342">
            <v>-11355.44</v>
          </cell>
          <cell r="S1342">
            <v>0</v>
          </cell>
          <cell r="U1342">
            <v>0</v>
          </cell>
          <cell r="V1342">
            <v>0</v>
          </cell>
          <cell r="W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W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W1344">
            <v>0</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W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W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W1347">
            <v>-1458333.32</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W1348">
            <v>-12878.57</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W1349">
            <v>-49126.44</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W1350">
            <v>-3931666.65</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W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W1352">
            <v>-88065.75</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W1353">
            <v>-3731250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W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W1355">
            <v>-6142500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W1356">
            <v>-2499250</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W1357">
            <v>0</v>
          </cell>
          <cell r="Y1357">
            <v>0</v>
          </cell>
          <cell r="AA1357">
            <v>0</v>
          </cell>
          <cell r="AJ1357">
            <v>0</v>
          </cell>
          <cell r="AN1357">
            <v>0</v>
          </cell>
          <cell r="AR1357">
            <v>0</v>
          </cell>
          <cell r="AV1357">
            <v>0</v>
          </cell>
          <cell r="AZ1357">
            <v>0</v>
          </cell>
        </row>
        <row r="1358">
          <cell r="Q1358">
            <v>0</v>
          </cell>
          <cell r="S1358">
            <v>0</v>
          </cell>
          <cell r="U1358">
            <v>0</v>
          </cell>
          <cell r="V1358">
            <v>0</v>
          </cell>
          <cell r="W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W1359">
            <v>-2307666.6800000002</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W1360">
            <v>-397800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W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W1362">
            <v>-1180368.1599999999</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W1363">
            <v>-7453125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W1364">
            <v>0</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W1365">
            <v>-1948875</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W1366">
            <v>0</v>
          </cell>
          <cell r="Y1366">
            <v>0</v>
          </cell>
          <cell r="AA1366">
            <v>0</v>
          </cell>
          <cell r="AJ1366">
            <v>0</v>
          </cell>
          <cell r="AN1366">
            <v>0</v>
          </cell>
          <cell r="AR1366">
            <v>0</v>
          </cell>
          <cell r="AV1366">
            <v>0</v>
          </cell>
          <cell r="AZ1366">
            <v>0</v>
          </cell>
        </row>
        <row r="1367">
          <cell r="Q1367">
            <v>0</v>
          </cell>
          <cell r="S1367">
            <v>0</v>
          </cell>
          <cell r="U1367">
            <v>0</v>
          </cell>
          <cell r="V1367">
            <v>0</v>
          </cell>
          <cell r="W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W1368">
            <v>-45229.64</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W1369">
            <v>-746471.37</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W1370">
            <v>-5542033.3300000001</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W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W1372">
            <v>-1452916.69</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W1373">
            <v>-65160.04</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W1374">
            <v>-2890.44</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W1375">
            <v>0</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W1379">
            <v>0</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W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W1381">
            <v>-308254.14</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W1382">
            <v>-31499.87</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W1383">
            <v>0</v>
          </cell>
          <cell r="Y1383">
            <v>0</v>
          </cell>
          <cell r="AA1383">
            <v>0</v>
          </cell>
          <cell r="AJ1383">
            <v>0</v>
          </cell>
          <cell r="AN1383">
            <v>0</v>
          </cell>
          <cell r="AR1383">
            <v>0</v>
          </cell>
          <cell r="AV1383">
            <v>0</v>
          </cell>
          <cell r="AZ1383">
            <v>0</v>
          </cell>
        </row>
        <row r="1384">
          <cell r="Q1384">
            <v>-255</v>
          </cell>
          <cell r="S1384">
            <v>-250</v>
          </cell>
          <cell r="U1384">
            <v>112</v>
          </cell>
          <cell r="V1384">
            <v>0</v>
          </cell>
          <cell r="W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W1385">
            <v>-488368.34</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W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W1387">
            <v>-165482.70000000001</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W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W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W1390">
            <v>0</v>
          </cell>
          <cell r="Y1390">
            <v>0</v>
          </cell>
          <cell r="AA1390">
            <v>0</v>
          </cell>
          <cell r="AJ1390">
            <v>0</v>
          </cell>
          <cell r="AN1390">
            <v>0</v>
          </cell>
          <cell r="AR1390">
            <v>0</v>
          </cell>
          <cell r="AV1390">
            <v>0</v>
          </cell>
          <cell r="AZ1390">
            <v>0</v>
          </cell>
        </row>
        <row r="1391">
          <cell r="Q1391">
            <v>0</v>
          </cell>
          <cell r="S1391">
            <v>0</v>
          </cell>
          <cell r="U1391">
            <v>0</v>
          </cell>
          <cell r="V1391">
            <v>0</v>
          </cell>
          <cell r="W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W1392">
            <v>-1435000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W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W1395">
            <v>0</v>
          </cell>
          <cell r="Y1395">
            <v>0</v>
          </cell>
          <cell r="AA1395">
            <v>0</v>
          </cell>
          <cell r="AJ1395">
            <v>0</v>
          </cell>
          <cell r="AN1395">
            <v>0</v>
          </cell>
          <cell r="AR1395">
            <v>0</v>
          </cell>
          <cell r="AV1395">
            <v>0</v>
          </cell>
          <cell r="AZ1395">
            <v>0</v>
          </cell>
        </row>
        <row r="1396">
          <cell r="Q1396">
            <v>-56176.9</v>
          </cell>
          <cell r="S1396">
            <v>0</v>
          </cell>
          <cell r="U1396">
            <v>0</v>
          </cell>
          <cell r="V1396">
            <v>0</v>
          </cell>
          <cell r="W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W1397">
            <v>-2207614.96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W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W1399">
            <v>-203655.48</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W1400">
            <v>-203655.48</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W1401">
            <v>-53270.04</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W1402">
            <v>-53270.04</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W1403">
            <v>0</v>
          </cell>
          <cell r="Y1403">
            <v>0</v>
          </cell>
          <cell r="AA1403">
            <v>0</v>
          </cell>
          <cell r="AJ1403">
            <v>0</v>
          </cell>
          <cell r="AN1403">
            <v>0</v>
          </cell>
          <cell r="AR1403">
            <v>0</v>
          </cell>
          <cell r="AV1403">
            <v>0</v>
          </cell>
          <cell r="AZ1403">
            <v>0</v>
          </cell>
        </row>
        <row r="1404">
          <cell r="Q1404">
            <v>-3306566.26</v>
          </cell>
          <cell r="S1404">
            <v>0</v>
          </cell>
          <cell r="U1404">
            <v>0</v>
          </cell>
          <cell r="V1404">
            <v>0</v>
          </cell>
          <cell r="W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W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W1406">
            <v>-327972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W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W1408">
            <v>-116790.54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W1409">
            <v>-1667092.49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W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W1411">
            <v>-664550.25</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W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W1413">
            <v>-198529.5</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W1414">
            <v>-366705.14</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W1415">
            <v>-6750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W1416">
            <v>-311486.44</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W1417">
            <v>-89553.93</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W1418">
            <v>-26522.53</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W1419">
            <v>-26522.53</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W1421">
            <v>0</v>
          </cell>
          <cell r="Y1421">
            <v>0</v>
          </cell>
          <cell r="AA1421">
            <v>0</v>
          </cell>
          <cell r="AJ1421">
            <v>0</v>
          </cell>
          <cell r="AN1421">
            <v>0</v>
          </cell>
          <cell r="AR1421">
            <v>0</v>
          </cell>
          <cell r="AV1421">
            <v>0</v>
          </cell>
          <cell r="AZ1421">
            <v>0</v>
          </cell>
        </row>
        <row r="1422">
          <cell r="Q1422">
            <v>-47149.83</v>
          </cell>
          <cell r="S1422">
            <v>0</v>
          </cell>
          <cell r="U1422">
            <v>0</v>
          </cell>
          <cell r="V1422">
            <v>0</v>
          </cell>
          <cell r="W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W1448">
            <v>-14348397.539999999</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W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W1451">
            <v>-53765020</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W1452">
            <v>-122462280.81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W1453">
            <v>-31061844.82</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W1454">
            <v>-31546380.68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W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W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W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W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W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W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W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W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W1463">
            <v>-99191965.030000001</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W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W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W1466">
            <v>-60608616.539999999</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W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W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W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W1470">
            <v>0</v>
          </cell>
          <cell r="Y1470">
            <v>0</v>
          </cell>
          <cell r="AA1470">
            <v>0</v>
          </cell>
          <cell r="AJ1470">
            <v>0</v>
          </cell>
          <cell r="AN1470">
            <v>0</v>
          </cell>
          <cell r="AR1470">
            <v>0</v>
          </cell>
          <cell r="AV1470">
            <v>0</v>
          </cell>
          <cell r="AZ1470">
            <v>0</v>
          </cell>
        </row>
        <row r="1471">
          <cell r="Q1471">
            <v>-3858235</v>
          </cell>
          <cell r="S1471">
            <v>0</v>
          </cell>
          <cell r="U1471">
            <v>0</v>
          </cell>
          <cell r="V1471">
            <v>0</v>
          </cell>
          <cell r="W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W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W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W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W1475">
            <v>0</v>
          </cell>
          <cell r="Y1475">
            <v>0</v>
          </cell>
          <cell r="AA1475">
            <v>0</v>
          </cell>
          <cell r="AJ1475">
            <v>0</v>
          </cell>
          <cell r="AN1475">
            <v>0</v>
          </cell>
          <cell r="AR1475">
            <v>0</v>
          </cell>
          <cell r="AV1475">
            <v>0</v>
          </cell>
          <cell r="AZ1475">
            <v>0</v>
          </cell>
        </row>
        <row r="1476">
          <cell r="Q1476">
            <v>0</v>
          </cell>
          <cell r="S1476">
            <v>0</v>
          </cell>
          <cell r="U1476">
            <v>0</v>
          </cell>
          <cell r="V1476">
            <v>0</v>
          </cell>
          <cell r="W1476">
            <v>0</v>
          </cell>
          <cell r="Y1476">
            <v>0</v>
          </cell>
          <cell r="AA1476">
            <v>0</v>
          </cell>
          <cell r="AJ1476">
            <v>0</v>
          </cell>
          <cell r="AN1476">
            <v>0</v>
          </cell>
          <cell r="AR1476">
            <v>0</v>
          </cell>
          <cell r="AV1476">
            <v>0</v>
          </cell>
          <cell r="AZ1476">
            <v>0</v>
          </cell>
        </row>
        <row r="1477">
          <cell r="Q1477">
            <v>0</v>
          </cell>
          <cell r="S1477">
            <v>0</v>
          </cell>
          <cell r="U1477">
            <v>0</v>
          </cell>
          <cell r="V1477">
            <v>0</v>
          </cell>
          <cell r="W1477">
            <v>0</v>
          </cell>
          <cell r="Y1477">
            <v>0</v>
          </cell>
          <cell r="AA1477">
            <v>0</v>
          </cell>
          <cell r="AJ1477">
            <v>0</v>
          </cell>
          <cell r="AN1477">
            <v>0</v>
          </cell>
          <cell r="AR1477">
            <v>0</v>
          </cell>
          <cell r="AV1477">
            <v>0</v>
          </cell>
          <cell r="AZ1477">
            <v>0</v>
          </cell>
        </row>
        <row r="1478">
          <cell r="Q1478">
            <v>0</v>
          </cell>
          <cell r="S1478">
            <v>0</v>
          </cell>
          <cell r="U1478">
            <v>0</v>
          </cell>
          <cell r="V1478">
            <v>0</v>
          </cell>
          <cell r="W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W1479">
            <v>-5330002.57</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W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W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W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W1483">
            <v>-148147.14000000001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W1484">
            <v>-448891.57</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W1485">
            <v>-10300305.710000001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W1486">
            <v>-36897762.960000001</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W1487">
            <v>-21527662.640000001</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W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W1489">
            <v>-23484038.18</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W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W1491">
            <v>-1647253.95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W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W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W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W1495">
            <v>-52226.720000000001</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W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W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W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W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W1500">
            <v>-34852355.299999997</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W1501">
            <v>-70275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W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W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W1504">
            <v>-1279150.8700000001</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W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W1507">
            <v>-1090066.8999999999</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W1508">
            <v>0</v>
          </cell>
          <cell r="Y1508">
            <v>0</v>
          </cell>
          <cell r="AA1508">
            <v>0</v>
          </cell>
          <cell r="AJ1508">
            <v>0</v>
          </cell>
          <cell r="AN1508">
            <v>0</v>
          </cell>
          <cell r="AR1508">
            <v>0</v>
          </cell>
          <cell r="AV1508">
            <v>0</v>
          </cell>
          <cell r="AZ1508">
            <v>0</v>
          </cell>
        </row>
        <row r="1509">
          <cell r="Q1509">
            <v>0</v>
          </cell>
          <cell r="S1509">
            <v>0</v>
          </cell>
          <cell r="U1509">
            <v>0</v>
          </cell>
          <cell r="V1509">
            <v>0</v>
          </cell>
          <cell r="W1509">
            <v>0</v>
          </cell>
          <cell r="Y1509">
            <v>0</v>
          </cell>
          <cell r="AA1509">
            <v>0</v>
          </cell>
          <cell r="AJ1509">
            <v>0</v>
          </cell>
          <cell r="AN1509">
            <v>0</v>
          </cell>
          <cell r="AR1509">
            <v>0</v>
          </cell>
          <cell r="AV1509">
            <v>0</v>
          </cell>
          <cell r="AZ1509">
            <v>0</v>
          </cell>
        </row>
        <row r="1510">
          <cell r="Q1510">
            <v>0</v>
          </cell>
          <cell r="S1510">
            <v>0</v>
          </cell>
          <cell r="U1510">
            <v>0</v>
          </cell>
          <cell r="V1510">
            <v>0</v>
          </cell>
          <cell r="W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W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W1515">
            <v>0</v>
          </cell>
          <cell r="Y1515">
            <v>0</v>
          </cell>
          <cell r="AA1515">
            <v>0</v>
          </cell>
          <cell r="AJ1515">
            <v>0</v>
          </cell>
          <cell r="AN1515">
            <v>0</v>
          </cell>
          <cell r="AR1515">
            <v>0</v>
          </cell>
          <cell r="AV1515">
            <v>0</v>
          </cell>
          <cell r="AZ1515">
            <v>0</v>
          </cell>
        </row>
        <row r="1516">
          <cell r="Q1516">
            <v>0</v>
          </cell>
          <cell r="S1516">
            <v>0</v>
          </cell>
          <cell r="U1516">
            <v>0</v>
          </cell>
          <cell r="V1516">
            <v>0</v>
          </cell>
          <cell r="W1516">
            <v>-395600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W1517">
            <v>-32761</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W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W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W1520">
            <v>-143747.06</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W1522">
            <v>-2291038.92</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W1523">
            <v>-4308944.53</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W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W1525">
            <v>-261544.25</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W1526">
            <v>-363275.72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W1527">
            <v>-2208786.7999999998</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W1529">
            <v>-3744655</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W1530">
            <v>0</v>
          </cell>
          <cell r="Y1530">
            <v>0</v>
          </cell>
          <cell r="AA1530">
            <v>0</v>
          </cell>
          <cell r="AJ1530">
            <v>0</v>
          </cell>
          <cell r="AN1530">
            <v>0</v>
          </cell>
          <cell r="AR1530">
            <v>0</v>
          </cell>
          <cell r="AV1530">
            <v>0</v>
          </cell>
          <cell r="AZ1530">
            <v>0</v>
          </cell>
        </row>
        <row r="1531">
          <cell r="Q1531">
            <v>0</v>
          </cell>
          <cell r="S1531">
            <v>0</v>
          </cell>
          <cell r="U1531">
            <v>0</v>
          </cell>
          <cell r="V1531">
            <v>0</v>
          </cell>
          <cell r="W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W1533">
            <v>-248.9</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W1534">
            <v>0</v>
          </cell>
          <cell r="Y1534">
            <v>0</v>
          </cell>
          <cell r="AA1534">
            <v>0</v>
          </cell>
          <cell r="AJ1534">
            <v>0</v>
          </cell>
          <cell r="AN1534">
            <v>0</v>
          </cell>
          <cell r="AR1534">
            <v>0</v>
          </cell>
          <cell r="AV1534">
            <v>0</v>
          </cell>
          <cell r="AZ1534">
            <v>0</v>
          </cell>
        </row>
        <row r="1535">
          <cell r="Q1535">
            <v>0</v>
          </cell>
          <cell r="S1535">
            <v>0</v>
          </cell>
          <cell r="U1535">
            <v>0</v>
          </cell>
          <cell r="V1535">
            <v>0</v>
          </cell>
          <cell r="W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W1536">
            <v>-5845923.2699999996</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W1537">
            <v>0</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W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W1539">
            <v>0</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W1540">
            <v>-9346571</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W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W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W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W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W1545">
            <v>0</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W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W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W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W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W1550">
            <v>-71870994</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W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W1552">
            <v>-5717695</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W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W1556">
            <v>-358272.05</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W1557">
            <v>-1436910.19</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W1558">
            <v>-7889331.2999999998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W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W1560">
            <v>0</v>
          </cell>
          <cell r="Y1560">
            <v>0</v>
          </cell>
          <cell r="AA1560">
            <v>0</v>
          </cell>
          <cell r="AJ1560">
            <v>0</v>
          </cell>
          <cell r="AN1560">
            <v>0</v>
          </cell>
          <cell r="AR1560">
            <v>0</v>
          </cell>
          <cell r="AV1560">
            <v>0</v>
          </cell>
          <cell r="AZ1560">
            <v>0</v>
          </cell>
        </row>
        <row r="1561">
          <cell r="Q1561">
            <v>0</v>
          </cell>
          <cell r="S1561">
            <v>0</v>
          </cell>
          <cell r="U1561">
            <v>0</v>
          </cell>
          <cell r="V1561">
            <v>0</v>
          </cell>
          <cell r="W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W1562">
            <v>0</v>
          </cell>
          <cell r="Y1562">
            <v>0</v>
          </cell>
          <cell r="AA1562">
            <v>0</v>
          </cell>
          <cell r="AJ1562">
            <v>-725750</v>
          </cell>
          <cell r="AN1562">
            <v>-725750</v>
          </cell>
          <cell r="AR1562">
            <v>-604791.66666666663</v>
          </cell>
          <cell r="AV1562">
            <v>0</v>
          </cell>
          <cell r="AZ1562">
            <v>0</v>
          </cell>
        </row>
        <row r="1563">
          <cell r="U1563">
            <v>-658335</v>
          </cell>
          <cell r="V1563">
            <v>-658335</v>
          </cell>
          <cell r="W1563">
            <v>-684640</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W1566">
            <v>0</v>
          </cell>
          <cell r="Y1566">
            <v>0</v>
          </cell>
          <cell r="AA1566">
            <v>0</v>
          </cell>
          <cell r="AJ1566">
            <v>0</v>
          </cell>
          <cell r="AN1566">
            <v>0</v>
          </cell>
          <cell r="AR1566">
            <v>0</v>
          </cell>
          <cell r="AV1566">
            <v>0</v>
          </cell>
          <cell r="AZ1566">
            <v>0</v>
          </cell>
        </row>
        <row r="1567">
          <cell r="Q1567">
            <v>0</v>
          </cell>
          <cell r="S1567">
            <v>0</v>
          </cell>
          <cell r="U1567">
            <v>0</v>
          </cell>
          <cell r="V1567">
            <v>0</v>
          </cell>
          <cell r="W1567">
            <v>0</v>
          </cell>
          <cell r="Y1567">
            <v>0</v>
          </cell>
          <cell r="AA1567">
            <v>0</v>
          </cell>
          <cell r="AJ1567">
            <v>0</v>
          </cell>
          <cell r="AN1567">
            <v>0</v>
          </cell>
          <cell r="AR1567">
            <v>0</v>
          </cell>
          <cell r="AV1567">
            <v>0</v>
          </cell>
          <cell r="AZ1567">
            <v>0</v>
          </cell>
        </row>
        <row r="1568">
          <cell r="Q1568">
            <v>0</v>
          </cell>
          <cell r="S1568">
            <v>0</v>
          </cell>
          <cell r="U1568">
            <v>0</v>
          </cell>
          <cell r="V1568">
            <v>0</v>
          </cell>
          <cell r="W1568">
            <v>0</v>
          </cell>
          <cell r="Y1568">
            <v>0</v>
          </cell>
          <cell r="AA1568">
            <v>0</v>
          </cell>
          <cell r="AJ1568">
            <v>0</v>
          </cell>
          <cell r="AN1568">
            <v>0</v>
          </cell>
          <cell r="AR1568">
            <v>0</v>
          </cell>
          <cell r="AV1568">
            <v>0</v>
          </cell>
          <cell r="AZ1568">
            <v>0</v>
          </cell>
        </row>
        <row r="1569">
          <cell r="Q1569">
            <v>0</v>
          </cell>
          <cell r="S1569">
            <v>0</v>
          </cell>
          <cell r="U1569">
            <v>0</v>
          </cell>
          <cell r="V1569">
            <v>0</v>
          </cell>
          <cell r="W1569">
            <v>0</v>
          </cell>
          <cell r="Y1569">
            <v>0</v>
          </cell>
          <cell r="AA1569">
            <v>0</v>
          </cell>
          <cell r="AJ1569">
            <v>0</v>
          </cell>
          <cell r="AN1569">
            <v>0</v>
          </cell>
          <cell r="AR1569">
            <v>0</v>
          </cell>
          <cell r="AV1569">
            <v>0</v>
          </cell>
          <cell r="AZ1569">
            <v>0</v>
          </cell>
        </row>
        <row r="1570">
          <cell r="Q1570">
            <v>0</v>
          </cell>
          <cell r="S1570">
            <v>0</v>
          </cell>
          <cell r="U1570">
            <v>0</v>
          </cell>
          <cell r="V1570">
            <v>0</v>
          </cell>
          <cell r="W1570">
            <v>0</v>
          </cell>
          <cell r="Y1570">
            <v>0</v>
          </cell>
          <cell r="AA1570">
            <v>0</v>
          </cell>
          <cell r="AJ1570">
            <v>0</v>
          </cell>
          <cell r="AN1570">
            <v>0</v>
          </cell>
          <cell r="AR1570">
            <v>0</v>
          </cell>
          <cell r="AV1570">
            <v>0</v>
          </cell>
          <cell r="AZ1570">
            <v>0</v>
          </cell>
        </row>
        <row r="1571">
          <cell r="Q1571">
            <v>0</v>
          </cell>
          <cell r="S1571">
            <v>0</v>
          </cell>
          <cell r="U1571">
            <v>0</v>
          </cell>
          <cell r="V1571">
            <v>0</v>
          </cell>
          <cell r="W1571">
            <v>0</v>
          </cell>
          <cell r="Y1571">
            <v>0</v>
          </cell>
          <cell r="AA1571">
            <v>0</v>
          </cell>
          <cell r="AJ1571">
            <v>0</v>
          </cell>
          <cell r="AN1571">
            <v>0</v>
          </cell>
          <cell r="AR1571">
            <v>0</v>
          </cell>
          <cell r="AV1571">
            <v>0</v>
          </cell>
          <cell r="AZ1571">
            <v>0</v>
          </cell>
        </row>
        <row r="1572">
          <cell r="Q1572">
            <v>0</v>
          </cell>
          <cell r="S1572">
            <v>0</v>
          </cell>
          <cell r="U1572">
            <v>0</v>
          </cell>
          <cell r="V1572">
            <v>0</v>
          </cell>
          <cell r="W1572">
            <v>0</v>
          </cell>
          <cell r="Y1572">
            <v>0</v>
          </cell>
          <cell r="AA1572">
            <v>0</v>
          </cell>
          <cell r="AJ1572">
            <v>0</v>
          </cell>
          <cell r="AN1572">
            <v>0</v>
          </cell>
          <cell r="AR1572">
            <v>0</v>
          </cell>
          <cell r="AV1572">
            <v>0</v>
          </cell>
          <cell r="AZ1572">
            <v>0</v>
          </cell>
        </row>
        <row r="1573">
          <cell r="Q1573">
            <v>0</v>
          </cell>
          <cell r="S1573">
            <v>0</v>
          </cell>
          <cell r="U1573">
            <v>0</v>
          </cell>
          <cell r="V1573">
            <v>0</v>
          </cell>
          <cell r="W1573">
            <v>0</v>
          </cell>
          <cell r="Y1573">
            <v>0</v>
          </cell>
          <cell r="AA1573">
            <v>0</v>
          </cell>
          <cell r="AJ1573">
            <v>0</v>
          </cell>
          <cell r="AN1573">
            <v>0</v>
          </cell>
          <cell r="AR1573">
            <v>0</v>
          </cell>
          <cell r="AV1573">
            <v>0</v>
          </cell>
          <cell r="AZ1573">
            <v>0</v>
          </cell>
        </row>
        <row r="1574">
          <cell r="Q1574">
            <v>0</v>
          </cell>
          <cell r="S1574">
            <v>0</v>
          </cell>
          <cell r="U1574">
            <v>0</v>
          </cell>
          <cell r="V1574">
            <v>0</v>
          </cell>
          <cell r="W1574">
            <v>0</v>
          </cell>
          <cell r="Y1574">
            <v>0</v>
          </cell>
          <cell r="AA1574">
            <v>0</v>
          </cell>
          <cell r="AJ1574">
            <v>0</v>
          </cell>
          <cell r="AN1574">
            <v>0</v>
          </cell>
          <cell r="AR1574">
            <v>0</v>
          </cell>
          <cell r="AV1574">
            <v>0</v>
          </cell>
          <cell r="AZ1574">
            <v>0</v>
          </cell>
        </row>
        <row r="1575">
          <cell r="Q1575">
            <v>0</v>
          </cell>
          <cell r="S1575">
            <v>0</v>
          </cell>
          <cell r="U1575">
            <v>0</v>
          </cell>
          <cell r="V1575">
            <v>0</v>
          </cell>
          <cell r="W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W1576">
            <v>-451.17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W1577">
            <v>-615679.23</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W1578">
            <v>0</v>
          </cell>
          <cell r="Y1578">
            <v>0</v>
          </cell>
          <cell r="AA1578">
            <v>0</v>
          </cell>
          <cell r="AJ1578">
            <v>0</v>
          </cell>
          <cell r="AN1578">
            <v>0</v>
          </cell>
          <cell r="AR1578">
            <v>0</v>
          </cell>
          <cell r="AV1578">
            <v>0</v>
          </cell>
          <cell r="AZ1578">
            <v>0</v>
          </cell>
        </row>
        <row r="1579">
          <cell r="Q1579">
            <v>0</v>
          </cell>
          <cell r="S1579">
            <v>0</v>
          </cell>
          <cell r="U1579">
            <v>0</v>
          </cell>
          <cell r="V1579">
            <v>0</v>
          </cell>
          <cell r="W1579">
            <v>0</v>
          </cell>
          <cell r="Y1579">
            <v>0</v>
          </cell>
          <cell r="AA1579">
            <v>0</v>
          </cell>
          <cell r="AJ1579">
            <v>0</v>
          </cell>
          <cell r="AN1579">
            <v>0</v>
          </cell>
          <cell r="AR1579">
            <v>0</v>
          </cell>
          <cell r="AV1579">
            <v>0</v>
          </cell>
          <cell r="AZ1579">
            <v>0</v>
          </cell>
        </row>
        <row r="1580">
          <cell r="Q1580">
            <v>0</v>
          </cell>
          <cell r="S1580">
            <v>0</v>
          </cell>
          <cell r="U1580">
            <v>0</v>
          </cell>
          <cell r="V1580">
            <v>0</v>
          </cell>
          <cell r="W1580">
            <v>0</v>
          </cell>
          <cell r="Y1580">
            <v>0</v>
          </cell>
          <cell r="AA1580">
            <v>0</v>
          </cell>
          <cell r="AJ1580">
            <v>0</v>
          </cell>
          <cell r="AN1580">
            <v>0</v>
          </cell>
          <cell r="AR1580">
            <v>0</v>
          </cell>
          <cell r="AV1580">
            <v>0</v>
          </cell>
          <cell r="AZ1580">
            <v>0</v>
          </cell>
        </row>
        <row r="1581">
          <cell r="Q1581">
            <v>0</v>
          </cell>
          <cell r="S1581">
            <v>0</v>
          </cell>
          <cell r="U1581">
            <v>0</v>
          </cell>
          <cell r="V1581">
            <v>0</v>
          </cell>
          <cell r="W1581">
            <v>0</v>
          </cell>
          <cell r="Y1581">
            <v>0</v>
          </cell>
          <cell r="AA1581">
            <v>0</v>
          </cell>
          <cell r="AJ1581">
            <v>0</v>
          </cell>
          <cell r="AN1581">
            <v>0</v>
          </cell>
          <cell r="AR1581">
            <v>0</v>
          </cell>
          <cell r="AV1581">
            <v>0</v>
          </cell>
          <cell r="AZ1581">
            <v>0</v>
          </cell>
        </row>
        <row r="1582">
          <cell r="Q1582">
            <v>0</v>
          </cell>
          <cell r="S1582">
            <v>0</v>
          </cell>
          <cell r="U1582">
            <v>0</v>
          </cell>
          <cell r="V1582">
            <v>0</v>
          </cell>
          <cell r="W1582">
            <v>0</v>
          </cell>
          <cell r="Y1582">
            <v>0</v>
          </cell>
          <cell r="AA1582">
            <v>0</v>
          </cell>
          <cell r="AJ1582">
            <v>0</v>
          </cell>
          <cell r="AN1582">
            <v>0</v>
          </cell>
          <cell r="AR1582">
            <v>0</v>
          </cell>
          <cell r="AV1582">
            <v>0</v>
          </cell>
          <cell r="AZ1582">
            <v>0</v>
          </cell>
        </row>
        <row r="1583">
          <cell r="Q1583">
            <v>0</v>
          </cell>
          <cell r="S1583">
            <v>0</v>
          </cell>
          <cell r="U1583">
            <v>0</v>
          </cell>
          <cell r="V1583">
            <v>0</v>
          </cell>
          <cell r="W1583">
            <v>0</v>
          </cell>
          <cell r="Y1583">
            <v>0</v>
          </cell>
          <cell r="AA1583">
            <v>0</v>
          </cell>
          <cell r="AJ1583">
            <v>0</v>
          </cell>
          <cell r="AN1583">
            <v>0</v>
          </cell>
          <cell r="AR1583">
            <v>0</v>
          </cell>
          <cell r="AV1583">
            <v>0</v>
          </cell>
          <cell r="AZ1583">
            <v>0</v>
          </cell>
        </row>
        <row r="1584">
          <cell r="Q1584">
            <v>0</v>
          </cell>
          <cell r="S1584">
            <v>0</v>
          </cell>
          <cell r="U1584">
            <v>0</v>
          </cell>
          <cell r="V1584">
            <v>0</v>
          </cell>
          <cell r="W1584">
            <v>0</v>
          </cell>
          <cell r="Y1584">
            <v>0</v>
          </cell>
          <cell r="AA1584">
            <v>0</v>
          </cell>
          <cell r="AJ1584">
            <v>0</v>
          </cell>
          <cell r="AN1584">
            <v>0</v>
          </cell>
          <cell r="AR1584">
            <v>0</v>
          </cell>
          <cell r="AV1584">
            <v>0</v>
          </cell>
          <cell r="AZ1584">
            <v>0</v>
          </cell>
        </row>
        <row r="1585">
          <cell r="Q1585">
            <v>0</v>
          </cell>
          <cell r="S1585">
            <v>0</v>
          </cell>
          <cell r="U1585">
            <v>0</v>
          </cell>
          <cell r="V1585">
            <v>0</v>
          </cell>
          <cell r="W1585">
            <v>0</v>
          </cell>
          <cell r="Y1585">
            <v>0</v>
          </cell>
          <cell r="AA1585">
            <v>0</v>
          </cell>
          <cell r="AJ1585">
            <v>0</v>
          </cell>
          <cell r="AN1585">
            <v>0</v>
          </cell>
          <cell r="AR1585">
            <v>0</v>
          </cell>
          <cell r="AV1585">
            <v>0</v>
          </cell>
          <cell r="AZ1585">
            <v>0</v>
          </cell>
        </row>
        <row r="1586">
          <cell r="Q1586">
            <v>0</v>
          </cell>
          <cell r="S1586">
            <v>0</v>
          </cell>
          <cell r="U1586">
            <v>0</v>
          </cell>
          <cell r="V1586">
            <v>-0.42</v>
          </cell>
          <cell r="W1586">
            <v>-6.01</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W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W1589">
            <v>-845849.71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W1590">
            <v>-1006637.48</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W1591">
            <v>0</v>
          </cell>
          <cell r="Y1591">
            <v>0</v>
          </cell>
          <cell r="AA1591">
            <v>0</v>
          </cell>
          <cell r="AJ1591">
            <v>0</v>
          </cell>
          <cell r="AN1591">
            <v>0</v>
          </cell>
          <cell r="AR1591">
            <v>0</v>
          </cell>
          <cell r="AV1591">
            <v>0</v>
          </cell>
          <cell r="AZ1591">
            <v>0</v>
          </cell>
        </row>
        <row r="1592">
          <cell r="Q1592">
            <v>0</v>
          </cell>
          <cell r="S1592">
            <v>0</v>
          </cell>
          <cell r="U1592">
            <v>0</v>
          </cell>
          <cell r="V1592">
            <v>0</v>
          </cell>
          <cell r="W1592">
            <v>0</v>
          </cell>
          <cell r="Y1592">
            <v>0</v>
          </cell>
          <cell r="AA1592">
            <v>0</v>
          </cell>
          <cell r="AJ1592">
            <v>0</v>
          </cell>
          <cell r="AN1592">
            <v>0</v>
          </cell>
          <cell r="AR1592">
            <v>0</v>
          </cell>
          <cell r="AV1592">
            <v>0</v>
          </cell>
          <cell r="AZ1592">
            <v>0</v>
          </cell>
        </row>
        <row r="1593">
          <cell r="Q1593">
            <v>0</v>
          </cell>
          <cell r="S1593">
            <v>0</v>
          </cell>
          <cell r="U1593">
            <v>0</v>
          </cell>
          <cell r="V1593">
            <v>0</v>
          </cell>
          <cell r="W1593">
            <v>0</v>
          </cell>
          <cell r="Y1593">
            <v>0</v>
          </cell>
          <cell r="AA1593">
            <v>0</v>
          </cell>
          <cell r="AJ1593">
            <v>0</v>
          </cell>
          <cell r="AN1593">
            <v>0</v>
          </cell>
          <cell r="AR1593">
            <v>0</v>
          </cell>
          <cell r="AV1593">
            <v>0</v>
          </cell>
          <cell r="AZ1593">
            <v>0</v>
          </cell>
        </row>
        <row r="1594">
          <cell r="Q1594">
            <v>0</v>
          </cell>
          <cell r="S1594">
            <v>0</v>
          </cell>
          <cell r="U1594">
            <v>0</v>
          </cell>
          <cell r="V1594">
            <v>0</v>
          </cell>
          <cell r="W1594">
            <v>0</v>
          </cell>
          <cell r="Y1594">
            <v>0</v>
          </cell>
          <cell r="AA1594">
            <v>0</v>
          </cell>
          <cell r="AJ1594">
            <v>0</v>
          </cell>
          <cell r="AN1594">
            <v>0</v>
          </cell>
          <cell r="AR1594">
            <v>0</v>
          </cell>
          <cell r="AV1594">
            <v>0</v>
          </cell>
          <cell r="AZ1594">
            <v>0</v>
          </cell>
        </row>
        <row r="1595">
          <cell r="Q1595">
            <v>0</v>
          </cell>
          <cell r="S1595">
            <v>0</v>
          </cell>
          <cell r="U1595">
            <v>0</v>
          </cell>
          <cell r="V1595">
            <v>0</v>
          </cell>
          <cell r="W1595">
            <v>0</v>
          </cell>
          <cell r="Y1595">
            <v>0</v>
          </cell>
          <cell r="AA1595">
            <v>0</v>
          </cell>
          <cell r="AJ1595">
            <v>0</v>
          </cell>
          <cell r="AN1595">
            <v>0</v>
          </cell>
          <cell r="AR1595">
            <v>0</v>
          </cell>
          <cell r="AV1595">
            <v>0</v>
          </cell>
          <cell r="AZ1595">
            <v>0</v>
          </cell>
        </row>
        <row r="1596">
          <cell r="Q1596">
            <v>0</v>
          </cell>
          <cell r="S1596">
            <v>0</v>
          </cell>
          <cell r="U1596">
            <v>0</v>
          </cell>
          <cell r="V1596">
            <v>0</v>
          </cell>
          <cell r="W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W1597">
            <v>-515889.04</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W1598">
            <v>0</v>
          </cell>
          <cell r="Y1598">
            <v>0</v>
          </cell>
          <cell r="AA1598">
            <v>0</v>
          </cell>
          <cell r="AJ1598">
            <v>0</v>
          </cell>
          <cell r="AN1598">
            <v>0</v>
          </cell>
          <cell r="AR1598">
            <v>0</v>
          </cell>
          <cell r="AV1598">
            <v>0</v>
          </cell>
          <cell r="AZ1598">
            <v>0</v>
          </cell>
        </row>
        <row r="1599">
          <cell r="Q1599">
            <v>0</v>
          </cell>
          <cell r="S1599">
            <v>0</v>
          </cell>
          <cell r="U1599">
            <v>0</v>
          </cell>
          <cell r="V1599">
            <v>0</v>
          </cell>
          <cell r="W1599">
            <v>0</v>
          </cell>
          <cell r="Y1599">
            <v>0</v>
          </cell>
          <cell r="AA1599">
            <v>0</v>
          </cell>
          <cell r="AJ1599">
            <v>0</v>
          </cell>
          <cell r="AN1599">
            <v>0</v>
          </cell>
          <cell r="AR1599">
            <v>0</v>
          </cell>
          <cell r="AV1599">
            <v>0</v>
          </cell>
          <cell r="AZ1599">
            <v>0</v>
          </cell>
        </row>
        <row r="1600">
          <cell r="Q1600">
            <v>0</v>
          </cell>
          <cell r="S1600">
            <v>0</v>
          </cell>
          <cell r="U1600">
            <v>0</v>
          </cell>
          <cell r="V1600">
            <v>0</v>
          </cell>
          <cell r="W1600">
            <v>0</v>
          </cell>
          <cell r="Y1600">
            <v>0</v>
          </cell>
          <cell r="AA1600">
            <v>0</v>
          </cell>
          <cell r="AJ1600">
            <v>0</v>
          </cell>
          <cell r="AN1600">
            <v>0</v>
          </cell>
          <cell r="AR1600">
            <v>0</v>
          </cell>
          <cell r="AV1600">
            <v>0</v>
          </cell>
          <cell r="AZ1600">
            <v>0</v>
          </cell>
        </row>
        <row r="1601">
          <cell r="Q1601">
            <v>0</v>
          </cell>
          <cell r="S1601">
            <v>0</v>
          </cell>
          <cell r="U1601">
            <v>0</v>
          </cell>
          <cell r="V1601">
            <v>0</v>
          </cell>
          <cell r="W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W1602">
            <v>-5697.06</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W1603">
            <v>-893865.18</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W1604">
            <v>-71932.81</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W1605">
            <v>-20736.39</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W1606">
            <v>-1428974.44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W1607">
            <v>-794764.06</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W1608">
            <v>-202486.45</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W1609">
            <v>-112618.66</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W1610">
            <v>-3278018.74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W1611">
            <v>-1935334.24</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W1612">
            <v>-11629278</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W1613">
            <v>-6220722</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W1616">
            <v>-14970432.65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W1617">
            <v>-3743967.97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W1618">
            <v>-715256</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W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W1621">
            <v>7789843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W1622">
            <v>-660697.06000000006</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W1623">
            <v>-133175.26999999999</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W1624">
            <v>-4818.83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W1625">
            <v>-919422.54</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W1626">
            <v>-830133.46</v>
          </cell>
          <cell r="Y1626">
            <v>-1170132.25</v>
          </cell>
          <cell r="AA1626">
            <v>-1524478.16</v>
          </cell>
          <cell r="AJ1626">
            <v>0</v>
          </cell>
          <cell r="AN1626">
            <v>0</v>
          </cell>
          <cell r="AR1626">
            <v>-283769.87541666668</v>
          </cell>
          <cell r="AV1626">
            <v>-748208.6958333333</v>
          </cell>
          <cell r="AZ1626">
            <v>-1198280.9099999999</v>
          </cell>
        </row>
        <row r="1627">
          <cell r="V1627">
            <v>0</v>
          </cell>
          <cell r="W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W1631">
            <v>-191579.07</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W1632">
            <v>0</v>
          </cell>
          <cell r="Y1632">
            <v>0</v>
          </cell>
          <cell r="AA1632">
            <v>0</v>
          </cell>
          <cell r="AJ1632">
            <v>0</v>
          </cell>
          <cell r="AN1632">
            <v>0</v>
          </cell>
          <cell r="AR1632">
            <v>0</v>
          </cell>
          <cell r="AV1632">
            <v>0</v>
          </cell>
          <cell r="AZ1632">
            <v>0</v>
          </cell>
        </row>
        <row r="1633">
          <cell r="Q1633">
            <v>0</v>
          </cell>
          <cell r="S1633">
            <v>0</v>
          </cell>
          <cell r="U1633">
            <v>0</v>
          </cell>
          <cell r="V1633">
            <v>0</v>
          </cell>
          <cell r="W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W1635">
            <v>-20770062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W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W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W1638">
            <v>-618047040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W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W1640">
            <v>0</v>
          </cell>
          <cell r="Y1640">
            <v>0</v>
          </cell>
          <cell r="AA1640">
            <v>0</v>
          </cell>
          <cell r="AJ1640">
            <v>0</v>
          </cell>
          <cell r="AN1640">
            <v>0</v>
          </cell>
          <cell r="AR1640">
            <v>0</v>
          </cell>
          <cell r="AV1640">
            <v>0</v>
          </cell>
          <cell r="AZ1640">
            <v>0</v>
          </cell>
        </row>
        <row r="1641">
          <cell r="Q1641">
            <v>0</v>
          </cell>
          <cell r="S1641">
            <v>0</v>
          </cell>
          <cell r="U1641">
            <v>0</v>
          </cell>
          <cell r="V1641">
            <v>0</v>
          </cell>
          <cell r="W1641">
            <v>0</v>
          </cell>
          <cell r="Y1641">
            <v>0</v>
          </cell>
          <cell r="AA1641">
            <v>0</v>
          </cell>
          <cell r="AJ1641">
            <v>0</v>
          </cell>
          <cell r="AN1641">
            <v>0</v>
          </cell>
          <cell r="AR1641">
            <v>0</v>
          </cell>
          <cell r="AV1641">
            <v>0</v>
          </cell>
          <cell r="AZ1641">
            <v>0</v>
          </cell>
        </row>
        <row r="1642">
          <cell r="Q1642">
            <v>0</v>
          </cell>
          <cell r="S1642">
            <v>0</v>
          </cell>
          <cell r="U1642">
            <v>0</v>
          </cell>
          <cell r="V1642">
            <v>0</v>
          </cell>
          <cell r="W1642">
            <v>0</v>
          </cell>
          <cell r="Y1642">
            <v>0</v>
          </cell>
          <cell r="AA1642">
            <v>0</v>
          </cell>
          <cell r="AJ1642">
            <v>0</v>
          </cell>
          <cell r="AN1642">
            <v>0</v>
          </cell>
          <cell r="AR1642">
            <v>0</v>
          </cell>
          <cell r="AV1642">
            <v>0</v>
          </cell>
          <cell r="AZ1642">
            <v>0</v>
          </cell>
        </row>
        <row r="1643">
          <cell r="Q1643">
            <v>0</v>
          </cell>
          <cell r="S1643">
            <v>0</v>
          </cell>
          <cell r="U1643">
            <v>0</v>
          </cell>
          <cell r="V1643">
            <v>0</v>
          </cell>
          <cell r="W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W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W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W1646">
            <v>-46912634.079999998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W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W1648">
            <v>0</v>
          </cell>
          <cell r="Y1648">
            <v>0</v>
          </cell>
          <cell r="AA1648">
            <v>0</v>
          </cell>
          <cell r="AJ1648">
            <v>0</v>
          </cell>
          <cell r="AN1648">
            <v>0</v>
          </cell>
          <cell r="AR1648">
            <v>0</v>
          </cell>
          <cell r="AV1648">
            <v>0</v>
          </cell>
          <cell r="AZ1648">
            <v>0</v>
          </cell>
        </row>
        <row r="1649">
          <cell r="Q1649">
            <v>0</v>
          </cell>
          <cell r="S1649">
            <v>0</v>
          </cell>
          <cell r="U1649">
            <v>0</v>
          </cell>
          <cell r="V1649">
            <v>0</v>
          </cell>
          <cell r="W1649">
            <v>0</v>
          </cell>
          <cell r="Y1649">
            <v>0</v>
          </cell>
          <cell r="AA1649">
            <v>0</v>
          </cell>
          <cell r="AJ1649">
            <v>0</v>
          </cell>
          <cell r="AN1649">
            <v>0</v>
          </cell>
          <cell r="AR1649">
            <v>0</v>
          </cell>
          <cell r="AV1649">
            <v>0</v>
          </cell>
          <cell r="AZ1649">
            <v>0</v>
          </cell>
        </row>
        <row r="1650">
          <cell r="Q1650">
            <v>0</v>
          </cell>
          <cell r="S1650">
            <v>0</v>
          </cell>
          <cell r="U1650">
            <v>0</v>
          </cell>
          <cell r="V1650">
            <v>0</v>
          </cell>
          <cell r="W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W1651">
            <v>-357899.51</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W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W1653">
            <v>-47098869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W1654">
            <v>-1137075.49</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W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W1656">
            <v>-7521943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W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W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W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W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W1661">
            <v>0</v>
          </cell>
          <cell r="Y1661">
            <v>0</v>
          </cell>
          <cell r="AA1661">
            <v>0</v>
          </cell>
          <cell r="AJ1661">
            <v>0</v>
          </cell>
          <cell r="AN1661">
            <v>0</v>
          </cell>
          <cell r="AR1661">
            <v>0</v>
          </cell>
          <cell r="AV1661">
            <v>0</v>
          </cell>
          <cell r="AZ1661">
            <v>0</v>
          </cell>
        </row>
        <row r="1662">
          <cell r="Q1662">
            <v>0</v>
          </cell>
          <cell r="S1662">
            <v>0</v>
          </cell>
          <cell r="U1662">
            <v>0</v>
          </cell>
          <cell r="V1662">
            <v>0</v>
          </cell>
          <cell r="W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W1663">
            <v>0</v>
          </cell>
          <cell r="Y1663">
            <v>0</v>
          </cell>
          <cell r="AA1663">
            <v>0</v>
          </cell>
          <cell r="AJ1663">
            <v>0</v>
          </cell>
          <cell r="AN1663">
            <v>0</v>
          </cell>
          <cell r="AR1663">
            <v>0</v>
          </cell>
          <cell r="AV1663">
            <v>0</v>
          </cell>
          <cell r="AZ1663">
            <v>0</v>
          </cell>
        </row>
        <row r="1664">
          <cell r="Q1664">
            <v>0</v>
          </cell>
          <cell r="S1664">
            <v>0</v>
          </cell>
          <cell r="U1664">
            <v>0</v>
          </cell>
          <cell r="V1664">
            <v>0</v>
          </cell>
          <cell r="W1664">
            <v>0</v>
          </cell>
          <cell r="Y1664">
            <v>0</v>
          </cell>
          <cell r="AA1664">
            <v>0</v>
          </cell>
          <cell r="AJ1664">
            <v>0</v>
          </cell>
          <cell r="AN1664">
            <v>0</v>
          </cell>
          <cell r="AR1664">
            <v>0</v>
          </cell>
          <cell r="AV1664">
            <v>0</v>
          </cell>
          <cell r="AZ1664">
            <v>0</v>
          </cell>
        </row>
        <row r="1665">
          <cell r="Q1665">
            <v>0</v>
          </cell>
          <cell r="S1665">
            <v>0</v>
          </cell>
          <cell r="U1665">
            <v>0</v>
          </cell>
          <cell r="V1665">
            <v>0</v>
          </cell>
          <cell r="W1665">
            <v>0</v>
          </cell>
          <cell r="Y1665">
            <v>0</v>
          </cell>
          <cell r="AA1665">
            <v>0</v>
          </cell>
          <cell r="AJ1665">
            <v>0</v>
          </cell>
          <cell r="AN1665">
            <v>0</v>
          </cell>
          <cell r="AR1665">
            <v>0</v>
          </cell>
          <cell r="AV1665">
            <v>0</v>
          </cell>
          <cell r="AZ1665">
            <v>0</v>
          </cell>
        </row>
        <row r="1666">
          <cell r="Q1666">
            <v>0</v>
          </cell>
          <cell r="S1666">
            <v>0</v>
          </cell>
          <cell r="U1666">
            <v>0</v>
          </cell>
          <cell r="V1666">
            <v>0</v>
          </cell>
          <cell r="W1666">
            <v>0</v>
          </cell>
          <cell r="Y1666">
            <v>0</v>
          </cell>
          <cell r="AA1666">
            <v>0</v>
          </cell>
          <cell r="AJ1666">
            <v>0</v>
          </cell>
          <cell r="AN1666">
            <v>0</v>
          </cell>
          <cell r="AR1666">
            <v>0</v>
          </cell>
          <cell r="AV1666">
            <v>0</v>
          </cell>
          <cell r="AZ1666">
            <v>0</v>
          </cell>
        </row>
        <row r="1667">
          <cell r="Q1667">
            <v>0</v>
          </cell>
          <cell r="S1667">
            <v>0</v>
          </cell>
          <cell r="U1667">
            <v>0</v>
          </cell>
          <cell r="V1667">
            <v>0</v>
          </cell>
          <cell r="W1667">
            <v>0</v>
          </cell>
          <cell r="Y1667">
            <v>0</v>
          </cell>
          <cell r="AA1667">
            <v>0</v>
          </cell>
          <cell r="AJ1667">
            <v>0</v>
          </cell>
          <cell r="AN1667">
            <v>0</v>
          </cell>
          <cell r="AR1667">
            <v>0</v>
          </cell>
          <cell r="AV1667">
            <v>0</v>
          </cell>
          <cell r="AZ1667">
            <v>0</v>
          </cell>
        </row>
        <row r="1668">
          <cell r="Q1668">
            <v>0</v>
          </cell>
          <cell r="S1668">
            <v>0</v>
          </cell>
          <cell r="U1668">
            <v>0</v>
          </cell>
          <cell r="V1668">
            <v>0</v>
          </cell>
          <cell r="W1668">
            <v>0</v>
          </cell>
          <cell r="Y1668">
            <v>0</v>
          </cell>
          <cell r="AA1668">
            <v>0</v>
          </cell>
          <cell r="AJ1668">
            <v>0</v>
          </cell>
          <cell r="AN1668">
            <v>0</v>
          </cell>
          <cell r="AR1668">
            <v>0</v>
          </cell>
          <cell r="AV1668">
            <v>0</v>
          </cell>
          <cell r="AZ1668">
            <v>0</v>
          </cell>
        </row>
        <row r="1669">
          <cell r="Q1669">
            <v>0</v>
          </cell>
          <cell r="S1669">
            <v>0</v>
          </cell>
          <cell r="U1669">
            <v>0</v>
          </cell>
          <cell r="V1669">
            <v>0</v>
          </cell>
          <cell r="W1669">
            <v>0</v>
          </cell>
          <cell r="Y1669">
            <v>0</v>
          </cell>
          <cell r="AA1669">
            <v>0</v>
          </cell>
          <cell r="AJ1669">
            <v>0</v>
          </cell>
          <cell r="AN1669">
            <v>0</v>
          </cell>
          <cell r="AR1669">
            <v>0</v>
          </cell>
          <cell r="AV1669">
            <v>0</v>
          </cell>
          <cell r="AZ1669">
            <v>0</v>
          </cell>
        </row>
        <row r="1670">
          <cell r="Q1670">
            <v>0</v>
          </cell>
          <cell r="S1670">
            <v>0</v>
          </cell>
          <cell r="U1670">
            <v>0</v>
          </cell>
          <cell r="V1670">
            <v>0</v>
          </cell>
          <cell r="W1670">
            <v>0</v>
          </cell>
          <cell r="Y1670">
            <v>0</v>
          </cell>
          <cell r="AA1670">
            <v>0</v>
          </cell>
          <cell r="AJ1670">
            <v>0</v>
          </cell>
          <cell r="AN1670">
            <v>0</v>
          </cell>
          <cell r="AR1670">
            <v>0</v>
          </cell>
          <cell r="AV1670">
            <v>0</v>
          </cell>
          <cell r="AZ1670">
            <v>0</v>
          </cell>
        </row>
        <row r="1671">
          <cell r="Q1671">
            <v>0</v>
          </cell>
          <cell r="S1671">
            <v>0</v>
          </cell>
          <cell r="U1671">
            <v>0</v>
          </cell>
          <cell r="V1671">
            <v>0</v>
          </cell>
          <cell r="W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W1672">
            <v>-4459855.1399999997</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W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W1674">
            <v>-2530542.2799999998</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W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W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W1677">
            <v>0</v>
          </cell>
          <cell r="Y1677">
            <v>0</v>
          </cell>
          <cell r="AA1677">
            <v>0</v>
          </cell>
          <cell r="AJ1677">
            <v>0</v>
          </cell>
          <cell r="AN1677">
            <v>0</v>
          </cell>
          <cell r="AR1677">
            <v>0</v>
          </cell>
          <cell r="AV1677">
            <v>0</v>
          </cell>
          <cell r="AZ1677">
            <v>0</v>
          </cell>
        </row>
        <row r="1678">
          <cell r="Q1678">
            <v>0</v>
          </cell>
          <cell r="S1678">
            <v>0</v>
          </cell>
          <cell r="U1678">
            <v>0</v>
          </cell>
          <cell r="V1678">
            <v>0</v>
          </cell>
          <cell r="W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W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W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W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W1682">
            <v>-34084000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W1683">
            <v>-733187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W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W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W1687">
            <v>0</v>
          </cell>
          <cell r="Y1687">
            <v>0</v>
          </cell>
          <cell r="AA1687">
            <v>0</v>
          </cell>
          <cell r="AJ1687">
            <v>0</v>
          </cell>
          <cell r="AN1687">
            <v>0</v>
          </cell>
          <cell r="AR1687">
            <v>0</v>
          </cell>
          <cell r="AV1687">
            <v>0</v>
          </cell>
          <cell r="AZ1687">
            <v>0</v>
          </cell>
        </row>
        <row r="1688">
          <cell r="Q1688">
            <v>0</v>
          </cell>
          <cell r="S1688">
            <v>0</v>
          </cell>
          <cell r="U1688">
            <v>0</v>
          </cell>
          <cell r="V1688">
            <v>0</v>
          </cell>
          <cell r="W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W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W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W1691">
            <v>-25372</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W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W1693">
            <v>-84678132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W1694">
            <v>-5883954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W1695">
            <v>0</v>
          </cell>
          <cell r="Y1695">
            <v>0</v>
          </cell>
          <cell r="AA1695">
            <v>0</v>
          </cell>
          <cell r="AJ1695">
            <v>0</v>
          </cell>
          <cell r="AN1695">
            <v>0</v>
          </cell>
          <cell r="AR1695">
            <v>0</v>
          </cell>
          <cell r="AV1695">
            <v>0</v>
          </cell>
          <cell r="AZ1695">
            <v>0</v>
          </cell>
        </row>
        <row r="1696">
          <cell r="Q1696">
            <v>0</v>
          </cell>
          <cell r="S1696">
            <v>0</v>
          </cell>
          <cell r="U1696">
            <v>0</v>
          </cell>
          <cell r="V1696">
            <v>0</v>
          </cell>
          <cell r="W1696">
            <v>0</v>
          </cell>
          <cell r="Y1696">
            <v>0</v>
          </cell>
          <cell r="AA1696">
            <v>0</v>
          </cell>
          <cell r="AJ1696">
            <v>0</v>
          </cell>
          <cell r="AN1696">
            <v>0</v>
          </cell>
          <cell r="AR1696">
            <v>0</v>
          </cell>
          <cell r="AV1696">
            <v>0</v>
          </cell>
          <cell r="AZ1696">
            <v>0</v>
          </cell>
        </row>
        <row r="1697">
          <cell r="Q1697">
            <v>0</v>
          </cell>
          <cell r="S1697">
            <v>0</v>
          </cell>
          <cell r="U1697">
            <v>0</v>
          </cell>
          <cell r="V1697">
            <v>0</v>
          </cell>
          <cell r="W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W1698">
            <v>-8626084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W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W1700">
            <v>-4984000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W1701">
            <v>0</v>
          </cell>
          <cell r="Y1701">
            <v>0</v>
          </cell>
          <cell r="AA1701">
            <v>0</v>
          </cell>
          <cell r="AJ1701">
            <v>0</v>
          </cell>
          <cell r="AN1701">
            <v>0</v>
          </cell>
          <cell r="AR1701">
            <v>0</v>
          </cell>
          <cell r="AV1701">
            <v>0</v>
          </cell>
          <cell r="AZ1701">
            <v>0</v>
          </cell>
        </row>
        <row r="1702">
          <cell r="Q1702">
            <v>0</v>
          </cell>
          <cell r="S1702">
            <v>0</v>
          </cell>
          <cell r="U1702">
            <v>0</v>
          </cell>
          <cell r="V1702">
            <v>0</v>
          </cell>
          <cell r="W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W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W1704">
            <v>-3176000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W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W1706">
            <v>-1253538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W1707">
            <v>-6467247</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W1708">
            <v>-481000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W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W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W1711">
            <v>-2954000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W1712">
            <v>-448000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W1713">
            <v>-10721017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W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W1715">
            <v>-131000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W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W1717">
            <v>439000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W1718">
            <v>-8198000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W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W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lloc factors"/>
      <sheetName val="A-1"/>
      <sheetName val="Schedule 1"/>
      <sheetName val="Schedule 2"/>
      <sheetName val="Summary"/>
      <sheetName val="billing summary"/>
      <sheetName val="Wp 2-1"/>
      <sheetName val="WP 2-2"/>
      <sheetName val="WP 2-3"/>
      <sheetName val="Wp 2-4"/>
      <sheetName val="WP 2-5"/>
      <sheetName val="Wp 2-6"/>
      <sheetName val="Wp 2-7-1"/>
      <sheetName val="Wp 2-7-2"/>
      <sheetName val="Wp 2-7-3"/>
      <sheetName val="WP 2-7"/>
      <sheetName val="WP 2-8"/>
      <sheetName val="Wp 2-9"/>
      <sheetName val="not used WP 2-10"/>
      <sheetName val="Schedule 3"/>
      <sheetName val="Wp 3-1 Gas Cost per bk"/>
      <sheetName val="Schedule 4 O&amp;M"/>
      <sheetName val="Wp 4-1 per bk 33,34,35,36,41"/>
      <sheetName val="WP 4-2 payroll"/>
      <sheetName val="WP4-2-1 Labor subaccts"/>
      <sheetName val="WP 4-3 benefits"/>
      <sheetName val="WP 4-3-1 Benefits Adj"/>
      <sheetName val="WP 4-3-2 benefits analysis"/>
      <sheetName val="WP 4-4 alloc gen office"/>
      <sheetName val="Wp 4-4-1 per bk 24,30,31"/>
      <sheetName val="out of period cr Srvc Awd"/>
      <sheetName val="WP 4-5 Dues &amp; Adv"/>
      <sheetName val="WkShtPUC#2"/>
      <sheetName val="Wp 4-5-1 Dues &amp; Adv"/>
      <sheetName val="WP 4-6 Int Cust Dep"/>
      <sheetName val="WP 4-7 CapRate"/>
      <sheetName val="WP 4-8 Uncollectible"/>
      <sheetName val="Schedule 5 taxes other"/>
      <sheetName val="WP 5-1 taxes other"/>
      <sheetName val="Schedule 6 depr amort"/>
      <sheetName val="WP 6-1 SSU deprec amort"/>
      <sheetName val="Schedule 7 FIT"/>
      <sheetName val="WP 7-1 FAS106"/>
      <sheetName val="Wp 7-1-1 FAS106"/>
      <sheetName val="Rate Base - Regional"/>
      <sheetName val="Plant"/>
      <sheetName val="Depr"/>
      <sheetName val="WP CWIP 1070"/>
      <sheetName val="WP M&amp;S 1540"/>
      <sheetName val="WP M&amp;S sheet 2"/>
      <sheetName val="WP Storage Gas 1641"/>
      <sheetName val="WP 1641 per bk subaccts"/>
      <sheetName val="WP Storg Gas 1641 Repriced"/>
      <sheetName val="WP PPs 1650"/>
      <sheetName val="WP PPs 165 wksht"/>
      <sheetName val="WP Cust Dep 2350"/>
      <sheetName val="WP Cust Adv 2520"/>
      <sheetName val="DIV012netplant"/>
      <sheetName val="PP Pension 186"/>
      <sheetName val="WP ADIT 1900,2820,2830"/>
      <sheetName val="WP 7-7 Cash Working Capital"/>
      <sheetName val="WP 7-7-1 tax collections"/>
      <sheetName val="Cap Struc"/>
      <sheetName val="WP Equity LTD"/>
      <sheetName val="WP LTD rate"/>
      <sheetName val="WP LTDebt Discount"/>
    </sheetNames>
    <sheetDataSet>
      <sheetData sheetId="0" refreshError="1"/>
      <sheetData sheetId="1" refreshError="1">
        <row r="12">
          <cell r="D12">
            <v>0.10525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1"/>
      <sheetName val="WP 1-1"/>
      <sheetName val="WP 1-2"/>
      <sheetName val="WP 1-3"/>
      <sheetName val="WP 1-3-1"/>
      <sheetName val="WP 1-4"/>
      <sheetName val="WP 1-5"/>
      <sheetName val="WP 1-5-1"/>
      <sheetName val="Schedule 2"/>
      <sheetName val="WP 2-1"/>
      <sheetName val="Schedule 3"/>
      <sheetName val="WP 3-1"/>
      <sheetName val="Schedule 4"/>
      <sheetName val="Schedule 5"/>
      <sheetName val="Schedule 6"/>
      <sheetName val="Schedule 7"/>
      <sheetName val="Schedule 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9.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6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5.bin"/><Relationship Id="rId13" Type="http://schemas.openxmlformats.org/officeDocument/2006/relationships/printerSettings" Target="../printerSettings/printerSettings20.bin"/><Relationship Id="rId18" Type="http://schemas.openxmlformats.org/officeDocument/2006/relationships/printerSettings" Target="../printerSettings/printerSettings25.bin"/><Relationship Id="rId3" Type="http://schemas.openxmlformats.org/officeDocument/2006/relationships/printerSettings" Target="../printerSettings/printerSettings10.bin"/><Relationship Id="rId21" Type="http://schemas.openxmlformats.org/officeDocument/2006/relationships/printerSettings" Target="../printerSettings/printerSettings28.bin"/><Relationship Id="rId7" Type="http://schemas.openxmlformats.org/officeDocument/2006/relationships/printerSettings" Target="../printerSettings/printerSettings14.bin"/><Relationship Id="rId12" Type="http://schemas.openxmlformats.org/officeDocument/2006/relationships/printerSettings" Target="../printerSettings/printerSettings19.bin"/><Relationship Id="rId17" Type="http://schemas.openxmlformats.org/officeDocument/2006/relationships/printerSettings" Target="../printerSettings/printerSettings24.bin"/><Relationship Id="rId25" Type="http://schemas.openxmlformats.org/officeDocument/2006/relationships/comments" Target="../comments2.xml"/><Relationship Id="rId2" Type="http://schemas.openxmlformats.org/officeDocument/2006/relationships/printerSettings" Target="../printerSettings/printerSettings9.bin"/><Relationship Id="rId16" Type="http://schemas.openxmlformats.org/officeDocument/2006/relationships/printerSettings" Target="../printerSettings/printerSettings23.bin"/><Relationship Id="rId20" Type="http://schemas.openxmlformats.org/officeDocument/2006/relationships/printerSettings" Target="../printerSettings/printerSettings27.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11" Type="http://schemas.openxmlformats.org/officeDocument/2006/relationships/printerSettings" Target="../printerSettings/printerSettings18.bin"/><Relationship Id="rId24" Type="http://schemas.openxmlformats.org/officeDocument/2006/relationships/vmlDrawing" Target="../drawings/vmlDrawing2.vml"/><Relationship Id="rId5" Type="http://schemas.openxmlformats.org/officeDocument/2006/relationships/printerSettings" Target="../printerSettings/printerSettings12.bin"/><Relationship Id="rId15" Type="http://schemas.openxmlformats.org/officeDocument/2006/relationships/printerSettings" Target="../printerSettings/printerSettings22.bin"/><Relationship Id="rId23" Type="http://schemas.openxmlformats.org/officeDocument/2006/relationships/printerSettings" Target="../printerSettings/printerSettings30.bin"/><Relationship Id="rId10" Type="http://schemas.openxmlformats.org/officeDocument/2006/relationships/printerSettings" Target="../printerSettings/printerSettings17.bin"/><Relationship Id="rId19" Type="http://schemas.openxmlformats.org/officeDocument/2006/relationships/printerSettings" Target="../printerSettings/printerSettings26.bin"/><Relationship Id="rId4" Type="http://schemas.openxmlformats.org/officeDocument/2006/relationships/printerSettings" Target="../printerSettings/printerSettings11.bin"/><Relationship Id="rId9" Type="http://schemas.openxmlformats.org/officeDocument/2006/relationships/printerSettings" Target="../printerSettings/printerSettings16.bin"/><Relationship Id="rId14" Type="http://schemas.openxmlformats.org/officeDocument/2006/relationships/printerSettings" Target="../printerSettings/printerSettings21.bin"/><Relationship Id="rId22"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64"/>
  <sheetViews>
    <sheetView zoomScale="90" zoomScaleNormal="90" workbookViewId="0">
      <selection activeCell="O13" sqref="O13"/>
    </sheetView>
  </sheetViews>
  <sheetFormatPr defaultColWidth="10.6640625" defaultRowHeight="15.75"/>
  <cols>
    <col min="1" max="1" width="18.5" style="2031" customWidth="1"/>
    <col min="2" max="2" width="20.83203125" style="2068" bestFit="1" customWidth="1"/>
    <col min="3" max="3" width="35.1640625" style="2031" bestFit="1" customWidth="1"/>
    <col min="4" max="4" width="10.6640625" style="2031" bestFit="1" customWidth="1"/>
    <col min="5" max="5" width="16.83203125" style="2031" bestFit="1" customWidth="1"/>
    <col min="6" max="6" width="18.5" style="2031" bestFit="1" customWidth="1"/>
    <col min="7" max="7" width="15.5" style="2031" bestFit="1" customWidth="1"/>
    <col min="8" max="8" width="8.33203125" style="2031" bestFit="1" customWidth="1"/>
    <col min="9" max="9" width="1.6640625" style="2031" customWidth="1"/>
    <col min="10" max="10" width="16.83203125" style="2031" bestFit="1" customWidth="1"/>
    <col min="11" max="11" width="18.5" style="2031" bestFit="1" customWidth="1"/>
    <col min="12" max="12" width="15.5" style="2031" bestFit="1" customWidth="1"/>
    <col min="13" max="13" width="8.33203125" style="2031" bestFit="1" customWidth="1"/>
    <col min="14" max="14" width="3.83203125" style="2031" customWidth="1"/>
    <col min="15" max="16384" width="10.6640625" style="2031"/>
  </cols>
  <sheetData>
    <row r="1" spans="1:13">
      <c r="A1" s="2031" t="str">
        <f>'Exhibit No._(CTM-2), Pg. 1 (D)'!A5</f>
        <v>Puget Sound Energy - Gas</v>
      </c>
      <c r="B1" s="2030"/>
      <c r="G1" s="2032"/>
    </row>
    <row r="2" spans="1:13" s="2035" customFormat="1" ht="12.75">
      <c r="A2" s="2035" t="s">
        <v>2595</v>
      </c>
      <c r="B2" s="2033"/>
      <c r="C2" s="2034"/>
      <c r="E2" s="2036"/>
      <c r="F2" s="2036"/>
      <c r="G2" s="2084"/>
      <c r="H2" s="2084"/>
      <c r="I2" s="2084"/>
      <c r="J2" s="2084"/>
      <c r="K2" s="2084"/>
      <c r="L2" s="2084"/>
      <c r="M2" s="2084"/>
    </row>
    <row r="3" spans="1:13" s="2035" customFormat="1" ht="12.75">
      <c r="A3" s="2080" t="s">
        <v>2594</v>
      </c>
      <c r="B3" s="2037"/>
      <c r="C3" s="2034"/>
      <c r="E3" s="2036"/>
      <c r="F3" s="2036"/>
      <c r="G3" s="2038"/>
    </row>
    <row r="4" spans="1:13" s="2035" customFormat="1" ht="12.75">
      <c r="B4" s="2039"/>
      <c r="D4" s="2040"/>
      <c r="E4" s="2882" t="s">
        <v>2542</v>
      </c>
      <c r="F4" s="2883"/>
      <c r="G4" s="2883"/>
      <c r="H4" s="2884"/>
      <c r="I4" s="2085"/>
      <c r="J4" s="2882" t="str">
        <f>'Exhibit No._(CTM-2), Pg. 1 (D)'!I10</f>
        <v>Staff</v>
      </c>
      <c r="K4" s="2883"/>
      <c r="L4" s="2883"/>
      <c r="M4" s="2884"/>
    </row>
    <row r="5" spans="1:13" s="2035" customFormat="1" ht="12.75">
      <c r="A5" s="2041"/>
      <c r="B5" s="2042"/>
      <c r="C5" s="2041"/>
      <c r="D5" s="2043"/>
      <c r="E5" s="2044" t="s">
        <v>2523</v>
      </c>
      <c r="F5" s="2044" t="s">
        <v>279</v>
      </c>
      <c r="G5" s="2045" t="s">
        <v>208</v>
      </c>
      <c r="H5" s="2044" t="s">
        <v>721</v>
      </c>
      <c r="I5" s="2085"/>
      <c r="J5" s="2044" t="s">
        <v>2523</v>
      </c>
      <c r="K5" s="2044" t="s">
        <v>279</v>
      </c>
      <c r="L5" s="2045" t="s">
        <v>208</v>
      </c>
      <c r="M5" s="2044" t="s">
        <v>721</v>
      </c>
    </row>
    <row r="6" spans="1:13" s="2035" customFormat="1" ht="12.75">
      <c r="A6" s="2046" t="s">
        <v>2543</v>
      </c>
      <c r="B6" s="2047" t="s">
        <v>2544</v>
      </c>
      <c r="C6" s="2047" t="s">
        <v>287</v>
      </c>
      <c r="D6" s="2047" t="s">
        <v>2591</v>
      </c>
      <c r="E6" s="2047" t="s">
        <v>268</v>
      </c>
      <c r="F6" s="2047" t="s">
        <v>2525</v>
      </c>
      <c r="G6" s="2048" t="s">
        <v>2545</v>
      </c>
      <c r="H6" s="2048" t="s">
        <v>2546</v>
      </c>
      <c r="I6" s="2085"/>
      <c r="J6" s="2047" t="s">
        <v>268</v>
      </c>
      <c r="K6" s="2047" t="s">
        <v>2525</v>
      </c>
      <c r="L6" s="2048" t="s">
        <v>2545</v>
      </c>
      <c r="M6" s="2048" t="s">
        <v>2546</v>
      </c>
    </row>
    <row r="7" spans="1:13" s="2035" customFormat="1" ht="12.75">
      <c r="A7" s="2049" t="s">
        <v>2547</v>
      </c>
      <c r="B7" s="2050" t="s">
        <v>2548</v>
      </c>
      <c r="C7" s="2050"/>
      <c r="D7" s="2050" t="s">
        <v>2549</v>
      </c>
      <c r="E7" s="2050" t="s">
        <v>2550</v>
      </c>
      <c r="F7" s="2050" t="s">
        <v>2550</v>
      </c>
      <c r="G7" s="2051" t="s">
        <v>2550</v>
      </c>
      <c r="H7" s="2051" t="s">
        <v>2551</v>
      </c>
      <c r="I7" s="2085"/>
      <c r="J7" s="2050" t="s">
        <v>2550</v>
      </c>
      <c r="K7" s="2050" t="s">
        <v>2550</v>
      </c>
      <c r="L7" s="2051" t="s">
        <v>2550</v>
      </c>
      <c r="M7" s="2051" t="s">
        <v>2551</v>
      </c>
    </row>
    <row r="8" spans="1:13" s="2035" customFormat="1" ht="12.75">
      <c r="A8" s="2074"/>
      <c r="B8" s="2074"/>
      <c r="C8" s="2075"/>
      <c r="D8" s="2052" t="s">
        <v>2552</v>
      </c>
      <c r="E8" s="2053">
        <f>+'Exhibit No._(CTM-2), Pg. 1 (D)'!D14</f>
        <v>102661459.51950526</v>
      </c>
      <c r="F8" s="2053">
        <f>+'Exhibit No._(CTM-2), Pg. 1 (D)'!E14</f>
        <v>1660735111.2888539</v>
      </c>
      <c r="G8" s="2053">
        <f>+'Exhibit No._(CTM-2), Pg. 1 (D)'!F14</f>
        <v>59811802.039999999</v>
      </c>
      <c r="H8" s="2054">
        <f>+'Exhibit No._(CTM-2), Pg. 1 (D)'!G14</f>
        <v>6.1816877852261663E-2</v>
      </c>
      <c r="I8" s="2085"/>
      <c r="J8" s="2053">
        <f>+'Exhibit No._(CTM-2), Pg. 1 (D)'!I14</f>
        <v>102661459.51950526</v>
      </c>
      <c r="K8" s="2053">
        <f>+'Exhibit No._(CTM-2), Pg. 1 (D)'!J14</f>
        <v>1660735111.0538375</v>
      </c>
      <c r="L8" s="2053">
        <f>+'Exhibit No._(CTM-2), Pg. 1 (D)'!K14</f>
        <v>37632681.799999997</v>
      </c>
      <c r="M8" s="2054">
        <f>+'Exhibit No._(CTM-2), Pg. 1 (D)'!L14</f>
        <v>6.1816877861009582E-2</v>
      </c>
    </row>
    <row r="9" spans="1:13" s="2035" customFormat="1" ht="12.75">
      <c r="A9" s="2056" t="s">
        <v>2553</v>
      </c>
      <c r="B9" s="2057" t="str">
        <f>'Gas Assignments'!B12</f>
        <v>Applegate</v>
      </c>
      <c r="C9" s="2057" t="str">
        <f>+'Exhibit No._(CTM-2), Pg. 1 (D)'!C15</f>
        <v>Water Heater Depreciation</v>
      </c>
      <c r="D9" s="2083">
        <f>+'Exhibit No._(CTM-2), Pg. 1 (D)'!B15</f>
        <v>5.01</v>
      </c>
      <c r="E9" s="2055">
        <f>+'Exhibit No._(CTM-2), Pg. 1 (D)'!D15</f>
        <v>4071209.3688660329</v>
      </c>
      <c r="F9" s="2055">
        <f>+'Exhibit No._(CTM-2), Pg. 1 (D)'!E15</f>
        <v>-2218846.4496661704</v>
      </c>
      <c r="G9" s="2055">
        <f>+'Exhibit No._(CTM-2), Pg. 1 (D)'!F15</f>
        <v>-6851335.0800000001</v>
      </c>
      <c r="H9" s="2054">
        <f>+'Exhibit No._(CTM-2), Pg. 1 (D)'!G15</f>
        <v>2.5374315694311408E-3</v>
      </c>
      <c r="I9" s="2085"/>
      <c r="J9" s="2055">
        <f>+'Exhibit No._(CTM-2), Pg. 1 (D)'!I15</f>
        <v>4071209.3688660329</v>
      </c>
      <c r="K9" s="2055">
        <f>+'Exhibit No._(CTM-2), Pg. 1 (D)'!J15</f>
        <v>-2218846.4496661704</v>
      </c>
      <c r="L9" s="2055">
        <f>+'Exhibit No._(CTM-2), Pg. 1 (D)'!K15</f>
        <v>-6821702.3799999999</v>
      </c>
      <c r="M9" s="2054">
        <f>+'Exhibit No._(CTM-2), Pg. 1 (D)'!L15</f>
        <v>2.5374315698023994E-3</v>
      </c>
    </row>
    <row r="10" spans="1:13" s="2035" customFormat="1" ht="12.75">
      <c r="A10" s="2056" t="s">
        <v>2553</v>
      </c>
      <c r="B10" s="2057" t="str">
        <f>'Gas Assignments'!B13</f>
        <v>Schooley/Vasconi</v>
      </c>
      <c r="C10" s="2057" t="str">
        <f>+'Exhibit No._(CTM-2), Pg. 1 (D)'!C16</f>
        <v>Reclass Bare to Wrapped Steel</v>
      </c>
      <c r="D10" s="2083">
        <f>+'Exhibit No._(CTM-2), Pg. 1 (D)'!B16</f>
        <v>5.0199999999999996</v>
      </c>
      <c r="E10" s="2055">
        <f>+'Exhibit No._(CTM-2), Pg. 1 (D)'!D16</f>
        <v>-195346.91595120012</v>
      </c>
      <c r="F10" s="2055">
        <f>+'Exhibit No._(CTM-2), Pg. 1 (D)'!E16</f>
        <v>-97673.45797560006</v>
      </c>
      <c r="G10" s="2055">
        <f>+'Exhibit No._(CTM-2), Pg. 1 (D)'!F16</f>
        <v>301087.40000000002</v>
      </c>
      <c r="H10" s="2054">
        <f>+'Exhibit No._(CTM-2), Pg. 1 (D)'!G16</f>
        <v>-1.1399782000422187E-4</v>
      </c>
      <c r="I10" s="2085"/>
      <c r="J10" s="2055">
        <f>+'Exhibit No._(CTM-2), Pg. 1 (D)'!I16</f>
        <v>-195346.91595120012</v>
      </c>
      <c r="K10" s="2055">
        <f>+'Exhibit No._(CTM-2), Pg. 1 (D)'!J16</f>
        <v>-97673.45797560006</v>
      </c>
      <c r="L10" s="2055">
        <f>+'Exhibit No._(CTM-2), Pg. 1 (D)'!K16</f>
        <v>302391.83</v>
      </c>
      <c r="M10" s="2054">
        <f>+'Exhibit No._(CTM-2), Pg. 1 (D)'!L16</f>
        <v>-1.1399782001984132E-4</v>
      </c>
    </row>
    <row r="11" spans="1:13" s="2035" customFormat="1" ht="12.75">
      <c r="A11" s="2056" t="s">
        <v>2553</v>
      </c>
      <c r="B11" s="2057" t="str">
        <f>'Gas Assignments'!B14</f>
        <v>Mickelson</v>
      </c>
      <c r="C11" s="2057" t="str">
        <f>+'Exhibit No._(CTM-2), Pg. 1 (D)'!C17</f>
        <v>Contract Charges</v>
      </c>
      <c r="D11" s="2083">
        <f>+'Exhibit No._(CTM-2), Pg. 1 (D)'!B17</f>
        <v>5.03</v>
      </c>
      <c r="E11" s="2055">
        <f>+'Exhibit No._(CTM-2), Pg. 1 (D)'!D17</f>
        <v>640160.54360740329</v>
      </c>
      <c r="F11" s="2055">
        <f>+'Exhibit No._(CTM-2), Pg. 1 (D)'!E17</f>
        <v>0</v>
      </c>
      <c r="G11" s="2055">
        <f>+'Exhibit No._(CTM-2), Pg. 1 (D)'!F17</f>
        <v>-1030041.58</v>
      </c>
      <c r="H11" s="2054">
        <f>+'Exhibit No._(CTM-2), Pg. 1 (D)'!G17</f>
        <v>3.8546818168406355E-4</v>
      </c>
      <c r="I11" s="2085"/>
      <c r="J11" s="2055">
        <f>+'Exhibit No._(CTM-2), Pg. 1 (D)'!I17</f>
        <v>640159.71843290189</v>
      </c>
      <c r="K11" s="2055">
        <f>+'Exhibit No._(CTM-2), Pg. 1 (D)'!J17</f>
        <v>0</v>
      </c>
      <c r="L11" s="2055">
        <f>+'Exhibit No._(CTM-2), Pg. 1 (D)'!K17</f>
        <v>-1030040.26</v>
      </c>
      <c r="M11" s="2054">
        <f>+'Exhibit No._(CTM-2), Pg. 1 (D)'!L17</f>
        <v>3.8546768486558136E-4</v>
      </c>
    </row>
    <row r="12" spans="1:13" s="2035" customFormat="1" ht="12.75">
      <c r="A12" s="2056" t="s">
        <v>2556</v>
      </c>
      <c r="B12" s="2057" t="str">
        <f>'Gas Assignments'!B15</f>
        <v>Novak</v>
      </c>
      <c r="C12" s="2057" t="str">
        <f>+'Exhibit No._(CTM-2), Pg. 1 (D)'!C18</f>
        <v>Temperature Normalization</v>
      </c>
      <c r="D12" s="2083">
        <f>+'Exhibit No._(CTM-2), Pg. 1 (D)'!B18</f>
        <v>6.01</v>
      </c>
      <c r="E12" s="2055">
        <f>+'Exhibit No._(CTM-2), Pg. 1 (D)'!D18</f>
        <v>6651267.3144632801</v>
      </c>
      <c r="F12" s="2055">
        <f>+'Exhibit No._(CTM-2), Pg. 1 (D)'!E18</f>
        <v>0</v>
      </c>
      <c r="G12" s="2055">
        <f>+'Exhibit No._(CTM-2), Pg. 1 (D)'!F18</f>
        <v>-10702130.869999999</v>
      </c>
      <c r="H12" s="2054">
        <f>+'Exhibit No._(CTM-2), Pg. 1 (D)'!G18</f>
        <v>4.0050139659547554E-3</v>
      </c>
      <c r="I12" s="2085"/>
      <c r="J12" s="2055">
        <f>+'Exhibit No._(CTM-2), Pg. 1 (D)'!I18</f>
        <v>6651267.3144632801</v>
      </c>
      <c r="K12" s="2055">
        <f>+'Exhibit No._(CTM-2), Pg. 1 (D)'!J18</f>
        <v>0</v>
      </c>
      <c r="L12" s="2055">
        <f>+'Exhibit No._(CTM-2), Pg. 1 (D)'!K18</f>
        <v>-10702130.869999999</v>
      </c>
      <c r="M12" s="2054">
        <f>+'Exhibit No._(CTM-2), Pg. 1 (D)'!L18</f>
        <v>4.0050139665215242E-3</v>
      </c>
    </row>
    <row r="13" spans="1:13" s="2035" customFormat="1" ht="12.75" customHeight="1">
      <c r="A13" s="2056" t="s">
        <v>2558</v>
      </c>
      <c r="B13" s="2057" t="str">
        <f>'Gas Assignments'!B16</f>
        <v>Martin</v>
      </c>
      <c r="C13" s="2057" t="str">
        <f>+'Exhibit No._(CTM-2), Pg. 1 (D)'!C19</f>
        <v>Revenues &amp; Expenses</v>
      </c>
      <c r="D13" s="2083">
        <f>+'Exhibit No._(CTM-2), Pg. 1 (D)'!B19</f>
        <v>6.02</v>
      </c>
      <c r="E13" s="2055">
        <f>+'Exhibit No._(CTM-2), Pg. 1 (D)'!D19</f>
        <v>17299412.350739326</v>
      </c>
      <c r="F13" s="2055">
        <f>+'Exhibit No._(CTM-2), Pg. 1 (D)'!E19</f>
        <v>0</v>
      </c>
      <c r="G13" s="2055">
        <f>+'Exhibit No._(CTM-2), Pg. 1 (D)'!F19</f>
        <v>-27835383.27</v>
      </c>
      <c r="H13" s="2054">
        <f>+'Exhibit No._(CTM-2), Pg. 1 (D)'!G19</f>
        <v>1.0416719820726679E-2</v>
      </c>
      <c r="I13" s="2085"/>
      <c r="J13" s="2055">
        <f>+'Exhibit No._(CTM-2), Pg. 1 (D)'!I19</f>
        <v>16913082.850892801</v>
      </c>
      <c r="K13" s="2055">
        <f>+'Exhibit No._(CTM-2), Pg. 1 (D)'!J19</f>
        <v>0</v>
      </c>
      <c r="L13" s="2055">
        <f>+'Exhibit No._(CTM-2), Pg. 1 (D)'!K19</f>
        <v>-27213765.07</v>
      </c>
      <c r="M13" s="2054">
        <f>+'Exhibit No._(CTM-2), Pg. 1 (D)'!L19</f>
        <v>1.0184094223286706E-2</v>
      </c>
    </row>
    <row r="14" spans="1:13" s="2035" customFormat="1" ht="12.75">
      <c r="A14" s="2056" t="s">
        <v>2559</v>
      </c>
      <c r="B14" s="2057" t="str">
        <f>'Gas Assignments'!B17</f>
        <v>Mickelson</v>
      </c>
      <c r="C14" s="2057" t="str">
        <f>+'Exhibit No._(CTM-2), Pg. 1 (D)'!C20</f>
        <v>Pass-Through Revenue &amp; Expense</v>
      </c>
      <c r="D14" s="2083">
        <f>+'Exhibit No._(CTM-2), Pg. 1 (D)'!B20</f>
        <v>6.03</v>
      </c>
      <c r="E14" s="2055">
        <f>+'Exhibit No._(CTM-2), Pg. 1 (D)'!D20</f>
        <v>154724.02390249819</v>
      </c>
      <c r="F14" s="2055">
        <f>+'Exhibit No._(CTM-2), Pg. 1 (D)'!E20</f>
        <v>0</v>
      </c>
      <c r="G14" s="2055">
        <f>+'Exhibit No._(CTM-2), Pg. 1 (D)'!F20</f>
        <v>-248956.58</v>
      </c>
      <c r="H14" s="2054">
        <f>+'Exhibit No._(CTM-2), Pg. 1 (D)'!G20</f>
        <v>9.3165985864195056E-5</v>
      </c>
      <c r="I14" s="2085"/>
      <c r="J14" s="2055">
        <f>+'Exhibit No._(CTM-2), Pg. 1 (D)'!I20</f>
        <v>154723.67058743304</v>
      </c>
      <c r="K14" s="2055">
        <f>+'Exhibit No._(CTM-2), Pg. 1 (D)'!J20</f>
        <v>0</v>
      </c>
      <c r="L14" s="2055">
        <f>+'Exhibit No._(CTM-2), Pg. 1 (D)'!K20</f>
        <v>-248956.01</v>
      </c>
      <c r="M14" s="2054">
        <f>+'Exhibit No._(CTM-2), Pg. 1 (D)'!L20</f>
        <v>9.3165773131183294E-5</v>
      </c>
    </row>
    <row r="15" spans="1:13" s="2035" customFormat="1" ht="12.75">
      <c r="A15" s="2056" t="s">
        <v>2559</v>
      </c>
      <c r="B15" s="2057" t="str">
        <f>'Gas Assignments'!B18</f>
        <v>Smith</v>
      </c>
      <c r="C15" s="2057" t="str">
        <f>+'Exhibit No._(CTM-2), Pg. 1 (D)'!C21</f>
        <v>Federal Income Tax</v>
      </c>
      <c r="D15" s="2083">
        <f>+'Exhibit No._(CTM-2), Pg. 1 (D)'!B21</f>
        <v>6.04</v>
      </c>
      <c r="E15" s="2055">
        <f>+'Exhibit No._(CTM-2), Pg. 1 (D)'!D21</f>
        <v>-28834101.259000003</v>
      </c>
      <c r="F15" s="2055">
        <f>+'Exhibit No._(CTM-2), Pg. 1 (D)'!E21</f>
        <v>0</v>
      </c>
      <c r="G15" s="2055">
        <f>+'Exhibit No._(CTM-2), Pg. 1 (D)'!F21</f>
        <v>46395116.990000002</v>
      </c>
      <c r="H15" s="2054">
        <f>+'Exhibit No._(CTM-2), Pg. 1 (D)'!G21</f>
        <v>-1.7362251850400509E-2</v>
      </c>
      <c r="I15" s="2085"/>
      <c r="J15" s="2055">
        <f>+'Exhibit No._(CTM-2), Pg. 1 (D)'!I21</f>
        <v>-28834101.259000003</v>
      </c>
      <c r="K15" s="2055">
        <f>+'Exhibit No._(CTM-2), Pg. 1 (D)'!J21</f>
        <v>-24564298</v>
      </c>
      <c r="L15" s="2055">
        <f>+'Exhibit No._(CTM-2), Pg. 1 (D)'!K21</f>
        <v>43395181</v>
      </c>
      <c r="M15" s="2054">
        <f>+'Exhibit No._(CTM-2), Pg. 1 (D)'!L21</f>
        <v>-1.6694841902728498E-2</v>
      </c>
    </row>
    <row r="16" spans="1:13" s="2035" customFormat="1" ht="12.75">
      <c r="A16" s="2056" t="s">
        <v>2558</v>
      </c>
      <c r="B16" s="2057" t="str">
        <f>'Gas Assignments'!B19</f>
        <v>Martin</v>
      </c>
      <c r="C16" s="2057" t="str">
        <f>+'Exhibit No._(CTM-2), Pg. 1 (D)'!C22</f>
        <v>Tax Benefit of Proforma Interest</v>
      </c>
      <c r="D16" s="2083">
        <f>+'Exhibit No._(CTM-2), Pg. 1 (D)'!B22</f>
        <v>6.05</v>
      </c>
      <c r="E16" s="2055">
        <f>+'Exhibit No._(CTM-2), Pg. 1 (D)'!D22</f>
        <v>18805184.64740086</v>
      </c>
      <c r="F16" s="2055">
        <f>+'Exhibit No._(CTM-2), Pg. 1 (D)'!E22</f>
        <v>0</v>
      </c>
      <c r="G16" s="2055">
        <f>+'Exhibit No._(CTM-2), Pg. 1 (D)'!F22</f>
        <v>-30258225.629999999</v>
      </c>
      <c r="H16" s="2054">
        <f>+'Exhibit No._(CTM-2), Pg. 1 (D)'!G22</f>
        <v>1.132341004870225E-2</v>
      </c>
      <c r="I16" s="2085"/>
      <c r="J16" s="2055">
        <f>+'Exhibit No._(CTM-2), Pg. 1 (D)'!I22</f>
        <v>18265629.636268079</v>
      </c>
      <c r="K16" s="2055">
        <f>+'Exhibit No._(CTM-2), Pg. 1 (D)'!J22</f>
        <v>0</v>
      </c>
      <c r="L16" s="2055">
        <f>+'Exhibit No._(CTM-2), Pg. 1 (D)'!K22</f>
        <v>-29390062.010000002</v>
      </c>
      <c r="M16" s="2054">
        <f>+'Exhibit No._(CTM-2), Pg. 1 (D)'!L22</f>
        <v>1.099852078437568E-2</v>
      </c>
    </row>
    <row r="17" spans="1:13" s="2035" customFormat="1" ht="12.75">
      <c r="A17" s="2056" t="s">
        <v>2558</v>
      </c>
      <c r="B17" s="2057" t="str">
        <f>'Gas Assignments'!B20</f>
        <v>Applegate/Erdahl</v>
      </c>
      <c r="C17" s="2057" t="str">
        <f>+'Exhibit No._(CTM-2), Pg. 1 (D)'!C23</f>
        <v>Operating Expenses</v>
      </c>
      <c r="D17" s="2083">
        <f>+'Exhibit No._(CTM-2), Pg. 1 (D)'!B23</f>
        <v>6.06</v>
      </c>
      <c r="E17" s="2055">
        <f>+'Exhibit No._(CTM-2), Pg. 1 (D)'!D23</f>
        <v>260363.24022962234</v>
      </c>
      <c r="F17" s="2055">
        <f>+'Exhibit No._(CTM-2), Pg. 1 (D)'!E23</f>
        <v>0</v>
      </c>
      <c r="G17" s="2055">
        <f>+'Exhibit No._(CTM-2), Pg. 1 (D)'!F23</f>
        <v>-418933.92</v>
      </c>
      <c r="H17" s="2054">
        <f>+'Exhibit No._(CTM-2), Pg. 1 (D)'!G23</f>
        <v>1.5677589909420669E-4</v>
      </c>
      <c r="I17" s="2085"/>
      <c r="J17" s="2055">
        <f>+'Exhibit No._(CTM-2), Pg. 1 (D)'!I23</f>
        <v>306609.78536743083</v>
      </c>
      <c r="K17" s="2055">
        <f>+'Exhibit No._(CTM-2), Pg. 1 (D)'!J23</f>
        <v>0</v>
      </c>
      <c r="L17" s="2055">
        <f>+'Exhibit No._(CTM-2), Pg. 1 (D)'!K23</f>
        <v>-493346.29</v>
      </c>
      <c r="M17" s="2054">
        <f>+'Exhibit No._(CTM-2), Pg. 1 (D)'!L23</f>
        <v>1.8462293193335921E-4</v>
      </c>
    </row>
    <row r="18" spans="1:13" s="2035" customFormat="1" ht="12.75">
      <c r="A18" s="2056" t="s">
        <v>2553</v>
      </c>
      <c r="B18" s="2057" t="str">
        <f>'Gas Assignments'!B21</f>
        <v>Applegate</v>
      </c>
      <c r="C18" s="2057" t="str">
        <f>+'Exhibit No._(CTM-2), Pg. 1 (D)'!C24</f>
        <v>General Plant Depreciation</v>
      </c>
      <c r="D18" s="2083">
        <f>+'Exhibit No._(CTM-2), Pg. 1 (D)'!B24</f>
        <v>6.07</v>
      </c>
      <c r="E18" s="2055">
        <f>+'Exhibit No._(CTM-2), Pg. 1 (D)'!D24</f>
        <v>384999.03957129712</v>
      </c>
      <c r="F18" s="2055">
        <f>+'Exhibit No._(CTM-2), Pg. 1 (D)'!E24</f>
        <v>-113066.91905510958</v>
      </c>
      <c r="G18" s="2055">
        <f>+'Exhibit No._(CTM-2), Pg. 1 (D)'!F24</f>
        <v>-634795.85</v>
      </c>
      <c r="H18" s="2054">
        <f>+'Exhibit No._(CTM-2), Pg. 1 (D)'!G24</f>
        <v>2.3604918700476096E-4</v>
      </c>
      <c r="I18" s="2085"/>
      <c r="J18" s="2055">
        <f>+'Exhibit No._(CTM-2), Pg. 1 (D)'!I24</f>
        <v>384999.03957129712</v>
      </c>
      <c r="K18" s="2055">
        <f>+'Exhibit No._(CTM-2), Pg. 1 (D)'!J24</f>
        <v>-113066.91905510958</v>
      </c>
      <c r="L18" s="2055">
        <f>+'Exhibit No._(CTM-2), Pg. 1 (D)'!K24</f>
        <v>-633285.84</v>
      </c>
      <c r="M18" s="2054">
        <f>+'Exhibit No._(CTM-2), Pg. 1 (D)'!L24</f>
        <v>2.3604918703876154E-4</v>
      </c>
    </row>
    <row r="19" spans="1:13" s="2035" customFormat="1" ht="12.75">
      <c r="A19" s="2056" t="s">
        <v>2553</v>
      </c>
      <c r="B19" s="2057" t="str">
        <f>'Gas Assignments'!B22</f>
        <v>Applegate</v>
      </c>
      <c r="C19" s="2057" t="str">
        <f>+'Exhibit No._(CTM-2), Pg. 1 (D)'!C25</f>
        <v>Injuries &amp; Damages</v>
      </c>
      <c r="D19" s="2083">
        <f>+'Exhibit No._(CTM-2), Pg. 1 (D)'!B25</f>
        <v>6.08</v>
      </c>
      <c r="E19" s="2055">
        <f>+'Exhibit No._(CTM-2), Pg. 1 (D)'!D25</f>
        <v>-54309.818279334067</v>
      </c>
      <c r="F19" s="2055">
        <f>+'Exhibit No._(CTM-2), Pg. 1 (D)'!E25</f>
        <v>0</v>
      </c>
      <c r="G19" s="2055">
        <f>+'Exhibit No._(CTM-2), Pg. 1 (D)'!F25</f>
        <v>87386.47</v>
      </c>
      <c r="H19" s="2054">
        <f>+'Exhibit No._(CTM-2), Pg. 1 (D)'!G25</f>
        <v>-3.2702276184903845E-5</v>
      </c>
      <c r="I19" s="2085"/>
      <c r="J19" s="2055">
        <f>+'Exhibit No._(CTM-2), Pg. 1 (D)'!I25</f>
        <v>-54309.818279334067</v>
      </c>
      <c r="K19" s="2055">
        <f>+'Exhibit No._(CTM-2), Pg. 1 (D)'!J25</f>
        <v>0</v>
      </c>
      <c r="L19" s="2055">
        <f>+'Exhibit No._(CTM-2), Pg. 1 (D)'!K25</f>
        <v>87386.47</v>
      </c>
      <c r="M19" s="2054">
        <f>+'Exhibit No._(CTM-2), Pg. 1 (D)'!L25</f>
        <v>-3.2702276189532087E-5</v>
      </c>
    </row>
    <row r="20" spans="1:13" s="2035" customFormat="1" ht="12.75">
      <c r="A20" s="2056" t="s">
        <v>2558</v>
      </c>
      <c r="B20" s="2057" t="str">
        <f>'Gas Assignments'!B23</f>
        <v>Mickelson</v>
      </c>
      <c r="C20" s="2057" t="str">
        <f>+'Exhibit No._(CTM-2), Pg. 1 (D)'!C26</f>
        <v>Bad Debt</v>
      </c>
      <c r="D20" s="2083">
        <f>+'Exhibit No._(CTM-2), Pg. 1 (D)'!B26</f>
        <v>6.09</v>
      </c>
      <c r="E20" s="2055">
        <f>+'Exhibit No._(CTM-2), Pg. 1 (D)'!D26</f>
        <v>1574431</v>
      </c>
      <c r="F20" s="2055">
        <f>+'Exhibit No._(CTM-2), Pg. 1 (D)'!E26</f>
        <v>0</v>
      </c>
      <c r="G20" s="2055">
        <f>+'Exhibit No._(CTM-2), Pg. 1 (D)'!F26</f>
        <v>-2533316.71</v>
      </c>
      <c r="H20" s="2054">
        <f>+'Exhibit No._(CTM-2), Pg. 1 (D)'!G26</f>
        <v>9.4803258466554657E-4</v>
      </c>
      <c r="I20" s="2085"/>
      <c r="J20" s="2055">
        <f>+'Exhibit No._(CTM-2), Pg. 1 (D)'!I26</f>
        <v>1574431</v>
      </c>
      <c r="K20" s="2055">
        <f>+'Exhibit No._(CTM-2), Pg. 1 (D)'!J26</f>
        <v>0</v>
      </c>
      <c r="L20" s="2055">
        <f>+'Exhibit No._(CTM-2), Pg. 1 (D)'!K26</f>
        <v>-2533316.71</v>
      </c>
      <c r="M20" s="2054">
        <f>+'Exhibit No._(CTM-2), Pg. 1 (D)'!L26</f>
        <v>9.4803258479970315E-4</v>
      </c>
    </row>
    <row r="21" spans="1:13" s="2035" customFormat="1" ht="12.75">
      <c r="A21" s="2056" t="s">
        <v>2558</v>
      </c>
      <c r="B21" s="2057" t="str">
        <f>'Gas Assignments'!B24</f>
        <v>Erdahl</v>
      </c>
      <c r="C21" s="2057" t="str">
        <f>+'Exhibit No._(CTM-2), Pg. 1 (D)'!C27</f>
        <v>Incentive Pay</v>
      </c>
      <c r="D21" s="2083">
        <f>+'Exhibit No._(CTM-2), Pg. 1 (D)'!B27</f>
        <v>6.1</v>
      </c>
      <c r="E21" s="2055">
        <f>+'Exhibit No._(CTM-2), Pg. 1 (D)'!D27</f>
        <v>246620.65198427474</v>
      </c>
      <c r="F21" s="2055">
        <f>+'Exhibit No._(CTM-2), Pg. 1 (D)'!E27</f>
        <v>0</v>
      </c>
      <c r="G21" s="2055">
        <f>+'Exhibit No._(CTM-2), Pg. 1 (D)'!F27</f>
        <v>-396821.59</v>
      </c>
      <c r="H21" s="2054">
        <f>+'Exhibit No._(CTM-2), Pg. 1 (D)'!G27</f>
        <v>1.4850089596340349E-4</v>
      </c>
      <c r="I21" s="2085"/>
      <c r="J21" s="2055">
        <f>+'Exhibit No._(CTM-2), Pg. 1 (D)'!I27</f>
        <v>1117331.1629876194</v>
      </c>
      <c r="K21" s="2055">
        <f>+'Exhibit No._(CTM-2), Pg. 1 (D)'!J27</f>
        <v>0</v>
      </c>
      <c r="L21" s="2055">
        <f>+'Exhibit No._(CTM-2), Pg. 1 (D)'!K27</f>
        <v>-1797826.45</v>
      </c>
      <c r="M21" s="2054">
        <f>+'Exhibit No._(CTM-2), Pg. 1 (D)'!L27</f>
        <v>6.7279312369002836E-4</v>
      </c>
    </row>
    <row r="22" spans="1:13" s="2035" customFormat="1" ht="12.75">
      <c r="A22" s="2056" t="s">
        <v>2562</v>
      </c>
      <c r="B22" s="2057" t="str">
        <f>'Gas Assignments'!B25</f>
        <v>Applegate</v>
      </c>
      <c r="C22" s="2057" t="str">
        <f>+'Exhibit No._(CTM-2), Pg. 1 (D)'!C28</f>
        <v>Property Tax</v>
      </c>
      <c r="D22" s="2083">
        <f>+'Exhibit No._(CTM-2), Pg. 1 (D)'!B28</f>
        <v>6.11</v>
      </c>
      <c r="E22" s="2055">
        <f>+'Exhibit No._(CTM-2), Pg. 1 (D)'!D28</f>
        <v>-1668295.6939999999</v>
      </c>
      <c r="F22" s="2055">
        <f>+'Exhibit No._(CTM-2), Pg. 1 (D)'!E28</f>
        <v>0</v>
      </c>
      <c r="G22" s="2055">
        <f>+'Exhibit No._(CTM-2), Pg. 1 (D)'!F28</f>
        <v>2684348.41</v>
      </c>
      <c r="H22" s="2054">
        <f>+'Exhibit No._(CTM-2), Pg. 1 (D)'!G28</f>
        <v>-1.0045525518547552E-3</v>
      </c>
      <c r="I22" s="2085"/>
      <c r="J22" s="2055">
        <f>+'Exhibit No._(CTM-2), Pg. 1 (D)'!I28</f>
        <v>-545997.2374999976</v>
      </c>
      <c r="K22" s="2055">
        <f>+'Exhibit No._(CTM-2), Pg. 1 (D)'!J28</f>
        <v>0</v>
      </c>
      <c r="L22" s="2055">
        <f>+'Exhibit No._(CTM-2), Pg. 1 (D)'!K28</f>
        <v>878529.4</v>
      </c>
      <c r="M22" s="2054">
        <f>+'Exhibit No._(CTM-2), Pg. 1 (D)'!L28</f>
        <v>-3.2876840735517748E-4</v>
      </c>
    </row>
    <row r="23" spans="1:13" s="2035" customFormat="1" ht="12.75">
      <c r="A23" s="2056" t="s">
        <v>2553</v>
      </c>
      <c r="B23" s="2057" t="str">
        <f>'Gas Assignments'!B26</f>
        <v>Mickelson</v>
      </c>
      <c r="C23" s="2057" t="str">
        <f>+'Exhibit No._(CTM-2), Pg. 1 (D)'!C29</f>
        <v>Excise Tax &amp; Filing Fee</v>
      </c>
      <c r="D23" s="2083">
        <f>+'Exhibit No._(CTM-2), Pg. 1 (D)'!B29</f>
        <v>6.12</v>
      </c>
      <c r="E23" s="2055">
        <f>+'Exhibit No._(CTM-2), Pg. 1 (D)'!D29</f>
        <v>-49255.869715005392</v>
      </c>
      <c r="F23" s="2055">
        <f>+'Exhibit No._(CTM-2), Pg. 1 (D)'!E29</f>
        <v>0</v>
      </c>
      <c r="G23" s="2055">
        <f>+'Exhibit No._(CTM-2), Pg. 1 (D)'!F29</f>
        <v>79254.48</v>
      </c>
      <c r="H23" s="2054">
        <f>+'Exhibit No._(CTM-2), Pg. 1 (D)'!G29</f>
        <v>-2.965907650183397E-5</v>
      </c>
      <c r="I23" s="2085"/>
      <c r="J23" s="2055">
        <f>+'Exhibit No._(CTM-2), Pg. 1 (D)'!I29</f>
        <v>-49255.614861004287</v>
      </c>
      <c r="K23" s="2055">
        <f>+'Exhibit No._(CTM-2), Pg. 1 (D)'!J29</f>
        <v>0</v>
      </c>
      <c r="L23" s="2055">
        <f>+'Exhibit No._(CTM-2), Pg. 1 (D)'!K29</f>
        <v>79254.070000000007</v>
      </c>
      <c r="M23" s="2054">
        <f>+'Exhibit No._(CTM-2), Pg. 1 (D)'!L29</f>
        <v>-2.9658923047487518E-5</v>
      </c>
    </row>
    <row r="24" spans="1:13" s="2035" customFormat="1" ht="12.75">
      <c r="A24" s="2056" t="s">
        <v>2553</v>
      </c>
      <c r="B24" s="2057" t="str">
        <f>'Gas Assignments'!B27</f>
        <v>Erdahl</v>
      </c>
      <c r="C24" s="2057" t="str">
        <f>+'Exhibit No._(CTM-2), Pg. 1 (D)'!C30</f>
        <v>D&amp;O Insurance</v>
      </c>
      <c r="D24" s="2083">
        <f>+'Exhibit No._(CTM-2), Pg. 1 (D)'!B30</f>
        <v>6.13</v>
      </c>
      <c r="E24" s="2055">
        <f>+'Exhibit No._(CTM-2), Pg. 1 (D)'!D30</f>
        <v>23376.49571431028</v>
      </c>
      <c r="F24" s="2055">
        <f>+'Exhibit No._(CTM-2), Pg. 1 (D)'!E30</f>
        <v>0</v>
      </c>
      <c r="G24" s="2055">
        <f>+'Exhibit No._(CTM-2), Pg. 1 (D)'!F30</f>
        <v>-37613.629999999997</v>
      </c>
      <c r="H24" s="2054">
        <f>+'Exhibit No._(CTM-2), Pg. 1 (D)'!G30</f>
        <v>1.4075992947587546E-5</v>
      </c>
      <c r="I24" s="2085"/>
      <c r="J24" s="2055">
        <f>+'Exhibit No._(CTM-2), Pg. 1 (D)'!I30</f>
        <v>54008.693913882089</v>
      </c>
      <c r="K24" s="2055">
        <f>+'Exhibit No._(CTM-2), Pg. 1 (D)'!J30</f>
        <v>0</v>
      </c>
      <c r="L24" s="2055">
        <f>+'Exhibit No._(CTM-2), Pg. 1 (D)'!K30</f>
        <v>-86901.95</v>
      </c>
      <c r="M24" s="2054">
        <f>+'Exhibit No._(CTM-2), Pg. 1 (D)'!L30</f>
        <v>3.2520956264728285E-5</v>
      </c>
    </row>
    <row r="25" spans="1:13" s="2035" customFormat="1" ht="12.75">
      <c r="A25" s="2056" t="s">
        <v>2553</v>
      </c>
      <c r="B25" s="2057" t="str">
        <f>'Gas Assignments'!B28</f>
        <v>Mickelson</v>
      </c>
      <c r="C25" s="2057" t="str">
        <f>+'Exhibit No._(CTM-2), Pg. 1 (D)'!C31</f>
        <v>Interest on Customer Deposits</v>
      </c>
      <c r="D25" s="2083">
        <f>+'Exhibit No._(CTM-2), Pg. 1 (D)'!B31</f>
        <v>6.14</v>
      </c>
      <c r="E25" s="2055">
        <f>+'Exhibit No._(CTM-2), Pg. 1 (D)'!D31</f>
        <v>-21705.010131999999</v>
      </c>
      <c r="F25" s="2055">
        <f>+'Exhibit No._(CTM-2), Pg. 1 (D)'!E31</f>
        <v>0</v>
      </c>
      <c r="G25" s="2055">
        <f>+'Exhibit No._(CTM-2), Pg. 1 (D)'!F31</f>
        <v>34924.15</v>
      </c>
      <c r="H25" s="2054">
        <f>+'Exhibit No._(CTM-2), Pg. 1 (D)'!G31</f>
        <v>-1.3069519626852932E-5</v>
      </c>
      <c r="I25" s="2085"/>
      <c r="J25" s="2055">
        <f>+'Exhibit No._(CTM-2), Pg. 1 (D)'!I31</f>
        <v>-21705.010131999999</v>
      </c>
      <c r="K25" s="2055">
        <f>+'Exhibit No._(CTM-2), Pg. 1 (D)'!J31</f>
        <v>0</v>
      </c>
      <c r="L25" s="2055">
        <f>+'Exhibit No._(CTM-2), Pg. 1 (D)'!K31</f>
        <v>34924.15</v>
      </c>
      <c r="M25" s="2054">
        <f>+'Exhibit No._(CTM-2), Pg. 1 (D)'!L31</f>
        <v>-1.3069519628705617E-5</v>
      </c>
    </row>
    <row r="26" spans="1:13" s="2035" customFormat="1" ht="12.75">
      <c r="A26" s="2056" t="s">
        <v>2558</v>
      </c>
      <c r="B26" s="2057" t="str">
        <f>'Gas Assignments'!B29</f>
        <v>Applegate</v>
      </c>
      <c r="C26" s="2057" t="str">
        <f>+'Exhibit No._(CTM-2), Pg. 1 (D)'!C32</f>
        <v>Rate Case Expense</v>
      </c>
      <c r="D26" s="2083">
        <f>+'Exhibit No._(CTM-2), Pg. 1 (D)'!B32</f>
        <v>6.15</v>
      </c>
      <c r="E26" s="2055">
        <f>+'Exhibit No._(CTM-2), Pg. 1 (D)'!D32</f>
        <v>-142723.75</v>
      </c>
      <c r="F26" s="2055">
        <f>+'Exhibit No._(CTM-2), Pg. 1 (D)'!E32</f>
        <v>0</v>
      </c>
      <c r="G26" s="2055">
        <f>+'Exhibit No._(CTM-2), Pg. 1 (D)'!F32</f>
        <v>229647.7</v>
      </c>
      <c r="H26" s="2054">
        <f>+'Exhibit No._(CTM-2), Pg. 1 (D)'!G32</f>
        <v>-8.5940105095529129E-5</v>
      </c>
      <c r="I26" s="2085"/>
      <c r="J26" s="2055">
        <f>+'Exhibit No._(CTM-2), Pg. 1 (D)'!I32</f>
        <v>0</v>
      </c>
      <c r="K26" s="2055">
        <f>+'Exhibit No._(CTM-2), Pg. 1 (D)'!J32</f>
        <v>0</v>
      </c>
      <c r="L26" s="2055">
        <f>+'Exhibit No._(CTM-2), Pg. 1 (D)'!K32</f>
        <v>0</v>
      </c>
      <c r="M26" s="2054">
        <f>+'Exhibit No._(CTM-2), Pg. 1 (D)'!L32</f>
        <v>0</v>
      </c>
    </row>
    <row r="27" spans="1:13" s="2035" customFormat="1" ht="12.75">
      <c r="A27" s="2056" t="s">
        <v>2553</v>
      </c>
      <c r="B27" s="2057" t="str">
        <f>'Gas Assignments'!B30</f>
        <v>Applegate</v>
      </c>
      <c r="C27" s="2057" t="str">
        <f>+'Exhibit No._(CTM-2), Pg. 1 (D)'!C33</f>
        <v>Deferred G/L on Property Sales</v>
      </c>
      <c r="D27" s="2083">
        <f>+'Exhibit No._(CTM-2), Pg. 1 (D)'!B33</f>
        <v>6.16</v>
      </c>
      <c r="E27" s="2055">
        <f>+'Exhibit No._(CTM-2), Pg. 1 (D)'!D33</f>
        <v>-92594.597333333455</v>
      </c>
      <c r="F27" s="2055">
        <f>+'Exhibit No._(CTM-2), Pg. 1 (D)'!E33</f>
        <v>0</v>
      </c>
      <c r="G27" s="2055">
        <f>+'Exhibit No._(CTM-2), Pg. 1 (D)'!F33</f>
        <v>148988.07</v>
      </c>
      <c r="H27" s="2054">
        <f>+'Exhibit No._(CTM-2), Pg. 1 (D)'!G33</f>
        <v>-5.5755187388956129E-5</v>
      </c>
      <c r="I27" s="2085"/>
      <c r="J27" s="2055">
        <f>+'Exhibit No._(CTM-2), Pg. 1 (D)'!I33</f>
        <v>-92594.597333333455</v>
      </c>
      <c r="K27" s="2055">
        <f>+'Exhibit No._(CTM-2), Pg. 1 (D)'!J33</f>
        <v>0</v>
      </c>
      <c r="L27" s="2055">
        <f>+'Exhibit No._(CTM-2), Pg. 1 (D)'!K33</f>
        <v>148988.07</v>
      </c>
      <c r="M27" s="2054">
        <f>+'Exhibit No._(CTM-2), Pg. 1 (D)'!L33</f>
        <v>-5.5755187396845651E-5</v>
      </c>
    </row>
    <row r="28" spans="1:13" s="2035" customFormat="1" ht="12.75">
      <c r="A28" s="2056" t="s">
        <v>2553</v>
      </c>
      <c r="B28" s="2057" t="str">
        <f>'Gas Assignments'!B31</f>
        <v>Applegate</v>
      </c>
      <c r="C28" s="2057" t="str">
        <f>+'Exhibit No._(CTM-2), Pg. 1 (D)'!C34</f>
        <v>Property and Liability Insurance</v>
      </c>
      <c r="D28" s="2083">
        <f>+'Exhibit No._(CTM-2), Pg. 1 (D)'!B34</f>
        <v>6.17</v>
      </c>
      <c r="E28" s="2055">
        <f>+'Exhibit No._(CTM-2), Pg. 1 (D)'!D34</f>
        <v>35751.772271491849</v>
      </c>
      <c r="F28" s="2055">
        <f>+'Exhibit No._(CTM-2), Pg. 1 (D)'!E34</f>
        <v>0</v>
      </c>
      <c r="G28" s="2055">
        <f>+'Exhibit No._(CTM-2), Pg. 1 (D)'!F34</f>
        <v>-57525.9</v>
      </c>
      <c r="H28" s="2054">
        <f>+'Exhibit No._(CTM-2), Pg. 1 (D)'!G34</f>
        <v>2.1527678934755989E-5</v>
      </c>
      <c r="I28" s="2085"/>
      <c r="J28" s="2055">
        <f>+'Exhibit No._(CTM-2), Pg. 1 (D)'!I34</f>
        <v>35751.772271491849</v>
      </c>
      <c r="K28" s="2055">
        <f>+'Exhibit No._(CTM-2), Pg. 1 (D)'!J34</f>
        <v>0</v>
      </c>
      <c r="L28" s="2055">
        <f>+'Exhibit No._(CTM-2), Pg. 1 (D)'!K34</f>
        <v>-57525.9</v>
      </c>
      <c r="M28" s="2054">
        <f>+'Exhibit No._(CTM-2), Pg. 1 (D)'!L34</f>
        <v>2.1527678937802164E-5</v>
      </c>
    </row>
    <row r="29" spans="1:13" s="2035" customFormat="1" ht="12.75">
      <c r="A29" s="2056" t="s">
        <v>2563</v>
      </c>
      <c r="B29" s="2057" t="str">
        <f>'Gas Assignments'!B32</f>
        <v>Erdahl</v>
      </c>
      <c r="C29" s="2057" t="str">
        <f>+'Exhibit No._(CTM-2), Pg. 1 (D)'!C35</f>
        <v>Pension Plan</v>
      </c>
      <c r="D29" s="2083">
        <f>+'Exhibit No._(CTM-2), Pg. 1 (D)'!B35</f>
        <v>6.18</v>
      </c>
      <c r="E29" s="2055">
        <f>+'Exhibit No._(CTM-2), Pg. 1 (D)'!D35</f>
        <v>-582788.19274736056</v>
      </c>
      <c r="F29" s="2055">
        <f>+'Exhibit No._(CTM-2), Pg. 1 (D)'!E35</f>
        <v>0</v>
      </c>
      <c r="G29" s="2055">
        <f>+'Exhibit No._(CTM-2), Pg. 1 (D)'!F35</f>
        <v>937727.39</v>
      </c>
      <c r="H29" s="2054">
        <f>+'Exhibit No._(CTM-2), Pg. 1 (D)'!G35</f>
        <v>-3.5092182298419872E-4</v>
      </c>
      <c r="I29" s="2085"/>
      <c r="J29" s="2055">
        <f>+'Exhibit No._(CTM-2), Pg. 1 (D)'!I35</f>
        <v>-582788.19274736056</v>
      </c>
      <c r="K29" s="2055">
        <f>+'Exhibit No._(CTM-2), Pg. 1 (D)'!J35</f>
        <v>0</v>
      </c>
      <c r="L29" s="2055">
        <f>+'Exhibit No._(CTM-2), Pg. 1 (D)'!K35</f>
        <v>937727.39</v>
      </c>
      <c r="M29" s="2054">
        <f>+'Exhibit No._(CTM-2), Pg. 1 (D)'!L35</f>
        <v>-3.5092182303386038E-4</v>
      </c>
    </row>
    <row r="30" spans="1:13" s="2035" customFormat="1" ht="12.75">
      <c r="A30" s="2056" t="s">
        <v>2564</v>
      </c>
      <c r="B30" s="2057" t="str">
        <f>'Gas Assignments'!B33</f>
        <v>Erdahl</v>
      </c>
      <c r="C30" s="2057" t="str">
        <f>+'Exhibit No._(CTM-2), Pg. 1 (D)'!C36</f>
        <v>Wage Increase</v>
      </c>
      <c r="D30" s="2083">
        <f>+'Exhibit No._(CTM-2), Pg. 1 (D)'!B36</f>
        <v>6.19</v>
      </c>
      <c r="E30" s="2055">
        <f>+'Exhibit No._(CTM-2), Pg. 1 (D)'!D36</f>
        <v>-1250164.3374321728</v>
      </c>
      <c r="F30" s="2055">
        <f>+'Exhibit No._(CTM-2), Pg. 1 (D)'!E36</f>
        <v>0</v>
      </c>
      <c r="G30" s="2055">
        <f>+'Exhibit No._(CTM-2), Pg. 1 (D)'!F36</f>
        <v>2011559.86</v>
      </c>
      <c r="H30" s="2054">
        <f>+'Exhibit No._(CTM-2), Pg. 1 (D)'!G36</f>
        <v>-7.5277768798538702E-4</v>
      </c>
      <c r="I30" s="2085"/>
      <c r="J30" s="2055">
        <f>+'Exhibit No._(CTM-2), Pg. 1 (D)'!I36</f>
        <v>-769422.55089827743</v>
      </c>
      <c r="K30" s="2055">
        <f>+'Exhibit No._(CTM-2), Pg. 1 (D)'!J36</f>
        <v>0</v>
      </c>
      <c r="L30" s="2055">
        <f>+'Exhibit No._(CTM-2), Pg. 1 (D)'!K36</f>
        <v>1238028.8500000001</v>
      </c>
      <c r="M30" s="2054">
        <f>+'Exhibit No._(CTM-2), Pg. 1 (D)'!L36</f>
        <v>-4.6330239288434188E-4</v>
      </c>
    </row>
    <row r="31" spans="1:13" s="2035" customFormat="1" ht="12.75">
      <c r="A31" s="2056" t="s">
        <v>2564</v>
      </c>
      <c r="B31" s="2057" t="str">
        <f>'Gas Assignments'!B34</f>
        <v>Erdahl</v>
      </c>
      <c r="C31" s="2057" t="str">
        <f>+'Exhibit No._(CTM-2), Pg. 1 (D)'!C37</f>
        <v>Investment Plan</v>
      </c>
      <c r="D31" s="2083">
        <f>+'Exhibit No._(CTM-2), Pg. 1 (D)'!B37</f>
        <v>6.2</v>
      </c>
      <c r="E31" s="2055">
        <f>+'Exhibit No._(CTM-2), Pg. 1 (D)'!D37</f>
        <v>-52353.525858575478</v>
      </c>
      <c r="F31" s="2055">
        <f>+'Exhibit No._(CTM-2), Pg. 1 (D)'!E37</f>
        <v>0</v>
      </c>
      <c r="G31" s="2055">
        <f>+'Exhibit No._(CTM-2), Pg. 1 (D)'!F37</f>
        <v>84238.73</v>
      </c>
      <c r="H31" s="2054">
        <f>+'Exhibit No._(CTM-2), Pg. 1 (D)'!G37</f>
        <v>-3.1524308423847014E-5</v>
      </c>
      <c r="I31" s="2085"/>
      <c r="J31" s="2055">
        <f>+'Exhibit No._(CTM-2), Pg. 1 (D)'!I37</f>
        <v>-40613.402413379867</v>
      </c>
      <c r="K31" s="2055">
        <f>+'Exhibit No._(CTM-2), Pg. 1 (D)'!J37</f>
        <v>0</v>
      </c>
      <c r="L31" s="2055">
        <f>+'Exhibit No._(CTM-2), Pg. 1 (D)'!K37</f>
        <v>65348.44</v>
      </c>
      <c r="M31" s="2054">
        <f>+'Exhibit No._(CTM-2), Pg. 1 (D)'!L37</f>
        <v>-2.44550754319936E-5</v>
      </c>
    </row>
    <row r="32" spans="1:13" s="2035" customFormat="1" ht="12.75">
      <c r="A32" s="2056" t="s">
        <v>2564</v>
      </c>
      <c r="B32" s="2057" t="str">
        <f>'Gas Assignments'!B35</f>
        <v>Erdahl</v>
      </c>
      <c r="C32" s="2057" t="str">
        <f>+'Exhibit No._(CTM-2), Pg. 1 (D)'!C39</f>
        <v>Allowance for Working Capital</v>
      </c>
      <c r="D32" s="2083">
        <f>+'Exhibit No._(CTM-2), Pg. 1 (D)'!B39</f>
        <v>6.22</v>
      </c>
      <c r="E32" s="2055">
        <f>+'Exhibit No._(CTM-2), Pg. 1 (D)'!D39</f>
        <v>0</v>
      </c>
      <c r="F32" s="2055">
        <f>+'Exhibit No._(CTM-2), Pg. 1 (D)'!E39</f>
        <v>0</v>
      </c>
      <c r="G32" s="2055">
        <f>+'Exhibit No._(CTM-2), Pg. 1 (D)'!F39</f>
        <v>0</v>
      </c>
      <c r="H32" s="2054">
        <f>+'Exhibit No._(CTM-2), Pg. 1 (D)'!G39</f>
        <v>0</v>
      </c>
      <c r="I32" s="2085"/>
      <c r="J32" s="2055">
        <f>+'Exhibit No._(CTM-2), Pg. 1 (D)'!I39</f>
        <v>0</v>
      </c>
      <c r="K32" s="2055">
        <f>+'Exhibit No._(CTM-2), Pg. 1 (D)'!J39</f>
        <v>-13011001.181170687</v>
      </c>
      <c r="L32" s="2055">
        <f>+'Exhibit No._(CTM-2), Pg. 1 (D)'!K39</f>
        <v>-1588979.69</v>
      </c>
      <c r="M32" s="2054">
        <f>+'Exhibit No._(CTM-2), Pg. 1 (D)'!L39</f>
        <v>4.8812751239528385E-4</v>
      </c>
    </row>
    <row r="33" spans="1:13" s="2035" customFormat="1" ht="12.75">
      <c r="A33" s="2060"/>
      <c r="B33" s="2081"/>
      <c r="C33" s="2076"/>
      <c r="D33" s="2058" t="s">
        <v>279</v>
      </c>
      <c r="E33" s="2059">
        <f>+'Exhibit No._(CTM-2), Pg. 1 (D)'!D41</f>
        <v>119825618.25913076</v>
      </c>
      <c r="F33" s="2059">
        <f>+'Exhibit No._(CTM-2), Pg. 1 (D)'!E41</f>
        <v>1658305524.462157</v>
      </c>
      <c r="G33" s="2059">
        <f>+'Exhibit No._(CTM-2), Pg. 1 (D)'!F41-2</f>
        <v>31864882.23</v>
      </c>
      <c r="H33" s="2054">
        <f>+'Exhibit No._(CTM-2), Pg. 1 (D)'!G41</f>
        <v>7.2257865930944271E-2</v>
      </c>
      <c r="I33" s="2085"/>
      <c r="J33" s="2059">
        <f>+'Exhibit No._(CTM-2), Pg. 1 (D)'!I41</f>
        <v>121639052.48801155</v>
      </c>
      <c r="K33" s="2059">
        <f>+'Exhibit No._(CTM-2), Pg. 1 (D)'!J41</f>
        <v>1620730225.04597</v>
      </c>
      <c r="L33" s="2059">
        <f>+'Exhibit No._(CTM-2), Pg. 1 (D)'!K41</f>
        <v>2211413.8399999887</v>
      </c>
      <c r="M33" s="2054">
        <f>+'Exhibit No._(CTM-2), Pg. 1 (D)'!L41</f>
        <v>7.5052004712605036E-2</v>
      </c>
    </row>
    <row r="34" spans="1:13" s="2035" customFormat="1" ht="12.75">
      <c r="A34" s="2074"/>
      <c r="B34" s="2082"/>
      <c r="C34" s="2075"/>
      <c r="D34" s="2060"/>
      <c r="E34" s="2069"/>
      <c r="F34" s="2069"/>
      <c r="G34" s="2069"/>
      <c r="H34" s="2070"/>
    </row>
    <row r="35" spans="1:13" s="2035" customFormat="1" ht="12.75">
      <c r="A35" s="2072" t="s">
        <v>2565</v>
      </c>
      <c r="B35" s="2072" t="str">
        <f>'Gas Assignments'!B37</f>
        <v>Schooley</v>
      </c>
      <c r="C35" s="2073" t="s">
        <v>2567</v>
      </c>
      <c r="D35" s="2060"/>
      <c r="E35" s="2061"/>
      <c r="F35" s="2062"/>
      <c r="G35" s="2063"/>
      <c r="H35" s="2064"/>
    </row>
    <row r="36" spans="1:13" s="2035" customFormat="1" ht="12.75">
      <c r="A36" s="2056" t="s">
        <v>2568</v>
      </c>
      <c r="B36" s="2072" t="str">
        <f>'Gas Assignments'!B38</f>
        <v>Reynolds/Mickelson</v>
      </c>
      <c r="C36" s="2056" t="s">
        <v>278</v>
      </c>
      <c r="D36" s="2060"/>
      <c r="E36" s="2061"/>
      <c r="F36" s="2062"/>
      <c r="G36" s="2065"/>
      <c r="H36" s="2064"/>
    </row>
    <row r="37" spans="1:13" s="2035" customFormat="1" ht="12.75">
      <c r="A37" s="2056" t="s">
        <v>2569</v>
      </c>
      <c r="B37" s="2071" t="str">
        <f>'Gas Assignments'!B40</f>
        <v>Elgin</v>
      </c>
      <c r="C37" s="2056" t="s">
        <v>2571</v>
      </c>
      <c r="D37" s="2066"/>
      <c r="E37" s="2064"/>
      <c r="F37" s="2064"/>
      <c r="G37" s="2064"/>
      <c r="H37" s="2064"/>
    </row>
    <row r="38" spans="1:13" s="2035" customFormat="1" ht="12.75">
      <c r="A38" s="2056" t="s">
        <v>2572</v>
      </c>
      <c r="B38" s="2071" t="str">
        <f>'Gas Assignments'!B41</f>
        <v>Buckley</v>
      </c>
      <c r="C38" s="2056" t="s">
        <v>2574</v>
      </c>
      <c r="D38" s="2066"/>
      <c r="E38" s="2066"/>
      <c r="F38" s="2066"/>
      <c r="G38" s="2066"/>
      <c r="H38" s="2066"/>
    </row>
    <row r="39" spans="1:13" s="2064" customFormat="1" ht="12.75">
      <c r="A39" s="2056" t="s">
        <v>2562</v>
      </c>
      <c r="B39" s="2071" t="str">
        <f>'Gas Assignments'!B42</f>
        <v>Smith</v>
      </c>
      <c r="C39" s="2056" t="s">
        <v>2575</v>
      </c>
      <c r="D39" s="2066"/>
      <c r="E39" s="2066"/>
      <c r="F39" s="2066"/>
      <c r="G39" s="2066"/>
      <c r="H39" s="2066"/>
    </row>
    <row r="40" spans="1:13" s="2064" customFormat="1" ht="12.75">
      <c r="A40" s="2056" t="s">
        <v>2562</v>
      </c>
      <c r="B40" s="2071" t="str">
        <f>'Gas Assignments'!B43</f>
        <v>Smith</v>
      </c>
      <c r="C40" s="2056" t="s">
        <v>2576</v>
      </c>
      <c r="D40" s="2066"/>
      <c r="E40" s="2066"/>
      <c r="F40" s="2066"/>
      <c r="G40" s="2066"/>
      <c r="H40" s="2066"/>
    </row>
    <row r="41" spans="1:13" s="2035" customFormat="1" ht="12.75">
      <c r="A41" s="2056" t="s">
        <v>2562</v>
      </c>
      <c r="B41" s="2071" t="str">
        <f>'Gas Assignments'!B44</f>
        <v>Smith</v>
      </c>
      <c r="C41" s="2056" t="s">
        <v>2577</v>
      </c>
      <c r="D41" s="2066"/>
      <c r="E41" s="2066"/>
      <c r="F41" s="2066"/>
      <c r="G41" s="2066"/>
      <c r="H41" s="2066"/>
    </row>
    <row r="42" spans="1:13" s="2035" customFormat="1" ht="12.75">
      <c r="A42" s="2056"/>
      <c r="B42" s="2071" t="str">
        <f>'Gas Assignments'!B45</f>
        <v>Schooley</v>
      </c>
      <c r="C42" s="2056" t="s">
        <v>2578</v>
      </c>
      <c r="D42" s="2066"/>
      <c r="E42" s="2066"/>
      <c r="F42" s="2066"/>
      <c r="G42" s="2066"/>
      <c r="H42" s="2066"/>
    </row>
    <row r="43" spans="1:13" s="2035" customFormat="1" ht="12.75">
      <c r="A43" s="2056" t="s">
        <v>2579</v>
      </c>
      <c r="B43" s="2071" t="str">
        <f>'Gas Assignments'!B46</f>
        <v>Schooley</v>
      </c>
      <c r="C43" s="2056" t="s">
        <v>2580</v>
      </c>
      <c r="D43" s="2066"/>
      <c r="E43" s="2066"/>
      <c r="F43" s="2066"/>
      <c r="G43" s="2066"/>
      <c r="H43" s="2066"/>
    </row>
    <row r="44" spans="1:13" s="2035" customFormat="1" ht="12.75" customHeight="1">
      <c r="A44" s="2056"/>
      <c r="B44" s="2071" t="str">
        <f>'Gas Assignments'!B47</f>
        <v>Reynolds</v>
      </c>
      <c r="C44" s="2056" t="s">
        <v>320</v>
      </c>
      <c r="D44" s="2066"/>
      <c r="E44" s="2066"/>
      <c r="F44" s="2066"/>
      <c r="G44" s="2066"/>
      <c r="H44" s="2066"/>
    </row>
    <row r="45" spans="1:13" s="2035" customFormat="1" ht="12.75">
      <c r="A45" s="2056" t="s">
        <v>2581</v>
      </c>
      <c r="B45" s="2071" t="str">
        <f>'Gas Assignments'!B48</f>
        <v>Reynolds</v>
      </c>
      <c r="C45" s="2056" t="s">
        <v>2583</v>
      </c>
      <c r="D45" s="2066"/>
      <c r="E45" s="2066"/>
      <c r="F45" s="2066"/>
      <c r="G45" s="2066"/>
      <c r="H45" s="2066"/>
    </row>
    <row r="46" spans="1:13" s="2035" customFormat="1" ht="12.75">
      <c r="A46" s="2056"/>
      <c r="B46" s="2071" t="str">
        <f>'Gas Assignments'!B49</f>
        <v>Zawislak</v>
      </c>
      <c r="C46" s="2056" t="s">
        <v>2585</v>
      </c>
      <c r="D46" s="2066"/>
      <c r="E46" s="2066"/>
      <c r="F46" s="2066"/>
      <c r="G46" s="2066"/>
      <c r="H46" s="2066"/>
    </row>
    <row r="47" spans="1:13" s="2035" customFormat="1" ht="12.75">
      <c r="A47" s="2056" t="s">
        <v>2558</v>
      </c>
      <c r="B47" s="2071" t="str">
        <f>'Gas Assignments'!B50</f>
        <v>Zawislak</v>
      </c>
      <c r="C47" s="2056" t="s">
        <v>2586</v>
      </c>
      <c r="D47" s="2066"/>
      <c r="E47" s="2066"/>
      <c r="F47" s="2066"/>
      <c r="G47" s="2066"/>
      <c r="H47" s="2066"/>
    </row>
    <row r="48" spans="1:13" s="2035" customFormat="1" ht="12.75">
      <c r="A48" s="2056" t="s">
        <v>2587</v>
      </c>
      <c r="B48" s="2071" t="str">
        <f>'Gas Assignments'!B51</f>
        <v>Buckley</v>
      </c>
      <c r="C48" s="2056" t="s">
        <v>2588</v>
      </c>
      <c r="D48" s="2066"/>
      <c r="E48" s="2066"/>
      <c r="F48" s="2066"/>
      <c r="G48" s="2066"/>
      <c r="H48" s="2066"/>
    </row>
    <row r="49" spans="1:8" s="2035" customFormat="1" ht="12.75">
      <c r="A49" s="2056" t="s">
        <v>2581</v>
      </c>
      <c r="B49" s="2071" t="str">
        <f>'Gas Assignments'!B52</f>
        <v>Reynolds/Kouchi</v>
      </c>
      <c r="C49" s="2056" t="s">
        <v>2590</v>
      </c>
      <c r="D49" s="2066"/>
      <c r="E49" s="2066"/>
      <c r="F49" s="2066"/>
      <c r="G49" s="2066"/>
      <c r="H49" s="2066"/>
    </row>
    <row r="50" spans="1:8" s="2035" customFormat="1" ht="12.75">
      <c r="A50" s="2066"/>
      <c r="B50" s="2066"/>
      <c r="C50" s="2066"/>
      <c r="D50" s="2066"/>
      <c r="E50" s="2066"/>
      <c r="F50" s="2066"/>
      <c r="G50" s="2066"/>
      <c r="H50" s="2066"/>
    </row>
    <row r="51" spans="1:8" s="2035" customFormat="1" ht="12.75">
      <c r="A51" s="2066"/>
      <c r="B51" s="2066"/>
      <c r="C51" s="2066"/>
      <c r="D51" s="2066"/>
      <c r="E51" s="2066"/>
      <c r="F51" s="2066"/>
      <c r="G51" s="2066"/>
      <c r="H51" s="2066"/>
    </row>
    <row r="52" spans="1:8">
      <c r="A52" s="2067"/>
      <c r="B52" s="2067"/>
      <c r="C52" s="2067"/>
      <c r="D52" s="2067"/>
      <c r="E52" s="2067"/>
      <c r="F52" s="2067"/>
      <c r="G52" s="2067"/>
      <c r="H52" s="2067"/>
    </row>
    <row r="53" spans="1:8">
      <c r="A53" s="2067"/>
      <c r="B53" s="2067"/>
      <c r="C53" s="2067"/>
      <c r="D53" s="2067"/>
      <c r="E53" s="2067"/>
      <c r="F53" s="2067"/>
      <c r="G53" s="2067"/>
      <c r="H53" s="2067"/>
    </row>
    <row r="54" spans="1:8">
      <c r="A54" s="2067"/>
      <c r="B54" s="2067"/>
      <c r="C54" s="2067"/>
      <c r="D54" s="2067"/>
      <c r="E54" s="2067"/>
      <c r="F54" s="2067"/>
      <c r="G54" s="2067"/>
      <c r="H54" s="2067"/>
    </row>
    <row r="55" spans="1:8">
      <c r="A55" s="2067"/>
      <c r="B55" s="2067"/>
      <c r="C55" s="2067"/>
      <c r="D55" s="2067"/>
      <c r="E55" s="2067"/>
      <c r="F55" s="2067"/>
      <c r="G55" s="2067"/>
      <c r="H55" s="2067"/>
    </row>
    <row r="56" spans="1:8">
      <c r="A56" s="2067"/>
      <c r="B56" s="2067"/>
      <c r="C56" s="2067"/>
      <c r="D56" s="2067"/>
      <c r="E56" s="2067"/>
      <c r="F56" s="2067"/>
      <c r="G56" s="2067"/>
      <c r="H56" s="2067"/>
    </row>
    <row r="57" spans="1:8">
      <c r="A57" s="2067"/>
      <c r="B57" s="2067"/>
      <c r="C57" s="2067"/>
      <c r="D57" s="2067"/>
      <c r="E57" s="2067"/>
      <c r="F57" s="2067"/>
      <c r="G57" s="2067"/>
      <c r="H57" s="2067"/>
    </row>
    <row r="58" spans="1:8">
      <c r="A58" s="2067"/>
      <c r="B58" s="2067"/>
      <c r="C58" s="2067"/>
      <c r="D58" s="2067"/>
      <c r="E58" s="2067"/>
      <c r="F58" s="2067"/>
      <c r="G58" s="2067"/>
      <c r="H58" s="2067"/>
    </row>
    <row r="59" spans="1:8">
      <c r="A59" s="2067"/>
      <c r="D59" s="2067"/>
    </row>
    <row r="60" spans="1:8">
      <c r="A60" s="2067"/>
      <c r="D60" s="2067"/>
    </row>
    <row r="61" spans="1:8">
      <c r="A61" s="2067"/>
      <c r="D61" s="2067"/>
    </row>
    <row r="62" spans="1:8">
      <c r="D62" s="2067"/>
    </row>
    <row r="63" spans="1:8">
      <c r="D63" s="2067"/>
    </row>
    <row r="64" spans="1:8">
      <c r="D64" s="2067"/>
    </row>
  </sheetData>
  <mergeCells count="2">
    <mergeCell ref="E4:H4"/>
    <mergeCell ref="J4:M4"/>
  </mergeCells>
  <pageMargins left="0.25" right="0.25" top="0.25" bottom="0.25" header="0.5" footer="0.5"/>
  <pageSetup scale="82"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K130"/>
  <sheetViews>
    <sheetView zoomScale="90" zoomScaleNormal="90" workbookViewId="0">
      <pane xSplit="1" ySplit="11" topLeftCell="B12" activePane="bottomRight" state="frozen"/>
      <selection activeCell="A2" sqref="A2"/>
      <selection pane="topRight" activeCell="A2" sqref="A2"/>
      <selection pane="bottomLeft" activeCell="A2" sqref="A2"/>
      <selection pane="bottomRight" activeCell="F2" sqref="F2"/>
    </sheetView>
  </sheetViews>
  <sheetFormatPr defaultRowHeight="15.75"/>
  <cols>
    <col min="1" max="1" width="7.5" style="2231" bestFit="1" customWidth="1"/>
    <col min="2" max="2" width="71.6640625" style="2231" customWidth="1"/>
    <col min="3" max="3" width="27.6640625" style="2231" customWidth="1"/>
    <col min="4" max="4" width="22.83203125" style="2233" customWidth="1"/>
    <col min="5" max="5" width="31" style="2233" customWidth="1"/>
    <col min="6" max="6" width="18.1640625" style="2233" customWidth="1"/>
    <col min="7" max="16384" width="9.33203125" style="2233"/>
  </cols>
  <sheetData>
    <row r="1" spans="1:6" s="2227" customFormat="1" hidden="1">
      <c r="C1" s="2227">
        <f>'Exhibit No._(CTM-2), Pg. 10-30'!CW1+1</f>
        <v>31</v>
      </c>
    </row>
    <row r="2" spans="1:6">
      <c r="A2" s="2228"/>
      <c r="B2" s="2229"/>
      <c r="D2" s="2231"/>
      <c r="E2" s="2231"/>
      <c r="F2" s="2222" t="s">
        <v>3014</v>
      </c>
    </row>
    <row r="3" spans="1:6" ht="16.5" thickBot="1">
      <c r="D3" s="2231"/>
      <c r="E3" s="2231"/>
      <c r="F3" s="2223" t="str">
        <f>'Exhibit No._(CTM-2), Pg. 2-6'!$L$3</f>
        <v>Dockets UE-111048/UG-111049</v>
      </c>
    </row>
    <row r="4" spans="1:6" ht="17.25" thickTop="1" thickBot="1">
      <c r="A4" s="2228"/>
      <c r="B4" s="34"/>
      <c r="D4" s="2231"/>
      <c r="E4" s="2231"/>
      <c r="F4" s="2234" t="str">
        <f>"Page "&amp;C1&amp;"   of "&amp;'Exhibit No._(CTM-2), Pg. 32-34'!N1</f>
        <v>Page 31   of 34</v>
      </c>
    </row>
    <row r="5" spans="1:6" ht="16.5" thickTop="1">
      <c r="A5" s="2892" t="s">
        <v>976</v>
      </c>
      <c r="B5" s="2892"/>
      <c r="C5" s="2892"/>
      <c r="D5" s="2892"/>
      <c r="E5" s="2892"/>
      <c r="F5" s="2892"/>
    </row>
    <row r="6" spans="1:6">
      <c r="A6" s="2892" t="s">
        <v>2909</v>
      </c>
      <c r="B6" s="2892"/>
      <c r="C6" s="2892"/>
      <c r="D6" s="2892"/>
      <c r="E6" s="2892"/>
      <c r="F6" s="2892"/>
    </row>
    <row r="7" spans="1:6">
      <c r="A7" s="2892" t="s">
        <v>978</v>
      </c>
      <c r="B7" s="2892"/>
      <c r="C7" s="2892"/>
      <c r="D7" s="2892"/>
      <c r="E7" s="2892"/>
      <c r="F7" s="2892"/>
    </row>
    <row r="8" spans="1:6">
      <c r="A8" s="2892" t="str">
        <f>"Adjustment Number - "&amp;'Exhibit No._(CTM-2), Pg. 2-6'!AL$13</f>
        <v>Adjustment Number - 6.22</v>
      </c>
      <c r="B8" s="2892"/>
      <c r="C8" s="2892"/>
      <c r="D8" s="2892"/>
      <c r="E8" s="2892"/>
      <c r="F8" s="2892"/>
    </row>
    <row r="9" spans="1:6">
      <c r="A9" s="2228"/>
      <c r="B9" s="2228"/>
      <c r="D9" s="2231"/>
      <c r="E9" s="2231"/>
    </row>
    <row r="10" spans="1:6" ht="31.5">
      <c r="A10" s="34" t="s">
        <v>24</v>
      </c>
      <c r="B10" s="2277"/>
      <c r="C10" s="2794" t="s">
        <v>2993</v>
      </c>
      <c r="D10" s="2793" t="s">
        <v>2996</v>
      </c>
      <c r="E10" s="2819" t="s">
        <v>2997</v>
      </c>
      <c r="F10" s="2332" t="s">
        <v>2995</v>
      </c>
    </row>
    <row r="11" spans="1:6">
      <c r="A11" s="2240" t="s">
        <v>38</v>
      </c>
      <c r="B11" s="2321" t="s">
        <v>523</v>
      </c>
      <c r="C11" s="2322" t="s">
        <v>1797</v>
      </c>
      <c r="D11" s="2795" t="s">
        <v>1797</v>
      </c>
      <c r="E11" s="2820" t="s">
        <v>1797</v>
      </c>
      <c r="F11" s="2796" t="s">
        <v>2994</v>
      </c>
    </row>
    <row r="12" spans="1:6">
      <c r="A12" s="2239">
        <v>1</v>
      </c>
      <c r="B12" s="2321" t="s">
        <v>2910</v>
      </c>
      <c r="C12" s="2797"/>
      <c r="D12" s="2798"/>
      <c r="E12" s="2797"/>
      <c r="F12" s="2651"/>
    </row>
    <row r="13" spans="1:6">
      <c r="A13" s="2239">
        <f t="shared" ref="A13:A76" si="0">A12+1</f>
        <v>2</v>
      </c>
      <c r="B13" s="2256" t="s">
        <v>2911</v>
      </c>
      <c r="C13" s="2799">
        <v>859038</v>
      </c>
      <c r="D13" s="2799">
        <v>0</v>
      </c>
      <c r="E13" s="2799">
        <f t="shared" ref="E13:E24" si="1">C13+D13</f>
        <v>859038</v>
      </c>
      <c r="F13" s="2651"/>
    </row>
    <row r="14" spans="1:6">
      <c r="A14" s="2239">
        <f t="shared" si="0"/>
        <v>3</v>
      </c>
      <c r="B14" s="2256" t="s">
        <v>2912</v>
      </c>
      <c r="C14" s="2797">
        <v>0</v>
      </c>
      <c r="D14" s="2798">
        <v>0</v>
      </c>
      <c r="E14" s="2797">
        <f t="shared" si="1"/>
        <v>0</v>
      </c>
      <c r="F14" s="2651"/>
    </row>
    <row r="15" spans="1:6">
      <c r="A15" s="2239">
        <f t="shared" si="0"/>
        <v>4</v>
      </c>
      <c r="B15" s="2256" t="s">
        <v>2913</v>
      </c>
      <c r="C15" s="2797">
        <v>2958716487</v>
      </c>
      <c r="D15" s="2798">
        <v>0</v>
      </c>
      <c r="E15" s="2797">
        <f t="shared" si="1"/>
        <v>2958716487</v>
      </c>
      <c r="F15" s="2651"/>
    </row>
    <row r="16" spans="1:6">
      <c r="A16" s="2239">
        <f t="shared" si="0"/>
        <v>5</v>
      </c>
      <c r="B16" s="2256" t="s">
        <v>2914</v>
      </c>
      <c r="C16" s="2797">
        <v>-56743291</v>
      </c>
      <c r="D16" s="2798">
        <v>0</v>
      </c>
      <c r="E16" s="2797">
        <f t="shared" si="1"/>
        <v>-56743291</v>
      </c>
      <c r="F16" s="2651"/>
    </row>
    <row r="17" spans="1:11">
      <c r="A17" s="2239">
        <f t="shared" si="0"/>
        <v>6</v>
      </c>
      <c r="B17" s="2256" t="s">
        <v>2915</v>
      </c>
      <c r="C17" s="2797">
        <v>194884510</v>
      </c>
      <c r="D17" s="2798">
        <v>0</v>
      </c>
      <c r="E17" s="2797">
        <f t="shared" si="1"/>
        <v>194884510</v>
      </c>
      <c r="F17" s="2651"/>
    </row>
    <row r="18" spans="1:11">
      <c r="A18" s="2239">
        <f t="shared" si="0"/>
        <v>7</v>
      </c>
      <c r="B18" s="2256" t="s">
        <v>2916</v>
      </c>
      <c r="C18" s="2797">
        <v>0</v>
      </c>
      <c r="D18" s="2798">
        <v>0</v>
      </c>
      <c r="E18" s="2797">
        <f t="shared" si="1"/>
        <v>0</v>
      </c>
      <c r="F18" s="2651"/>
    </row>
    <row r="19" spans="1:11">
      <c r="A19" s="2239">
        <f t="shared" si="0"/>
        <v>8</v>
      </c>
      <c r="B19" s="2256" t="s">
        <v>2917</v>
      </c>
      <c r="C19" s="2797">
        <v>3314651667</v>
      </c>
      <c r="D19" s="2798">
        <v>0</v>
      </c>
      <c r="E19" s="2797">
        <f t="shared" si="1"/>
        <v>3314651667</v>
      </c>
      <c r="F19" s="2651"/>
    </row>
    <row r="20" spans="1:11">
      <c r="A20" s="2239">
        <f t="shared" si="0"/>
        <v>9</v>
      </c>
      <c r="B20" s="2256" t="s">
        <v>2918</v>
      </c>
      <c r="C20" s="2797">
        <v>137068619</v>
      </c>
      <c r="D20" s="2798">
        <v>0</v>
      </c>
      <c r="E20" s="2797">
        <f t="shared" si="1"/>
        <v>137068619</v>
      </c>
      <c r="F20" s="2651"/>
    </row>
    <row r="21" spans="1:11">
      <c r="A21" s="2239">
        <f t="shared" si="0"/>
        <v>10</v>
      </c>
      <c r="B21" s="2256" t="s">
        <v>2919</v>
      </c>
      <c r="C21" s="2797">
        <v>318143</v>
      </c>
      <c r="D21" s="2798">
        <v>0</v>
      </c>
      <c r="E21" s="2797">
        <f t="shared" si="1"/>
        <v>318143</v>
      </c>
      <c r="F21" s="2651"/>
    </row>
    <row r="22" spans="1:11">
      <c r="A22" s="2239">
        <f t="shared" si="0"/>
        <v>11</v>
      </c>
      <c r="B22" s="2256" t="s">
        <v>2920</v>
      </c>
      <c r="C22" s="2797">
        <v>25090331</v>
      </c>
      <c r="D22" s="2798">
        <v>0</v>
      </c>
      <c r="E22" s="2797">
        <f t="shared" si="1"/>
        <v>25090331</v>
      </c>
      <c r="F22" s="2651"/>
    </row>
    <row r="23" spans="1:11">
      <c r="A23" s="2239">
        <f t="shared" si="0"/>
        <v>12</v>
      </c>
      <c r="B23" s="2256" t="s">
        <v>2921</v>
      </c>
      <c r="C23" s="2797">
        <v>-36658</v>
      </c>
      <c r="D23" s="2798">
        <v>0</v>
      </c>
      <c r="E23" s="2797">
        <f t="shared" si="1"/>
        <v>-36658</v>
      </c>
      <c r="F23" s="2800"/>
    </row>
    <row r="24" spans="1:11">
      <c r="A24" s="2239">
        <f t="shared" si="0"/>
        <v>13</v>
      </c>
      <c r="B24" s="2256" t="s">
        <v>2922</v>
      </c>
      <c r="C24" s="2801">
        <v>-18851136</v>
      </c>
      <c r="D24" s="2802">
        <v>0</v>
      </c>
      <c r="E24" s="2801">
        <f t="shared" si="1"/>
        <v>-18851136</v>
      </c>
      <c r="F24" s="2651"/>
    </row>
    <row r="25" spans="1:11">
      <c r="A25" s="2239">
        <f t="shared" si="0"/>
        <v>14</v>
      </c>
      <c r="B25" s="2256" t="s">
        <v>2923</v>
      </c>
      <c r="C25" s="2797">
        <v>6555957710</v>
      </c>
      <c r="D25" s="2798">
        <f>SUM(D13:D24)</f>
        <v>0</v>
      </c>
      <c r="E25" s="2797">
        <f>SUM(E13:E24)</f>
        <v>6555957710</v>
      </c>
      <c r="F25" s="2651"/>
    </row>
    <row r="26" spans="1:11">
      <c r="A26" s="2239">
        <f t="shared" si="0"/>
        <v>15</v>
      </c>
      <c r="B26" s="2256"/>
      <c r="C26" s="2803"/>
      <c r="D26" s="2804"/>
      <c r="E26" s="2803"/>
      <c r="F26" s="2651"/>
    </row>
    <row r="27" spans="1:11">
      <c r="A27" s="2239">
        <f t="shared" si="0"/>
        <v>16</v>
      </c>
      <c r="B27" s="2321" t="s">
        <v>2924</v>
      </c>
      <c r="C27" s="2797"/>
      <c r="D27" s="2798"/>
      <c r="E27" s="2797"/>
      <c r="F27" s="2651"/>
    </row>
    <row r="28" spans="1:11">
      <c r="A28" s="2239">
        <f t="shared" si="0"/>
        <v>17</v>
      </c>
      <c r="B28" s="2256"/>
      <c r="C28" s="2797"/>
      <c r="D28" s="2798"/>
      <c r="E28" s="2797"/>
      <c r="F28" s="2651"/>
    </row>
    <row r="29" spans="1:11">
      <c r="A29" s="2239">
        <f t="shared" si="0"/>
        <v>18</v>
      </c>
      <c r="B29" s="2256" t="s">
        <v>2925</v>
      </c>
      <c r="C29" s="2797">
        <v>6853037154</v>
      </c>
      <c r="D29" s="2798">
        <v>0</v>
      </c>
      <c r="E29" s="2797">
        <f t="shared" ref="E29:E40" si="2">C29+D29</f>
        <v>6853037154</v>
      </c>
      <c r="F29" s="2651"/>
    </row>
    <row r="30" spans="1:11">
      <c r="A30" s="2239">
        <f t="shared" si="0"/>
        <v>19</v>
      </c>
      <c r="B30" s="2256" t="s">
        <v>2926</v>
      </c>
      <c r="C30" s="2797">
        <v>28549726</v>
      </c>
      <c r="D30" s="2798">
        <v>0</v>
      </c>
      <c r="E30" s="2797">
        <f t="shared" si="2"/>
        <v>28549726</v>
      </c>
      <c r="F30" s="2651"/>
    </row>
    <row r="31" spans="1:11">
      <c r="A31" s="2239">
        <f t="shared" si="0"/>
        <v>20</v>
      </c>
      <c r="B31" s="2256" t="s">
        <v>2927</v>
      </c>
      <c r="C31" s="2797">
        <v>-67513639</v>
      </c>
      <c r="D31" s="2798">
        <v>0</v>
      </c>
      <c r="E31" s="2797">
        <f t="shared" si="2"/>
        <v>-67513639</v>
      </c>
      <c r="F31" s="2651"/>
    </row>
    <row r="32" spans="1:11" s="2231" customFormat="1">
      <c r="A32" s="2239">
        <f t="shared" si="0"/>
        <v>21</v>
      </c>
      <c r="B32" s="2256" t="s">
        <v>2928</v>
      </c>
      <c r="C32" s="2797">
        <v>-20606765</v>
      </c>
      <c r="D32" s="2798">
        <v>0</v>
      </c>
      <c r="E32" s="2797">
        <f t="shared" si="2"/>
        <v>-20606765</v>
      </c>
      <c r="F32" s="2651"/>
      <c r="G32" s="2233"/>
      <c r="H32" s="2233"/>
      <c r="I32" s="2233"/>
      <c r="J32" s="2233"/>
      <c r="K32" s="2233"/>
    </row>
    <row r="33" spans="1:6">
      <c r="A33" s="2239">
        <f t="shared" si="0"/>
        <v>22</v>
      </c>
      <c r="B33" s="2256" t="s">
        <v>2929</v>
      </c>
      <c r="C33" s="2797">
        <v>-663185306</v>
      </c>
      <c r="D33" s="2798">
        <v>0</v>
      </c>
      <c r="E33" s="2797">
        <f t="shared" si="2"/>
        <v>-663185306</v>
      </c>
      <c r="F33" s="2651"/>
    </row>
    <row r="34" spans="1:6">
      <c r="A34" s="2239">
        <f t="shared" si="0"/>
        <v>23</v>
      </c>
      <c r="B34" s="2256" t="s">
        <v>2930</v>
      </c>
      <c r="C34" s="2797">
        <v>412578353</v>
      </c>
      <c r="D34" s="2798">
        <f>47312650*55.67%</f>
        <v>26338952.254999999</v>
      </c>
      <c r="E34" s="2797">
        <f t="shared" si="2"/>
        <v>438917305.255</v>
      </c>
      <c r="F34" s="2800" t="s">
        <v>332</v>
      </c>
    </row>
    <row r="35" spans="1:6">
      <c r="A35" s="2239">
        <f t="shared" si="0"/>
        <v>24</v>
      </c>
      <c r="B35" s="2256" t="s">
        <v>2931</v>
      </c>
      <c r="C35" s="2797">
        <v>-2624571373</v>
      </c>
      <c r="D35" s="2798">
        <v>0</v>
      </c>
      <c r="E35" s="2797">
        <f t="shared" si="2"/>
        <v>-2624571373</v>
      </c>
      <c r="F35" s="2651"/>
    </row>
    <row r="36" spans="1:6">
      <c r="A36" s="2239">
        <f t="shared" si="0"/>
        <v>25</v>
      </c>
      <c r="B36" s="2256" t="s">
        <v>2932</v>
      </c>
      <c r="C36" s="2797">
        <v>0</v>
      </c>
      <c r="D36" s="2798">
        <v>0</v>
      </c>
      <c r="E36" s="2797">
        <f t="shared" si="2"/>
        <v>0</v>
      </c>
      <c r="F36" s="2651"/>
    </row>
    <row r="37" spans="1:6">
      <c r="A37" s="2239">
        <f t="shared" si="0"/>
        <v>26</v>
      </c>
      <c r="B37" s="2256" t="s">
        <v>2933</v>
      </c>
      <c r="C37" s="2797">
        <v>276084410</v>
      </c>
      <c r="D37" s="2798">
        <v>0</v>
      </c>
      <c r="E37" s="2797">
        <f t="shared" si="2"/>
        <v>276084410</v>
      </c>
      <c r="F37" s="2651"/>
    </row>
    <row r="38" spans="1:6">
      <c r="A38" s="2239">
        <f t="shared" si="0"/>
        <v>27</v>
      </c>
      <c r="B38" s="2256" t="s">
        <v>2934</v>
      </c>
      <c r="C38" s="2797">
        <v>-131669590</v>
      </c>
      <c r="D38" s="2798">
        <v>0</v>
      </c>
      <c r="E38" s="2797">
        <f t="shared" si="2"/>
        <v>-131669590</v>
      </c>
      <c r="F38" s="2651"/>
    </row>
    <row r="39" spans="1:6">
      <c r="A39" s="2239">
        <f t="shared" si="0"/>
        <v>28</v>
      </c>
      <c r="B39" s="2256" t="s">
        <v>2935</v>
      </c>
      <c r="C39" s="2797">
        <v>-9487641.167897623</v>
      </c>
      <c r="D39" s="2798">
        <v>0</v>
      </c>
      <c r="E39" s="2797">
        <f t="shared" si="2"/>
        <v>-9487641.167897623</v>
      </c>
      <c r="F39" s="2371"/>
    </row>
    <row r="40" spans="1:6">
      <c r="A40" s="2239">
        <f t="shared" si="0"/>
        <v>29</v>
      </c>
      <c r="B40" s="2277" t="s">
        <v>2936</v>
      </c>
      <c r="C40" s="2801">
        <v>23235929</v>
      </c>
      <c r="D40" s="2802">
        <v>0</v>
      </c>
      <c r="E40" s="2801">
        <f t="shared" si="2"/>
        <v>23235929</v>
      </c>
      <c r="F40" s="2371"/>
    </row>
    <row r="41" spans="1:6">
      <c r="A41" s="2239">
        <f t="shared" si="0"/>
        <v>30</v>
      </c>
      <c r="B41" s="2341" t="s">
        <v>2937</v>
      </c>
      <c r="C41" s="2651">
        <v>4076451257.8321023</v>
      </c>
      <c r="D41" s="2805">
        <f>SUM(D29:D40)</f>
        <v>26338952.254999999</v>
      </c>
      <c r="E41" s="2651">
        <f>SUM(E29:E40)</f>
        <v>4102790210.0871024</v>
      </c>
      <c r="F41" s="2651"/>
    </row>
    <row r="42" spans="1:6">
      <c r="A42" s="2239">
        <f t="shared" si="0"/>
        <v>31</v>
      </c>
      <c r="B42" s="2341"/>
      <c r="C42" s="2803"/>
      <c r="D42" s="2804"/>
      <c r="E42" s="2803"/>
      <c r="F42" s="2651"/>
    </row>
    <row r="43" spans="1:6">
      <c r="A43" s="2239">
        <f t="shared" si="0"/>
        <v>32</v>
      </c>
      <c r="B43" s="2321" t="s">
        <v>2938</v>
      </c>
      <c r="C43" s="2797"/>
      <c r="D43" s="2798"/>
      <c r="E43" s="2797"/>
      <c r="F43" s="2651"/>
    </row>
    <row r="44" spans="1:6">
      <c r="A44" s="2239">
        <f t="shared" si="0"/>
        <v>33</v>
      </c>
      <c r="B44" s="2256"/>
      <c r="C44" s="2797"/>
      <c r="D44" s="2798"/>
      <c r="E44" s="2797"/>
      <c r="F44" s="2651"/>
    </row>
    <row r="45" spans="1:6">
      <c r="A45" s="2239">
        <f t="shared" si="0"/>
        <v>34</v>
      </c>
      <c r="B45" s="2806" t="s">
        <v>2939</v>
      </c>
      <c r="C45" s="2797">
        <v>2648893764</v>
      </c>
      <c r="D45" s="2798">
        <v>0</v>
      </c>
      <c r="E45" s="2797">
        <f t="shared" ref="E45:E56" si="3">C45+D45</f>
        <v>2648893764</v>
      </c>
      <c r="F45" s="2651"/>
    </row>
    <row r="46" spans="1:6">
      <c r="A46" s="2239">
        <f t="shared" si="0"/>
        <v>35</v>
      </c>
      <c r="B46" s="2807" t="s">
        <v>2940</v>
      </c>
      <c r="C46" s="2797">
        <v>19962603</v>
      </c>
      <c r="D46" s="2798">
        <f>47312650*44.33%</f>
        <v>20973697.744999997</v>
      </c>
      <c r="E46" s="2797">
        <f t="shared" si="3"/>
        <v>40936300.744999997</v>
      </c>
      <c r="F46" s="2800" t="s">
        <v>332</v>
      </c>
    </row>
    <row r="47" spans="1:6">
      <c r="A47" s="2239">
        <f t="shared" si="0"/>
        <v>36</v>
      </c>
      <c r="B47" s="2808" t="s">
        <v>2941</v>
      </c>
      <c r="C47" s="2797">
        <v>7815443</v>
      </c>
      <c r="D47" s="2798">
        <v>0</v>
      </c>
      <c r="E47" s="2797">
        <f t="shared" si="3"/>
        <v>7815443</v>
      </c>
      <c r="F47" s="2651"/>
    </row>
    <row r="48" spans="1:6">
      <c r="A48" s="2239">
        <f t="shared" si="0"/>
        <v>37</v>
      </c>
      <c r="B48" s="2808" t="s">
        <v>2942</v>
      </c>
      <c r="C48" s="2797">
        <v>-857738071</v>
      </c>
      <c r="D48" s="2798">
        <v>0</v>
      </c>
      <c r="E48" s="2797">
        <f t="shared" si="3"/>
        <v>-857738071</v>
      </c>
      <c r="F48" s="2651"/>
    </row>
    <row r="49" spans="1:6">
      <c r="A49" s="2239">
        <f t="shared" si="0"/>
        <v>38</v>
      </c>
      <c r="B49" s="2808" t="s">
        <v>2943</v>
      </c>
      <c r="C49" s="2797">
        <v>-31779227</v>
      </c>
      <c r="D49" s="2798">
        <v>0</v>
      </c>
      <c r="E49" s="2797">
        <f t="shared" si="3"/>
        <v>-31779227</v>
      </c>
      <c r="F49" s="2651"/>
    </row>
    <row r="50" spans="1:6">
      <c r="A50" s="2239">
        <f t="shared" si="0"/>
        <v>39</v>
      </c>
      <c r="B50" s="2808" t="s">
        <v>2944</v>
      </c>
      <c r="C50" s="2797">
        <v>-8348081</v>
      </c>
      <c r="D50" s="2798">
        <v>0</v>
      </c>
      <c r="E50" s="2797">
        <f t="shared" si="3"/>
        <v>-8348081</v>
      </c>
      <c r="F50" s="2651"/>
    </row>
    <row r="51" spans="1:6">
      <c r="A51" s="2239">
        <f t="shared" si="0"/>
        <v>40</v>
      </c>
      <c r="B51" s="2807" t="s">
        <v>2945</v>
      </c>
      <c r="C51" s="2797">
        <v>-288622372</v>
      </c>
      <c r="D51" s="2798">
        <v>0</v>
      </c>
      <c r="E51" s="2797">
        <f t="shared" si="3"/>
        <v>-288622372</v>
      </c>
      <c r="F51" s="2651"/>
    </row>
    <row r="52" spans="1:6">
      <c r="A52" s="2239">
        <f t="shared" si="0"/>
        <v>41</v>
      </c>
      <c r="B52" s="2807" t="s">
        <v>2946</v>
      </c>
      <c r="C52" s="2797">
        <v>-9255951</v>
      </c>
      <c r="D52" s="2798">
        <v>0</v>
      </c>
      <c r="E52" s="2797">
        <f t="shared" si="3"/>
        <v>-9255951</v>
      </c>
      <c r="F52" s="2651"/>
    </row>
    <row r="53" spans="1:6">
      <c r="A53" s="2239">
        <f t="shared" si="0"/>
        <v>42</v>
      </c>
      <c r="B53" s="2806" t="s">
        <v>2947</v>
      </c>
      <c r="C53" s="2797">
        <v>139017695</v>
      </c>
      <c r="D53" s="2798">
        <v>0</v>
      </c>
      <c r="E53" s="2797">
        <f t="shared" si="3"/>
        <v>139017695</v>
      </c>
      <c r="F53" s="2651"/>
    </row>
    <row r="54" spans="1:6">
      <c r="A54" s="2239">
        <f t="shared" si="0"/>
        <v>43</v>
      </c>
      <c r="B54" s="2806" t="s">
        <v>2948</v>
      </c>
      <c r="C54" s="2797">
        <v>-3907562</v>
      </c>
      <c r="D54" s="2798">
        <v>0</v>
      </c>
      <c r="E54" s="2797">
        <f t="shared" si="3"/>
        <v>-3907562</v>
      </c>
      <c r="F54" s="2371"/>
    </row>
    <row r="55" spans="1:6">
      <c r="A55" s="2239">
        <f t="shared" si="0"/>
        <v>44</v>
      </c>
      <c r="B55" s="2808" t="s">
        <v>2949</v>
      </c>
      <c r="C55" s="2797">
        <v>-66300024</v>
      </c>
      <c r="D55" s="2798"/>
      <c r="E55" s="2797">
        <f t="shared" si="3"/>
        <v>-66300024</v>
      </c>
      <c r="F55" s="2651"/>
    </row>
    <row r="56" spans="1:6">
      <c r="A56" s="2239">
        <f t="shared" si="0"/>
        <v>45</v>
      </c>
      <c r="B56" s="2277" t="s">
        <v>2936</v>
      </c>
      <c r="C56" s="2801">
        <v>18506288.5</v>
      </c>
      <c r="D56" s="2809">
        <v>0</v>
      </c>
      <c r="E56" s="2801">
        <f t="shared" si="3"/>
        <v>18506288.5</v>
      </c>
      <c r="F56" s="2371"/>
    </row>
    <row r="57" spans="1:6">
      <c r="A57" s="2239">
        <f t="shared" si="0"/>
        <v>46</v>
      </c>
      <c r="B57" s="2341" t="s">
        <v>2950</v>
      </c>
      <c r="C57" s="2651">
        <v>1568244505.5</v>
      </c>
      <c r="D57" s="2805">
        <f>SUM(D45:D56)</f>
        <v>20973697.744999997</v>
      </c>
      <c r="E57" s="2651">
        <f>SUM(E45:E56)</f>
        <v>1589218203.2449999</v>
      </c>
      <c r="F57" s="2651"/>
    </row>
    <row r="58" spans="1:6">
      <c r="A58" s="2239">
        <f t="shared" si="0"/>
        <v>47</v>
      </c>
      <c r="B58" s="2256"/>
      <c r="C58" s="2594"/>
      <c r="D58" s="2594"/>
      <c r="E58" s="2594"/>
      <c r="F58" s="2651"/>
    </row>
    <row r="59" spans="1:6">
      <c r="A59" s="2239">
        <f t="shared" si="0"/>
        <v>48</v>
      </c>
      <c r="B59" s="2256" t="s">
        <v>2951</v>
      </c>
      <c r="C59" s="2486">
        <v>5644695763.3321018</v>
      </c>
      <c r="D59" s="2486">
        <f>D57+D41</f>
        <v>47312650</v>
      </c>
      <c r="E59" s="2486">
        <f>C59+D59</f>
        <v>5692008413.3321018</v>
      </c>
      <c r="F59" s="2800" t="s">
        <v>332</v>
      </c>
    </row>
    <row r="60" spans="1:6">
      <c r="A60" s="2239">
        <v>49</v>
      </c>
      <c r="B60" s="2256"/>
      <c r="C60" s="2486"/>
      <c r="D60" s="2486"/>
      <c r="E60" s="2486"/>
      <c r="F60" s="2651"/>
    </row>
    <row r="61" spans="1:6">
      <c r="A61" s="2239">
        <f>A60+1</f>
        <v>50</v>
      </c>
      <c r="B61" s="2321" t="s">
        <v>2952</v>
      </c>
      <c r="C61" s="2486"/>
      <c r="D61" s="2486"/>
      <c r="E61" s="2486"/>
      <c r="F61" s="2651"/>
    </row>
    <row r="62" spans="1:6">
      <c r="A62" s="2239">
        <f t="shared" si="0"/>
        <v>51</v>
      </c>
      <c r="B62" s="2256"/>
      <c r="C62" s="2486"/>
      <c r="D62" s="2486"/>
      <c r="E62" s="2486"/>
      <c r="F62" s="2651"/>
    </row>
    <row r="63" spans="1:6">
      <c r="A63" s="2239">
        <f t="shared" si="0"/>
        <v>52</v>
      </c>
      <c r="B63" s="2341" t="s">
        <v>2953</v>
      </c>
      <c r="C63" s="2797">
        <v>416213955</v>
      </c>
      <c r="D63" s="2805">
        <v>0</v>
      </c>
      <c r="E63" s="2797">
        <f>C63+D63</f>
        <v>416213955</v>
      </c>
      <c r="F63" s="2651"/>
    </row>
    <row r="64" spans="1:6">
      <c r="A64" s="2239">
        <f t="shared" si="0"/>
        <v>53</v>
      </c>
      <c r="B64" s="2341" t="s">
        <v>2954</v>
      </c>
      <c r="C64" s="2797">
        <v>49912986</v>
      </c>
      <c r="D64" s="2805">
        <v>0</v>
      </c>
      <c r="E64" s="2797">
        <f>C64+D64</f>
        <v>49912986</v>
      </c>
      <c r="F64" s="2651"/>
    </row>
    <row r="65" spans="1:6">
      <c r="A65" s="2239">
        <f t="shared" si="0"/>
        <v>54</v>
      </c>
      <c r="B65" s="2341" t="s">
        <v>2955</v>
      </c>
      <c r="C65" s="2797">
        <v>729075</v>
      </c>
      <c r="D65" s="2805">
        <v>0</v>
      </c>
      <c r="E65" s="2797">
        <f>C65+D65</f>
        <v>729075</v>
      </c>
      <c r="F65" s="2651"/>
    </row>
    <row r="66" spans="1:6">
      <c r="A66" s="2239">
        <f t="shared" si="0"/>
        <v>55</v>
      </c>
      <c r="B66" s="2341" t="s">
        <v>2956</v>
      </c>
      <c r="C66" s="2801">
        <v>2152924</v>
      </c>
      <c r="D66" s="2802">
        <v>0</v>
      </c>
      <c r="E66" s="2801">
        <f>C66+D66</f>
        <v>2152924</v>
      </c>
      <c r="F66" s="2651"/>
    </row>
    <row r="67" spans="1:6">
      <c r="A67" s="2239">
        <f t="shared" si="0"/>
        <v>56</v>
      </c>
      <c r="B67" s="2341" t="s">
        <v>2957</v>
      </c>
      <c r="C67" s="2651">
        <v>469008940</v>
      </c>
      <c r="D67" s="2805">
        <f>SUM(D63:D66)</f>
        <v>0</v>
      </c>
      <c r="E67" s="2651">
        <f>SUM(E63:E66)</f>
        <v>469008940</v>
      </c>
      <c r="F67" s="2651"/>
    </row>
    <row r="68" spans="1:6">
      <c r="A68" s="2239">
        <f t="shared" si="0"/>
        <v>57</v>
      </c>
      <c r="B68" s="2256"/>
      <c r="C68" s="2486"/>
      <c r="D68" s="2486"/>
      <c r="E68" s="2486"/>
      <c r="F68" s="2651"/>
    </row>
    <row r="69" spans="1:6">
      <c r="A69" s="2239">
        <f t="shared" si="0"/>
        <v>58</v>
      </c>
      <c r="B69" s="2321" t="s">
        <v>2958</v>
      </c>
      <c r="C69" s="2256"/>
      <c r="D69" s="2278"/>
      <c r="E69" s="2256"/>
      <c r="F69" s="2651"/>
    </row>
    <row r="70" spans="1:6">
      <c r="A70" s="2239">
        <f t="shared" si="0"/>
        <v>59</v>
      </c>
      <c r="B70" s="2331"/>
      <c r="C70" s="2797"/>
      <c r="D70" s="2798"/>
      <c r="E70" s="2797"/>
      <c r="F70" s="2651"/>
    </row>
    <row r="71" spans="1:6">
      <c r="A71" s="2239">
        <f t="shared" si="0"/>
        <v>60</v>
      </c>
      <c r="B71" s="2810" t="s">
        <v>2959</v>
      </c>
      <c r="C71" s="2797">
        <v>-81520475</v>
      </c>
      <c r="D71" s="2805">
        <v>0</v>
      </c>
      <c r="E71" s="2797">
        <f t="shared" ref="E71:E80" si="4">C71+D71</f>
        <v>-81520475</v>
      </c>
      <c r="F71" s="2651"/>
    </row>
    <row r="72" spans="1:6">
      <c r="A72" s="2239">
        <f t="shared" si="0"/>
        <v>61</v>
      </c>
      <c r="B72" s="2341" t="s">
        <v>2960</v>
      </c>
      <c r="C72" s="2797">
        <v>50127428</v>
      </c>
      <c r="D72" s="2805">
        <v>0</v>
      </c>
      <c r="E72" s="2797">
        <f t="shared" si="4"/>
        <v>50127428</v>
      </c>
      <c r="F72" s="2651"/>
    </row>
    <row r="73" spans="1:6">
      <c r="A73" s="2239">
        <f t="shared" si="0"/>
        <v>62</v>
      </c>
      <c r="B73" s="2810" t="s">
        <v>2961</v>
      </c>
      <c r="C73" s="2797">
        <v>80318879</v>
      </c>
      <c r="D73" s="2805">
        <v>0</v>
      </c>
      <c r="E73" s="2797">
        <f t="shared" si="4"/>
        <v>80318879</v>
      </c>
      <c r="F73" s="2651"/>
    </row>
    <row r="74" spans="1:6">
      <c r="A74" s="2239">
        <f t="shared" si="0"/>
        <v>63</v>
      </c>
      <c r="B74" s="2341" t="s">
        <v>2962</v>
      </c>
      <c r="C74" s="2797">
        <v>200268839</v>
      </c>
      <c r="D74" s="2805">
        <v>0</v>
      </c>
      <c r="E74" s="2797">
        <f t="shared" si="4"/>
        <v>200268839</v>
      </c>
      <c r="F74" s="2651"/>
    </row>
    <row r="75" spans="1:6">
      <c r="A75" s="2239">
        <f t="shared" si="0"/>
        <v>64</v>
      </c>
      <c r="B75" s="2341" t="s">
        <v>2963</v>
      </c>
      <c r="C75" s="2797">
        <v>-33934336</v>
      </c>
      <c r="D75" s="2805">
        <v>0</v>
      </c>
      <c r="E75" s="2797">
        <f t="shared" si="4"/>
        <v>-33934336</v>
      </c>
      <c r="F75" s="2651"/>
    </row>
    <row r="76" spans="1:6">
      <c r="A76" s="2239">
        <f t="shared" si="0"/>
        <v>65</v>
      </c>
      <c r="B76" s="2341" t="s">
        <v>2964</v>
      </c>
      <c r="C76" s="2797">
        <v>0</v>
      </c>
      <c r="D76" s="2651">
        <f>1915100+25929</f>
        <v>1941029</v>
      </c>
      <c r="E76" s="2797">
        <f t="shared" si="4"/>
        <v>1941029</v>
      </c>
      <c r="F76" s="2371" t="s">
        <v>331</v>
      </c>
    </row>
    <row r="77" spans="1:6">
      <c r="A77" s="2239">
        <f t="shared" ref="A77:A130" si="5">A76+1</f>
        <v>66</v>
      </c>
      <c r="B77" s="2341" t="s">
        <v>2965</v>
      </c>
      <c r="C77" s="2797">
        <v>-64474449</v>
      </c>
      <c r="D77" s="2805">
        <v>0</v>
      </c>
      <c r="E77" s="2797">
        <f t="shared" si="4"/>
        <v>-64474449</v>
      </c>
      <c r="F77" s="2651"/>
    </row>
    <row r="78" spans="1:6">
      <c r="A78" s="2239">
        <f t="shared" si="5"/>
        <v>67</v>
      </c>
      <c r="B78" s="2341" t="s">
        <v>2966</v>
      </c>
      <c r="C78" s="2797">
        <v>1553</v>
      </c>
      <c r="D78" s="2805">
        <v>0</v>
      </c>
      <c r="E78" s="2797">
        <f t="shared" si="4"/>
        <v>1553</v>
      </c>
      <c r="F78" s="2651"/>
    </row>
    <row r="79" spans="1:6">
      <c r="A79" s="2239">
        <f t="shared" si="5"/>
        <v>68</v>
      </c>
      <c r="B79" s="2811" t="s">
        <v>2967</v>
      </c>
      <c r="C79" s="2797">
        <v>80790.541370000021</v>
      </c>
      <c r="D79" s="2805">
        <v>0</v>
      </c>
      <c r="E79" s="2797">
        <f t="shared" si="4"/>
        <v>80790.541370000021</v>
      </c>
      <c r="F79" s="2651"/>
    </row>
    <row r="80" spans="1:6">
      <c r="A80" s="2239">
        <f t="shared" si="5"/>
        <v>69</v>
      </c>
      <c r="B80" s="2341"/>
      <c r="C80" s="2797">
        <v>0</v>
      </c>
      <c r="D80" s="2805"/>
      <c r="E80" s="2797">
        <f t="shared" si="4"/>
        <v>0</v>
      </c>
      <c r="F80" s="2651"/>
    </row>
    <row r="81" spans="1:6">
      <c r="A81" s="2239">
        <f t="shared" si="5"/>
        <v>70</v>
      </c>
      <c r="B81" s="2341" t="s">
        <v>2968</v>
      </c>
      <c r="C81" s="2803">
        <v>150868229.54137</v>
      </c>
      <c r="D81" s="2804">
        <f>SUM(D71:D80)</f>
        <v>1941029</v>
      </c>
      <c r="E81" s="2803">
        <f>SUM(E71:E80)</f>
        <v>152809258.54137</v>
      </c>
      <c r="F81" s="2651"/>
    </row>
    <row r="82" spans="1:6">
      <c r="A82" s="2239">
        <f t="shared" si="5"/>
        <v>71</v>
      </c>
      <c r="B82" s="2341"/>
      <c r="C82" s="2803"/>
      <c r="D82" s="2804"/>
      <c r="E82" s="2803"/>
      <c r="F82" s="2651"/>
    </row>
    <row r="83" spans="1:6">
      <c r="A83" s="2239">
        <f t="shared" si="5"/>
        <v>72</v>
      </c>
      <c r="B83" s="2341" t="s">
        <v>2969</v>
      </c>
      <c r="C83" s="2797">
        <v>619877169.54137003</v>
      </c>
      <c r="D83" s="2805">
        <f>D67+D81</f>
        <v>1941029</v>
      </c>
      <c r="E83" s="2797">
        <f>C83+D83</f>
        <v>621818198.54137003</v>
      </c>
      <c r="F83" s="2651"/>
    </row>
    <row r="84" spans="1:6">
      <c r="A84" s="2239">
        <f t="shared" si="5"/>
        <v>73</v>
      </c>
      <c r="B84" s="2341"/>
      <c r="C84" s="2803"/>
      <c r="D84" s="2804"/>
      <c r="E84" s="2803"/>
      <c r="F84" s="2651"/>
    </row>
    <row r="85" spans="1:6">
      <c r="A85" s="2239">
        <f t="shared" si="5"/>
        <v>74</v>
      </c>
      <c r="B85" s="2341" t="s">
        <v>2970</v>
      </c>
      <c r="C85" s="2651">
        <v>6264572932.8734732</v>
      </c>
      <c r="D85" s="2486">
        <f>D59+D83</f>
        <v>49253679</v>
      </c>
      <c r="E85" s="2651">
        <f>C85+D85</f>
        <v>6313826611.8734732</v>
      </c>
      <c r="F85" s="2470"/>
    </row>
    <row r="86" spans="1:6">
      <c r="A86" s="2239">
        <f t="shared" si="5"/>
        <v>75</v>
      </c>
      <c r="B86" s="2341" t="s">
        <v>2971</v>
      </c>
      <c r="C86" s="2812"/>
      <c r="D86" s="2813"/>
      <c r="E86" s="2812"/>
      <c r="F86" s="2651"/>
    </row>
    <row r="87" spans="1:6" ht="16.5" thickBot="1">
      <c r="A87" s="2239">
        <f t="shared" si="5"/>
        <v>76</v>
      </c>
      <c r="B87" s="2341" t="s">
        <v>2972</v>
      </c>
      <c r="C87" s="2822">
        <v>291384777.12652725</v>
      </c>
      <c r="D87" s="2821">
        <f>D25-D85</f>
        <v>-49253679</v>
      </c>
      <c r="E87" s="2822">
        <f>C87+D87</f>
        <v>242131098.12652725</v>
      </c>
      <c r="F87" s="2470"/>
    </row>
    <row r="88" spans="1:6" ht="16.5" thickTop="1">
      <c r="A88" s="2239">
        <f t="shared" si="5"/>
        <v>77</v>
      </c>
      <c r="B88" s="2341"/>
      <c r="C88" s="2268"/>
      <c r="D88" s="2486"/>
      <c r="E88" s="2268"/>
      <c r="F88" s="2268"/>
    </row>
    <row r="89" spans="1:6">
      <c r="A89" s="2239">
        <f t="shared" si="5"/>
        <v>78</v>
      </c>
      <c r="B89" s="2341"/>
      <c r="C89" s="2268"/>
      <c r="D89" s="2486"/>
      <c r="E89" s="2268"/>
      <c r="F89" s="2268"/>
    </row>
    <row r="90" spans="1:6">
      <c r="A90" s="2239">
        <f t="shared" si="5"/>
        <v>79</v>
      </c>
      <c r="B90" s="2341"/>
      <c r="C90" s="2651"/>
      <c r="D90" s="2805"/>
      <c r="E90" s="2651"/>
      <c r="F90" s="2651"/>
    </row>
    <row r="91" spans="1:6">
      <c r="A91" s="2239">
        <f t="shared" si="5"/>
        <v>80</v>
      </c>
      <c r="B91" s="2331" t="s">
        <v>2973</v>
      </c>
      <c r="C91" s="2651"/>
      <c r="D91" s="2805"/>
      <c r="E91" s="2651"/>
      <c r="F91" s="2651"/>
    </row>
    <row r="92" spans="1:6">
      <c r="A92" s="2239">
        <f t="shared" si="5"/>
        <v>81</v>
      </c>
      <c r="B92" s="2256" t="s">
        <v>2974</v>
      </c>
      <c r="C92" s="2799">
        <v>6264572932.8734732</v>
      </c>
      <c r="D92" s="2799">
        <f>D85</f>
        <v>49253679</v>
      </c>
      <c r="E92" s="2799">
        <f>C92+D92</f>
        <v>6313826611.8734732</v>
      </c>
      <c r="F92" s="2651"/>
    </row>
    <row r="93" spans="1:6">
      <c r="A93" s="2239">
        <f t="shared" si="5"/>
        <v>82</v>
      </c>
      <c r="B93" s="2256" t="s">
        <v>2975</v>
      </c>
      <c r="C93" s="2797">
        <v>-416213955</v>
      </c>
      <c r="D93" s="2798">
        <f>-D63</f>
        <v>0</v>
      </c>
      <c r="E93" s="2797">
        <f>-E63</f>
        <v>-416213955</v>
      </c>
      <c r="F93" s="2651"/>
    </row>
    <row r="94" spans="1:6">
      <c r="A94" s="2239">
        <f t="shared" si="5"/>
        <v>83</v>
      </c>
      <c r="B94" s="2256" t="s">
        <v>2976</v>
      </c>
      <c r="C94" s="2797">
        <v>-49912986</v>
      </c>
      <c r="D94" s="2798">
        <f>-D64</f>
        <v>0</v>
      </c>
      <c r="E94" s="2797">
        <f>-E64</f>
        <v>-49912986</v>
      </c>
      <c r="F94" s="2651"/>
    </row>
    <row r="95" spans="1:6">
      <c r="A95" s="2239">
        <f t="shared" si="5"/>
        <v>84</v>
      </c>
      <c r="B95" s="2256" t="s">
        <v>2977</v>
      </c>
      <c r="C95" s="2797">
        <v>0</v>
      </c>
      <c r="D95" s="2798"/>
      <c r="E95" s="2797">
        <f>C95+D95</f>
        <v>0</v>
      </c>
      <c r="F95" s="2651"/>
    </row>
    <row r="96" spans="1:6">
      <c r="A96" s="2239">
        <f t="shared" si="5"/>
        <v>85</v>
      </c>
      <c r="B96" s="2256" t="s">
        <v>2978</v>
      </c>
      <c r="C96" s="2797">
        <v>-729075</v>
      </c>
      <c r="D96" s="2798">
        <f>-D65</f>
        <v>0</v>
      </c>
      <c r="E96" s="2797">
        <f>-E65</f>
        <v>-729075</v>
      </c>
      <c r="F96" s="2651"/>
    </row>
    <row r="97" spans="1:6">
      <c r="A97" s="2239">
        <f t="shared" si="5"/>
        <v>86</v>
      </c>
      <c r="B97" s="2256" t="s">
        <v>2979</v>
      </c>
      <c r="C97" s="2801">
        <v>-2152924</v>
      </c>
      <c r="D97" s="2802">
        <f>-D66</f>
        <v>0</v>
      </c>
      <c r="E97" s="2801">
        <f>-E66</f>
        <v>-2152924</v>
      </c>
      <c r="F97" s="2651"/>
    </row>
    <row r="98" spans="1:6">
      <c r="A98" s="2239">
        <f t="shared" si="5"/>
        <v>87</v>
      </c>
      <c r="B98" s="2256" t="s">
        <v>279</v>
      </c>
      <c r="C98" s="2530">
        <v>5795563992.8734732</v>
      </c>
      <c r="D98" s="2278">
        <f>SUM(D92:D97)</f>
        <v>49253679</v>
      </c>
      <c r="E98" s="2530">
        <f>SUM(E92:E97)</f>
        <v>5844817671.8734732</v>
      </c>
      <c r="F98" s="2651"/>
    </row>
    <row r="99" spans="1:6">
      <c r="A99" s="2239">
        <f t="shared" si="5"/>
        <v>88</v>
      </c>
      <c r="B99" s="2256"/>
      <c r="C99" s="2256"/>
      <c r="D99" s="2278"/>
      <c r="E99" s="2256"/>
      <c r="F99" s="2651"/>
    </row>
    <row r="100" spans="1:6">
      <c r="A100" s="2239">
        <f t="shared" si="5"/>
        <v>89</v>
      </c>
      <c r="B100" s="2256" t="s">
        <v>2980</v>
      </c>
      <c r="C100" s="2814">
        <v>5.0277208134502378E-2</v>
      </c>
      <c r="D100" s="2814"/>
      <c r="E100" s="2814">
        <f>E87/E98</f>
        <v>4.1426629831707917E-2</v>
      </c>
      <c r="F100" s="2815"/>
    </row>
    <row r="101" spans="1:6">
      <c r="A101" s="2239">
        <f t="shared" si="5"/>
        <v>90</v>
      </c>
      <c r="B101" s="2256"/>
      <c r="C101" s="2256"/>
      <c r="D101" s="2278"/>
      <c r="E101" s="2256"/>
      <c r="F101" s="2651"/>
    </row>
    <row r="102" spans="1:6">
      <c r="A102" s="2239">
        <f t="shared" si="5"/>
        <v>91</v>
      </c>
      <c r="B102" s="2256" t="s">
        <v>2981</v>
      </c>
      <c r="C102" s="2824">
        <v>204952588.34017864</v>
      </c>
      <c r="D102" s="2823">
        <f>+E102-C102</f>
        <v>-34987817.029745102</v>
      </c>
      <c r="E102" s="2824">
        <f>E41*E100</f>
        <v>169964771.31043354</v>
      </c>
      <c r="F102" s="2651"/>
    </row>
    <row r="103" spans="1:6">
      <c r="A103" s="2239">
        <f t="shared" si="5"/>
        <v>92</v>
      </c>
      <c r="B103" s="2256"/>
      <c r="C103" s="2816"/>
      <c r="D103" s="2817"/>
      <c r="E103" s="2816"/>
      <c r="F103" s="2816"/>
    </row>
    <row r="104" spans="1:6">
      <c r="A104" s="2239">
        <f t="shared" si="5"/>
        <v>93</v>
      </c>
      <c r="B104" s="2277" t="s">
        <v>2982</v>
      </c>
      <c r="C104" s="2470"/>
      <c r="D104" s="2486"/>
      <c r="E104" s="2470"/>
      <c r="F104" s="2470"/>
    </row>
    <row r="105" spans="1:6">
      <c r="A105" s="2239">
        <f t="shared" si="5"/>
        <v>94</v>
      </c>
      <c r="B105" s="2256" t="s">
        <v>2974</v>
      </c>
      <c r="C105" s="2799">
        <v>6264572932.8734732</v>
      </c>
      <c r="D105" s="2650">
        <f>D85</f>
        <v>49253679</v>
      </c>
      <c r="E105" s="2799">
        <f>E92</f>
        <v>6313826611.8734732</v>
      </c>
      <c r="F105" s="2651"/>
    </row>
    <row r="106" spans="1:6">
      <c r="A106" s="2239">
        <f t="shared" si="5"/>
        <v>95</v>
      </c>
      <c r="B106" s="2256" t="s">
        <v>2975</v>
      </c>
      <c r="C106" s="2797">
        <v>-416213955</v>
      </c>
      <c r="D106" s="2486">
        <f>D93</f>
        <v>0</v>
      </c>
      <c r="E106" s="2797">
        <f>E93</f>
        <v>-416213955</v>
      </c>
      <c r="F106" s="2651"/>
    </row>
    <row r="107" spans="1:6">
      <c r="A107" s="2239">
        <f t="shared" si="5"/>
        <v>96</v>
      </c>
      <c r="B107" s="2256" t="s">
        <v>2976</v>
      </c>
      <c r="C107" s="2797">
        <v>-49912986</v>
      </c>
      <c r="D107" s="2486">
        <f>-D64</f>
        <v>0</v>
      </c>
      <c r="E107" s="2797">
        <f>E94</f>
        <v>-49912986</v>
      </c>
      <c r="F107" s="2651"/>
    </row>
    <row r="108" spans="1:6">
      <c r="A108" s="2239">
        <f t="shared" si="5"/>
        <v>97</v>
      </c>
      <c r="B108" s="2256" t="s">
        <v>2977</v>
      </c>
      <c r="C108" s="2797">
        <v>0</v>
      </c>
      <c r="D108" s="2486"/>
      <c r="E108" s="2797">
        <f>C108+D108</f>
        <v>0</v>
      </c>
      <c r="F108" s="2651"/>
    </row>
    <row r="109" spans="1:6">
      <c r="A109" s="2239">
        <f t="shared" si="5"/>
        <v>98</v>
      </c>
      <c r="B109" s="2256" t="s">
        <v>2978</v>
      </c>
      <c r="C109" s="2797">
        <v>-729075</v>
      </c>
      <c r="D109" s="2486">
        <f>D96</f>
        <v>0</v>
      </c>
      <c r="E109" s="2797">
        <f>E96</f>
        <v>-729075</v>
      </c>
      <c r="F109" s="2651"/>
    </row>
    <row r="110" spans="1:6">
      <c r="A110" s="2239">
        <f t="shared" si="5"/>
        <v>99</v>
      </c>
      <c r="B110" s="2256" t="s">
        <v>2979</v>
      </c>
      <c r="C110" s="2801">
        <v>-2152924</v>
      </c>
      <c r="D110" s="2809">
        <f>D97</f>
        <v>0</v>
      </c>
      <c r="E110" s="2801">
        <f>E97</f>
        <v>-2152924</v>
      </c>
      <c r="F110" s="2651"/>
    </row>
    <row r="111" spans="1:6">
      <c r="A111" s="2239">
        <f t="shared" si="5"/>
        <v>100</v>
      </c>
      <c r="B111" s="2256" t="s">
        <v>279</v>
      </c>
      <c r="C111" s="2470">
        <v>5795563992.8734732</v>
      </c>
      <c r="D111" s="2470">
        <f>SUM(D105:D110)</f>
        <v>49253679</v>
      </c>
      <c r="E111" s="2470">
        <f>SUM(E105:E110)</f>
        <v>5844817671.8734732</v>
      </c>
      <c r="F111" s="2470"/>
    </row>
    <row r="112" spans="1:6">
      <c r="A112" s="2239">
        <f t="shared" si="5"/>
        <v>101</v>
      </c>
      <c r="B112" s="2277"/>
      <c r="C112" s="2470"/>
      <c r="D112" s="2486"/>
      <c r="E112" s="2470"/>
      <c r="F112" s="2470"/>
    </row>
    <row r="113" spans="1:6">
      <c r="A113" s="2239">
        <f t="shared" si="5"/>
        <v>102</v>
      </c>
      <c r="B113" s="2256" t="s">
        <v>2983</v>
      </c>
      <c r="C113" s="2818">
        <v>5.0277208134502378E-2</v>
      </c>
      <c r="D113" s="2818"/>
      <c r="E113" s="2818">
        <f>E87/E111</f>
        <v>4.1426629831707917E-2</v>
      </c>
      <c r="F113" s="2815"/>
    </row>
    <row r="114" spans="1:6">
      <c r="A114" s="2239">
        <f t="shared" si="5"/>
        <v>103</v>
      </c>
      <c r="B114" s="2256"/>
      <c r="C114" s="2470"/>
      <c r="D114" s="2486"/>
      <c r="E114" s="2470"/>
      <c r="F114" s="2470"/>
    </row>
    <row r="115" spans="1:6">
      <c r="A115" s="2239">
        <f t="shared" si="5"/>
        <v>104</v>
      </c>
      <c r="B115" s="2256" t="s">
        <v>2984</v>
      </c>
      <c r="C115" s="2823">
        <v>78846955.408813253</v>
      </c>
      <c r="D115" s="2823">
        <f>+E115-C115</f>
        <v>-13011001.181170687</v>
      </c>
      <c r="E115" s="2823">
        <f>E57*E113</f>
        <v>65835954.227642566</v>
      </c>
      <c r="F115" s="2651"/>
    </row>
    <row r="116" spans="1:6">
      <c r="A116" s="2239">
        <f t="shared" si="5"/>
        <v>105</v>
      </c>
      <c r="B116" s="2256"/>
      <c r="C116" s="2799"/>
      <c r="D116" s="2799"/>
      <c r="E116" s="2799"/>
      <c r="F116" s="2341"/>
    </row>
    <row r="117" spans="1:6">
      <c r="A117" s="2239">
        <f t="shared" si="5"/>
        <v>106</v>
      </c>
      <c r="B117" s="2256" t="s">
        <v>2985</v>
      </c>
      <c r="C117" s="2823">
        <v>7585233.3775353581</v>
      </c>
      <c r="D117" s="2823">
        <f>+E117-C117</f>
        <v>-1254860.789084211</v>
      </c>
      <c r="E117" s="2823">
        <f>E87-E102-E115</f>
        <v>6330372.5884511471</v>
      </c>
      <c r="F117" s="2651"/>
    </row>
    <row r="118" spans="1:6">
      <c r="A118" s="2239">
        <f t="shared" si="5"/>
        <v>107</v>
      </c>
      <c r="B118" s="2256"/>
      <c r="C118" s="2256"/>
      <c r="D118" s="2278"/>
      <c r="E118" s="2256"/>
      <c r="F118" s="2341"/>
    </row>
    <row r="119" spans="1:6">
      <c r="A119" s="2239">
        <f t="shared" si="5"/>
        <v>108</v>
      </c>
      <c r="B119" s="2343" t="s">
        <v>2992</v>
      </c>
      <c r="C119" s="2256"/>
      <c r="D119" s="2278"/>
      <c r="E119" s="2256"/>
      <c r="F119" s="2256"/>
    </row>
    <row r="120" spans="1:6">
      <c r="A120" s="2239">
        <f>A119+1</f>
        <v>109</v>
      </c>
      <c r="B120" s="2256" t="s">
        <v>3007</v>
      </c>
      <c r="C120" s="2256"/>
      <c r="D120" s="2278"/>
      <c r="E120" s="2256"/>
      <c r="F120" s="2256"/>
    </row>
    <row r="121" spans="1:6" ht="18.75">
      <c r="A121" s="2239">
        <f t="shared" si="5"/>
        <v>110</v>
      </c>
      <c r="B121" s="2256" t="s">
        <v>3008</v>
      </c>
      <c r="C121" s="2256"/>
      <c r="D121" s="2278"/>
      <c r="E121" s="2256"/>
      <c r="F121" s="2256"/>
    </row>
    <row r="122" spans="1:6">
      <c r="A122" s="2239">
        <f t="shared" si="5"/>
        <v>111</v>
      </c>
      <c r="B122" s="2256"/>
      <c r="C122" s="2256"/>
      <c r="D122" s="2278"/>
      <c r="E122" s="2256"/>
      <c r="F122" s="2256"/>
    </row>
    <row r="123" spans="1:6">
      <c r="A123" s="2239">
        <f t="shared" si="5"/>
        <v>112</v>
      </c>
      <c r="B123" s="2256"/>
      <c r="C123" s="2256"/>
      <c r="D123" s="2278"/>
      <c r="E123" s="2256"/>
      <c r="F123" s="2256"/>
    </row>
    <row r="124" spans="1:6">
      <c r="A124" s="2239">
        <f t="shared" si="5"/>
        <v>113</v>
      </c>
      <c r="B124" s="2792" t="s">
        <v>3006</v>
      </c>
      <c r="C124" s="2256"/>
      <c r="D124" s="2278"/>
      <c r="E124" s="2256"/>
      <c r="F124" s="2256"/>
    </row>
    <row r="125" spans="1:6">
      <c r="A125" s="2239">
        <f t="shared" si="5"/>
        <v>114</v>
      </c>
      <c r="B125" s="2792" t="s">
        <v>2986</v>
      </c>
      <c r="C125" s="2256"/>
      <c r="D125" s="2278"/>
      <c r="E125" s="2256"/>
      <c r="F125" s="2256"/>
    </row>
    <row r="126" spans="1:6">
      <c r="A126" s="2239">
        <f t="shared" si="5"/>
        <v>115</v>
      </c>
      <c r="B126" s="2792" t="s">
        <v>2987</v>
      </c>
      <c r="C126" s="2256"/>
      <c r="D126" s="2278"/>
      <c r="E126" s="2256"/>
      <c r="F126" s="2256"/>
    </row>
    <row r="127" spans="1:6">
      <c r="A127" s="2239">
        <f t="shared" si="5"/>
        <v>116</v>
      </c>
      <c r="B127" s="2792" t="s">
        <v>2988</v>
      </c>
      <c r="C127" s="2256"/>
      <c r="D127" s="2278"/>
      <c r="E127" s="2256"/>
      <c r="F127" s="2256"/>
    </row>
    <row r="128" spans="1:6">
      <c r="A128" s="2239">
        <f t="shared" si="5"/>
        <v>117</v>
      </c>
      <c r="B128" s="2792" t="s">
        <v>2989</v>
      </c>
      <c r="C128" s="2256"/>
      <c r="D128" s="2278"/>
      <c r="E128" s="2256"/>
      <c r="F128" s="2256"/>
    </row>
    <row r="129" spans="1:6">
      <c r="A129" s="2239">
        <f t="shared" si="5"/>
        <v>118</v>
      </c>
      <c r="B129" s="2792" t="s">
        <v>2990</v>
      </c>
      <c r="C129" s="2256"/>
      <c r="D129" s="2278"/>
      <c r="E129" s="2256"/>
      <c r="F129" s="2256"/>
    </row>
    <row r="130" spans="1:6">
      <c r="A130" s="2239">
        <f t="shared" si="5"/>
        <v>119</v>
      </c>
      <c r="B130" s="2256" t="s">
        <v>2991</v>
      </c>
      <c r="C130" s="2256"/>
      <c r="D130" s="2278"/>
      <c r="E130" s="2256"/>
      <c r="F130" s="2256"/>
    </row>
  </sheetData>
  <mergeCells count="4">
    <mergeCell ref="A5:F5"/>
    <mergeCell ref="A6:F6"/>
    <mergeCell ref="A7:F7"/>
    <mergeCell ref="A8:F8"/>
  </mergeCells>
  <printOptions horizontalCentered="1"/>
  <pageMargins left="0.45" right="0.45" top="0.5" bottom="0.5" header="0" footer="0.05"/>
  <pageSetup scale="61" fitToHeight="2" orientation="portrait" r:id="rId1"/>
  <rowBreaks count="1" manualBreakCount="1">
    <brk id="67" max="16383"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pageSetUpPr fitToPage="1"/>
  </sheetPr>
  <dimension ref="A1:N33"/>
  <sheetViews>
    <sheetView zoomScale="90" zoomScaleNormal="90" workbookViewId="0">
      <pane xSplit="1" ySplit="11" topLeftCell="B12" activePane="bottomRight" state="frozen"/>
      <selection activeCell="A2" sqref="A2"/>
      <selection pane="topRight" activeCell="A2" sqref="A2"/>
      <selection pane="bottomLeft" activeCell="A2" sqref="A2"/>
      <selection pane="bottomRight" activeCell="E27" sqref="E27"/>
    </sheetView>
  </sheetViews>
  <sheetFormatPr defaultRowHeight="15.75"/>
  <cols>
    <col min="1" max="1" width="7.5" style="2231" bestFit="1" customWidth="1"/>
    <col min="2" max="2" width="52.1640625" style="2231" customWidth="1"/>
    <col min="3" max="3" width="14.33203125" style="2231" customWidth="1"/>
    <col min="4" max="4" width="3.1640625" style="2231" customWidth="1"/>
    <col min="5" max="5" width="22" style="2231" customWidth="1"/>
    <col min="6" max="6" width="7.5" style="2231" bestFit="1" customWidth="1"/>
    <col min="7" max="7" width="60.5" style="2231" customWidth="1"/>
    <col min="8" max="8" width="17.6640625" style="2231" customWidth="1"/>
    <col min="9" max="9" width="11.5" style="2231" bestFit="1" customWidth="1"/>
    <col min="10" max="10" width="17.1640625" style="2231" customWidth="1"/>
    <col min="11" max="11" width="7.5" style="2231" bestFit="1" customWidth="1"/>
    <col min="12" max="12" width="85.33203125" style="2231" customWidth="1"/>
    <col min="13" max="13" width="9.33203125" style="2231" bestFit="1" customWidth="1"/>
    <col min="14" max="14" width="19.1640625" style="2231" customWidth="1"/>
    <col min="15" max="16384" width="9.33203125" style="2775"/>
  </cols>
  <sheetData>
    <row r="1" spans="1:14" s="2227" customFormat="1" hidden="1">
      <c r="E1" s="2227">
        <f>'Exhibit No._(CTM-2), Pg. 31a-b'!C1+1</f>
        <v>32</v>
      </c>
      <c r="J1" s="2227">
        <f>E1+1</f>
        <v>33</v>
      </c>
      <c r="N1" s="2227">
        <f>J1+1</f>
        <v>34</v>
      </c>
    </row>
    <row r="2" spans="1:14">
      <c r="A2" s="2228"/>
      <c r="B2" s="2229"/>
      <c r="C2" s="2230"/>
      <c r="E2" s="2222" t="s">
        <v>3014</v>
      </c>
      <c r="F2" s="2228"/>
      <c r="H2" s="2232"/>
      <c r="J2" s="2222" t="s">
        <v>3014</v>
      </c>
      <c r="N2" s="2222" t="s">
        <v>3014</v>
      </c>
    </row>
    <row r="3" spans="1:14" ht="16.5" thickBot="1">
      <c r="E3" s="2223" t="str">
        <f>'Exhibit No._(CTM-2), Pg. 2-6'!$L$3</f>
        <v>Dockets UE-111048/UG-111049</v>
      </c>
      <c r="H3" s="2232"/>
      <c r="J3" s="2223" t="str">
        <f>'Exhibit No._(CTM-2), Pg. 2-6'!$L$3</f>
        <v>Dockets UE-111048/UG-111049</v>
      </c>
      <c r="K3" s="2228"/>
      <c r="L3" s="2229"/>
      <c r="N3" s="2223" t="str">
        <f>'Exhibit No._(CTM-2), Pg. 2-6'!$L$3</f>
        <v>Dockets UE-111048/UG-111049</v>
      </c>
    </row>
    <row r="4" spans="1:14" ht="17.25" thickTop="1" thickBot="1">
      <c r="A4" s="2228"/>
      <c r="B4" s="34"/>
      <c r="E4" s="2234" t="str">
        <f>"Page "&amp;E1&amp;" of "&amp;$N$1</f>
        <v>Page 32 of 34</v>
      </c>
      <c r="F4" s="2228"/>
      <c r="G4" s="2228"/>
      <c r="H4" s="2228"/>
      <c r="J4" s="2234" t="str">
        <f>"Page "&amp;J1&amp;" of "&amp;$N$1</f>
        <v>Page 33 of 34</v>
      </c>
      <c r="N4" s="2234" t="str">
        <f>"Page "&amp;N1&amp;" of "&amp;$N$1</f>
        <v>Page 34 of 34</v>
      </c>
    </row>
    <row r="5" spans="1:14" ht="16.5" thickTop="1">
      <c r="A5" s="2235" t="s">
        <v>976</v>
      </c>
      <c r="B5" s="2236"/>
      <c r="C5" s="2237"/>
      <c r="D5" s="2238"/>
      <c r="E5" s="2236"/>
      <c r="F5" s="2235" t="s">
        <v>976</v>
      </c>
      <c r="G5" s="2237"/>
      <c r="H5" s="2237"/>
      <c r="I5" s="2237"/>
      <c r="J5" s="2237"/>
      <c r="K5" s="2235" t="s">
        <v>976</v>
      </c>
      <c r="L5" s="2237"/>
      <c r="M5" s="2237"/>
      <c r="N5" s="2237"/>
    </row>
    <row r="6" spans="1:14">
      <c r="A6" s="2235" t="s">
        <v>979</v>
      </c>
      <c r="B6" s="2236"/>
      <c r="C6" s="2237"/>
      <c r="D6" s="2237"/>
      <c r="E6" s="2236"/>
      <c r="F6" s="2235" t="s">
        <v>148</v>
      </c>
      <c r="G6" s="2237"/>
      <c r="H6" s="2238"/>
      <c r="I6" s="2237"/>
      <c r="J6" s="2237"/>
      <c r="K6" s="2237" t="s">
        <v>22</v>
      </c>
      <c r="L6" s="2237"/>
      <c r="M6" s="2237"/>
      <c r="N6" s="2237"/>
    </row>
    <row r="7" spans="1:14">
      <c r="A7" s="2237" t="s">
        <v>978</v>
      </c>
      <c r="B7" s="2236"/>
      <c r="C7" s="2237"/>
      <c r="D7" s="2237"/>
      <c r="E7" s="2236"/>
      <c r="F7" s="2237" t="s">
        <v>978</v>
      </c>
      <c r="G7" s="2237"/>
      <c r="H7" s="2237"/>
      <c r="I7" s="2237"/>
      <c r="J7" s="2237"/>
      <c r="K7" s="2237" t="s">
        <v>978</v>
      </c>
      <c r="L7" s="2237"/>
      <c r="M7" s="2237"/>
      <c r="N7" s="2237"/>
    </row>
    <row r="8" spans="1:14">
      <c r="A8" s="2235" t="s">
        <v>977</v>
      </c>
      <c r="B8" s="2237"/>
      <c r="C8" s="2237"/>
      <c r="D8" s="2237"/>
      <c r="E8" s="2236"/>
      <c r="F8" s="2235" t="s">
        <v>977</v>
      </c>
      <c r="G8" s="2237"/>
      <c r="H8" s="2237"/>
      <c r="I8" s="2237"/>
      <c r="J8" s="2237"/>
      <c r="K8" s="2235" t="s">
        <v>977</v>
      </c>
      <c r="L8" s="2237"/>
      <c r="M8" s="2237"/>
      <c r="N8" s="2237"/>
    </row>
    <row r="9" spans="1:14">
      <c r="A9" s="2228"/>
      <c r="B9" s="2228"/>
      <c r="C9" s="2228"/>
      <c r="D9" s="2228"/>
      <c r="F9" s="2228"/>
      <c r="G9" s="2228"/>
      <c r="H9" s="2228"/>
      <c r="I9" s="2228"/>
      <c r="J9" s="2228"/>
      <c r="K9" s="2228"/>
      <c r="L9" s="2228"/>
      <c r="M9" s="2228"/>
      <c r="N9" s="2228"/>
    </row>
    <row r="10" spans="1:14">
      <c r="A10" s="34" t="s">
        <v>24</v>
      </c>
      <c r="E10" s="2239" t="s">
        <v>18</v>
      </c>
      <c r="F10" s="2228"/>
      <c r="G10" s="2228"/>
      <c r="H10" s="2228"/>
      <c r="I10" s="2228"/>
      <c r="J10" s="2228"/>
      <c r="K10" s="34" t="s">
        <v>24</v>
      </c>
      <c r="L10" s="2228"/>
      <c r="M10" s="2228"/>
      <c r="N10" s="2228"/>
    </row>
    <row r="11" spans="1:14">
      <c r="A11" s="2240" t="s">
        <v>38</v>
      </c>
      <c r="B11" s="2241" t="s">
        <v>39</v>
      </c>
      <c r="C11" s="2242"/>
      <c r="D11" s="2242"/>
      <c r="E11" s="2243" t="s">
        <v>18</v>
      </c>
      <c r="F11" s="34" t="s">
        <v>24</v>
      </c>
      <c r="G11" s="2228"/>
      <c r="H11" s="34" t="s">
        <v>147</v>
      </c>
      <c r="I11" s="34"/>
      <c r="J11" s="34" t="s">
        <v>93</v>
      </c>
      <c r="K11" s="2240" t="s">
        <v>38</v>
      </c>
      <c r="L11" s="2244" t="s">
        <v>39</v>
      </c>
      <c r="M11" s="2240" t="s">
        <v>56</v>
      </c>
      <c r="N11" s="2240" t="s">
        <v>41</v>
      </c>
    </row>
    <row r="12" spans="1:14">
      <c r="E12" s="2228"/>
      <c r="F12" s="2245" t="s">
        <v>38</v>
      </c>
      <c r="G12" s="2246" t="s">
        <v>39</v>
      </c>
      <c r="H12" s="2245" t="s">
        <v>99</v>
      </c>
      <c r="I12" s="2245" t="s">
        <v>94</v>
      </c>
      <c r="J12" s="2245" t="s">
        <v>95</v>
      </c>
    </row>
    <row r="13" spans="1:14">
      <c r="A13" s="2239">
        <v>1</v>
      </c>
      <c r="B13" s="2231" t="s">
        <v>102</v>
      </c>
      <c r="E13" s="2247">
        <f>'Exhibit No._(CTM-2), Pg. 2-6'!F60</f>
        <v>1620730225.04597</v>
      </c>
      <c r="F13" s="2248"/>
      <c r="G13" s="2248"/>
      <c r="H13" s="2248"/>
      <c r="I13" s="2248"/>
      <c r="J13" s="2248"/>
      <c r="K13" s="2239">
        <v>1</v>
      </c>
      <c r="L13" s="2249" t="s">
        <v>134</v>
      </c>
      <c r="M13" s="2250"/>
      <c r="N13" s="2250">
        <f>ROUND('Exhibit No._(CTM-2), Pg. 10-30'!AS17,6)</f>
        <v>3.4749999999999998E-3</v>
      </c>
    </row>
    <row r="14" spans="1:14">
      <c r="A14" s="2239">
        <f t="shared" ref="A14:A27" si="0">A13+1</f>
        <v>2</v>
      </c>
      <c r="B14" s="2249" t="s">
        <v>16</v>
      </c>
      <c r="E14" s="2251">
        <f>'Exhibit No._(CTM-2), Pg. 32-34'!J18</f>
        <v>7.5899999999999995E-2</v>
      </c>
      <c r="F14" s="2239">
        <v>1</v>
      </c>
      <c r="G14" s="2231" t="s">
        <v>348</v>
      </c>
      <c r="H14" s="2252">
        <v>0.04</v>
      </c>
      <c r="I14" s="2252">
        <v>2.6800000000000001E-2</v>
      </c>
      <c r="J14" s="2253">
        <f>ROUND(H14*I14,4)</f>
        <v>1.1000000000000001E-3</v>
      </c>
      <c r="K14" s="2239">
        <f t="shared" ref="K14:K22" si="1">+K13+1</f>
        <v>2</v>
      </c>
      <c r="L14" s="2231" t="s">
        <v>251</v>
      </c>
      <c r="M14" s="2250"/>
      <c r="N14" s="2250">
        <v>2E-3</v>
      </c>
    </row>
    <row r="15" spans="1:14">
      <c r="A15" s="2239">
        <f t="shared" si="0"/>
        <v>3</v>
      </c>
      <c r="B15" s="2249"/>
      <c r="F15" s="2239">
        <v>2</v>
      </c>
      <c r="G15" s="2231" t="s">
        <v>349</v>
      </c>
      <c r="H15" s="2254">
        <f>100%-H14-H16-H17</f>
        <v>0.49999999999999994</v>
      </c>
      <c r="I15" s="2252">
        <v>6.2199999999999998E-2</v>
      </c>
      <c r="J15" s="2253">
        <f>ROUND(H15*I15,4)</f>
        <v>3.1099999999999999E-2</v>
      </c>
      <c r="K15" s="2239">
        <f t="shared" si="1"/>
        <v>3</v>
      </c>
      <c r="L15" s="2255" t="str">
        <f>"STATE UTILITY TAX ( "&amp;M15*100&amp;"% - ( LINE 1 * "&amp;M15*100&amp;"% )  )"</f>
        <v>STATE UTILITY TAX ( 3.852% - ( LINE 1 * 3.852% )  )</v>
      </c>
      <c r="M15" s="2257">
        <v>3.8519999999999999E-2</v>
      </c>
      <c r="N15" s="2258">
        <f>ROUND(M15-(M15*N13),6)</f>
        <v>3.8386000000000003E-2</v>
      </c>
    </row>
    <row r="16" spans="1:14">
      <c r="A16" s="2239">
        <f t="shared" si="0"/>
        <v>4</v>
      </c>
      <c r="B16" s="2231" t="s">
        <v>160</v>
      </c>
      <c r="E16" s="2259">
        <f>E13*E14</f>
        <v>123013424.08098911</v>
      </c>
      <c r="F16" s="2239">
        <v>3</v>
      </c>
      <c r="G16" s="2231" t="s">
        <v>158</v>
      </c>
      <c r="H16" s="2253">
        <v>0</v>
      </c>
      <c r="I16" s="2253">
        <v>0</v>
      </c>
      <c r="J16" s="2253">
        <f>ROUND(H16*I16,4)</f>
        <v>0</v>
      </c>
      <c r="K16" s="2239">
        <f t="shared" si="1"/>
        <v>4</v>
      </c>
      <c r="M16" s="2250"/>
      <c r="N16" s="2250"/>
    </row>
    <row r="17" spans="1:14">
      <c r="A17" s="2239">
        <f t="shared" si="0"/>
        <v>5</v>
      </c>
      <c r="B17" s="2249"/>
      <c r="E17" s="2259"/>
      <c r="F17" s="2239">
        <v>4</v>
      </c>
      <c r="G17" s="2231" t="s">
        <v>101</v>
      </c>
      <c r="H17" s="2260">
        <v>0.46</v>
      </c>
      <c r="I17" s="2251">
        <v>9.5000000000000001E-2</v>
      </c>
      <c r="J17" s="2253">
        <f>ROUND(H17*I17,4)</f>
        <v>4.3700000000000003E-2</v>
      </c>
      <c r="K17" s="2239">
        <f t="shared" si="1"/>
        <v>5</v>
      </c>
      <c r="L17" s="2255" t="s">
        <v>339</v>
      </c>
      <c r="M17" s="2250"/>
      <c r="N17" s="2250">
        <f>SUM(N13:N16)</f>
        <v>4.3861000000000004E-2</v>
      </c>
    </row>
    <row r="18" spans="1:14">
      <c r="A18" s="2239">
        <f t="shared" si="0"/>
        <v>6</v>
      </c>
      <c r="B18" s="2249" t="s">
        <v>161</v>
      </c>
      <c r="E18" s="3025">
        <f>'Exhibit No._(CTM-2), Pg. 2-6'!H47</f>
        <v>121639052.48801148</v>
      </c>
      <c r="F18" s="2239">
        <v>5</v>
      </c>
      <c r="G18" s="2231" t="s">
        <v>37</v>
      </c>
      <c r="H18" s="2262">
        <f>SUM(H14:H17)</f>
        <v>1</v>
      </c>
      <c r="I18" s="2253"/>
      <c r="J18" s="2262">
        <f>SUM(J14:J17)</f>
        <v>7.5899999999999995E-2</v>
      </c>
      <c r="K18" s="2239">
        <f t="shared" si="1"/>
        <v>6</v>
      </c>
    </row>
    <row r="19" spans="1:14">
      <c r="A19" s="2239">
        <f t="shared" si="0"/>
        <v>7</v>
      </c>
      <c r="B19" s="2249" t="s">
        <v>162</v>
      </c>
      <c r="E19" s="2318">
        <f>+E16-E18</f>
        <v>1374371.5929776281</v>
      </c>
      <c r="F19" s="2239">
        <v>6</v>
      </c>
      <c r="H19" s="2253"/>
      <c r="I19" s="2253"/>
      <c r="J19" s="2253"/>
      <c r="K19" s="2239">
        <f t="shared" si="1"/>
        <v>7</v>
      </c>
      <c r="L19" s="2256" t="s">
        <v>340</v>
      </c>
      <c r="M19" s="2256"/>
      <c r="N19" s="2250">
        <f>ROUND(1-N17,6)</f>
        <v>0.95613899999999996</v>
      </c>
    </row>
    <row r="20" spans="1:14">
      <c r="A20" s="2239">
        <f t="shared" si="0"/>
        <v>8</v>
      </c>
      <c r="E20" s="2259"/>
      <c r="F20" s="2239">
        <v>7</v>
      </c>
      <c r="G20" s="2231" t="s">
        <v>350</v>
      </c>
      <c r="H20" s="2253">
        <f>H14</f>
        <v>0.04</v>
      </c>
      <c r="I20" s="2253">
        <f>I14*0.65</f>
        <v>1.7420000000000001E-2</v>
      </c>
      <c r="J20" s="2253">
        <f>ROUND(J14*0.65,4)</f>
        <v>6.9999999999999999E-4</v>
      </c>
      <c r="K20" s="2239">
        <f t="shared" si="1"/>
        <v>8</v>
      </c>
      <c r="L20" s="2255" t="s">
        <v>341</v>
      </c>
      <c r="M20" s="2263">
        <v>0.35</v>
      </c>
      <c r="N20" s="2250">
        <f>ROUND(N19*M20,6)</f>
        <v>0.33464899999999997</v>
      </c>
    </row>
    <row r="21" spans="1:14">
      <c r="A21" s="2239">
        <f t="shared" si="0"/>
        <v>9</v>
      </c>
      <c r="B21" s="2231" t="s">
        <v>22</v>
      </c>
      <c r="E21" s="2264">
        <f>'Exhibit No._(CTM-2), Pg. 32-34'!N22</f>
        <v>0.62148999999999999</v>
      </c>
      <c r="F21" s="2239">
        <v>8</v>
      </c>
      <c r="G21" s="2231" t="s">
        <v>351</v>
      </c>
      <c r="H21" s="2253">
        <f>H15</f>
        <v>0.49999999999999994</v>
      </c>
      <c r="I21" s="2253">
        <f>I15*0.65</f>
        <v>4.0430000000000001E-2</v>
      </c>
      <c r="J21" s="2253">
        <f>ROUND(J15*0.65,4)</f>
        <v>2.0199999999999999E-2</v>
      </c>
      <c r="K21" s="2239">
        <f t="shared" si="1"/>
        <v>9</v>
      </c>
      <c r="L21" s="2249"/>
      <c r="M21" s="2265"/>
      <c r="N21" s="2266"/>
    </row>
    <row r="22" spans="1:14" ht="16.5" thickBot="1">
      <c r="A22" s="2239">
        <f t="shared" si="0"/>
        <v>10</v>
      </c>
      <c r="C22" s="2267"/>
      <c r="E22" s="2268"/>
      <c r="F22" s="2239">
        <v>9</v>
      </c>
      <c r="G22" s="2231" t="s">
        <v>100</v>
      </c>
      <c r="H22" s="2253">
        <f>H16</f>
        <v>0</v>
      </c>
      <c r="I22" s="2253">
        <f>I16</f>
        <v>0</v>
      </c>
      <c r="J22" s="2253">
        <f>ROUND(H22*I22,4)</f>
        <v>0</v>
      </c>
      <c r="K22" s="2239">
        <f t="shared" si="1"/>
        <v>10</v>
      </c>
      <c r="L22" s="2249" t="s">
        <v>22</v>
      </c>
      <c r="M22" s="2265"/>
      <c r="N22" s="2269">
        <f>N19-N20</f>
        <v>0.62148999999999999</v>
      </c>
    </row>
    <row r="23" spans="1:14" ht="16.5" thickTop="1">
      <c r="A23" s="2239">
        <f t="shared" si="0"/>
        <v>11</v>
      </c>
      <c r="E23" s="2270"/>
      <c r="F23" s="2239">
        <v>10</v>
      </c>
      <c r="G23" s="2231" t="s">
        <v>101</v>
      </c>
      <c r="H23" s="2260">
        <f>H17</f>
        <v>0.46</v>
      </c>
      <c r="I23" s="2251">
        <f>I17</f>
        <v>9.5000000000000001E-2</v>
      </c>
      <c r="J23" s="2253">
        <f>ROUND(H23*I23,4)</f>
        <v>4.3700000000000003E-2</v>
      </c>
      <c r="K23" s="2239"/>
    </row>
    <row r="24" spans="1:14">
      <c r="A24" s="2239">
        <f t="shared" si="0"/>
        <v>12</v>
      </c>
      <c r="B24" s="2271" t="s">
        <v>352</v>
      </c>
      <c r="C24" s="2271"/>
      <c r="E24" s="2318">
        <f>ROUND(+E19/E21,0)</f>
        <v>2211414</v>
      </c>
      <c r="F24" s="2239">
        <v>11</v>
      </c>
      <c r="G24" s="2231" t="s">
        <v>149</v>
      </c>
      <c r="H24" s="2262">
        <f>SUM(H20:H23)</f>
        <v>1</v>
      </c>
      <c r="I24" s="2253"/>
      <c r="J24" s="2262">
        <f>SUM(J20:J23)</f>
        <v>6.4600000000000005E-2</v>
      </c>
      <c r="K24" s="2239"/>
      <c r="N24" s="2272"/>
    </row>
    <row r="25" spans="1:14">
      <c r="A25" s="2239">
        <f t="shared" si="0"/>
        <v>13</v>
      </c>
      <c r="B25" s="2231" t="s">
        <v>2</v>
      </c>
      <c r="E25" s="2259">
        <f>'JKP-10'!N19</f>
        <v>0</v>
      </c>
      <c r="F25" s="2228"/>
      <c r="G25" s="2229"/>
      <c r="H25" s="2230"/>
      <c r="J25" s="2223"/>
      <c r="K25" s="2239"/>
    </row>
    <row r="26" spans="1:14">
      <c r="A26" s="2239">
        <f t="shared" si="0"/>
        <v>14</v>
      </c>
    </row>
    <row r="27" spans="1:14" ht="16.5" thickBot="1">
      <c r="A27" s="2239">
        <f t="shared" si="0"/>
        <v>15</v>
      </c>
      <c r="B27" s="2271" t="s">
        <v>352</v>
      </c>
      <c r="C27" s="2273"/>
      <c r="D27" s="2273"/>
      <c r="E27" s="3026">
        <f>E24-E25</f>
        <v>2211414</v>
      </c>
    </row>
    <row r="28" spans="1:14" ht="16.5" thickTop="1">
      <c r="A28" s="2274"/>
      <c r="B28" s="2275"/>
    </row>
    <row r="29" spans="1:14">
      <c r="B29" s="2275"/>
    </row>
    <row r="30" spans="1:14">
      <c r="B30" s="2275"/>
      <c r="E30" s="2276"/>
    </row>
    <row r="31" spans="1:14">
      <c r="B31" s="2275"/>
    </row>
    <row r="32" spans="1:14">
      <c r="B32" s="2275"/>
    </row>
    <row r="33" spans="2:2">
      <c r="B33" s="2275"/>
    </row>
  </sheetData>
  <phoneticPr fontId="0" type="noConversion"/>
  <conditionalFormatting sqref="K1:N1">
    <cfRule type="cellIs" dxfId="2" priority="3" stopIfTrue="1" operator="notEqual">
      <formula>0</formula>
    </cfRule>
  </conditionalFormatting>
  <printOptions horizontalCentered="1"/>
  <pageMargins left="0.45" right="0.45" top="0.5" bottom="0.5" header="0" footer="0.05"/>
  <pageSetup fitToWidth="0" orientation="portrait" r:id="rId1"/>
  <colBreaks count="2" manualBreakCount="2">
    <brk id="5" max="1048575" man="1"/>
    <brk id="10" max="1048575"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theme="3" tint="0.39997558519241921"/>
    <pageSetUpPr fitToPage="1"/>
  </sheetPr>
  <dimension ref="A1:BS79"/>
  <sheetViews>
    <sheetView zoomScale="88" workbookViewId="0">
      <pane xSplit="4" ySplit="12" topLeftCell="E15" activePane="bottomRight" state="frozen"/>
      <selection activeCell="C45" sqref="C45"/>
      <selection pane="topRight" activeCell="C45" sqref="C45"/>
      <selection pane="bottomLeft" activeCell="C45" sqref="C45"/>
      <selection pane="bottomRight" activeCell="M38" sqref="M38"/>
    </sheetView>
  </sheetViews>
  <sheetFormatPr defaultColWidth="10.6640625" defaultRowHeight="15.75"/>
  <cols>
    <col min="1" max="1" width="5.5" style="2671" customWidth="1"/>
    <col min="2" max="2" width="7.5" style="2671" bestFit="1" customWidth="1"/>
    <col min="3" max="3" width="2" style="2671" customWidth="1"/>
    <col min="4" max="4" width="54.1640625" style="2671" bestFit="1" customWidth="1"/>
    <col min="5" max="6" width="21.1640625" style="2671" bestFit="1" customWidth="1"/>
    <col min="7" max="7" width="20.5" style="2671" bestFit="1" customWidth="1"/>
    <col min="8" max="8" width="19.1640625" style="2671" customWidth="1"/>
    <col min="9" max="9" width="19.6640625" style="2671" customWidth="1"/>
    <col min="10" max="10" width="5.5" style="2671" hidden="1" customWidth="1"/>
    <col min="11" max="11" width="23.5" style="2671" hidden="1" customWidth="1"/>
    <col min="12" max="12" width="21.83203125" style="2671" bestFit="1" customWidth="1"/>
    <col min="13" max="16384" width="10.6640625" style="2671"/>
  </cols>
  <sheetData>
    <row r="1" spans="2:71">
      <c r="I1" s="2222" t="str">
        <f>'Exhibit No._(CTM-2), Pg. 2-6'!L2</f>
        <v>Exhibit No.__ (CTM-2) revised per Bench Request No. 26</v>
      </c>
    </row>
    <row r="2" spans="2:71" ht="16.5" thickBot="1">
      <c r="I2" s="2223" t="str">
        <f>'Exhibit No._(CTM-2), Pg. 2-6'!L3</f>
        <v>Dockets UE-111048/UG-111049</v>
      </c>
    </row>
    <row r="3" spans="2:71" ht="17.25" thickTop="1" thickBot="1">
      <c r="I3" s="2224" t="s">
        <v>612</v>
      </c>
    </row>
    <row r="4" spans="2:71" ht="16.5" thickTop="1">
      <c r="B4" s="2672" t="s">
        <v>976</v>
      </c>
      <c r="C4" s="2673"/>
      <c r="D4" s="2673"/>
      <c r="E4" s="2674"/>
      <c r="F4" s="2674"/>
      <c r="G4" s="2674"/>
      <c r="H4" s="2675"/>
      <c r="I4" s="2673"/>
    </row>
    <row r="5" spans="2:71">
      <c r="B5" s="2672" t="s">
        <v>23</v>
      </c>
      <c r="C5" s="2673"/>
      <c r="D5" s="2673"/>
      <c r="E5" s="2676"/>
      <c r="F5" s="2676"/>
      <c r="G5" s="2676"/>
      <c r="H5" s="2675"/>
      <c r="I5" s="2673"/>
    </row>
    <row r="6" spans="2:71">
      <c r="B6" s="2677" t="s">
        <v>982</v>
      </c>
      <c r="C6" s="2673"/>
      <c r="D6" s="2673"/>
      <c r="E6" s="2673"/>
      <c r="F6" s="2673"/>
      <c r="G6" s="2673"/>
      <c r="H6" s="2675"/>
      <c r="I6" s="2673"/>
    </row>
    <row r="7" spans="2:71">
      <c r="B7" s="2677" t="s">
        <v>612</v>
      </c>
      <c r="C7" s="2677"/>
      <c r="D7" s="2677"/>
      <c r="E7" s="2677"/>
      <c r="F7" s="2677"/>
      <c r="G7" s="2677"/>
      <c r="H7" s="2677"/>
      <c r="I7" s="2673"/>
    </row>
    <row r="8" spans="2:71">
      <c r="B8" s="2678"/>
      <c r="C8" s="2679"/>
      <c r="D8" s="2679"/>
      <c r="E8" s="2679"/>
      <c r="F8" s="2679"/>
      <c r="G8" s="2679"/>
      <c r="H8" s="2679"/>
      <c r="I8" s="2679"/>
      <c r="BS8" s="2671" t="s">
        <v>978</v>
      </c>
    </row>
    <row r="9" spans="2:71">
      <c r="B9" s="2680"/>
      <c r="C9" s="2681"/>
      <c r="D9" s="2681"/>
      <c r="E9" s="2682">
        <v>40543</v>
      </c>
      <c r="F9" s="2683"/>
      <c r="G9" s="2682" t="s">
        <v>510</v>
      </c>
      <c r="H9" s="2683"/>
      <c r="I9" s="2684"/>
    </row>
    <row r="10" spans="2:71">
      <c r="B10" s="2685"/>
      <c r="C10" s="2686"/>
      <c r="D10" s="2686"/>
      <c r="E10" s="2687" t="s">
        <v>197</v>
      </c>
      <c r="F10" s="2688" t="s">
        <v>196</v>
      </c>
      <c r="G10" s="2687" t="s">
        <v>197</v>
      </c>
      <c r="H10" s="2688" t="s">
        <v>196</v>
      </c>
      <c r="I10" s="2689" t="s">
        <v>18</v>
      </c>
    </row>
    <row r="11" spans="2:71">
      <c r="B11" s="2690" t="s">
        <v>24</v>
      </c>
      <c r="C11" s="2691"/>
      <c r="D11" s="2686"/>
      <c r="E11" s="2689" t="s">
        <v>55</v>
      </c>
      <c r="F11" s="2692" t="s">
        <v>198</v>
      </c>
      <c r="G11" s="2689" t="s">
        <v>55</v>
      </c>
      <c r="H11" s="2692" t="s">
        <v>198</v>
      </c>
      <c r="I11" s="2689" t="s">
        <v>18</v>
      </c>
    </row>
    <row r="12" spans="2:71">
      <c r="B12" s="2693" t="s">
        <v>38</v>
      </c>
      <c r="C12" s="2694"/>
      <c r="D12" s="2695"/>
      <c r="E12" s="2696" t="s">
        <v>45</v>
      </c>
      <c r="F12" s="2697">
        <f>'Exhibit No._(CTM-2), Pg. 10-30'!D28</f>
        <v>1089556625</v>
      </c>
      <c r="G12" s="2698" t="s">
        <v>45</v>
      </c>
      <c r="H12" s="2697">
        <v>1090182856</v>
      </c>
      <c r="I12" s="2696" t="s">
        <v>199</v>
      </c>
      <c r="K12" s="2698" t="s">
        <v>975</v>
      </c>
    </row>
    <row r="13" spans="2:71">
      <c r="B13" s="2685"/>
      <c r="C13" s="2686"/>
      <c r="D13" s="2686"/>
      <c r="E13" s="2699"/>
      <c r="F13" s="2686"/>
      <c r="G13" s="2699"/>
      <c r="H13" s="2686"/>
      <c r="I13" s="2684"/>
    </row>
    <row r="14" spans="2:71">
      <c r="B14" s="2700">
        <v>1</v>
      </c>
      <c r="C14" s="2691"/>
      <c r="D14" s="2701" t="s">
        <v>0</v>
      </c>
      <c r="E14" s="2702"/>
      <c r="F14" s="2703"/>
      <c r="G14" s="2704"/>
      <c r="H14" s="2703"/>
      <c r="I14" s="2704"/>
    </row>
    <row r="15" spans="2:71">
      <c r="B15" s="2700">
        <f t="shared" ref="B15:B51" si="0">+B14+1</f>
        <v>2</v>
      </c>
      <c r="C15" s="2691"/>
      <c r="D15" s="2705" t="s">
        <v>1</v>
      </c>
      <c r="E15" s="2706">
        <f>'Exhibit No._(CTM-2), Pg. 2-6'!G16</f>
        <v>0</v>
      </c>
      <c r="F15" s="2707">
        <f>+E15/F$12</f>
        <v>0</v>
      </c>
      <c r="G15" s="2708">
        <v>1069319700.426975</v>
      </c>
      <c r="H15" s="2709">
        <f>+G15/H$12</f>
        <v>0.98086270073116522</v>
      </c>
      <c r="I15" s="2706">
        <f>(H15-F15)*F$12</f>
        <v>1068705453.7970334</v>
      </c>
      <c r="K15" s="2710">
        <f>F15-H15</f>
        <v>-0.98086270073116522</v>
      </c>
      <c r="L15" s="2711"/>
    </row>
    <row r="16" spans="2:71">
      <c r="B16" s="2700">
        <f t="shared" si="0"/>
        <v>3</v>
      </c>
      <c r="C16" s="2691"/>
      <c r="D16" s="2712" t="s">
        <v>66</v>
      </c>
      <c r="E16" s="2713">
        <f>'Exhibit No._(CTM-2), Pg. 2-6'!G17</f>
        <v>0</v>
      </c>
      <c r="F16" s="2714">
        <f>+E16/F$12</f>
        <v>0</v>
      </c>
      <c r="G16" s="2715">
        <v>0</v>
      </c>
      <c r="H16" s="2716">
        <f>+G16/H$12</f>
        <v>0</v>
      </c>
      <c r="I16" s="2717">
        <f>(H16-F16)*F$12</f>
        <v>0</v>
      </c>
      <c r="K16" s="2718">
        <f t="shared" ref="K16:K51" si="1">F16-H16</f>
        <v>0</v>
      </c>
      <c r="L16" s="2711"/>
    </row>
    <row r="17" spans="2:12">
      <c r="B17" s="2700">
        <f t="shared" si="0"/>
        <v>4</v>
      </c>
      <c r="C17" s="2691"/>
      <c r="D17" s="2705" t="s">
        <v>2</v>
      </c>
      <c r="E17" s="2713">
        <f>'Exhibit No._(CTM-2), Pg. 2-6'!G18</f>
        <v>0</v>
      </c>
      <c r="F17" s="2719">
        <f>+E17/F$12</f>
        <v>0</v>
      </c>
      <c r="G17" s="2720">
        <v>15498860.465</v>
      </c>
      <c r="H17" s="2721">
        <f>+G17/H$12</f>
        <v>1.4216753070092307E-2</v>
      </c>
      <c r="I17" s="2713">
        <f>(H17-F17)*F$12</f>
        <v>15489957.493508162</v>
      </c>
      <c r="K17" s="2722">
        <f t="shared" si="1"/>
        <v>-1.4216753070092307E-2</v>
      </c>
      <c r="L17" s="2711"/>
    </row>
    <row r="18" spans="2:12">
      <c r="B18" s="2700">
        <f t="shared" si="0"/>
        <v>5</v>
      </c>
      <c r="C18" s="2691"/>
      <c r="D18" s="2705" t="s">
        <v>3</v>
      </c>
      <c r="E18" s="2723">
        <f>SUM(E15:E17)</f>
        <v>0</v>
      </c>
      <c r="F18" s="2724">
        <f>+E18/F$12</f>
        <v>0</v>
      </c>
      <c r="G18" s="2723">
        <f>SUM(G15:G17)</f>
        <v>1084818560.8919749</v>
      </c>
      <c r="H18" s="2724">
        <f>+G18/H$12</f>
        <v>0.99507945380125751</v>
      </c>
      <c r="I18" s="2725">
        <f>SUM(I15:I17)</f>
        <v>1084195411.2905416</v>
      </c>
      <c r="K18" s="2710">
        <f t="shared" si="1"/>
        <v>-0.99507945380125751</v>
      </c>
      <c r="L18" s="2711"/>
    </row>
    <row r="19" spans="2:12">
      <c r="B19" s="2700">
        <f t="shared" si="0"/>
        <v>6</v>
      </c>
      <c r="C19" s="2691"/>
      <c r="D19" s="2686"/>
      <c r="E19" s="2726"/>
      <c r="F19" s="2727" t="s">
        <v>18</v>
      </c>
      <c r="G19" s="2726"/>
      <c r="H19" s="2728"/>
      <c r="I19" s="2729"/>
      <c r="K19" s="2730"/>
      <c r="L19" s="2711"/>
    </row>
    <row r="20" spans="2:12">
      <c r="B20" s="2700">
        <f t="shared" si="0"/>
        <v>7</v>
      </c>
      <c r="C20" s="2691"/>
      <c r="D20" s="2705" t="s">
        <v>4</v>
      </c>
      <c r="E20" s="2726"/>
      <c r="F20" s="2728"/>
      <c r="G20" s="2726"/>
      <c r="H20" s="2728"/>
      <c r="I20" s="2729"/>
      <c r="K20" s="2702"/>
      <c r="L20" s="2711"/>
    </row>
    <row r="21" spans="2:12">
      <c r="B21" s="2700">
        <f t="shared" si="0"/>
        <v>8</v>
      </c>
      <c r="C21" s="2691"/>
      <c r="D21" s="2686"/>
      <c r="E21" s="2731"/>
      <c r="F21" s="2728"/>
      <c r="G21" s="2731"/>
      <c r="H21" s="2728"/>
      <c r="I21" s="2729"/>
      <c r="K21" s="2702"/>
      <c r="L21" s="2711"/>
    </row>
    <row r="22" spans="2:12">
      <c r="B22" s="2700">
        <f t="shared" si="0"/>
        <v>9</v>
      </c>
      <c r="C22" s="2691"/>
      <c r="D22" s="2701" t="s">
        <v>200</v>
      </c>
      <c r="E22" s="2726"/>
      <c r="F22" s="2728"/>
      <c r="G22" s="2726"/>
      <c r="H22" s="2728"/>
      <c r="I22" s="2729"/>
      <c r="K22" s="2702"/>
      <c r="L22" s="2711"/>
    </row>
    <row r="23" spans="2:12">
      <c r="B23" s="2700">
        <f t="shared" si="0"/>
        <v>10</v>
      </c>
      <c r="C23" s="2691"/>
      <c r="D23" s="2705" t="s">
        <v>201</v>
      </c>
      <c r="E23" s="2706">
        <v>0</v>
      </c>
      <c r="F23" s="2709">
        <f>+E23/F$12</f>
        <v>0</v>
      </c>
      <c r="G23" s="2706"/>
      <c r="H23" s="2709">
        <f>+G23/H$12</f>
        <v>0</v>
      </c>
      <c r="I23" s="2706">
        <f>(F23-H23)*F$12</f>
        <v>0</v>
      </c>
      <c r="K23" s="2732"/>
      <c r="L23" s="2711"/>
    </row>
    <row r="24" spans="2:12">
      <c r="B24" s="2700">
        <f t="shared" si="0"/>
        <v>11</v>
      </c>
      <c r="C24" s="2691"/>
      <c r="D24" s="2705" t="s">
        <v>202</v>
      </c>
      <c r="E24" s="2713">
        <f>'Exhibit No._(CTM-2), Pg. 2-6'!G26</f>
        <v>0</v>
      </c>
      <c r="F24" s="2716">
        <f>+E24/F$12</f>
        <v>0</v>
      </c>
      <c r="G24" s="2713">
        <v>629304267.66749382</v>
      </c>
      <c r="H24" s="2716">
        <f>+G24/H$12</f>
        <v>0.57724652722615721</v>
      </c>
      <c r="I24" s="2713">
        <f>(F24-H24)*F$12</f>
        <v>-628942777.99750245</v>
      </c>
      <c r="K24" s="2718">
        <f t="shared" si="1"/>
        <v>-0.57724652722615721</v>
      </c>
      <c r="L24" s="2711"/>
    </row>
    <row r="25" spans="2:12">
      <c r="B25" s="2700">
        <f t="shared" si="0"/>
        <v>12</v>
      </c>
      <c r="C25" s="2691"/>
      <c r="D25" s="2705" t="s">
        <v>203</v>
      </c>
      <c r="E25" s="2713">
        <v>0</v>
      </c>
      <c r="F25" s="2716">
        <f>+E25/F$12</f>
        <v>0</v>
      </c>
      <c r="G25" s="2713"/>
      <c r="H25" s="2716">
        <f>+G25/H$12</f>
        <v>0</v>
      </c>
      <c r="I25" s="2733">
        <f>(F25-H25)*F$12</f>
        <v>0</v>
      </c>
      <c r="K25" s="2718">
        <f t="shared" si="1"/>
        <v>0</v>
      </c>
      <c r="L25" s="2711"/>
    </row>
    <row r="26" spans="2:12">
      <c r="B26" s="2700">
        <f t="shared" si="0"/>
        <v>13</v>
      </c>
      <c r="C26" s="2691"/>
      <c r="D26" s="2686"/>
      <c r="E26" s="2713">
        <v>0</v>
      </c>
      <c r="F26" s="2721">
        <f>+E26/F$12</f>
        <v>0</v>
      </c>
      <c r="G26" s="2713">
        <v>0</v>
      </c>
      <c r="H26" s="2721">
        <f>+G26/H$12</f>
        <v>0</v>
      </c>
      <c r="I26" s="2734">
        <f>(F26-H26)*F$12</f>
        <v>0</v>
      </c>
      <c r="K26" s="2722">
        <f t="shared" si="1"/>
        <v>0</v>
      </c>
      <c r="L26" s="2711"/>
    </row>
    <row r="27" spans="2:12">
      <c r="B27" s="2700">
        <f t="shared" si="0"/>
        <v>14</v>
      </c>
      <c r="C27" s="2691"/>
      <c r="D27" s="2705" t="s">
        <v>5</v>
      </c>
      <c r="E27" s="2735">
        <f>SUM(E23:E26)</f>
        <v>0</v>
      </c>
      <c r="F27" s="2724">
        <f>+E27/F$12</f>
        <v>0</v>
      </c>
      <c r="G27" s="2735">
        <f>SUM(G23:G26)</f>
        <v>629304267.66749382</v>
      </c>
      <c r="H27" s="2724">
        <f>+G27/H$12</f>
        <v>0.57724652722615721</v>
      </c>
      <c r="I27" s="2735">
        <f>SUM(I23:I26)</f>
        <v>-628942777.99750245</v>
      </c>
      <c r="K27" s="2710">
        <f t="shared" si="1"/>
        <v>-0.57724652722615721</v>
      </c>
      <c r="L27" s="2711"/>
    </row>
    <row r="28" spans="2:12">
      <c r="B28" s="2700">
        <f t="shared" si="0"/>
        <v>15</v>
      </c>
      <c r="C28" s="2691"/>
      <c r="D28" s="2705"/>
      <c r="E28" s="2702"/>
      <c r="F28" s="2736"/>
      <c r="G28" s="2702"/>
      <c r="H28" s="2736"/>
      <c r="I28" s="2737"/>
      <c r="K28" s="2738"/>
      <c r="L28" s="2711"/>
    </row>
    <row r="29" spans="2:12">
      <c r="B29" s="2700">
        <f t="shared" si="0"/>
        <v>16</v>
      </c>
      <c r="C29" s="2691"/>
      <c r="D29" s="2705" t="s">
        <v>90</v>
      </c>
      <c r="E29" s="2706">
        <f>'Exhibit No._(CTM-2), Pg. 2-6'!G30</f>
        <v>0</v>
      </c>
      <c r="F29" s="2709">
        <f t="shared" ref="F29:F45" si="2">+E29/F$12</f>
        <v>0</v>
      </c>
      <c r="G29" s="2706">
        <v>1987784.130933706</v>
      </c>
      <c r="H29" s="2709">
        <f t="shared" ref="H29:H37" si="3">+G29/H$12</f>
        <v>1.8233492849328993E-3</v>
      </c>
      <c r="I29" s="2713">
        <f t="shared" ref="I29:I37" si="4">(F29-H29)*F$12</f>
        <v>-1986642.2930876531</v>
      </c>
      <c r="K29" s="2732">
        <f t="shared" si="1"/>
        <v>-1.8233492849328993E-3</v>
      </c>
      <c r="L29" s="2711"/>
    </row>
    <row r="30" spans="2:12">
      <c r="B30" s="2700">
        <f t="shared" si="0"/>
        <v>17</v>
      </c>
      <c r="C30" s="2691"/>
      <c r="D30" s="2705" t="s">
        <v>6</v>
      </c>
      <c r="E30" s="2713">
        <f>'Exhibit No._(CTM-2), Pg. 2-6'!G31</f>
        <v>0</v>
      </c>
      <c r="F30" s="2716">
        <f t="shared" si="2"/>
        <v>0</v>
      </c>
      <c r="G30" s="2713">
        <v>818645.80122741987</v>
      </c>
      <c r="H30" s="2716">
        <f t="shared" si="3"/>
        <v>7.5092522022509212E-4</v>
      </c>
      <c r="I30" s="2713">
        <f t="shared" si="4"/>
        <v>-818175.54857583309</v>
      </c>
      <c r="K30" s="2718">
        <f t="shared" si="1"/>
        <v>-7.5092522022509212E-4</v>
      </c>
      <c r="L30" s="2711"/>
    </row>
    <row r="31" spans="2:12">
      <c r="B31" s="2700">
        <f t="shared" si="0"/>
        <v>18</v>
      </c>
      <c r="C31" s="2691"/>
      <c r="D31" s="2705" t="s">
        <v>7</v>
      </c>
      <c r="E31" s="2713">
        <f>'Exhibit No._(CTM-2), Pg. 2-6'!G32</f>
        <v>0</v>
      </c>
      <c r="F31" s="2716">
        <f t="shared" si="2"/>
        <v>0</v>
      </c>
      <c r="G31" s="2713">
        <v>49209343.913195275</v>
      </c>
      <c r="H31" s="2716">
        <f t="shared" si="3"/>
        <v>4.5138614721707999E-2</v>
      </c>
      <c r="I31" s="2713">
        <f t="shared" si="4"/>
        <v>-49181076.713359483</v>
      </c>
      <c r="K31" s="2718">
        <f t="shared" si="1"/>
        <v>-4.5138614721707999E-2</v>
      </c>
      <c r="L31" s="2711"/>
    </row>
    <row r="32" spans="2:12">
      <c r="B32" s="2700">
        <f t="shared" si="0"/>
        <v>19</v>
      </c>
      <c r="C32" s="2739"/>
      <c r="D32" s="2740" t="s">
        <v>96</v>
      </c>
      <c r="E32" s="2713">
        <f>'Exhibit No._(CTM-2), Pg. 2-6'!G33</f>
        <v>0</v>
      </c>
      <c r="F32" s="2716">
        <f t="shared" si="2"/>
        <v>0</v>
      </c>
      <c r="G32" s="2713">
        <v>30098013.47262606</v>
      </c>
      <c r="H32" s="2716">
        <f t="shared" si="3"/>
        <v>2.7608224901883853E-2</v>
      </c>
      <c r="I32" s="2713">
        <f t="shared" si="4"/>
        <v>-30080724.346337527</v>
      </c>
      <c r="K32" s="2718">
        <f t="shared" si="1"/>
        <v>-2.7608224901883853E-2</v>
      </c>
      <c r="L32" s="2711"/>
    </row>
    <row r="33" spans="1:12">
      <c r="B33" s="2700">
        <f t="shared" si="0"/>
        <v>20</v>
      </c>
      <c r="C33" s="2691"/>
      <c r="D33" s="2705" t="s">
        <v>8</v>
      </c>
      <c r="E33" s="2713">
        <f>'Exhibit No._(CTM-2), Pg. 2-6'!G34</f>
        <v>0</v>
      </c>
      <c r="F33" s="2716">
        <f t="shared" si="2"/>
        <v>0</v>
      </c>
      <c r="G33" s="2713">
        <v>1242744.5595942228</v>
      </c>
      <c r="H33" s="2716">
        <f t="shared" si="3"/>
        <v>1.1399413894234113E-3</v>
      </c>
      <c r="I33" s="2713">
        <f t="shared" si="4"/>
        <v>-1242030.6929579827</v>
      </c>
      <c r="K33" s="2718">
        <f t="shared" si="1"/>
        <v>-1.1399413894234113E-3</v>
      </c>
      <c r="L33" s="2711"/>
    </row>
    <row r="34" spans="1:12">
      <c r="B34" s="2700">
        <f t="shared" si="0"/>
        <v>21</v>
      </c>
      <c r="C34" s="2691"/>
      <c r="D34" s="2705" t="s">
        <v>9</v>
      </c>
      <c r="E34" s="2713">
        <f>'Exhibit No._(CTM-2), Pg. 2-6'!G35</f>
        <v>0</v>
      </c>
      <c r="F34" s="2716">
        <f t="shared" si="2"/>
        <v>0</v>
      </c>
      <c r="G34" s="2713">
        <v>-1.0058283805847168E-7</v>
      </c>
      <c r="H34" s="2716">
        <f t="shared" si="3"/>
        <v>-9.226235535157937E-17</v>
      </c>
      <c r="I34" s="2713">
        <f t="shared" si="4"/>
        <v>1.005250605114175E-7</v>
      </c>
      <c r="K34" s="2718">
        <f t="shared" si="1"/>
        <v>9.226235535157937E-17</v>
      </c>
      <c r="L34" s="2711"/>
    </row>
    <row r="35" spans="1:12">
      <c r="B35" s="2700">
        <f t="shared" si="0"/>
        <v>22</v>
      </c>
      <c r="C35" s="2691"/>
      <c r="D35" s="2705" t="s">
        <v>10</v>
      </c>
      <c r="E35" s="2713">
        <f>'Exhibit No._(CTM-2), Pg. 2-6'!G36</f>
        <v>0</v>
      </c>
      <c r="F35" s="2716">
        <f t="shared" si="2"/>
        <v>0</v>
      </c>
      <c r="G35" s="2713">
        <v>44646847.446448237</v>
      </c>
      <c r="H35" s="2716">
        <f t="shared" si="3"/>
        <v>4.0953540225593346E-2</v>
      </c>
      <c r="I35" s="2713">
        <f t="shared" si="4"/>
        <v>-44621201.069999225</v>
      </c>
      <c r="K35" s="2718">
        <f t="shared" si="1"/>
        <v>-4.0953540225593346E-2</v>
      </c>
      <c r="L35" s="2711"/>
    </row>
    <row r="36" spans="1:12">
      <c r="B36" s="2700">
        <f t="shared" si="0"/>
        <v>23</v>
      </c>
      <c r="C36" s="2691"/>
      <c r="D36" s="2705" t="s">
        <v>98</v>
      </c>
      <c r="E36" s="2713">
        <f>'Exhibit No._(CTM-2), Pg. 2-6'!G39</f>
        <v>0</v>
      </c>
      <c r="F36" s="2716">
        <f t="shared" si="2"/>
        <v>0</v>
      </c>
      <c r="G36" s="2713">
        <v>0</v>
      </c>
      <c r="H36" s="2716">
        <f t="shared" si="3"/>
        <v>0</v>
      </c>
      <c r="I36" s="2713">
        <f t="shared" si="4"/>
        <v>0</v>
      </c>
      <c r="K36" s="2718">
        <f t="shared" si="1"/>
        <v>0</v>
      </c>
      <c r="L36" s="2711"/>
    </row>
    <row r="37" spans="1:12">
      <c r="B37" s="2700">
        <f t="shared" si="0"/>
        <v>24</v>
      </c>
      <c r="C37" s="2691"/>
      <c r="D37" s="2705" t="s">
        <v>11</v>
      </c>
      <c r="E37" s="2713">
        <f>'Exhibit No._(CTM-2), Pg. 2-6'!G40</f>
        <v>0</v>
      </c>
      <c r="F37" s="2716">
        <f t="shared" si="2"/>
        <v>0</v>
      </c>
      <c r="G37" s="2713">
        <v>-150140.93999999977</v>
      </c>
      <c r="H37" s="2716">
        <f t="shared" si="3"/>
        <v>-1.3772087790013803E-4</v>
      </c>
      <c r="I37" s="2713">
        <f t="shared" si="4"/>
        <v>150054.69491691148</v>
      </c>
      <c r="K37" s="2718">
        <f t="shared" si="1"/>
        <v>1.3772087790013803E-4</v>
      </c>
      <c r="L37" s="2711"/>
    </row>
    <row r="38" spans="1:12">
      <c r="A38" s="2741"/>
      <c r="B38" s="2742">
        <f t="shared" si="0"/>
        <v>25</v>
      </c>
      <c r="C38" s="2743"/>
      <c r="D38" s="2744" t="s">
        <v>450</v>
      </c>
      <c r="E38" s="2745">
        <f>'Exhibit No._(CTM-2), Pg. 2-6'!$AN$41</f>
        <v>0</v>
      </c>
      <c r="F38" s="2746">
        <f>+E38/F$12</f>
        <v>0</v>
      </c>
      <c r="G38" s="2745">
        <v>-5398131.4844239997</v>
      </c>
      <c r="H38" s="2747">
        <f>+G38/H$12</f>
        <v>-4.951583539141621E-3</v>
      </c>
      <c r="I38" s="2745">
        <f>(F38-H38)*F$12</f>
        <v>5395030.6493127001</v>
      </c>
      <c r="J38" s="2748"/>
      <c r="K38" s="2749">
        <f t="shared" si="1"/>
        <v>4.951583539141621E-3</v>
      </c>
      <c r="L38" s="2711"/>
    </row>
    <row r="39" spans="1:12">
      <c r="B39" s="2700">
        <f t="shared" si="0"/>
        <v>26</v>
      </c>
      <c r="C39" s="2691"/>
      <c r="D39" s="2705" t="s">
        <v>204</v>
      </c>
      <c r="E39" s="2713">
        <f>SUM(E29:E38)</f>
        <v>0</v>
      </c>
      <c r="F39" s="2716">
        <f t="shared" si="2"/>
        <v>0</v>
      </c>
      <c r="G39" s="2713">
        <f>SUM(G29:G38)</f>
        <v>122455106.89960083</v>
      </c>
      <c r="H39" s="2716">
        <f t="shared" ref="H39:H45" si="5">+G39/H$12</f>
        <v>0.11232529132672477</v>
      </c>
      <c r="I39" s="2713">
        <f t="shared" ref="I39:I44" si="6">(F39-H39)*F$12</f>
        <v>-122384765.32008801</v>
      </c>
      <c r="K39" s="2718">
        <f t="shared" si="1"/>
        <v>-0.11232529132672477</v>
      </c>
      <c r="L39" s="2711"/>
    </row>
    <row r="40" spans="1:12">
      <c r="B40" s="2700">
        <f t="shared" si="0"/>
        <v>27</v>
      </c>
      <c r="C40" s="2691"/>
      <c r="D40" s="2705" t="s">
        <v>154</v>
      </c>
      <c r="E40" s="2713">
        <f>'Exhibit No._(CTM-2), Pg. 2-6'!G37</f>
        <v>0</v>
      </c>
      <c r="F40" s="2716">
        <f t="shared" si="2"/>
        <v>0</v>
      </c>
      <c r="G40" s="2713">
        <v>92000675.387457088</v>
      </c>
      <c r="H40" s="2716">
        <f t="shared" si="5"/>
        <v>8.4390132243518864E-2</v>
      </c>
      <c r="I40" s="2713">
        <f t="shared" si="6"/>
        <v>-91947827.67055209</v>
      </c>
      <c r="K40" s="2718">
        <f t="shared" si="1"/>
        <v>-8.4390132243518864E-2</v>
      </c>
      <c r="L40" s="2711"/>
    </row>
    <row r="41" spans="1:12">
      <c r="B41" s="2700">
        <f t="shared" si="0"/>
        <v>28</v>
      </c>
      <c r="C41" s="2691"/>
      <c r="D41" s="2705" t="s">
        <v>46</v>
      </c>
      <c r="E41" s="2713">
        <f>'Exhibit No._(CTM-2), Pg. 2-6'!G38</f>
        <v>0</v>
      </c>
      <c r="F41" s="2716">
        <f t="shared" si="2"/>
        <v>0</v>
      </c>
      <c r="G41" s="2713">
        <v>15432434.761570001</v>
      </c>
      <c r="H41" s="2716">
        <f t="shared" si="5"/>
        <v>1.4155822279386497E-2</v>
      </c>
      <c r="I41" s="2713">
        <f t="shared" si="6"/>
        <v>-15423569.946828159</v>
      </c>
      <c r="K41" s="2718">
        <f t="shared" si="1"/>
        <v>-1.4155822279386497E-2</v>
      </c>
      <c r="L41" s="2711"/>
    </row>
    <row r="42" spans="1:12">
      <c r="B42" s="2700">
        <f t="shared" si="0"/>
        <v>29</v>
      </c>
      <c r="C42" s="2691"/>
      <c r="D42" s="2705" t="s">
        <v>205</v>
      </c>
      <c r="E42" s="2713">
        <f>'Exhibit No._(CTM-2), Pg. 2-6'!G42</f>
        <v>0</v>
      </c>
      <c r="F42" s="2714">
        <f t="shared" si="2"/>
        <v>0</v>
      </c>
      <c r="G42" s="2715">
        <v>57079567.118803583</v>
      </c>
      <c r="H42" s="2716">
        <f t="shared" si="5"/>
        <v>5.2357791910464226E-2</v>
      </c>
      <c r="I42" s="2713">
        <f t="shared" si="6"/>
        <v>-57046779.046417706</v>
      </c>
      <c r="K42" s="2718">
        <f t="shared" si="1"/>
        <v>-5.2357791910464226E-2</v>
      </c>
      <c r="L42" s="2711"/>
    </row>
    <row r="43" spans="1:12">
      <c r="B43" s="2700">
        <f t="shared" si="0"/>
        <v>30</v>
      </c>
      <c r="C43" s="2691"/>
      <c r="D43" s="2705" t="s">
        <v>193</v>
      </c>
      <c r="E43" s="2713">
        <f>'Exhibit No._(CTM-2), Pg. 2-6'!G43</f>
        <v>3987111.3603560142</v>
      </c>
      <c r="F43" s="2716">
        <f t="shared" si="2"/>
        <v>3.6593888457665193E-3</v>
      </c>
      <c r="G43" s="2713">
        <v>17006472.744521156</v>
      </c>
      <c r="H43" s="2716">
        <f t="shared" si="5"/>
        <v>1.5599651609748993E-2</v>
      </c>
      <c r="I43" s="2713">
        <f t="shared" si="6"/>
        <v>-13009592.398737917</v>
      </c>
      <c r="K43" s="2718">
        <f t="shared" si="1"/>
        <v>-1.1940262763982475E-2</v>
      </c>
      <c r="L43" s="2711"/>
    </row>
    <row r="44" spans="1:12">
      <c r="B44" s="2700">
        <f t="shared" si="0"/>
        <v>31</v>
      </c>
      <c r="C44" s="2691"/>
      <c r="D44" s="2686" t="s">
        <v>12</v>
      </c>
      <c r="E44" s="2750">
        <f>'Exhibit No._(CTM-2), Pg. 2-6'!G44</f>
        <v>-3987111.3603560142</v>
      </c>
      <c r="F44" s="2721">
        <f t="shared" si="2"/>
        <v>-3.6593888457665193E-3</v>
      </c>
      <c r="G44" s="2750">
        <v>20661437.480400003</v>
      </c>
      <c r="H44" s="2721">
        <f t="shared" si="5"/>
        <v>1.8952267839001866E-2</v>
      </c>
      <c r="I44" s="2750">
        <f t="shared" si="6"/>
        <v>-24636680.343114931</v>
      </c>
      <c r="K44" s="2722">
        <f t="shared" si="1"/>
        <v>-2.2611656684768385E-2</v>
      </c>
      <c r="L44" s="2711"/>
    </row>
    <row r="45" spans="1:12">
      <c r="B45" s="2700">
        <f t="shared" si="0"/>
        <v>32</v>
      </c>
      <c r="C45" s="2691"/>
      <c r="D45" s="2705" t="s">
        <v>13</v>
      </c>
      <c r="E45" s="2735">
        <f>SUM(E39:E44)+E27</f>
        <v>0</v>
      </c>
      <c r="F45" s="2724">
        <f t="shared" si="2"/>
        <v>0</v>
      </c>
      <c r="G45" s="2735">
        <f>SUM(G39:G44)+G27</f>
        <v>953939962.05984652</v>
      </c>
      <c r="H45" s="2724">
        <f t="shared" si="5"/>
        <v>0.87502748443500245</v>
      </c>
      <c r="I45" s="2735">
        <f>SUM(I39:I44)+I27</f>
        <v>-953391992.72324121</v>
      </c>
      <c r="K45" s="2710">
        <f t="shared" si="1"/>
        <v>-0.87502748443500245</v>
      </c>
      <c r="L45" s="2711"/>
    </row>
    <row r="46" spans="1:12">
      <c r="B46" s="2700">
        <f t="shared" si="0"/>
        <v>33</v>
      </c>
      <c r="C46" s="2691"/>
      <c r="D46" s="2686"/>
      <c r="E46" s="2738"/>
      <c r="F46" s="2736"/>
      <c r="G46" s="2738"/>
      <c r="H46" s="2736"/>
      <c r="I46" s="2737"/>
      <c r="K46" s="2738"/>
      <c r="L46" s="2711"/>
    </row>
    <row r="47" spans="1:12">
      <c r="B47" s="2700">
        <f t="shared" si="0"/>
        <v>34</v>
      </c>
      <c r="C47" s="2691"/>
      <c r="D47" s="2686" t="s">
        <v>14</v>
      </c>
      <c r="E47" s="2706">
        <f>E18-E45</f>
        <v>0</v>
      </c>
      <c r="F47" s="2751">
        <f>+E47/F$12</f>
        <v>0</v>
      </c>
      <c r="G47" s="2706">
        <f>G18-G45</f>
        <v>130878598.83212841</v>
      </c>
      <c r="H47" s="2751">
        <f>+G47/H$12</f>
        <v>0.12005196936625502</v>
      </c>
      <c r="I47" s="2706">
        <f>I18+I45</f>
        <v>130803418.56730044</v>
      </c>
      <c r="K47" s="2732">
        <f t="shared" si="1"/>
        <v>-0.12005196936625502</v>
      </c>
      <c r="L47" s="2711"/>
    </row>
    <row r="48" spans="1:12">
      <c r="B48" s="2700">
        <f t="shared" si="0"/>
        <v>35</v>
      </c>
      <c r="C48" s="2691"/>
      <c r="D48" s="2705"/>
      <c r="E48" s="2752"/>
      <c r="F48" s="2753"/>
      <c r="G48" s="2752"/>
      <c r="H48" s="2753"/>
      <c r="I48" s="2699"/>
      <c r="K48" s="2752"/>
      <c r="L48" s="2711"/>
    </row>
    <row r="49" spans="2:12">
      <c r="B49" s="2700">
        <f t="shared" si="0"/>
        <v>36</v>
      </c>
      <c r="C49" s="2691"/>
      <c r="D49" s="2686" t="s">
        <v>102</v>
      </c>
      <c r="E49" s="2738">
        <f>'Exhibit No._(CTM-2), Pg. 2-6'!$AN$49</f>
        <v>1620730225.04597</v>
      </c>
      <c r="F49" s="2751">
        <f>+E49/F$12</f>
        <v>1.4875135333567173</v>
      </c>
      <c r="G49" s="2738">
        <v>1615785170.9146698</v>
      </c>
      <c r="H49" s="2751">
        <f>+G49/H$12</f>
        <v>1.4821230787311792</v>
      </c>
      <c r="I49" s="2754"/>
      <c r="K49" s="2732">
        <f t="shared" si="1"/>
        <v>5.3904546255381103E-3</v>
      </c>
      <c r="L49" s="2711"/>
    </row>
    <row r="50" spans="2:12">
      <c r="B50" s="2700">
        <f t="shared" si="0"/>
        <v>37</v>
      </c>
      <c r="C50" s="2691"/>
      <c r="D50" s="2686" t="s">
        <v>16</v>
      </c>
      <c r="E50" s="2755">
        <f>'Exhibit No._(CTM-2), Pg. 32-34'!$J$18</f>
        <v>7.5899999999999995E-2</v>
      </c>
      <c r="F50" s="2756"/>
      <c r="G50" s="2755">
        <v>8.1000000000000003E-2</v>
      </c>
      <c r="H50" s="2756"/>
      <c r="I50" s="2757" t="s">
        <v>18</v>
      </c>
      <c r="K50" s="2758"/>
      <c r="L50" s="2711"/>
    </row>
    <row r="51" spans="2:12">
      <c r="B51" s="2700">
        <f t="shared" si="0"/>
        <v>38</v>
      </c>
      <c r="C51" s="2691"/>
      <c r="D51" s="2686" t="s">
        <v>206</v>
      </c>
      <c r="E51" s="2759">
        <f>+E50*E49+2</f>
        <v>123013426.08098911</v>
      </c>
      <c r="F51" s="2751">
        <f>+E51/F$12</f>
        <v>0.11290227901738389</v>
      </c>
      <c r="G51" s="2759">
        <f>+G50*G49</f>
        <v>130878598.84408826</v>
      </c>
      <c r="H51" s="2751">
        <f>+G51/H$12</f>
        <v>0.12005196937722552</v>
      </c>
      <c r="I51" s="2750">
        <f>(F51-H51)*F12</f>
        <v>-7789992.4982640808</v>
      </c>
      <c r="K51" s="2732">
        <f t="shared" si="1"/>
        <v>-7.1496903598416289E-3</v>
      </c>
      <c r="L51" s="2711"/>
    </row>
    <row r="52" spans="2:12">
      <c r="B52" s="2760">
        <f>B51+1</f>
        <v>39</v>
      </c>
      <c r="C52" s="2695"/>
      <c r="D52" s="2695" t="s">
        <v>207</v>
      </c>
      <c r="E52" s="2761">
        <f>E51-E47</f>
        <v>123013426.08098911</v>
      </c>
      <c r="F52" s="2695"/>
      <c r="G52" s="2761">
        <f>G47-G51</f>
        <v>-1.1959850788116455E-2</v>
      </c>
      <c r="H52" s="2695"/>
      <c r="I52" s="2761">
        <f>+I47+I51</f>
        <v>123013426.06903636</v>
      </c>
      <c r="K52" s="2762"/>
      <c r="L52" s="2711"/>
    </row>
    <row r="53" spans="2:12">
      <c r="B53" s="2686"/>
      <c r="C53" s="2686"/>
      <c r="D53" s="2686"/>
      <c r="E53" s="2763"/>
      <c r="F53" s="2709"/>
      <c r="G53" s="2763"/>
      <c r="H53" s="2709"/>
      <c r="I53" s="2736"/>
    </row>
    <row r="54" spans="2:12">
      <c r="B54" s="2469"/>
      <c r="E54" s="2764"/>
      <c r="G54" s="2765"/>
      <c r="H54" s="2766"/>
      <c r="I54" s="2767"/>
    </row>
    <row r="55" spans="2:12">
      <c r="E55" s="2768"/>
      <c r="F55" s="2768"/>
      <c r="G55" s="2765"/>
      <c r="H55" s="2769"/>
    </row>
    <row r="56" spans="2:12">
      <c r="G56" s="2765"/>
      <c r="H56" s="2766"/>
      <c r="I56" s="2770"/>
    </row>
    <row r="57" spans="2:12">
      <c r="E57" s="2771"/>
      <c r="G57" s="2771"/>
      <c r="H57" s="2766"/>
      <c r="I57" s="2711"/>
      <c r="K57" s="2765"/>
    </row>
    <row r="58" spans="2:12">
      <c r="E58" s="2772"/>
      <c r="G58" s="2765"/>
      <c r="H58" s="2766"/>
      <c r="I58" s="2711"/>
      <c r="K58" s="2773"/>
    </row>
    <row r="59" spans="2:12">
      <c r="E59" s="2771"/>
      <c r="G59" s="2771"/>
      <c r="H59" s="2766"/>
      <c r="I59" s="2711"/>
    </row>
    <row r="60" spans="2:12">
      <c r="H60" s="2766"/>
      <c r="K60" s="2765"/>
    </row>
    <row r="61" spans="2:12">
      <c r="G61" s="2765"/>
      <c r="H61" s="2766"/>
    </row>
    <row r="62" spans="2:12">
      <c r="G62" s="2765"/>
      <c r="H62" s="2766"/>
    </row>
    <row r="63" spans="2:12">
      <c r="G63" s="2233"/>
      <c r="H63" s="2233"/>
      <c r="I63" s="2765"/>
    </row>
    <row r="64" spans="2:12">
      <c r="G64" s="2765"/>
    </row>
    <row r="65" spans="9:9">
      <c r="I65" s="2771"/>
    </row>
    <row r="66" spans="9:9">
      <c r="I66" s="2774"/>
    </row>
    <row r="67" spans="9:9">
      <c r="I67" s="2765"/>
    </row>
    <row r="69" spans="9:9">
      <c r="I69" s="2767"/>
    </row>
    <row r="71" spans="9:9">
      <c r="I71" s="2765"/>
    </row>
    <row r="73" spans="9:9">
      <c r="I73" s="2773"/>
    </row>
    <row r="74" spans="9:9">
      <c r="I74" s="2773"/>
    </row>
    <row r="75" spans="9:9">
      <c r="I75" s="2773"/>
    </row>
    <row r="77" spans="9:9">
      <c r="I77" s="2765"/>
    </row>
    <row r="79" spans="9:9">
      <c r="I79" s="2765"/>
    </row>
  </sheetData>
  <phoneticPr fontId="0" type="noConversion"/>
  <conditionalFormatting sqref="K15:K51">
    <cfRule type="colorScale" priority="1">
      <colorScale>
        <cfvo type="min"/>
        <cfvo type="percentile" val="50"/>
        <cfvo type="max"/>
        <color rgb="FF63BE7B"/>
        <color rgb="FFFFEB84"/>
        <color rgb="FFF8696B"/>
      </colorScale>
    </cfRule>
  </conditionalFormatting>
  <printOptions horizontalCentered="1"/>
  <pageMargins left="0.63" right="0.5" top="0.5" bottom="0.5" header="0.25" footer="0.25"/>
  <pageSetup scale="72"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39997558519241921"/>
  </sheetPr>
  <dimension ref="A1:BS41"/>
  <sheetViews>
    <sheetView workbookViewId="0">
      <pane xSplit="3" ySplit="10" topLeftCell="K11" activePane="bottomRight" state="frozen"/>
      <selection activeCell="C45" sqref="C45"/>
      <selection pane="topRight" activeCell="C45" sqref="C45"/>
      <selection pane="bottomLeft" activeCell="C45" sqref="C45"/>
      <selection pane="bottomRight" activeCell="E34" sqref="E34"/>
    </sheetView>
  </sheetViews>
  <sheetFormatPr defaultRowHeight="12.75"/>
  <cols>
    <col min="1" max="1" width="2.83203125" style="58" customWidth="1"/>
    <col min="2" max="2" width="5.1640625" style="58" customWidth="1"/>
    <col min="3" max="3" width="45.6640625" style="58" customWidth="1"/>
    <col min="4" max="4" width="17.5" style="69" bestFit="1" customWidth="1"/>
    <col min="5" max="5" width="15" style="58" bestFit="1" customWidth="1"/>
    <col min="6" max="6" width="15.5" style="58" bestFit="1" customWidth="1"/>
    <col min="7" max="7" width="15" style="58" bestFit="1" customWidth="1"/>
    <col min="8" max="8" width="13.83203125" style="58" bestFit="1" customWidth="1"/>
    <col min="9" max="9" width="14.1640625" style="58" bestFit="1" customWidth="1"/>
    <col min="10" max="10" width="14.33203125" style="58" bestFit="1" customWidth="1"/>
    <col min="11" max="11" width="15.6640625" style="58" bestFit="1" customWidth="1"/>
    <col min="12" max="12" width="15.1640625" style="69" bestFit="1" customWidth="1"/>
    <col min="13" max="13" width="15.1640625" style="69" customWidth="1"/>
    <col min="14" max="15" width="15" style="58" bestFit="1" customWidth="1"/>
    <col min="16" max="16" width="14.33203125" style="58" bestFit="1" customWidth="1"/>
    <col min="17" max="17" width="13.83203125" style="69" bestFit="1" customWidth="1"/>
    <col min="18" max="18" width="15.1640625" style="69" customWidth="1"/>
    <col min="19" max="19" width="16.33203125" style="58" bestFit="1" customWidth="1"/>
    <col min="20" max="20" width="17.5" style="58" bestFit="1" customWidth="1"/>
    <col min="21" max="21" width="1.5" style="58" customWidth="1"/>
    <col min="22" max="22" width="1.1640625" style="68" customWidth="1"/>
    <col min="23" max="23" width="18" style="68" customWidth="1"/>
    <col min="24" max="24" width="17.1640625" style="68" bestFit="1" customWidth="1"/>
    <col min="25" max="25" width="17.33203125" style="68" customWidth="1"/>
    <col min="26" max="26" width="15.6640625" style="68" bestFit="1" customWidth="1"/>
    <col min="27" max="16384" width="9.33203125" style="58"/>
  </cols>
  <sheetData>
    <row r="1" spans="1:71">
      <c r="A1" s="54"/>
      <c r="B1" s="55" t="s">
        <v>266</v>
      </c>
      <c r="C1" s="54"/>
      <c r="D1" s="56"/>
      <c r="E1" s="54"/>
      <c r="F1" s="54"/>
      <c r="G1" s="54"/>
      <c r="H1" s="54"/>
      <c r="I1" s="54"/>
      <c r="J1" s="54"/>
      <c r="K1" s="54"/>
      <c r="L1" s="56"/>
      <c r="M1" s="56"/>
      <c r="N1" s="54"/>
      <c r="O1" s="54"/>
      <c r="P1" s="54"/>
      <c r="Q1" s="56"/>
      <c r="R1" s="56"/>
      <c r="S1" s="54"/>
      <c r="T1" s="54"/>
      <c r="U1" s="54"/>
      <c r="V1" s="57"/>
      <c r="W1" s="57"/>
      <c r="X1" s="57"/>
      <c r="Y1" s="57"/>
      <c r="Z1" s="57"/>
    </row>
    <row r="2" spans="1:71">
      <c r="A2" s="54"/>
      <c r="B2" s="55" t="s">
        <v>398</v>
      </c>
      <c r="C2" s="54"/>
      <c r="D2" s="56"/>
      <c r="E2" s="54"/>
      <c r="F2" s="54"/>
      <c r="G2" s="54" t="s">
        <v>980</v>
      </c>
      <c r="H2" s="54"/>
      <c r="I2" s="54"/>
      <c r="J2" s="54"/>
      <c r="K2" s="54"/>
      <c r="L2" s="56"/>
      <c r="M2" s="56"/>
      <c r="N2" s="54"/>
      <c r="O2" s="54"/>
      <c r="P2" s="54"/>
      <c r="Q2" s="56"/>
      <c r="R2" s="56"/>
      <c r="S2" s="54"/>
      <c r="T2" s="54"/>
      <c r="U2" s="54"/>
      <c r="V2" s="57"/>
      <c r="W2" s="57"/>
      <c r="X2" s="57"/>
      <c r="Y2" s="57"/>
      <c r="Z2" s="57"/>
    </row>
    <row r="3" spans="1:71">
      <c r="B3" s="60" t="s">
        <v>357</v>
      </c>
      <c r="C3" s="54"/>
      <c r="D3" s="56"/>
      <c r="E3" s="54"/>
      <c r="F3" s="61"/>
      <c r="G3" s="56"/>
      <c r="H3" s="56"/>
      <c r="I3" s="56"/>
      <c r="J3" s="56"/>
      <c r="K3" s="56"/>
      <c r="L3" s="56"/>
      <c r="M3" s="56"/>
      <c r="N3" s="54"/>
      <c r="O3" s="54"/>
      <c r="P3" s="54"/>
      <c r="Q3" s="56"/>
      <c r="R3" s="56"/>
      <c r="S3" s="54"/>
      <c r="T3" s="54"/>
      <c r="U3" s="54"/>
      <c r="V3" s="57"/>
      <c r="W3" s="57"/>
      <c r="X3" s="57"/>
      <c r="Y3" s="57"/>
      <c r="Z3" s="57"/>
    </row>
    <row r="4" spans="1:71">
      <c r="B4" s="55" t="s">
        <v>397</v>
      </c>
      <c r="C4" s="54"/>
      <c r="D4" s="56"/>
      <c r="E4" s="54"/>
      <c r="F4" s="54"/>
      <c r="G4" s="54"/>
      <c r="H4" s="54"/>
      <c r="I4" s="54"/>
      <c r="J4" s="54"/>
      <c r="K4" s="54"/>
      <c r="L4" s="56"/>
      <c r="M4" s="56"/>
      <c r="N4" s="56"/>
      <c r="O4" s="54"/>
      <c r="P4" s="54"/>
      <c r="Q4" s="56"/>
      <c r="R4" s="56"/>
      <c r="S4" s="54"/>
      <c r="T4" s="54"/>
      <c r="U4" s="54"/>
      <c r="V4" s="57"/>
      <c r="W4" s="57"/>
      <c r="X4" s="57"/>
      <c r="Y4" s="57"/>
      <c r="Z4" s="57"/>
    </row>
    <row r="5" spans="1:71">
      <c r="B5" s="54"/>
      <c r="C5" s="54"/>
      <c r="D5" s="56"/>
      <c r="E5" s="54"/>
      <c r="F5" s="62"/>
      <c r="G5" s="56"/>
      <c r="H5" s="56"/>
      <c r="I5" s="56"/>
      <c r="J5" s="56"/>
      <c r="K5" s="56"/>
      <c r="L5" s="56"/>
      <c r="M5" s="56"/>
      <c r="N5" s="56"/>
      <c r="P5" s="56"/>
      <c r="Q5" s="56"/>
      <c r="R5" s="56"/>
      <c r="S5" s="54"/>
      <c r="T5" s="54"/>
      <c r="U5" s="54"/>
      <c r="V5" s="63"/>
      <c r="W5" s="63"/>
      <c r="X5" s="63"/>
      <c r="Y5" s="63"/>
      <c r="Z5" s="63"/>
    </row>
    <row r="6" spans="1:71" ht="25.5" customHeight="1">
      <c r="B6" s="64" t="s">
        <v>358</v>
      </c>
      <c r="D6" s="56"/>
      <c r="E6" s="54"/>
      <c r="F6" s="65"/>
      <c r="G6" s="56"/>
      <c r="H6" s="56"/>
      <c r="I6" s="56"/>
      <c r="J6" s="56"/>
      <c r="K6" s="56"/>
      <c r="L6" s="65"/>
      <c r="M6" s="65"/>
      <c r="N6" s="65"/>
      <c r="P6" s="65"/>
      <c r="Q6" s="65"/>
      <c r="R6" s="65"/>
      <c r="S6" s="66"/>
      <c r="T6" s="66"/>
      <c r="U6" s="67"/>
      <c r="V6" s="63"/>
      <c r="W6" s="150" t="s">
        <v>321</v>
      </c>
      <c r="X6" s="150"/>
      <c r="Y6" s="150"/>
    </row>
    <row r="7" spans="1:71">
      <c r="C7" s="69"/>
      <c r="D7" s="70"/>
      <c r="E7" s="71"/>
      <c r="F7" s="70" t="s">
        <v>267</v>
      </c>
      <c r="G7" s="70"/>
      <c r="H7" s="70"/>
      <c r="I7" s="70"/>
      <c r="J7" s="70" t="s">
        <v>269</v>
      </c>
      <c r="K7" s="70"/>
      <c r="S7" s="72"/>
      <c r="U7" s="73"/>
    </row>
    <row r="8" spans="1:71">
      <c r="C8" s="74"/>
      <c r="D8" s="74" t="s">
        <v>268</v>
      </c>
      <c r="E8" s="75" t="s">
        <v>269</v>
      </c>
      <c r="F8" s="74" t="s">
        <v>270</v>
      </c>
      <c r="G8" s="70" t="s">
        <v>269</v>
      </c>
      <c r="H8" s="70" t="s">
        <v>269</v>
      </c>
      <c r="I8" s="70" t="s">
        <v>269</v>
      </c>
      <c r="J8" s="74" t="s">
        <v>322</v>
      </c>
      <c r="K8" s="70" t="s">
        <v>269</v>
      </c>
      <c r="L8" s="74" t="s">
        <v>260</v>
      </c>
      <c r="M8" s="74" t="s">
        <v>271</v>
      </c>
      <c r="N8" s="74" t="s">
        <v>404</v>
      </c>
      <c r="O8" s="75" t="s">
        <v>272</v>
      </c>
      <c r="P8" s="75"/>
      <c r="Q8" s="76" t="s">
        <v>353</v>
      </c>
      <c r="R8" s="76" t="s">
        <v>269</v>
      </c>
      <c r="S8" s="77"/>
      <c r="T8" s="77"/>
      <c r="U8" s="78"/>
      <c r="V8" s="77"/>
      <c r="W8" s="77" t="s">
        <v>280</v>
      </c>
      <c r="X8" s="77" t="s">
        <v>280</v>
      </c>
      <c r="Y8" s="77"/>
      <c r="BS8" s="58" t="s">
        <v>978</v>
      </c>
    </row>
    <row r="9" spans="1:71">
      <c r="B9" s="75"/>
      <c r="C9" s="74"/>
      <c r="D9" s="74" t="s">
        <v>273</v>
      </c>
      <c r="E9" s="74" t="s">
        <v>274</v>
      </c>
      <c r="F9" s="74" t="s">
        <v>275</v>
      </c>
      <c r="G9" s="74" t="s">
        <v>278</v>
      </c>
      <c r="H9" s="74" t="s">
        <v>320</v>
      </c>
      <c r="I9" s="74" t="s">
        <v>360</v>
      </c>
      <c r="J9" s="74" t="s">
        <v>248</v>
      </c>
      <c r="K9" s="70" t="s">
        <v>386</v>
      </c>
      <c r="L9" s="74" t="s">
        <v>276</v>
      </c>
      <c r="M9" s="74" t="s">
        <v>405</v>
      </c>
      <c r="N9" s="74" t="s">
        <v>406</v>
      </c>
      <c r="O9" s="75" t="s">
        <v>277</v>
      </c>
      <c r="P9" s="75" t="s">
        <v>361</v>
      </c>
      <c r="Q9" s="76" t="s">
        <v>354</v>
      </c>
      <c r="R9" s="76" t="s">
        <v>362</v>
      </c>
      <c r="S9" s="77" t="s">
        <v>279</v>
      </c>
      <c r="T9" s="77" t="s">
        <v>280</v>
      </c>
      <c r="U9" s="78"/>
      <c r="V9" s="77"/>
      <c r="W9" s="77" t="s">
        <v>312</v>
      </c>
      <c r="X9" s="77" t="s">
        <v>312</v>
      </c>
      <c r="Y9" s="77" t="s">
        <v>280</v>
      </c>
    </row>
    <row r="10" spans="1:71">
      <c r="B10" s="80" t="s">
        <v>281</v>
      </c>
      <c r="C10" s="80" t="s">
        <v>282</v>
      </c>
      <c r="D10" s="81" t="s">
        <v>208</v>
      </c>
      <c r="E10" s="80" t="s">
        <v>284</v>
      </c>
      <c r="F10" s="81" t="s">
        <v>283</v>
      </c>
      <c r="G10" s="81" t="s">
        <v>323</v>
      </c>
      <c r="H10" s="81" t="s">
        <v>324</v>
      </c>
      <c r="I10" s="81" t="s">
        <v>363</v>
      </c>
      <c r="J10" s="81" t="s">
        <v>325</v>
      </c>
      <c r="K10" s="70" t="s">
        <v>387</v>
      </c>
      <c r="L10" s="81" t="s">
        <v>286</v>
      </c>
      <c r="M10" s="81" t="s">
        <v>287</v>
      </c>
      <c r="N10" s="81" t="s">
        <v>287</v>
      </c>
      <c r="O10" s="80" t="s">
        <v>287</v>
      </c>
      <c r="P10" s="80" t="s">
        <v>287</v>
      </c>
      <c r="Q10" s="82" t="s">
        <v>287</v>
      </c>
      <c r="R10" s="82" t="s">
        <v>208</v>
      </c>
      <c r="S10" s="83" t="s">
        <v>286</v>
      </c>
      <c r="T10" s="83" t="s">
        <v>208</v>
      </c>
      <c r="U10" s="78"/>
      <c r="V10" s="77"/>
      <c r="W10" s="83" t="s">
        <v>313</v>
      </c>
      <c r="X10" s="83" t="s">
        <v>314</v>
      </c>
      <c r="Y10" s="84" t="s">
        <v>315</v>
      </c>
    </row>
    <row r="11" spans="1:71">
      <c r="B11" s="75"/>
      <c r="C11" s="75" t="s">
        <v>288</v>
      </c>
      <c r="D11" s="74" t="s">
        <v>289</v>
      </c>
      <c r="E11" s="74" t="s">
        <v>290</v>
      </c>
      <c r="F11" s="75" t="s">
        <v>291</v>
      </c>
      <c r="G11" s="75" t="s">
        <v>292</v>
      </c>
      <c r="H11" s="75" t="s">
        <v>293</v>
      </c>
      <c r="I11" s="75" t="s">
        <v>294</v>
      </c>
      <c r="J11" s="74" t="s">
        <v>296</v>
      </c>
      <c r="K11" s="74" t="s">
        <v>295</v>
      </c>
      <c r="L11" s="75" t="s">
        <v>297</v>
      </c>
      <c r="M11" s="75" t="s">
        <v>298</v>
      </c>
      <c r="N11" s="75" t="s">
        <v>299</v>
      </c>
      <c r="O11" s="75" t="s">
        <v>326</v>
      </c>
      <c r="P11" s="75" t="s">
        <v>300</v>
      </c>
      <c r="Q11" s="74" t="s">
        <v>301</v>
      </c>
      <c r="R11" s="76" t="s">
        <v>327</v>
      </c>
      <c r="S11" s="76" t="s">
        <v>317</v>
      </c>
      <c r="T11" s="77" t="s">
        <v>318</v>
      </c>
      <c r="U11" s="78"/>
      <c r="V11" s="77"/>
      <c r="W11" s="76" t="s">
        <v>328</v>
      </c>
      <c r="X11" s="85" t="s">
        <v>364</v>
      </c>
      <c r="Y11" s="85" t="s">
        <v>356</v>
      </c>
    </row>
    <row r="12" spans="1:71">
      <c r="B12" s="86">
        <v>1</v>
      </c>
      <c r="C12" s="60" t="s">
        <v>223</v>
      </c>
      <c r="D12" s="87">
        <v>585.27</v>
      </c>
      <c r="E12" s="88">
        <v>-623.28</v>
      </c>
      <c r="F12" s="88">
        <v>0</v>
      </c>
      <c r="G12" s="88">
        <v>-180.11</v>
      </c>
      <c r="H12" s="88">
        <v>0</v>
      </c>
      <c r="I12" s="88">
        <v>63.1</v>
      </c>
      <c r="J12" s="88">
        <v>814.66425840898034</v>
      </c>
      <c r="K12" s="88">
        <v>0</v>
      </c>
      <c r="L12" s="88">
        <v>18349.347151591013</v>
      </c>
      <c r="M12" s="88">
        <v>-524.15999999999622</v>
      </c>
      <c r="N12" s="88">
        <v>-2928.5861599999989</v>
      </c>
      <c r="O12" s="88">
        <v>0</v>
      </c>
      <c r="P12" s="88">
        <v>0</v>
      </c>
      <c r="Q12" s="88"/>
      <c r="R12" s="88"/>
      <c r="S12" s="89">
        <v>14970.975250000001</v>
      </c>
      <c r="T12" s="88">
        <v>15556.245250000002</v>
      </c>
      <c r="U12" s="90"/>
      <c r="V12" s="91"/>
      <c r="W12" s="88">
        <v>9366.4971400000013</v>
      </c>
      <c r="X12" s="85">
        <v>8960.3972640000011</v>
      </c>
      <c r="Y12" s="92">
        <v>6189.7481100000005</v>
      </c>
    </row>
    <row r="13" spans="1:71">
      <c r="B13" s="58">
        <v>2</v>
      </c>
      <c r="C13" s="60" t="s">
        <v>365</v>
      </c>
      <c r="D13" s="93">
        <v>654352675.84000003</v>
      </c>
      <c r="E13" s="94">
        <v>-25777186.709999997</v>
      </c>
      <c r="F13" s="94">
        <v>-900522.76500000025</v>
      </c>
      <c r="G13" s="95">
        <v>-8258416.3299999991</v>
      </c>
      <c r="H13" s="95">
        <v>-2381959.77</v>
      </c>
      <c r="I13" s="95">
        <v>2631306.63</v>
      </c>
      <c r="J13" s="95">
        <v>48742539.423005804</v>
      </c>
      <c r="K13" s="95">
        <v>-56412.02</v>
      </c>
      <c r="L13" s="95">
        <v>1738383.7019941807</v>
      </c>
      <c r="M13" s="95">
        <v>-7187550</v>
      </c>
      <c r="N13" s="95">
        <v>5532842</v>
      </c>
      <c r="O13" s="95">
        <v>18575351.095000029</v>
      </c>
      <c r="P13" s="95">
        <v>87551.920000000013</v>
      </c>
      <c r="Q13" s="96"/>
      <c r="R13" s="96"/>
      <c r="S13" s="96">
        <v>32745927.174999952</v>
      </c>
      <c r="T13" s="95">
        <v>687098603.01499999</v>
      </c>
      <c r="U13" s="97"/>
      <c r="V13" s="98"/>
      <c r="W13" s="94">
        <v>412041223.5</v>
      </c>
      <c r="X13" s="96">
        <v>394158743.83999997</v>
      </c>
      <c r="Y13" s="99">
        <v>275057379.51499999</v>
      </c>
    </row>
    <row r="14" spans="1:71">
      <c r="B14" s="58">
        <v>3</v>
      </c>
      <c r="C14" s="60" t="s">
        <v>366</v>
      </c>
      <c r="D14" s="93">
        <v>9145.6299999999992</v>
      </c>
      <c r="E14" s="94">
        <v>0</v>
      </c>
      <c r="F14" s="94">
        <v>0</v>
      </c>
      <c r="G14" s="95">
        <v>0</v>
      </c>
      <c r="H14" s="95">
        <v>-9.73</v>
      </c>
      <c r="I14" s="95">
        <v>10.77</v>
      </c>
      <c r="J14" s="95">
        <v>0</v>
      </c>
      <c r="K14" s="95" t="s">
        <v>18</v>
      </c>
      <c r="L14" s="95">
        <v>0.43044000000008964</v>
      </c>
      <c r="M14" s="95">
        <v>922.53736000000026</v>
      </c>
      <c r="N14" s="95">
        <v>22.024460000000545</v>
      </c>
      <c r="O14" s="95">
        <v>0</v>
      </c>
      <c r="P14" s="95">
        <v>0</v>
      </c>
      <c r="Q14" s="96"/>
      <c r="R14" s="96"/>
      <c r="S14" s="96">
        <v>946.03226000000177</v>
      </c>
      <c r="T14" s="95">
        <v>10091.662260000001</v>
      </c>
      <c r="U14" s="97"/>
      <c r="V14" s="98"/>
      <c r="W14" s="94">
        <v>8721.9545699999999</v>
      </c>
      <c r="X14" s="96">
        <v>8721.9545699999999</v>
      </c>
      <c r="Y14" s="99">
        <v>1369.7076900000011</v>
      </c>
    </row>
    <row r="15" spans="1:71">
      <c r="B15" s="58">
        <v>4</v>
      </c>
      <c r="C15" s="100" t="s">
        <v>329</v>
      </c>
      <c r="D15" s="93">
        <v>217358301.84999999</v>
      </c>
      <c r="E15" s="94">
        <v>-10863687.129999999</v>
      </c>
      <c r="F15" s="94">
        <v>-213762.66000000003</v>
      </c>
      <c r="G15" s="95">
        <v>-2963985.77</v>
      </c>
      <c r="H15" s="95">
        <v>-680649.3600000001</v>
      </c>
      <c r="I15" s="95">
        <v>784775.86</v>
      </c>
      <c r="J15" s="95">
        <v>17176429.8608597</v>
      </c>
      <c r="K15" s="95">
        <v>-73437.06</v>
      </c>
      <c r="L15" s="95">
        <v>925987.09201031923</v>
      </c>
      <c r="M15" s="95">
        <v>-3547543.6510800123</v>
      </c>
      <c r="N15" s="95">
        <v>1582176.3456100225</v>
      </c>
      <c r="O15" s="95">
        <v>7038716.6255999804</v>
      </c>
      <c r="P15" s="95">
        <v>31482.895840000001</v>
      </c>
      <c r="Q15" s="96"/>
      <c r="R15" s="96"/>
      <c r="S15" s="96">
        <v>9196503.0488400161</v>
      </c>
      <c r="T15" s="95">
        <v>226554804.89884001</v>
      </c>
      <c r="U15" s="97"/>
      <c r="V15" s="98"/>
      <c r="W15" s="94">
        <v>147137281.38923001</v>
      </c>
      <c r="X15" s="96">
        <v>140752156.57668</v>
      </c>
      <c r="Y15" s="99">
        <v>79417523.509609997</v>
      </c>
    </row>
    <row r="16" spans="1:71">
      <c r="B16" s="58">
        <v>5</v>
      </c>
      <c r="C16" s="60" t="s">
        <v>225</v>
      </c>
      <c r="D16" s="93">
        <v>72787298.170000017</v>
      </c>
      <c r="E16" s="94">
        <v>-3674938.12</v>
      </c>
      <c r="F16" s="94">
        <v>-24772.74</v>
      </c>
      <c r="G16" s="95">
        <v>-1169164.56</v>
      </c>
      <c r="H16" s="95">
        <v>-153210.9</v>
      </c>
      <c r="I16" s="95">
        <v>124781.03</v>
      </c>
      <c r="J16" s="95">
        <v>6974036.0319587793</v>
      </c>
      <c r="K16" s="95">
        <v>-1266.23</v>
      </c>
      <c r="L16" s="95">
        <v>-730335.15435880423</v>
      </c>
      <c r="M16" s="95">
        <v>-1886129.2180299908</v>
      </c>
      <c r="N16" s="95">
        <v>261104.12633000314</v>
      </c>
      <c r="O16" s="95">
        <v>1554852.1058999896</v>
      </c>
      <c r="P16" s="95">
        <v>10604.887859999999</v>
      </c>
      <c r="Q16" s="96"/>
      <c r="R16" s="96"/>
      <c r="S16" s="96">
        <v>1285561.2596599758</v>
      </c>
      <c r="T16" s="95">
        <v>74072859.429659992</v>
      </c>
      <c r="U16" s="97"/>
      <c r="V16" s="98"/>
      <c r="W16" s="94">
        <v>55888092.530939996</v>
      </c>
      <c r="X16" s="96">
        <v>53441521.806059994</v>
      </c>
      <c r="Y16" s="99">
        <v>18184766.898719996</v>
      </c>
    </row>
    <row r="17" spans="2:26">
      <c r="B17" s="58">
        <v>6</v>
      </c>
      <c r="C17" s="60" t="s">
        <v>342</v>
      </c>
      <c r="D17" s="93">
        <v>907847.49</v>
      </c>
      <c r="E17" s="94">
        <v>-41358.97</v>
      </c>
      <c r="F17" s="94"/>
      <c r="G17" s="95"/>
      <c r="H17" s="95">
        <v>-8958.43</v>
      </c>
      <c r="I17" s="95">
        <v>7383.47</v>
      </c>
      <c r="J17" s="95">
        <v>176193.48625047019</v>
      </c>
      <c r="K17" s="95"/>
      <c r="L17" s="95">
        <v>-173210.44469047</v>
      </c>
      <c r="M17" s="95">
        <v>0</v>
      </c>
      <c r="N17" s="95">
        <v>12246.01390999998</v>
      </c>
      <c r="O17" s="95">
        <v>0</v>
      </c>
      <c r="P17" s="95">
        <v>0</v>
      </c>
      <c r="Q17" s="96"/>
      <c r="R17" s="96"/>
      <c r="S17" s="96">
        <v>-27704.874529999914</v>
      </c>
      <c r="T17" s="95">
        <v>880142.61547000008</v>
      </c>
      <c r="U17" s="97"/>
      <c r="V17" s="98"/>
      <c r="W17" s="94">
        <v>3092.6615999999999</v>
      </c>
      <c r="X17" s="96">
        <v>3092.6615999999999</v>
      </c>
      <c r="Y17" s="99">
        <v>877049.95387000008</v>
      </c>
    </row>
    <row r="18" spans="2:26">
      <c r="B18" s="58">
        <v>7</v>
      </c>
      <c r="C18" s="60" t="s">
        <v>330</v>
      </c>
      <c r="D18" s="93">
        <v>116648.34</v>
      </c>
      <c r="E18" s="94">
        <v>-4916.1000000000004</v>
      </c>
      <c r="F18" s="94"/>
      <c r="G18" s="95"/>
      <c r="H18" s="95">
        <v>0</v>
      </c>
      <c r="I18" s="95">
        <v>0</v>
      </c>
      <c r="J18" s="95">
        <v>0</v>
      </c>
      <c r="K18" s="95"/>
      <c r="L18" s="95">
        <v>431.66000000001804</v>
      </c>
      <c r="M18" s="95">
        <v>0</v>
      </c>
      <c r="N18" s="95">
        <v>0</v>
      </c>
      <c r="O18" s="95">
        <v>0</v>
      </c>
      <c r="P18" s="95">
        <v>0</v>
      </c>
      <c r="Q18" s="96"/>
      <c r="R18" s="96"/>
      <c r="S18" s="96">
        <v>-4484.4400000000023</v>
      </c>
      <c r="T18" s="95">
        <v>112163.9</v>
      </c>
      <c r="U18" s="97"/>
      <c r="V18" s="98"/>
      <c r="W18" s="94">
        <v>0</v>
      </c>
      <c r="X18" s="96">
        <v>0</v>
      </c>
      <c r="Y18" s="99">
        <v>112163.9</v>
      </c>
    </row>
    <row r="19" spans="2:26">
      <c r="B19" s="58">
        <v>8</v>
      </c>
      <c r="C19" s="60" t="s">
        <v>224</v>
      </c>
      <c r="D19" s="93">
        <v>13002663.85</v>
      </c>
      <c r="E19" s="94">
        <v>-462764.05</v>
      </c>
      <c r="F19" s="94">
        <v>0</v>
      </c>
      <c r="G19" s="95">
        <v>-248075.88</v>
      </c>
      <c r="H19" s="95">
        <v>-19113.43</v>
      </c>
      <c r="I19" s="95">
        <v>13926.65</v>
      </c>
      <c r="J19" s="95">
        <v>1480078.0349089312</v>
      </c>
      <c r="K19" s="95"/>
      <c r="L19" s="95">
        <v>118442.38893606886</v>
      </c>
      <c r="M19" s="95">
        <v>-384855.32368000038</v>
      </c>
      <c r="N19" s="95">
        <v>17591.745009999722</v>
      </c>
      <c r="O19" s="95">
        <v>131109.60024000145</v>
      </c>
      <c r="P19" s="95">
        <v>2522.0616</v>
      </c>
      <c r="Q19" s="96"/>
      <c r="R19" s="96"/>
      <c r="S19" s="96">
        <v>648861.797015002</v>
      </c>
      <c r="T19" s="95">
        <v>13651525.647015002</v>
      </c>
      <c r="U19" s="97"/>
      <c r="V19" s="98"/>
      <c r="W19" s="94">
        <v>11889730.360640001</v>
      </c>
      <c r="X19" s="96">
        <v>11373289.380480001</v>
      </c>
      <c r="Y19" s="99">
        <v>1761795.2863750011</v>
      </c>
    </row>
    <row r="20" spans="2:26">
      <c r="B20" s="58">
        <v>9</v>
      </c>
      <c r="C20" s="60" t="s">
        <v>343</v>
      </c>
      <c r="D20" s="93">
        <v>7579999.7899999991</v>
      </c>
      <c r="E20" s="94">
        <v>-370962.39</v>
      </c>
      <c r="F20" s="94">
        <v>0</v>
      </c>
      <c r="G20" s="95"/>
      <c r="H20" s="95">
        <v>-61280.7</v>
      </c>
      <c r="I20" s="95">
        <v>55403.97</v>
      </c>
      <c r="J20" s="95">
        <v>104579.37073111616</v>
      </c>
      <c r="K20" s="95"/>
      <c r="L20" s="95">
        <v>-291164.14093111455</v>
      </c>
      <c r="M20" s="95">
        <v>0</v>
      </c>
      <c r="N20" s="95">
        <v>66384.282689999789</v>
      </c>
      <c r="O20" s="95">
        <v>0</v>
      </c>
      <c r="P20" s="95">
        <v>0</v>
      </c>
      <c r="Q20" s="96"/>
      <c r="R20" s="96"/>
      <c r="S20" s="96">
        <v>-497039.60750999954</v>
      </c>
      <c r="T20" s="95">
        <v>7082960.1824899996</v>
      </c>
      <c r="U20" s="97"/>
      <c r="V20" s="98"/>
      <c r="W20" s="94">
        <v>45986.854899999998</v>
      </c>
      <c r="X20" s="96">
        <v>45986.854899999998</v>
      </c>
      <c r="Y20" s="99">
        <v>7036973.3275899999</v>
      </c>
    </row>
    <row r="21" spans="2:26">
      <c r="B21" s="58">
        <v>10</v>
      </c>
      <c r="C21" s="60" t="s">
        <v>226</v>
      </c>
      <c r="D21" s="93">
        <v>12613002.25</v>
      </c>
      <c r="E21" s="94">
        <v>-623179.6</v>
      </c>
      <c r="F21" s="94">
        <v>0</v>
      </c>
      <c r="G21" s="95">
        <v>-205998.45</v>
      </c>
      <c r="H21" s="95">
        <v>-27584.05</v>
      </c>
      <c r="I21" s="95">
        <v>27639.08</v>
      </c>
      <c r="J21" s="95">
        <v>1334070.8484940722</v>
      </c>
      <c r="K21" s="95"/>
      <c r="L21" s="95">
        <v>-74631.447944071144</v>
      </c>
      <c r="M21" s="95">
        <v>-210244.34339999966</v>
      </c>
      <c r="N21" s="95">
        <v>30462.306749997661</v>
      </c>
      <c r="O21" s="95">
        <v>258395.18850000203</v>
      </c>
      <c r="P21" s="95">
        <v>2130.2576999999997</v>
      </c>
      <c r="Q21" s="96"/>
      <c r="R21" s="96"/>
      <c r="S21" s="96">
        <v>511059.7901000008</v>
      </c>
      <c r="T21" s="95">
        <v>13124062.040100001</v>
      </c>
      <c r="U21" s="97"/>
      <c r="V21" s="98"/>
      <c r="W21" s="94">
        <v>10122048.432779999</v>
      </c>
      <c r="X21" s="96">
        <v>9682279.3306999989</v>
      </c>
      <c r="Y21" s="99">
        <v>3002013.6073200013</v>
      </c>
    </row>
    <row r="22" spans="2:26">
      <c r="B22" s="58">
        <v>11</v>
      </c>
      <c r="C22" s="60" t="s">
        <v>227</v>
      </c>
      <c r="D22" s="93">
        <v>21635438.539999995</v>
      </c>
      <c r="E22" s="94">
        <v>-892597.92</v>
      </c>
      <c r="F22" s="94">
        <v>0</v>
      </c>
      <c r="G22" s="95">
        <v>-434067.5</v>
      </c>
      <c r="H22" s="95">
        <v>-15955.81</v>
      </c>
      <c r="I22" s="95">
        <v>19799.09</v>
      </c>
      <c r="J22" s="95">
        <v>2655933.0503283679</v>
      </c>
      <c r="K22" s="95"/>
      <c r="L22" s="95">
        <v>-12139.059148360044</v>
      </c>
      <c r="M22" s="95">
        <v>-808948.41624999791</v>
      </c>
      <c r="N22" s="95">
        <v>17355.045309998095</v>
      </c>
      <c r="O22" s="95">
        <v>164577.45625999942</v>
      </c>
      <c r="P22" s="95">
        <v>4432.1133</v>
      </c>
      <c r="Q22" s="96"/>
      <c r="R22" s="96"/>
      <c r="S22" s="96">
        <v>698388.04980000854</v>
      </c>
      <c r="T22" s="95">
        <v>22333826.589800004</v>
      </c>
      <c r="U22" s="97"/>
      <c r="V22" s="98"/>
      <c r="W22" s="94">
        <v>20653200.148280002</v>
      </c>
      <c r="X22" s="96">
        <v>19756977.813239999</v>
      </c>
      <c r="Y22" s="99">
        <v>1680626.4415200017</v>
      </c>
    </row>
    <row r="23" spans="2:26">
      <c r="B23" s="58">
        <v>12</v>
      </c>
      <c r="C23" s="60" t="s">
        <v>344</v>
      </c>
      <c r="D23" s="93">
        <v>4313953.6900000004</v>
      </c>
      <c r="E23" s="94">
        <v>-255977.81</v>
      </c>
      <c r="F23" s="94">
        <v>0</v>
      </c>
      <c r="G23" s="95"/>
      <c r="H23" s="95">
        <v>-38383.97</v>
      </c>
      <c r="I23" s="95">
        <v>69656.28</v>
      </c>
      <c r="J23" s="95">
        <v>0</v>
      </c>
      <c r="K23" s="95"/>
      <c r="L23" s="95">
        <v>-3544.950260000769</v>
      </c>
      <c r="M23" s="95">
        <v>0</v>
      </c>
      <c r="N23" s="95">
        <v>41424.523009999655</v>
      </c>
      <c r="O23" s="95">
        <v>9589.8546100002714</v>
      </c>
      <c r="P23" s="95">
        <v>0</v>
      </c>
      <c r="Q23" s="96"/>
      <c r="R23" s="96"/>
      <c r="S23" s="96">
        <v>-177236.07264000038</v>
      </c>
      <c r="T23" s="95">
        <v>4136717.61736</v>
      </c>
      <c r="U23" s="97"/>
      <c r="V23" s="98"/>
      <c r="W23" s="94">
        <v>72537.052000000011</v>
      </c>
      <c r="X23" s="96">
        <v>72537.052000000011</v>
      </c>
      <c r="Y23" s="99">
        <v>4064180.5653599999</v>
      </c>
    </row>
    <row r="24" spans="2:26">
      <c r="B24" s="58">
        <v>13</v>
      </c>
      <c r="C24" s="60" t="s">
        <v>319</v>
      </c>
      <c r="D24" s="93">
        <v>1605143.93</v>
      </c>
      <c r="E24" s="94">
        <v>-81654.039999999994</v>
      </c>
      <c r="F24" s="94">
        <v>0</v>
      </c>
      <c r="G24" s="95"/>
      <c r="H24" s="95">
        <v>0</v>
      </c>
      <c r="I24" s="95">
        <v>17309.46</v>
      </c>
      <c r="J24" s="95">
        <v>0</v>
      </c>
      <c r="K24" s="95"/>
      <c r="L24" s="95">
        <v>1710.9901600002777</v>
      </c>
      <c r="M24" s="95">
        <v>0</v>
      </c>
      <c r="N24" s="95">
        <v>82015.785020000068</v>
      </c>
      <c r="O24" s="95">
        <v>11361.578549999977</v>
      </c>
      <c r="P24" s="95">
        <v>0</v>
      </c>
      <c r="Q24" s="96"/>
      <c r="R24" s="96"/>
      <c r="S24" s="96">
        <v>30743.773730000015</v>
      </c>
      <c r="T24" s="95">
        <v>1635887.70373</v>
      </c>
      <c r="U24" s="97"/>
      <c r="V24" s="98"/>
      <c r="W24" s="101">
        <v>0</v>
      </c>
      <c r="X24" s="96">
        <v>0</v>
      </c>
      <c r="Y24" s="99">
        <v>1635887.70373</v>
      </c>
    </row>
    <row r="25" spans="2:26">
      <c r="B25" s="58">
        <v>14</v>
      </c>
      <c r="C25" s="60" t="s">
        <v>304</v>
      </c>
      <c r="D25" s="102">
        <v>1006282704.64</v>
      </c>
      <c r="E25" s="102">
        <v>-43049846.119999997</v>
      </c>
      <c r="F25" s="102">
        <v>-1139058.1650000003</v>
      </c>
      <c r="G25" s="102">
        <v>-13279888.6</v>
      </c>
      <c r="H25" s="102">
        <v>-3387106.1500000008</v>
      </c>
      <c r="I25" s="102">
        <v>3752055.3899999997</v>
      </c>
      <c r="J25" s="102">
        <v>78644674.770795658</v>
      </c>
      <c r="K25" s="102">
        <v>-131115.31</v>
      </c>
      <c r="L25" s="102">
        <v>1518280.4133593389</v>
      </c>
      <c r="M25" s="102">
        <v>-14024872.57508</v>
      </c>
      <c r="N25" s="102">
        <v>7640695.6119400207</v>
      </c>
      <c r="O25" s="102">
        <v>27743953.504659999</v>
      </c>
      <c r="P25" s="102">
        <v>138724.13629999998</v>
      </c>
      <c r="Q25" s="102">
        <v>0</v>
      </c>
      <c r="R25" s="102">
        <v>0</v>
      </c>
      <c r="S25" s="103">
        <v>44426496.906974956</v>
      </c>
      <c r="T25" s="102">
        <v>1050709201.546975</v>
      </c>
      <c r="U25" s="104"/>
      <c r="V25" s="105"/>
      <c r="W25" s="102">
        <v>657871281.3820802</v>
      </c>
      <c r="X25" s="106">
        <v>629304267.66749418</v>
      </c>
      <c r="Y25" s="103">
        <v>392837920.16489494</v>
      </c>
    </row>
    <row r="26" spans="2:26">
      <c r="C26" s="60"/>
      <c r="D26" s="107"/>
      <c r="E26" s="72"/>
      <c r="F26" s="72"/>
      <c r="G26" s="72"/>
      <c r="H26" s="72"/>
      <c r="I26" s="72"/>
      <c r="J26" s="72"/>
      <c r="K26" s="72"/>
      <c r="L26" s="107"/>
      <c r="M26" s="72"/>
      <c r="N26" s="72"/>
      <c r="O26" s="72"/>
      <c r="P26" s="72"/>
      <c r="Q26" s="107"/>
      <c r="R26" s="107"/>
      <c r="S26" s="72"/>
      <c r="T26" s="72"/>
      <c r="U26" s="108"/>
      <c r="V26" s="72"/>
      <c r="W26" s="72"/>
      <c r="X26" s="72"/>
      <c r="Y26" s="72"/>
      <c r="Z26" s="72"/>
    </row>
    <row r="27" spans="2:26">
      <c r="B27" s="58">
        <v>15</v>
      </c>
      <c r="C27" s="60" t="s">
        <v>305</v>
      </c>
      <c r="D27" s="93">
        <v>8094618.4000000004</v>
      </c>
      <c r="E27" s="93">
        <v>-389885.95</v>
      </c>
      <c r="F27" s="69"/>
      <c r="L27" s="95">
        <v>63179.490000000224</v>
      </c>
      <c r="M27" s="109"/>
      <c r="N27" s="107">
        <v>155330.19999999925</v>
      </c>
      <c r="S27" s="96">
        <v>-171376.26000000071</v>
      </c>
      <c r="T27" s="109">
        <v>7923242.1399999997</v>
      </c>
      <c r="U27" s="110"/>
      <c r="V27" s="111"/>
      <c r="W27" s="111"/>
      <c r="X27" s="111"/>
      <c r="Y27" s="111"/>
      <c r="Z27" s="111"/>
    </row>
    <row r="28" spans="2:26">
      <c r="B28" s="58">
        <v>16</v>
      </c>
      <c r="C28" s="60" t="s">
        <v>306</v>
      </c>
      <c r="D28" s="93">
        <v>8861935.1600000001</v>
      </c>
      <c r="E28" s="112"/>
      <c r="F28" s="72">
        <v>1139058.1650000003</v>
      </c>
      <c r="L28" s="94"/>
      <c r="N28" s="69"/>
      <c r="Q28" s="93">
        <v>-1523002</v>
      </c>
      <c r="R28" s="93">
        <v>-1291875</v>
      </c>
      <c r="S28" s="96">
        <v>-1675818.834999999</v>
      </c>
      <c r="T28" s="113">
        <v>7186116.3250000011</v>
      </c>
      <c r="U28" s="108"/>
      <c r="V28" s="105"/>
      <c r="W28" s="105"/>
      <c r="X28" s="105"/>
      <c r="Y28" s="105"/>
      <c r="Z28" s="105"/>
    </row>
    <row r="29" spans="2:26">
      <c r="B29" s="58">
        <v>17</v>
      </c>
      <c r="C29" s="60" t="s">
        <v>307</v>
      </c>
      <c r="D29" s="114">
        <v>16956553.560000002</v>
      </c>
      <c r="E29" s="114">
        <v>-389885.95</v>
      </c>
      <c r="F29" s="114">
        <v>1139058.1650000003</v>
      </c>
      <c r="G29" s="114">
        <v>0</v>
      </c>
      <c r="H29" s="114">
        <v>0</v>
      </c>
      <c r="I29" s="114">
        <v>0</v>
      </c>
      <c r="J29" s="114">
        <v>0</v>
      </c>
      <c r="K29" s="114">
        <v>0</v>
      </c>
      <c r="L29" s="114">
        <v>63179.490000000224</v>
      </c>
      <c r="M29" s="114">
        <v>0</v>
      </c>
      <c r="N29" s="114">
        <v>155330.19999999925</v>
      </c>
      <c r="O29" s="114">
        <v>0</v>
      </c>
      <c r="P29" s="114">
        <v>0</v>
      </c>
      <c r="Q29" s="114">
        <v>-1523002</v>
      </c>
      <c r="R29" s="114">
        <v>-1291875</v>
      </c>
      <c r="S29" s="114">
        <v>-1847195.0949999997</v>
      </c>
      <c r="T29" s="114">
        <v>15109358.465</v>
      </c>
      <c r="U29" s="115"/>
      <c r="V29" s="105"/>
      <c r="W29" s="105"/>
      <c r="X29" s="105"/>
      <c r="Y29" s="105"/>
      <c r="Z29" s="105"/>
    </row>
    <row r="30" spans="2:26">
      <c r="B30" s="58">
        <v>18</v>
      </c>
      <c r="C30" s="60" t="s">
        <v>308</v>
      </c>
      <c r="D30" s="102">
        <v>1023239258.2</v>
      </c>
      <c r="E30" s="152">
        <v>-43439732.07</v>
      </c>
      <c r="F30" s="102">
        <v>0</v>
      </c>
      <c r="G30" s="152">
        <v>-13279888.6</v>
      </c>
      <c r="H30" s="152">
        <v>-3387106.1500000008</v>
      </c>
      <c r="I30" s="152">
        <v>3752055.3899999997</v>
      </c>
      <c r="J30" s="152">
        <v>78644674.770795658</v>
      </c>
      <c r="K30" s="152">
        <v>-131115.31</v>
      </c>
      <c r="L30" s="152">
        <v>1581459.9033593391</v>
      </c>
      <c r="M30" s="152">
        <v>-14024872.57508</v>
      </c>
      <c r="N30" s="152">
        <v>7796025.81194002</v>
      </c>
      <c r="O30" s="152">
        <v>27743953.504659999</v>
      </c>
      <c r="P30" s="152">
        <v>138724.13629999998</v>
      </c>
      <c r="Q30" s="153">
        <v>-1523002</v>
      </c>
      <c r="R30" s="153">
        <v>-1291875</v>
      </c>
      <c r="S30" s="114">
        <v>42579301.811974958</v>
      </c>
      <c r="T30" s="114">
        <v>1065818560.011975</v>
      </c>
      <c r="U30" s="104"/>
      <c r="V30" s="105"/>
      <c r="W30" s="105"/>
      <c r="X30" s="105"/>
      <c r="Y30" s="105"/>
      <c r="Z30" s="105"/>
    </row>
    <row r="31" spans="2:26">
      <c r="C31" s="60"/>
      <c r="D31" s="111"/>
      <c r="E31" s="105"/>
      <c r="F31" s="105"/>
      <c r="G31" s="105"/>
      <c r="H31" s="105"/>
      <c r="I31" s="105"/>
      <c r="J31" s="105"/>
      <c r="K31" s="105"/>
      <c r="L31" s="111"/>
      <c r="M31" s="111"/>
      <c r="O31" s="105"/>
      <c r="P31" s="105"/>
      <c r="Q31" s="111"/>
      <c r="R31" s="111"/>
      <c r="S31" s="105"/>
      <c r="T31" s="105"/>
      <c r="U31" s="108"/>
      <c r="V31" s="105"/>
      <c r="W31" s="105"/>
      <c r="X31" s="105"/>
      <c r="Y31" s="105"/>
      <c r="Z31" s="105"/>
    </row>
    <row r="32" spans="2:26">
      <c r="B32" s="58">
        <v>19</v>
      </c>
      <c r="C32" s="60" t="s">
        <v>309</v>
      </c>
      <c r="D32" s="116">
        <v>625401551.93000019</v>
      </c>
      <c r="E32" s="105"/>
      <c r="F32" s="105"/>
      <c r="G32" s="105"/>
      <c r="H32" s="105"/>
      <c r="I32" s="105"/>
      <c r="J32" s="105"/>
      <c r="K32" s="105"/>
      <c r="L32" s="154">
        <v>-1372081.3703862429</v>
      </c>
      <c r="M32" s="154">
        <v>-13419311.046040058</v>
      </c>
      <c r="N32" s="154">
        <v>0</v>
      </c>
      <c r="O32" s="154">
        <v>18694108.153920174</v>
      </c>
      <c r="P32" s="154">
        <v>0</v>
      </c>
      <c r="Q32" s="88"/>
      <c r="R32" s="88"/>
      <c r="S32" s="111">
        <v>3902715.7374939919</v>
      </c>
      <c r="T32" s="117">
        <v>629304267.66749418</v>
      </c>
      <c r="U32" s="115"/>
      <c r="V32" s="118"/>
      <c r="W32" s="118"/>
      <c r="X32" s="118"/>
      <c r="Y32" s="118"/>
      <c r="Z32" s="118"/>
    </row>
    <row r="33" spans="2:26">
      <c r="B33" s="58">
        <v>20</v>
      </c>
      <c r="C33" s="60" t="s">
        <v>310</v>
      </c>
      <c r="D33" s="117"/>
      <c r="E33" s="105" t="s">
        <v>18</v>
      </c>
      <c r="F33" s="105"/>
      <c r="G33" s="105"/>
      <c r="H33" s="105"/>
      <c r="I33" s="105"/>
      <c r="J33" s="105"/>
      <c r="K33" s="105"/>
      <c r="L33" s="111"/>
      <c r="M33" s="111"/>
      <c r="N33" s="111"/>
      <c r="O33" s="105"/>
      <c r="P33" s="105"/>
      <c r="Q33" s="111"/>
      <c r="R33" s="111"/>
      <c r="S33" s="111"/>
      <c r="T33" s="117">
        <v>657871281.3820802</v>
      </c>
      <c r="U33" s="115"/>
      <c r="V33" s="118"/>
      <c r="W33" s="118"/>
      <c r="X33" s="118"/>
      <c r="Y33" s="118"/>
      <c r="Z33" s="118"/>
    </row>
    <row r="34" spans="2:26">
      <c r="C34" s="60"/>
      <c r="D34" s="111"/>
      <c r="E34" s="105"/>
      <c r="F34" s="105"/>
      <c r="G34" s="105"/>
      <c r="H34" s="105"/>
      <c r="I34" s="105"/>
      <c r="J34" s="105"/>
      <c r="K34" s="105"/>
      <c r="L34" s="111"/>
      <c r="M34" s="111"/>
      <c r="N34" s="111"/>
      <c r="O34" s="105"/>
      <c r="P34" s="105"/>
      <c r="Q34" s="111"/>
      <c r="R34" s="111"/>
      <c r="S34" s="105"/>
      <c r="T34" s="105"/>
      <c r="U34" s="105"/>
      <c r="V34" s="105"/>
      <c r="W34" s="105"/>
      <c r="X34" s="105"/>
      <c r="Y34" s="105"/>
      <c r="Z34" s="105"/>
    </row>
    <row r="35" spans="2:26">
      <c r="D35" s="120"/>
      <c r="E35" s="121"/>
      <c r="G35" s="121"/>
      <c r="H35" s="121"/>
      <c r="I35" s="121"/>
      <c r="J35" s="121"/>
      <c r="K35" s="121"/>
      <c r="L35" s="120"/>
      <c r="M35" s="120"/>
      <c r="N35" s="121"/>
      <c r="O35" s="121"/>
      <c r="P35" s="121"/>
      <c r="Q35" s="120"/>
      <c r="R35" s="120"/>
      <c r="S35" s="121"/>
      <c r="T35" s="121"/>
      <c r="U35" s="121"/>
      <c r="V35" s="122"/>
      <c r="W35" s="122"/>
      <c r="X35" s="122"/>
      <c r="Y35" s="122"/>
      <c r="Z35" s="122"/>
    </row>
    <row r="36" spans="2:26" ht="37.5" customHeight="1">
      <c r="B36" s="123" t="s">
        <v>331</v>
      </c>
      <c r="C36" s="124" t="s">
        <v>333</v>
      </c>
      <c r="T36" s="72"/>
      <c r="Y36" s="105"/>
    </row>
    <row r="37" spans="2:26" ht="27" customHeight="1">
      <c r="B37" s="123" t="s">
        <v>332</v>
      </c>
      <c r="C37" s="125" t="s">
        <v>367</v>
      </c>
      <c r="E37" s="69"/>
      <c r="F37" s="69"/>
      <c r="G37" s="69"/>
    </row>
    <row r="38" spans="2:26">
      <c r="B38" s="123" t="s">
        <v>334</v>
      </c>
      <c r="C38" s="126" t="s">
        <v>368</v>
      </c>
      <c r="E38" s="69"/>
      <c r="F38" s="69"/>
      <c r="G38" s="69"/>
    </row>
    <row r="39" spans="2:26" ht="25.5" customHeight="1">
      <c r="B39" s="123" t="s">
        <v>335</v>
      </c>
      <c r="C39" s="125" t="s">
        <v>336</v>
      </c>
    </row>
    <row r="40" spans="2:26">
      <c r="N40" s="72"/>
    </row>
    <row r="41" spans="2:26">
      <c r="S41" s="72"/>
      <c r="T41" s="72"/>
      <c r="W41" s="105"/>
      <c r="X41" s="105"/>
    </row>
  </sheetData>
  <phoneticPr fontId="0" type="noConversion"/>
  <printOptions horizontalCentered="1"/>
  <pageMargins left="0" right="0" top="0.7" bottom="0.75" header="0.5" footer="0.5"/>
  <pageSetup scale="75" fitToWidth="2" orientation="landscape" blackAndWhite="1" horizontalDpi="300" verticalDpi="300" r:id="rId1"/>
  <headerFooter alignWithMargins="0">
    <oddFooter>&amp;L&amp;F  &amp;A&amp;C&amp;P&amp;R&amp;D</oddFooter>
  </headerFooter>
  <colBreaks count="1" manualBreakCount="1">
    <brk id="14" max="43" man="1"/>
  </col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39997558519241921"/>
    <pageSetUpPr fitToPage="1"/>
  </sheetPr>
  <dimension ref="A1:BS57"/>
  <sheetViews>
    <sheetView zoomScale="88" workbookViewId="0">
      <selection activeCell="F31" sqref="F31"/>
    </sheetView>
  </sheetViews>
  <sheetFormatPr defaultRowHeight="12.75"/>
  <cols>
    <col min="1" max="1" width="2.83203125" style="58" customWidth="1"/>
    <col min="2" max="2" width="4.33203125" style="58" customWidth="1"/>
    <col min="3" max="3" width="53.33203125" style="58" bestFit="1" customWidth="1"/>
    <col min="4" max="4" width="19.5" style="69" bestFit="1" customWidth="1"/>
    <col min="5" max="7" width="17.6640625" style="58" bestFit="1" customWidth="1"/>
    <col min="8" max="8" width="14.83203125" style="58" bestFit="1" customWidth="1"/>
    <col min="9" max="9" width="17" style="58" bestFit="1" customWidth="1"/>
    <col min="10" max="10" width="15.83203125" style="69" bestFit="1" customWidth="1"/>
    <col min="11" max="11" width="16" style="58" bestFit="1" customWidth="1"/>
    <col min="12" max="12" width="13.1640625" style="58" bestFit="1" customWidth="1"/>
    <col min="13" max="13" width="15.5" style="69" bestFit="1" customWidth="1"/>
    <col min="14" max="14" width="17.1640625" style="69" bestFit="1" customWidth="1"/>
    <col min="15" max="15" width="16" style="58" bestFit="1" customWidth="1"/>
    <col min="16" max="16" width="19.5" style="58" bestFit="1" customWidth="1"/>
    <col min="17" max="17" width="4.83203125" style="68" bestFit="1" customWidth="1"/>
    <col min="18" max="18" width="15" style="58" bestFit="1" customWidth="1"/>
    <col min="19" max="19" width="14.83203125" style="58" bestFit="1" customWidth="1"/>
    <col min="20" max="20" width="15" style="68" customWidth="1"/>
    <col min="21" max="70" width="9.33203125" style="58"/>
    <col min="71" max="71" width="55.1640625" style="58" bestFit="1" customWidth="1"/>
    <col min="72" max="16384" width="9.33203125" style="58"/>
  </cols>
  <sheetData>
    <row r="1" spans="1:71">
      <c r="A1" s="54"/>
      <c r="B1" s="127" t="s">
        <v>266</v>
      </c>
      <c r="C1" s="54"/>
      <c r="D1" s="56"/>
      <c r="E1" s="54"/>
      <c r="F1" s="54"/>
      <c r="G1" s="54"/>
      <c r="H1" s="54"/>
      <c r="I1" s="54"/>
      <c r="J1" s="56"/>
      <c r="K1" s="54"/>
      <c r="L1" s="54"/>
      <c r="M1" s="56"/>
      <c r="N1" s="56"/>
      <c r="O1" s="54"/>
      <c r="P1" s="54"/>
      <c r="Q1" s="57"/>
    </row>
    <row r="2" spans="1:71">
      <c r="A2" s="54"/>
      <c r="B2" s="127" t="s">
        <v>398</v>
      </c>
      <c r="C2" s="54"/>
      <c r="D2" s="56"/>
      <c r="E2" s="54"/>
      <c r="F2" s="54"/>
      <c r="G2" s="54"/>
      <c r="H2" s="54"/>
      <c r="I2" s="54"/>
      <c r="J2" s="56"/>
      <c r="K2" s="54"/>
      <c r="L2" s="54"/>
      <c r="M2" s="56"/>
      <c r="N2" s="56"/>
      <c r="O2" s="54"/>
      <c r="P2" s="54"/>
      <c r="Q2" s="57"/>
    </row>
    <row r="3" spans="1:71">
      <c r="B3" s="54" t="s">
        <v>357</v>
      </c>
      <c r="C3" s="54"/>
      <c r="D3" s="56"/>
      <c r="E3" s="54"/>
      <c r="F3" s="61"/>
      <c r="G3" s="56"/>
      <c r="H3" s="54"/>
      <c r="I3" s="54"/>
      <c r="J3" s="56"/>
      <c r="K3" s="54"/>
      <c r="L3" s="54"/>
      <c r="M3" s="56"/>
      <c r="N3" s="56"/>
      <c r="O3" s="54"/>
      <c r="P3" s="54"/>
      <c r="Q3" s="57"/>
    </row>
    <row r="4" spans="1:71">
      <c r="B4" s="127" t="s">
        <v>397</v>
      </c>
      <c r="C4" s="54"/>
      <c r="D4" s="56"/>
      <c r="E4" s="54"/>
      <c r="F4" s="54"/>
      <c r="G4" s="54"/>
      <c r="H4" s="56"/>
      <c r="I4" s="56"/>
      <c r="J4" s="56"/>
      <c r="K4" s="54"/>
      <c r="L4" s="54"/>
      <c r="M4" s="56"/>
      <c r="N4" s="56"/>
      <c r="O4" s="54"/>
      <c r="P4" s="54"/>
      <c r="Q4" s="57"/>
    </row>
    <row r="5" spans="1:71">
      <c r="B5" s="54"/>
      <c r="C5" s="54"/>
      <c r="D5" s="56"/>
      <c r="E5" s="54"/>
      <c r="F5" s="62"/>
      <c r="G5" s="56"/>
      <c r="H5" s="56"/>
      <c r="I5" s="56"/>
      <c r="J5" s="56"/>
      <c r="K5" s="54"/>
      <c r="L5" s="54"/>
      <c r="M5" s="56"/>
      <c r="N5" s="56"/>
      <c r="O5" s="54"/>
      <c r="P5" s="54"/>
      <c r="Q5" s="63"/>
    </row>
    <row r="6" spans="1:71">
      <c r="B6" s="64" t="s">
        <v>358</v>
      </c>
      <c r="D6" s="56"/>
      <c r="E6" s="54"/>
      <c r="F6" s="65"/>
      <c r="G6" s="56"/>
      <c r="H6" s="65"/>
      <c r="I6" s="65"/>
      <c r="J6" s="56"/>
      <c r="K6" s="54"/>
      <c r="L6" s="54"/>
      <c r="M6" s="56"/>
      <c r="N6" s="56"/>
      <c r="O6" s="54"/>
      <c r="P6" s="54"/>
      <c r="Q6" s="63"/>
    </row>
    <row r="7" spans="1:71" s="59" customFormat="1">
      <c r="C7" s="119"/>
      <c r="D7" s="128"/>
      <c r="E7" s="129"/>
      <c r="F7" s="128" t="s">
        <v>267</v>
      </c>
      <c r="G7" s="128"/>
      <c r="H7" s="119"/>
      <c r="I7" s="119"/>
      <c r="J7" s="119"/>
      <c r="M7" s="119"/>
      <c r="N7" s="119"/>
      <c r="Q7" s="79"/>
      <c r="T7" s="79"/>
    </row>
    <row r="8" spans="1:71" s="59" customFormat="1">
      <c r="C8" s="76"/>
      <c r="D8" s="76" t="s">
        <v>268</v>
      </c>
      <c r="E8" s="77" t="s">
        <v>269</v>
      </c>
      <c r="F8" s="76" t="s">
        <v>270</v>
      </c>
      <c r="G8" s="128"/>
      <c r="H8" s="76" t="s">
        <v>260</v>
      </c>
      <c r="I8" s="76" t="s">
        <v>271</v>
      </c>
      <c r="J8" s="76" t="s">
        <v>359</v>
      </c>
      <c r="K8" s="77" t="s">
        <v>272</v>
      </c>
      <c r="L8" s="77"/>
      <c r="M8" s="77" t="s">
        <v>269</v>
      </c>
      <c r="N8" s="76" t="s">
        <v>269</v>
      </c>
      <c r="O8" s="77"/>
      <c r="P8" s="77"/>
      <c r="Q8" s="77"/>
      <c r="S8" s="79"/>
      <c r="T8" s="130"/>
      <c r="BS8" s="59" t="s">
        <v>978</v>
      </c>
    </row>
    <row r="9" spans="1:71" s="59" customFormat="1">
      <c r="B9" s="77"/>
      <c r="C9" s="76"/>
      <c r="D9" s="76" t="s">
        <v>273</v>
      </c>
      <c r="E9" s="76" t="s">
        <v>274</v>
      </c>
      <c r="F9" s="76" t="s">
        <v>275</v>
      </c>
      <c r="G9" s="128" t="s">
        <v>269</v>
      </c>
      <c r="H9" s="76" t="s">
        <v>276</v>
      </c>
      <c r="I9" s="74" t="s">
        <v>405</v>
      </c>
      <c r="J9" s="76" t="s">
        <v>401</v>
      </c>
      <c r="K9" s="77" t="s">
        <v>277</v>
      </c>
      <c r="L9" s="77" t="s">
        <v>369</v>
      </c>
      <c r="M9" s="77" t="s">
        <v>353</v>
      </c>
      <c r="N9" s="76" t="s">
        <v>362</v>
      </c>
      <c r="O9" s="77" t="s">
        <v>279</v>
      </c>
      <c r="P9" s="77" t="s">
        <v>280</v>
      </c>
      <c r="Q9" s="77"/>
      <c r="S9" s="77"/>
      <c r="T9" s="131"/>
    </row>
    <row r="10" spans="1:71" s="59" customFormat="1">
      <c r="B10" s="83" t="s">
        <v>281</v>
      </c>
      <c r="C10" s="83" t="s">
        <v>282</v>
      </c>
      <c r="D10" s="82" t="s">
        <v>208</v>
      </c>
      <c r="E10" s="83" t="s">
        <v>284</v>
      </c>
      <c r="F10" s="82" t="s">
        <v>283</v>
      </c>
      <c r="G10" s="82" t="s">
        <v>285</v>
      </c>
      <c r="H10" s="82" t="s">
        <v>286</v>
      </c>
      <c r="I10" s="81" t="s">
        <v>287</v>
      </c>
      <c r="J10" s="82" t="s">
        <v>287</v>
      </c>
      <c r="K10" s="83" t="s">
        <v>287</v>
      </c>
      <c r="L10" s="83" t="s">
        <v>287</v>
      </c>
      <c r="M10" s="77" t="s">
        <v>354</v>
      </c>
      <c r="N10" s="82" t="s">
        <v>208</v>
      </c>
      <c r="O10" s="83" t="s">
        <v>286</v>
      </c>
      <c r="P10" s="83" t="s">
        <v>208</v>
      </c>
      <c r="Q10" s="77"/>
      <c r="R10" s="76"/>
      <c r="S10" s="76"/>
      <c r="T10" s="131"/>
    </row>
    <row r="11" spans="1:71" s="119" customFormat="1">
      <c r="B11" s="76"/>
      <c r="C11" s="76" t="s">
        <v>288</v>
      </c>
      <c r="D11" s="76" t="s">
        <v>289</v>
      </c>
      <c r="E11" s="76" t="s">
        <v>290</v>
      </c>
      <c r="F11" s="76" t="s">
        <v>291</v>
      </c>
      <c r="G11" s="76" t="s">
        <v>292</v>
      </c>
      <c r="H11" s="76" t="s">
        <v>293</v>
      </c>
      <c r="I11" s="76" t="s">
        <v>294</v>
      </c>
      <c r="J11" s="76" t="s">
        <v>296</v>
      </c>
      <c r="K11" s="76" t="s">
        <v>295</v>
      </c>
      <c r="L11" s="76" t="s">
        <v>297</v>
      </c>
      <c r="M11" s="76" t="s">
        <v>298</v>
      </c>
      <c r="N11" s="76" t="s">
        <v>299</v>
      </c>
      <c r="O11" s="76" t="s">
        <v>326</v>
      </c>
      <c r="P11" s="76" t="s">
        <v>300</v>
      </c>
      <c r="Q11" s="76"/>
      <c r="R11" s="76"/>
      <c r="S11" s="132"/>
      <c r="T11" s="133"/>
    </row>
    <row r="12" spans="1:71" s="119" customFormat="1">
      <c r="B12" s="119">
        <v>1</v>
      </c>
      <c r="C12" s="134" t="s">
        <v>302</v>
      </c>
      <c r="D12" s="88">
        <v>654362406.74000001</v>
      </c>
      <c r="E12" s="88">
        <v>-25777809.989999998</v>
      </c>
      <c r="F12" s="88">
        <v>-900522.76500000025</v>
      </c>
      <c r="G12" s="88">
        <v>40734168.64726422</v>
      </c>
      <c r="H12" s="88">
        <v>1700321.4595857717</v>
      </c>
      <c r="I12" s="88">
        <v>-7187151.6226399997</v>
      </c>
      <c r="J12" s="88">
        <v>5529935.4382999996</v>
      </c>
      <c r="K12" s="88">
        <v>18575351.095000029</v>
      </c>
      <c r="L12" s="88">
        <v>87551.920000000013</v>
      </c>
      <c r="M12" s="88"/>
      <c r="N12" s="88"/>
      <c r="O12" s="135">
        <f t="shared" ref="O12:O21" si="0">P12-D12</f>
        <v>32761844.182510018</v>
      </c>
      <c r="P12" s="88">
        <v>687124250.92251003</v>
      </c>
      <c r="Q12" s="95"/>
      <c r="R12" s="132"/>
      <c r="S12" s="132"/>
      <c r="T12" s="136"/>
    </row>
    <row r="13" spans="1:71" s="119" customFormat="1">
      <c r="B13" s="119">
        <f t="shared" ref="B13:B22" si="1">B12+1</f>
        <v>2</v>
      </c>
      <c r="C13" s="137" t="s">
        <v>370</v>
      </c>
      <c r="D13" s="95">
        <v>217474950.19</v>
      </c>
      <c r="E13" s="95">
        <v>-10868603.229999999</v>
      </c>
      <c r="F13" s="95">
        <v>-213762.66000000003</v>
      </c>
      <c r="G13" s="95">
        <v>14316570.5908597</v>
      </c>
      <c r="H13" s="95">
        <v>852981.69201031921</v>
      </c>
      <c r="I13" s="95">
        <v>-3547543.6510800123</v>
      </c>
      <c r="J13" s="95">
        <v>1582176.3456100225</v>
      </c>
      <c r="K13" s="95">
        <v>7038716.6255999804</v>
      </c>
      <c r="L13" s="95">
        <v>31482.895840000001</v>
      </c>
      <c r="M13" s="95"/>
      <c r="N13" s="95"/>
      <c r="O13" s="138">
        <f t="shared" si="0"/>
        <v>9192018.6088400185</v>
      </c>
      <c r="P13" s="95">
        <v>226666968.79884002</v>
      </c>
      <c r="Q13" s="95"/>
      <c r="R13" s="132"/>
      <c r="S13" s="132"/>
      <c r="T13" s="136"/>
    </row>
    <row r="14" spans="1:71" s="119" customFormat="1">
      <c r="B14" s="119">
        <f t="shared" si="1"/>
        <v>3</v>
      </c>
      <c r="C14" s="134" t="s">
        <v>225</v>
      </c>
      <c r="D14" s="95">
        <v>72787298.170000017</v>
      </c>
      <c r="E14" s="95">
        <v>-3674938.12</v>
      </c>
      <c r="F14" s="95">
        <v>-24772.74</v>
      </c>
      <c r="G14" s="95">
        <v>5776441.6019587796</v>
      </c>
      <c r="H14" s="95">
        <v>-731601.38435880421</v>
      </c>
      <c r="I14" s="95">
        <v>-1886129.2180299908</v>
      </c>
      <c r="J14" s="95">
        <v>261104.12633000314</v>
      </c>
      <c r="K14" s="95">
        <v>1554852.1058999896</v>
      </c>
      <c r="L14" s="95">
        <v>10604.887859999999</v>
      </c>
      <c r="M14" s="95"/>
      <c r="N14" s="95"/>
      <c r="O14" s="138">
        <f t="shared" si="0"/>
        <v>1285561.2596599758</v>
      </c>
      <c r="P14" s="95">
        <v>74072859.429659992</v>
      </c>
      <c r="Q14" s="95"/>
      <c r="R14" s="132"/>
      <c r="S14" s="132"/>
      <c r="T14" s="136"/>
    </row>
    <row r="15" spans="1:71" s="119" customFormat="1">
      <c r="B15" s="119">
        <f t="shared" si="1"/>
        <v>4</v>
      </c>
      <c r="C15" s="139" t="s">
        <v>342</v>
      </c>
      <c r="D15" s="95">
        <v>907847.49</v>
      </c>
      <c r="E15" s="95">
        <v>-41358.97</v>
      </c>
      <c r="F15" s="95">
        <v>0</v>
      </c>
      <c r="G15" s="95">
        <v>174618.5262504702</v>
      </c>
      <c r="H15" s="95">
        <v>-173210.44469047</v>
      </c>
      <c r="I15" s="95">
        <v>0</v>
      </c>
      <c r="J15" s="95">
        <v>12246.01390999998</v>
      </c>
      <c r="K15" s="95">
        <v>0</v>
      </c>
      <c r="L15" s="95">
        <v>0</v>
      </c>
      <c r="M15" s="95"/>
      <c r="N15" s="95"/>
      <c r="O15" s="138">
        <f t="shared" si="0"/>
        <v>-27704.874529999914</v>
      </c>
      <c r="P15" s="95">
        <v>880142.61547000008</v>
      </c>
      <c r="Q15" s="95"/>
      <c r="R15" s="132"/>
      <c r="S15" s="132"/>
      <c r="T15" s="136"/>
    </row>
    <row r="16" spans="1:71" s="119" customFormat="1">
      <c r="B16" s="119">
        <f t="shared" si="1"/>
        <v>5</v>
      </c>
      <c r="C16" s="134" t="s">
        <v>224</v>
      </c>
      <c r="D16" s="95">
        <v>13002663.85</v>
      </c>
      <c r="E16" s="95">
        <v>-462764.05</v>
      </c>
      <c r="F16" s="95">
        <v>0</v>
      </c>
      <c r="G16" s="95">
        <v>1226815.3749089313</v>
      </c>
      <c r="H16" s="95">
        <v>118442.38893606886</v>
      </c>
      <c r="I16" s="95">
        <v>-384855.32368000038</v>
      </c>
      <c r="J16" s="95">
        <v>17591.745009999722</v>
      </c>
      <c r="K16" s="95">
        <v>131109.60024000145</v>
      </c>
      <c r="L16" s="95">
        <v>2522.0616</v>
      </c>
      <c r="M16" s="95"/>
      <c r="N16" s="95"/>
      <c r="O16" s="138">
        <f t="shared" si="0"/>
        <v>648861.797015002</v>
      </c>
      <c r="P16" s="95">
        <v>13651525.647015002</v>
      </c>
      <c r="Q16" s="95"/>
      <c r="R16" s="132"/>
      <c r="S16" s="132"/>
      <c r="T16" s="136"/>
    </row>
    <row r="17" spans="2:20" s="119" customFormat="1">
      <c r="B17" s="119">
        <f t="shared" si="1"/>
        <v>6</v>
      </c>
      <c r="C17" s="139" t="s">
        <v>343</v>
      </c>
      <c r="D17" s="95">
        <v>7579999.7899999991</v>
      </c>
      <c r="E17" s="95">
        <v>-370962.39</v>
      </c>
      <c r="F17" s="95">
        <v>0</v>
      </c>
      <c r="G17" s="95">
        <v>98702.64073111616</v>
      </c>
      <c r="H17" s="95">
        <v>-291164.14093111455</v>
      </c>
      <c r="I17" s="95">
        <v>0</v>
      </c>
      <c r="J17" s="95">
        <v>66384.282689999789</v>
      </c>
      <c r="K17" s="95">
        <v>0</v>
      </c>
      <c r="L17" s="95">
        <v>0</v>
      </c>
      <c r="M17" s="95"/>
      <c r="N17" s="95"/>
      <c r="O17" s="138">
        <f t="shared" si="0"/>
        <v>-497039.60750999954</v>
      </c>
      <c r="P17" s="95">
        <v>7082960.1824899996</v>
      </c>
      <c r="Q17" s="95"/>
      <c r="R17" s="132"/>
      <c r="S17" s="132"/>
      <c r="T17" s="136"/>
    </row>
    <row r="18" spans="2:20" s="119" customFormat="1">
      <c r="B18" s="119">
        <f t="shared" si="1"/>
        <v>7</v>
      </c>
      <c r="C18" s="134" t="s">
        <v>226</v>
      </c>
      <c r="D18" s="95">
        <v>12613002.25</v>
      </c>
      <c r="E18" s="95">
        <v>-623179.6</v>
      </c>
      <c r="F18" s="95">
        <v>0</v>
      </c>
      <c r="G18" s="95">
        <v>1128127.4284940723</v>
      </c>
      <c r="H18" s="95">
        <v>-74631.447944071144</v>
      </c>
      <c r="I18" s="95">
        <v>-210244.34339999966</v>
      </c>
      <c r="J18" s="95">
        <v>30462.306749997661</v>
      </c>
      <c r="K18" s="95">
        <v>258395.18850000203</v>
      </c>
      <c r="L18" s="95">
        <v>2130.2576999999997</v>
      </c>
      <c r="M18" s="95"/>
      <c r="N18" s="95"/>
      <c r="O18" s="138">
        <f t="shared" si="0"/>
        <v>511059.7901000008</v>
      </c>
      <c r="P18" s="95">
        <v>13124062.040100001</v>
      </c>
      <c r="Q18" s="95"/>
      <c r="R18" s="132"/>
      <c r="S18" s="132"/>
      <c r="T18" s="136"/>
    </row>
    <row r="19" spans="2:20" s="119" customFormat="1">
      <c r="B19" s="119">
        <f t="shared" si="1"/>
        <v>8</v>
      </c>
      <c r="C19" s="134" t="s">
        <v>227</v>
      </c>
      <c r="D19" s="95">
        <v>21635438.539999995</v>
      </c>
      <c r="E19" s="95">
        <v>-892597.92</v>
      </c>
      <c r="F19" s="95">
        <v>0</v>
      </c>
      <c r="G19" s="95">
        <v>2225708.8303283677</v>
      </c>
      <c r="H19" s="95">
        <v>-12139.059148360044</v>
      </c>
      <c r="I19" s="95">
        <v>-808948.41624999791</v>
      </c>
      <c r="J19" s="95">
        <v>17355.045309998095</v>
      </c>
      <c r="K19" s="95">
        <v>164577.45625999942</v>
      </c>
      <c r="L19" s="95">
        <v>4432.1133</v>
      </c>
      <c r="M19" s="95"/>
      <c r="N19" s="95"/>
      <c r="O19" s="138">
        <f t="shared" si="0"/>
        <v>698388.04980000854</v>
      </c>
      <c r="P19" s="95">
        <v>22333826.589800004</v>
      </c>
      <c r="Q19" s="95"/>
      <c r="R19" s="132"/>
      <c r="S19" s="132"/>
      <c r="T19" s="136"/>
    </row>
    <row r="20" spans="2:20" s="119" customFormat="1">
      <c r="B20" s="119">
        <f t="shared" si="1"/>
        <v>9</v>
      </c>
      <c r="C20" s="139" t="s">
        <v>344</v>
      </c>
      <c r="D20" s="95">
        <v>4313953.6900000004</v>
      </c>
      <c r="E20" s="95">
        <v>-255977.81</v>
      </c>
      <c r="F20" s="95">
        <v>0</v>
      </c>
      <c r="G20" s="95">
        <v>31272.309999999998</v>
      </c>
      <c r="H20" s="95">
        <v>-3544.950260000769</v>
      </c>
      <c r="I20" s="95">
        <v>0</v>
      </c>
      <c r="J20" s="95">
        <v>41424.523009999655</v>
      </c>
      <c r="K20" s="95">
        <v>9589.8546100002714</v>
      </c>
      <c r="L20" s="95">
        <v>0</v>
      </c>
      <c r="M20" s="95"/>
      <c r="N20" s="95"/>
      <c r="O20" s="138">
        <f t="shared" si="0"/>
        <v>-177236.07264000038</v>
      </c>
      <c r="P20" s="95">
        <v>4136717.61736</v>
      </c>
      <c r="Q20" s="95"/>
      <c r="R20" s="132"/>
      <c r="S20" s="132"/>
      <c r="T20" s="136"/>
    </row>
    <row r="21" spans="2:20" s="119" customFormat="1">
      <c r="B21" s="119">
        <f t="shared" si="1"/>
        <v>10</v>
      </c>
      <c r="C21" s="134" t="s">
        <v>303</v>
      </c>
      <c r="D21" s="95">
        <v>1605143.93</v>
      </c>
      <c r="E21" s="95">
        <v>-81654.039999999994</v>
      </c>
      <c r="F21" s="95">
        <v>0</v>
      </c>
      <c r="G21" s="95">
        <v>17309.46</v>
      </c>
      <c r="H21" s="95">
        <v>1710.9901600002777</v>
      </c>
      <c r="I21" s="95">
        <v>0</v>
      </c>
      <c r="J21" s="95">
        <v>82015.785020000068</v>
      </c>
      <c r="K21" s="95">
        <v>11361.578549999977</v>
      </c>
      <c r="L21" s="95">
        <v>0</v>
      </c>
      <c r="M21" s="95"/>
      <c r="N21" s="95"/>
      <c r="O21" s="138">
        <f t="shared" si="0"/>
        <v>30743.773730000015</v>
      </c>
      <c r="P21" s="95">
        <v>1635887.70373</v>
      </c>
      <c r="Q21" s="95"/>
      <c r="R21" s="132"/>
      <c r="S21" s="132"/>
      <c r="T21" s="136"/>
    </row>
    <row r="22" spans="2:20" s="119" customFormat="1">
      <c r="B22" s="119">
        <f t="shared" si="1"/>
        <v>11</v>
      </c>
      <c r="C22" s="134" t="s">
        <v>304</v>
      </c>
      <c r="D22" s="114">
        <f t="shared" ref="D22:P22" si="2">SUM(D12:D21)</f>
        <v>1006282704.6400001</v>
      </c>
      <c r="E22" s="114">
        <f t="shared" si="2"/>
        <v>-43049846.119999997</v>
      </c>
      <c r="F22" s="114">
        <f t="shared" si="2"/>
        <v>-1139058.1650000003</v>
      </c>
      <c r="G22" s="114">
        <f t="shared" si="2"/>
        <v>65729735.410795666</v>
      </c>
      <c r="H22" s="114">
        <f t="shared" si="2"/>
        <v>1387165.1033593391</v>
      </c>
      <c r="I22" s="114">
        <f>SUM(I12:I21)</f>
        <v>-14024872.57508</v>
      </c>
      <c r="J22" s="114">
        <f t="shared" si="2"/>
        <v>7640695.6119400207</v>
      </c>
      <c r="K22" s="114">
        <f t="shared" si="2"/>
        <v>27743953.504659999</v>
      </c>
      <c r="L22" s="114">
        <f t="shared" si="2"/>
        <v>138724.13629999998</v>
      </c>
      <c r="M22" s="114">
        <f t="shared" si="2"/>
        <v>0</v>
      </c>
      <c r="N22" s="114"/>
      <c r="O22" s="114">
        <f t="shared" si="2"/>
        <v>44426496.906975023</v>
      </c>
      <c r="P22" s="114">
        <f t="shared" si="2"/>
        <v>1050709201.546975</v>
      </c>
      <c r="Q22" s="117"/>
      <c r="R22" s="132"/>
      <c r="S22" s="132"/>
      <c r="T22" s="117"/>
    </row>
    <row r="23" spans="2:20" s="119" customFormat="1">
      <c r="C23" s="134"/>
      <c r="D23" s="140"/>
      <c r="E23" s="140"/>
      <c r="F23" s="140"/>
      <c r="G23" s="140"/>
      <c r="H23" s="140"/>
      <c r="I23" s="140"/>
      <c r="J23" s="140"/>
      <c r="K23" s="140"/>
      <c r="L23" s="140"/>
      <c r="M23" s="140"/>
      <c r="N23" s="140"/>
      <c r="O23" s="140"/>
      <c r="P23" s="140"/>
      <c r="Q23" s="140">
        <f>SUM(Q12:Q21)-Q22</f>
        <v>0</v>
      </c>
      <c r="S23" s="132"/>
      <c r="T23" s="141"/>
    </row>
    <row r="24" spans="2:20" s="119" customFormat="1">
      <c r="B24" s="119">
        <f>B22+1</f>
        <v>12</v>
      </c>
      <c r="C24" s="134" t="s">
        <v>305</v>
      </c>
      <c r="D24" s="109">
        <v>8094618.4000000004</v>
      </c>
      <c r="E24" s="109">
        <v>-389885.95</v>
      </c>
      <c r="F24" s="109">
        <v>0</v>
      </c>
      <c r="G24" s="109">
        <v>0</v>
      </c>
      <c r="H24" s="109">
        <v>63179.490000000224</v>
      </c>
      <c r="I24" s="109">
        <v>0</v>
      </c>
      <c r="J24" s="109">
        <v>155330.19999999925</v>
      </c>
      <c r="K24" s="109">
        <v>0</v>
      </c>
      <c r="L24" s="109">
        <v>0</v>
      </c>
      <c r="M24" s="109">
        <v>0</v>
      </c>
      <c r="N24" s="109"/>
      <c r="O24" s="140">
        <f>P24-D24</f>
        <v>-171376.26000000071</v>
      </c>
      <c r="P24" s="95">
        <v>7923242.1399999997</v>
      </c>
      <c r="Q24" s="117"/>
      <c r="R24" s="132"/>
      <c r="S24" s="132"/>
      <c r="T24" s="141"/>
    </row>
    <row r="25" spans="2:20" s="119" customFormat="1">
      <c r="B25" s="119">
        <f>B24+1</f>
        <v>13</v>
      </c>
      <c r="C25" s="134" t="s">
        <v>306</v>
      </c>
      <c r="D25" s="109">
        <v>8861935.1600000001</v>
      </c>
      <c r="E25" s="109">
        <v>0</v>
      </c>
      <c r="F25" s="140">
        <v>1139058.1650000003</v>
      </c>
      <c r="G25" s="88">
        <v>0</v>
      </c>
      <c r="H25" s="88">
        <v>0</v>
      </c>
      <c r="I25" s="109">
        <v>0</v>
      </c>
      <c r="J25" s="88">
        <v>0</v>
      </c>
      <c r="K25" s="109">
        <v>0</v>
      </c>
      <c r="L25" s="109">
        <v>0</v>
      </c>
      <c r="M25" s="109">
        <v>-1523002</v>
      </c>
      <c r="N25" s="109">
        <v>-1291875</v>
      </c>
      <c r="O25" s="140">
        <f>P25-D25</f>
        <v>-1675818.834999999</v>
      </c>
      <c r="P25" s="95">
        <v>7186116.3250000011</v>
      </c>
      <c r="Q25" s="117"/>
      <c r="R25" s="132"/>
      <c r="S25" s="132"/>
      <c r="T25" s="141"/>
    </row>
    <row r="26" spans="2:20" s="119" customFormat="1">
      <c r="B26" s="119">
        <f>B25+1</f>
        <v>14</v>
      </c>
      <c r="C26" s="134" t="s">
        <v>307</v>
      </c>
      <c r="D26" s="114">
        <f t="shared" ref="D26:P26" si="3">SUM(D24:D25)</f>
        <v>16956553.560000002</v>
      </c>
      <c r="E26" s="114">
        <f t="shared" si="3"/>
        <v>-389885.95</v>
      </c>
      <c r="F26" s="114">
        <f t="shared" si="3"/>
        <v>1139058.1650000003</v>
      </c>
      <c r="G26" s="114">
        <f t="shared" si="3"/>
        <v>0</v>
      </c>
      <c r="H26" s="114">
        <f t="shared" si="3"/>
        <v>63179.490000000224</v>
      </c>
      <c r="I26" s="114">
        <f>SUM(I24:I25)</f>
        <v>0</v>
      </c>
      <c r="J26" s="114">
        <f t="shared" si="3"/>
        <v>155330.19999999925</v>
      </c>
      <c r="K26" s="114">
        <f t="shared" si="3"/>
        <v>0</v>
      </c>
      <c r="L26" s="114">
        <f t="shared" si="3"/>
        <v>0</v>
      </c>
      <c r="M26" s="114">
        <f t="shared" si="3"/>
        <v>-1523002</v>
      </c>
      <c r="N26" s="114">
        <f t="shared" si="3"/>
        <v>-1291875</v>
      </c>
      <c r="O26" s="114">
        <f t="shared" si="3"/>
        <v>-1847195.0949999997</v>
      </c>
      <c r="P26" s="114">
        <f t="shared" si="3"/>
        <v>15109358.465</v>
      </c>
      <c r="Q26" s="117"/>
      <c r="R26" s="132"/>
      <c r="S26" s="132"/>
      <c r="T26" s="141"/>
    </row>
    <row r="27" spans="2:20" s="119" customFormat="1">
      <c r="B27" s="119">
        <f>B26+1</f>
        <v>15</v>
      </c>
      <c r="C27" s="134" t="s">
        <v>308</v>
      </c>
      <c r="D27" s="114">
        <f t="shared" ref="D27:P27" si="4">D22+D26</f>
        <v>1023239258.2</v>
      </c>
      <c r="E27" s="114">
        <f t="shared" si="4"/>
        <v>-43439732.07</v>
      </c>
      <c r="F27" s="114">
        <f t="shared" si="4"/>
        <v>0</v>
      </c>
      <c r="G27" s="114">
        <f t="shared" si="4"/>
        <v>65729735.410795666</v>
      </c>
      <c r="H27" s="114">
        <f t="shared" si="4"/>
        <v>1450344.5933593393</v>
      </c>
      <c r="I27" s="114">
        <f>I22+I26</f>
        <v>-14024872.57508</v>
      </c>
      <c r="J27" s="114">
        <f t="shared" si="4"/>
        <v>7796025.81194002</v>
      </c>
      <c r="K27" s="114">
        <f t="shared" si="4"/>
        <v>27743953.504659999</v>
      </c>
      <c r="L27" s="114">
        <f t="shared" si="4"/>
        <v>138724.13629999998</v>
      </c>
      <c r="M27" s="114">
        <f t="shared" si="4"/>
        <v>-1523002</v>
      </c>
      <c r="N27" s="114">
        <f t="shared" si="4"/>
        <v>-1291875</v>
      </c>
      <c r="O27" s="114">
        <f t="shared" si="4"/>
        <v>42579301.811975025</v>
      </c>
      <c r="P27" s="114">
        <f t="shared" si="4"/>
        <v>1065818560.011975</v>
      </c>
      <c r="Q27" s="117"/>
      <c r="R27" s="132"/>
      <c r="S27" s="132"/>
      <c r="T27" s="141"/>
    </row>
    <row r="28" spans="2:20" s="119" customFormat="1">
      <c r="C28" s="134"/>
      <c r="D28" s="117"/>
      <c r="E28" s="117"/>
      <c r="F28" s="117"/>
      <c r="G28" s="117"/>
      <c r="H28" s="117"/>
      <c r="I28" s="117"/>
      <c r="J28" s="117"/>
      <c r="K28" s="117"/>
      <c r="L28" s="117"/>
      <c r="M28" s="117"/>
      <c r="N28" s="117"/>
      <c r="O28" s="117"/>
      <c r="P28" s="117"/>
      <c r="Q28" s="117"/>
      <c r="S28" s="132"/>
      <c r="T28" s="141"/>
    </row>
    <row r="29" spans="2:20" s="119" customFormat="1">
      <c r="B29" s="119">
        <f>B27+1</f>
        <v>16</v>
      </c>
      <c r="C29" s="134" t="s">
        <v>309</v>
      </c>
      <c r="D29" s="109">
        <v>625401551.93000019</v>
      </c>
      <c r="E29" s="117"/>
      <c r="F29" s="117"/>
      <c r="G29" s="117"/>
      <c r="H29" s="117"/>
      <c r="I29" s="117"/>
      <c r="J29" s="117"/>
      <c r="K29" s="117"/>
      <c r="L29" s="117"/>
      <c r="M29" s="117"/>
      <c r="N29" s="117"/>
      <c r="O29" s="117"/>
      <c r="P29" s="118">
        <v>629304267.66749418</v>
      </c>
      <c r="Q29" s="118"/>
      <c r="T29" s="141"/>
    </row>
    <row r="30" spans="2:20" s="119" customFormat="1">
      <c r="B30" s="119">
        <f>B29+1</f>
        <v>17</v>
      </c>
      <c r="C30" s="134" t="s">
        <v>310</v>
      </c>
      <c r="D30" s="109"/>
      <c r="E30" s="117"/>
      <c r="F30" s="117"/>
      <c r="G30" s="117"/>
      <c r="H30" s="117"/>
      <c r="I30" s="117"/>
      <c r="J30" s="117"/>
      <c r="K30" s="117"/>
      <c r="L30" s="117"/>
      <c r="M30" s="117"/>
      <c r="N30" s="117"/>
      <c r="O30" s="117"/>
      <c r="P30" s="118">
        <v>657871281.3820802</v>
      </c>
      <c r="Q30" s="118"/>
      <c r="T30" s="141"/>
    </row>
    <row r="31" spans="2:20" s="69" customFormat="1">
      <c r="C31" s="142"/>
      <c r="D31" s="109"/>
      <c r="E31" s="111"/>
      <c r="F31" s="111"/>
      <c r="G31" s="111"/>
      <c r="H31" s="111"/>
      <c r="I31" s="111"/>
      <c r="J31" s="111"/>
      <c r="K31" s="111"/>
      <c r="L31" s="111"/>
      <c r="M31" s="111"/>
      <c r="N31" s="111"/>
      <c r="O31" s="111"/>
      <c r="P31" s="118"/>
      <c r="Q31" s="118"/>
      <c r="T31" s="143"/>
    </row>
    <row r="32" spans="2:20">
      <c r="C32" s="60"/>
      <c r="D32" s="111"/>
      <c r="E32" s="105"/>
      <c r="F32" s="105"/>
      <c r="G32" s="105"/>
      <c r="H32" s="105"/>
      <c r="I32" s="105"/>
      <c r="J32" s="111"/>
      <c r="K32" s="105"/>
      <c r="L32" s="105"/>
      <c r="M32" s="111"/>
      <c r="N32" s="111"/>
      <c r="O32" s="105"/>
      <c r="P32" s="105"/>
      <c r="Q32" s="105"/>
    </row>
    <row r="33" spans="2:20">
      <c r="B33" s="144" t="s">
        <v>311</v>
      </c>
      <c r="D33" s="111"/>
      <c r="E33" s="105"/>
      <c r="F33" s="105"/>
      <c r="G33" s="105"/>
      <c r="H33" s="105"/>
      <c r="I33" s="105"/>
      <c r="J33" s="111"/>
      <c r="K33" s="105"/>
      <c r="L33" s="105"/>
      <c r="M33" s="111"/>
      <c r="N33" s="111"/>
      <c r="O33" s="105"/>
      <c r="P33" s="105"/>
      <c r="Q33" s="105"/>
    </row>
    <row r="34" spans="2:20" s="59" customFormat="1">
      <c r="C34" s="139"/>
      <c r="D34" s="119"/>
      <c r="E34" s="77" t="s">
        <v>280</v>
      </c>
      <c r="F34" s="77" t="s">
        <v>280</v>
      </c>
      <c r="G34" s="77"/>
      <c r="H34" s="92"/>
      <c r="I34" s="92"/>
      <c r="J34" s="119"/>
      <c r="K34" s="92"/>
      <c r="L34" s="92"/>
      <c r="M34" s="117"/>
      <c r="N34" s="117"/>
      <c r="O34" s="92"/>
      <c r="P34" s="92"/>
      <c r="Q34" s="92"/>
      <c r="T34" s="79"/>
    </row>
    <row r="35" spans="2:20" s="59" customFormat="1">
      <c r="C35" s="139"/>
      <c r="D35" s="119"/>
      <c r="E35" s="77" t="s">
        <v>312</v>
      </c>
      <c r="F35" s="77" t="s">
        <v>312</v>
      </c>
      <c r="G35" s="77" t="s">
        <v>280</v>
      </c>
      <c r="H35" s="92"/>
      <c r="I35" s="92"/>
      <c r="J35" s="119"/>
      <c r="K35" s="92"/>
      <c r="L35" s="92"/>
      <c r="M35" s="117"/>
      <c r="N35" s="117"/>
      <c r="O35" s="92"/>
      <c r="P35" s="92"/>
      <c r="Q35" s="92"/>
      <c r="T35" s="79"/>
    </row>
    <row r="36" spans="2:20" s="59" customFormat="1">
      <c r="C36" s="139"/>
      <c r="D36" s="119"/>
      <c r="E36" s="83" t="s">
        <v>313</v>
      </c>
      <c r="F36" s="83" t="s">
        <v>314</v>
      </c>
      <c r="G36" s="84" t="s">
        <v>315</v>
      </c>
      <c r="H36" s="92"/>
      <c r="I36" s="92"/>
      <c r="J36" s="119"/>
      <c r="K36" s="92"/>
      <c r="L36" s="92"/>
      <c r="M36" s="117"/>
      <c r="N36" s="117"/>
      <c r="O36" s="92"/>
      <c r="P36" s="92"/>
      <c r="Q36" s="92"/>
      <c r="T36" s="79"/>
    </row>
    <row r="37" spans="2:20" s="119" customFormat="1">
      <c r="C37" s="134"/>
      <c r="E37" s="135" t="s">
        <v>301</v>
      </c>
      <c r="F37" s="135" t="s">
        <v>316</v>
      </c>
      <c r="G37" s="135" t="s">
        <v>317</v>
      </c>
      <c r="H37" s="117"/>
      <c r="I37" s="117"/>
      <c r="K37" s="117"/>
      <c r="L37" s="117"/>
      <c r="M37" s="117"/>
      <c r="N37" s="117"/>
      <c r="O37" s="117"/>
      <c r="P37" s="117"/>
      <c r="Q37" s="117"/>
      <c r="T37" s="141"/>
    </row>
    <row r="38" spans="2:20" s="59" customFormat="1">
      <c r="B38" s="59">
        <f>B30+1</f>
        <v>18</v>
      </c>
      <c r="C38" s="139" t="s">
        <v>302</v>
      </c>
      <c r="D38" s="119"/>
      <c r="E38" s="145">
        <v>412059311.95170999</v>
      </c>
      <c r="F38" s="145">
        <v>394176426.19183397</v>
      </c>
      <c r="G38" s="146">
        <f t="shared" ref="G38:G47" si="5">P12-E38</f>
        <v>275064938.97080004</v>
      </c>
      <c r="H38" s="92"/>
      <c r="I38" s="92"/>
      <c r="J38" s="119"/>
      <c r="K38" s="92"/>
      <c r="L38" s="92"/>
      <c r="M38" s="117"/>
      <c r="N38" s="117"/>
      <c r="O38" s="92"/>
      <c r="P38" s="92"/>
      <c r="Q38" s="92"/>
      <c r="R38" s="147"/>
      <c r="T38" s="79"/>
    </row>
    <row r="39" spans="2:20" s="59" customFormat="1">
      <c r="B39" s="59">
        <f t="shared" ref="B39:B48" si="6">B38+1</f>
        <v>19</v>
      </c>
      <c r="C39" s="137" t="s">
        <v>370</v>
      </c>
      <c r="D39" s="119"/>
      <c r="E39" s="145">
        <v>147137281.38923001</v>
      </c>
      <c r="F39" s="145">
        <v>140752156.57668</v>
      </c>
      <c r="G39" s="146">
        <f t="shared" si="5"/>
        <v>79529687.409610003</v>
      </c>
      <c r="H39" s="92"/>
      <c r="I39" s="92"/>
      <c r="J39" s="119"/>
      <c r="K39" s="92"/>
      <c r="L39" s="92"/>
      <c r="M39" s="117"/>
      <c r="N39" s="117"/>
      <c r="O39" s="92"/>
      <c r="P39" s="92"/>
      <c r="Q39" s="92"/>
      <c r="R39" s="147"/>
      <c r="T39" s="79"/>
    </row>
    <row r="40" spans="2:20" s="59" customFormat="1">
      <c r="B40" s="59">
        <f t="shared" si="6"/>
        <v>20</v>
      </c>
      <c r="C40" s="139" t="s">
        <v>225</v>
      </c>
      <c r="D40" s="119"/>
      <c r="E40" s="145">
        <v>55888092.530939996</v>
      </c>
      <c r="F40" s="145">
        <v>53441521.806059994</v>
      </c>
      <c r="G40" s="146">
        <f t="shared" si="5"/>
        <v>18184766.898719996</v>
      </c>
      <c r="H40" s="92"/>
      <c r="I40" s="92"/>
      <c r="J40" s="119"/>
      <c r="K40" s="92"/>
      <c r="L40" s="92"/>
      <c r="M40" s="117"/>
      <c r="N40" s="117"/>
      <c r="O40" s="92"/>
      <c r="P40" s="92"/>
      <c r="Q40" s="92"/>
      <c r="R40" s="147"/>
      <c r="T40" s="79"/>
    </row>
    <row r="41" spans="2:20" s="59" customFormat="1">
      <c r="B41" s="59">
        <f t="shared" si="6"/>
        <v>21</v>
      </c>
      <c r="C41" s="139" t="s">
        <v>342</v>
      </c>
      <c r="D41" s="119"/>
      <c r="E41" s="145">
        <v>3092.6615999999999</v>
      </c>
      <c r="F41" s="145">
        <v>3092.6615999999999</v>
      </c>
      <c r="G41" s="146">
        <f t="shared" si="5"/>
        <v>877049.95387000008</v>
      </c>
      <c r="H41" s="92"/>
      <c r="I41" s="92"/>
      <c r="J41" s="119"/>
      <c r="K41" s="92"/>
      <c r="L41" s="92"/>
      <c r="M41" s="117"/>
      <c r="N41" s="117"/>
      <c r="O41" s="92"/>
      <c r="P41" s="92"/>
      <c r="Q41" s="92"/>
      <c r="R41" s="147"/>
      <c r="T41" s="79"/>
    </row>
    <row r="42" spans="2:20" s="59" customFormat="1">
      <c r="B42" s="59">
        <f t="shared" si="6"/>
        <v>22</v>
      </c>
      <c r="C42" s="139" t="s">
        <v>224</v>
      </c>
      <c r="D42" s="119"/>
      <c r="E42" s="145">
        <v>11889730.360640001</v>
      </c>
      <c r="F42" s="145">
        <v>11373289.380480001</v>
      </c>
      <c r="G42" s="146">
        <f t="shared" si="5"/>
        <v>1761795.2863750011</v>
      </c>
      <c r="H42" s="92"/>
      <c r="I42" s="92"/>
      <c r="J42" s="119"/>
      <c r="K42" s="92"/>
      <c r="L42" s="92"/>
      <c r="M42" s="117"/>
      <c r="N42" s="117"/>
      <c r="O42" s="92"/>
      <c r="P42" s="92"/>
      <c r="Q42" s="92"/>
      <c r="R42" s="147"/>
      <c r="T42" s="79"/>
    </row>
    <row r="43" spans="2:20" s="59" customFormat="1">
      <c r="B43" s="59">
        <f t="shared" si="6"/>
        <v>23</v>
      </c>
      <c r="C43" s="139" t="s">
        <v>343</v>
      </c>
      <c r="D43" s="119"/>
      <c r="E43" s="145">
        <v>45986.854899999998</v>
      </c>
      <c r="F43" s="145">
        <v>45986.854899999998</v>
      </c>
      <c r="G43" s="146">
        <f t="shared" si="5"/>
        <v>7036973.3275899999</v>
      </c>
      <c r="H43" s="92"/>
      <c r="I43" s="92"/>
      <c r="J43" s="119"/>
      <c r="K43" s="92"/>
      <c r="L43" s="92"/>
      <c r="M43" s="117"/>
      <c r="N43" s="117"/>
      <c r="O43" s="92"/>
      <c r="P43" s="92"/>
      <c r="Q43" s="92"/>
      <c r="R43" s="147"/>
      <c r="T43" s="79"/>
    </row>
    <row r="44" spans="2:20" s="59" customFormat="1">
      <c r="B44" s="59">
        <f t="shared" si="6"/>
        <v>24</v>
      </c>
      <c r="C44" s="139" t="s">
        <v>226</v>
      </c>
      <c r="D44" s="119"/>
      <c r="E44" s="145">
        <v>10122048.432779999</v>
      </c>
      <c r="F44" s="145">
        <v>9682279.3306999989</v>
      </c>
      <c r="G44" s="146">
        <f t="shared" si="5"/>
        <v>3002013.6073200013</v>
      </c>
      <c r="H44" s="92"/>
      <c r="I44" s="92"/>
      <c r="J44" s="119"/>
      <c r="K44" s="92"/>
      <c r="L44" s="92"/>
      <c r="M44" s="117"/>
      <c r="N44" s="117"/>
      <c r="O44" s="92"/>
      <c r="P44" s="92"/>
      <c r="Q44" s="92"/>
      <c r="R44" s="147"/>
      <c r="T44" s="79"/>
    </row>
    <row r="45" spans="2:20" s="59" customFormat="1">
      <c r="B45" s="59">
        <f t="shared" si="6"/>
        <v>25</v>
      </c>
      <c r="C45" s="139" t="s">
        <v>227</v>
      </c>
      <c r="D45" s="119"/>
      <c r="E45" s="145">
        <v>20653200.148280002</v>
      </c>
      <c r="F45" s="145">
        <v>19756977.813239999</v>
      </c>
      <c r="G45" s="146">
        <f t="shared" si="5"/>
        <v>1680626.4415200017</v>
      </c>
      <c r="H45" s="92"/>
      <c r="I45" s="92"/>
      <c r="J45" s="119"/>
      <c r="K45" s="92"/>
      <c r="L45" s="92"/>
      <c r="M45" s="117"/>
      <c r="N45" s="117"/>
      <c r="O45" s="92"/>
      <c r="P45" s="92"/>
      <c r="Q45" s="92"/>
      <c r="R45" s="147"/>
      <c r="T45" s="79"/>
    </row>
    <row r="46" spans="2:20" s="59" customFormat="1">
      <c r="B46" s="59">
        <f t="shared" si="6"/>
        <v>26</v>
      </c>
      <c r="C46" s="139" t="s">
        <v>344</v>
      </c>
      <c r="D46" s="119"/>
      <c r="E46" s="145">
        <v>72537.052000000011</v>
      </c>
      <c r="F46" s="145">
        <v>72537.052000000011</v>
      </c>
      <c r="G46" s="146">
        <f t="shared" si="5"/>
        <v>4064180.5653599999</v>
      </c>
      <c r="H46" s="92"/>
      <c r="I46" s="92"/>
      <c r="J46" s="119"/>
      <c r="K46" s="92"/>
      <c r="L46" s="92"/>
      <c r="M46" s="117"/>
      <c r="N46" s="117"/>
      <c r="O46" s="92"/>
      <c r="P46" s="92"/>
      <c r="Q46" s="92"/>
      <c r="R46" s="147"/>
      <c r="T46" s="79"/>
    </row>
    <row r="47" spans="2:20" s="59" customFormat="1">
      <c r="B47" s="59">
        <f t="shared" si="6"/>
        <v>27</v>
      </c>
      <c r="C47" s="139" t="s">
        <v>319</v>
      </c>
      <c r="D47" s="119"/>
      <c r="E47" s="145">
        <v>0</v>
      </c>
      <c r="F47" s="145">
        <v>0</v>
      </c>
      <c r="G47" s="146">
        <f t="shared" si="5"/>
        <v>1635887.70373</v>
      </c>
      <c r="H47" s="92"/>
      <c r="I47" s="92"/>
      <c r="J47" s="119"/>
      <c r="K47" s="92"/>
      <c r="L47" s="92"/>
      <c r="M47" s="117"/>
      <c r="N47" s="117"/>
      <c r="O47" s="92"/>
      <c r="P47" s="92"/>
      <c r="Q47" s="92"/>
      <c r="R47" s="147"/>
      <c r="T47" s="79"/>
    </row>
    <row r="48" spans="2:20" s="59" customFormat="1">
      <c r="B48" s="59">
        <f t="shared" si="6"/>
        <v>28</v>
      </c>
      <c r="C48" s="139" t="s">
        <v>304</v>
      </c>
      <c r="D48" s="119"/>
      <c r="E48" s="148">
        <f>SUM(E38:E47)</f>
        <v>657871281.3820802</v>
      </c>
      <c r="F48" s="148">
        <f>SUM(F38:F47)</f>
        <v>629304267.66749418</v>
      </c>
      <c r="G48" s="148">
        <f>SUM(G38:G47)</f>
        <v>392837920.16489506</v>
      </c>
      <c r="H48" s="92"/>
      <c r="I48" s="92"/>
      <c r="J48" s="119"/>
      <c r="K48" s="92"/>
      <c r="L48" s="92"/>
      <c r="M48" s="117"/>
      <c r="N48" s="117"/>
      <c r="O48" s="92"/>
      <c r="P48" s="92"/>
      <c r="Q48" s="92"/>
      <c r="R48" s="147"/>
      <c r="T48" s="79"/>
    </row>
    <row r="49" spans="2:18">
      <c r="D49" s="120"/>
      <c r="E49" s="121"/>
      <c r="F49" s="149"/>
      <c r="G49" s="121"/>
      <c r="H49" s="121"/>
      <c r="I49" s="121"/>
      <c r="J49" s="120"/>
      <c r="K49" s="121"/>
      <c r="L49" s="121"/>
      <c r="M49" s="120"/>
      <c r="N49" s="120"/>
      <c r="O49" s="121"/>
      <c r="P49" s="121"/>
      <c r="Q49" s="122"/>
      <c r="R49" s="121"/>
    </row>
    <row r="51" spans="2:18">
      <c r="B51" s="58" t="s">
        <v>371</v>
      </c>
    </row>
    <row r="52" spans="2:18">
      <c r="B52" s="126" t="s">
        <v>372</v>
      </c>
    </row>
    <row r="53" spans="2:18">
      <c r="B53" s="69" t="s">
        <v>373</v>
      </c>
    </row>
    <row r="54" spans="2:18">
      <c r="B54" s="69" t="s">
        <v>374</v>
      </c>
    </row>
    <row r="55" spans="2:18">
      <c r="B55" s="69"/>
    </row>
    <row r="56" spans="2:18">
      <c r="B56" s="69"/>
    </row>
    <row r="57" spans="2:18">
      <c r="D57" s="72"/>
      <c r="E57" s="72"/>
      <c r="F57" s="72"/>
      <c r="G57" s="72"/>
      <c r="H57" s="72"/>
      <c r="I57" s="72"/>
      <c r="J57" s="107"/>
      <c r="K57" s="72"/>
      <c r="L57" s="72"/>
      <c r="M57" s="107"/>
      <c r="N57" s="107"/>
      <c r="O57" s="72"/>
      <c r="P57" s="72"/>
    </row>
  </sheetData>
  <phoneticPr fontId="0" type="noConversion"/>
  <printOptions horizontalCentered="1"/>
  <pageMargins left="0" right="0" top="0.84" bottom="0.75" header="0.5" footer="0.25"/>
  <pageSetup scale="60" fitToHeight="0" orientation="landscape" blackAndWhite="1" horizontalDpi="300" verticalDpi="300" r:id="rId1"/>
  <headerFooter alignWithMargins="0">
    <oddFooter>&amp;L&amp;F  &amp;A&amp;R&amp;D</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B1:BS52"/>
  <sheetViews>
    <sheetView workbookViewId="0">
      <selection activeCell="N26" sqref="N26"/>
    </sheetView>
  </sheetViews>
  <sheetFormatPr defaultRowHeight="12.75"/>
  <cols>
    <col min="1" max="1" width="2.33203125" style="161" customWidth="1"/>
    <col min="2" max="2" width="35.33203125" style="161" customWidth="1"/>
    <col min="3" max="3" width="20.33203125" style="161" customWidth="1"/>
    <col min="4" max="4" width="18.83203125" style="161" customWidth="1"/>
    <col min="5" max="5" width="17.6640625" style="161" customWidth="1"/>
    <col min="6" max="6" width="16.6640625" style="161" customWidth="1"/>
    <col min="7" max="7" width="13" style="161" bestFit="1" customWidth="1"/>
    <col min="8" max="8" width="11" style="161" bestFit="1" customWidth="1"/>
    <col min="9" max="9" width="10.33203125" style="161" bestFit="1" customWidth="1"/>
    <col min="10" max="10" width="19.1640625" style="161" customWidth="1"/>
    <col min="11" max="11" width="19" style="161" customWidth="1"/>
    <col min="12" max="12" width="17.5" style="161" customWidth="1"/>
    <col min="13" max="13" width="18.83203125" style="161" customWidth="1"/>
    <col min="14" max="14" width="15.83203125" style="161" customWidth="1"/>
    <col min="15" max="15" width="9.33203125" style="161" bestFit="1"/>
    <col min="16" max="16" width="13.1640625" style="161" bestFit="1" customWidth="1"/>
    <col min="17" max="17" width="9.33203125" style="161"/>
    <col min="18" max="18" width="19.1640625" style="161" bestFit="1" customWidth="1"/>
    <col min="19" max="16384" width="9.33203125" style="161"/>
  </cols>
  <sheetData>
    <row r="1" spans="2:71">
      <c r="B1" s="159" t="s">
        <v>266</v>
      </c>
      <c r="C1" s="160"/>
      <c r="D1" s="160"/>
      <c r="E1" s="160"/>
      <c r="F1" s="160"/>
      <c r="G1" s="160"/>
      <c r="H1" s="160"/>
      <c r="I1" s="160"/>
      <c r="J1" s="160"/>
      <c r="K1" s="160"/>
      <c r="L1" s="160"/>
      <c r="M1" s="160"/>
      <c r="N1" s="159"/>
      <c r="O1" s="160"/>
      <c r="P1" s="160"/>
    </row>
    <row r="2" spans="2:71">
      <c r="B2" s="159" t="s">
        <v>409</v>
      </c>
      <c r="C2" s="160"/>
      <c r="D2" s="160"/>
      <c r="E2" s="160"/>
      <c r="F2" s="160"/>
      <c r="G2" s="160" t="s">
        <v>980</v>
      </c>
      <c r="H2" s="160"/>
      <c r="I2" s="160"/>
      <c r="J2" s="160"/>
      <c r="K2" s="160"/>
      <c r="L2" s="160"/>
      <c r="M2" s="160"/>
      <c r="N2" s="159"/>
      <c r="O2" s="160"/>
      <c r="P2" s="160"/>
    </row>
    <row r="3" spans="2:71">
      <c r="B3" s="159" t="s">
        <v>410</v>
      </c>
      <c r="C3" s="160"/>
      <c r="D3" s="160"/>
      <c r="E3" s="160"/>
      <c r="F3" s="160"/>
      <c r="G3" s="160"/>
      <c r="H3" s="160"/>
      <c r="I3" s="160"/>
      <c r="J3" s="160"/>
      <c r="K3" s="160"/>
      <c r="L3" s="160"/>
      <c r="M3" s="160"/>
      <c r="N3" s="159"/>
      <c r="O3" s="160"/>
      <c r="P3" s="160"/>
    </row>
    <row r="4" spans="2:71">
      <c r="B4" s="159" t="s">
        <v>411</v>
      </c>
      <c r="C4" s="160"/>
      <c r="D4" s="160"/>
      <c r="E4" s="160"/>
      <c r="F4" s="160"/>
      <c r="G4" s="160"/>
      <c r="H4" s="160"/>
      <c r="I4" s="160"/>
      <c r="J4" s="160"/>
      <c r="K4" s="160"/>
      <c r="L4" s="160"/>
      <c r="M4" s="160"/>
      <c r="N4" s="159"/>
      <c r="O4" s="160"/>
      <c r="P4" s="160"/>
    </row>
    <row r="5" spans="2:71" s="162" customFormat="1">
      <c r="K5" s="163"/>
    </row>
    <row r="6" spans="2:71">
      <c r="B6" s="160"/>
      <c r="J6" s="164"/>
    </row>
    <row r="7" spans="2:71">
      <c r="B7" s="160"/>
    </row>
    <row r="8" spans="2:71">
      <c r="C8" s="165" t="s">
        <v>280</v>
      </c>
      <c r="D8" s="165" t="s">
        <v>280</v>
      </c>
      <c r="E8" s="165" t="s">
        <v>280</v>
      </c>
      <c r="G8" s="166" t="s">
        <v>412</v>
      </c>
      <c r="I8" s="166"/>
      <c r="J8" s="167" t="s">
        <v>413</v>
      </c>
      <c r="K8" s="168"/>
      <c r="L8" s="165" t="s">
        <v>280</v>
      </c>
      <c r="M8" s="168"/>
      <c r="N8" s="169"/>
      <c r="BS8" s="161" t="s">
        <v>978</v>
      </c>
    </row>
    <row r="9" spans="2:71">
      <c r="C9" s="165" t="s">
        <v>414</v>
      </c>
      <c r="D9" s="165" t="s">
        <v>313</v>
      </c>
      <c r="E9" s="165" t="s">
        <v>315</v>
      </c>
      <c r="G9" s="166" t="s">
        <v>415</v>
      </c>
      <c r="H9" s="166" t="s">
        <v>416</v>
      </c>
      <c r="I9" s="166" t="s">
        <v>413</v>
      </c>
      <c r="J9" s="166" t="s">
        <v>315</v>
      </c>
      <c r="K9" s="170" t="s">
        <v>417</v>
      </c>
      <c r="L9" s="165" t="s">
        <v>313</v>
      </c>
      <c r="M9" s="170" t="s">
        <v>417</v>
      </c>
      <c r="N9" s="170" t="s">
        <v>417</v>
      </c>
      <c r="O9" s="167" t="s">
        <v>412</v>
      </c>
      <c r="P9" s="166" t="s">
        <v>418</v>
      </c>
    </row>
    <row r="10" spans="2:71">
      <c r="C10" s="165" t="s">
        <v>419</v>
      </c>
      <c r="D10" s="165" t="s">
        <v>420</v>
      </c>
      <c r="E10" s="165" t="s">
        <v>420</v>
      </c>
      <c r="F10" s="166" t="s">
        <v>421</v>
      </c>
      <c r="G10" s="166" t="s">
        <v>422</v>
      </c>
      <c r="H10" s="166" t="s">
        <v>423</v>
      </c>
      <c r="I10" s="166" t="s">
        <v>315</v>
      </c>
      <c r="J10" s="166" t="s">
        <v>424</v>
      </c>
      <c r="K10" s="166" t="s">
        <v>315</v>
      </c>
      <c r="L10" s="165" t="s">
        <v>420</v>
      </c>
      <c r="M10" s="166" t="s">
        <v>279</v>
      </c>
      <c r="N10" s="166" t="s">
        <v>425</v>
      </c>
      <c r="O10" s="166" t="s">
        <v>426</v>
      </c>
      <c r="P10" s="166" t="s">
        <v>427</v>
      </c>
    </row>
    <row r="11" spans="2:71">
      <c r="B11" s="171" t="s">
        <v>282</v>
      </c>
      <c r="C11" s="171" t="s">
        <v>428</v>
      </c>
      <c r="D11" s="171" t="s">
        <v>429</v>
      </c>
      <c r="E11" s="171" t="s">
        <v>428</v>
      </c>
      <c r="F11" s="172" t="s">
        <v>430</v>
      </c>
      <c r="G11" s="172" t="s">
        <v>319</v>
      </c>
      <c r="H11" s="172" t="s">
        <v>431</v>
      </c>
      <c r="I11" s="172" t="s">
        <v>431</v>
      </c>
      <c r="J11" s="172" t="s">
        <v>319</v>
      </c>
      <c r="K11" s="172" t="s">
        <v>208</v>
      </c>
      <c r="L11" s="171" t="s">
        <v>429</v>
      </c>
      <c r="M11" s="172" t="s">
        <v>208</v>
      </c>
      <c r="N11" s="172" t="s">
        <v>315</v>
      </c>
      <c r="O11" s="172" t="s">
        <v>431</v>
      </c>
      <c r="P11" s="172" t="s">
        <v>432</v>
      </c>
    </row>
    <row r="12" spans="2:71">
      <c r="B12" s="167" t="s">
        <v>288</v>
      </c>
      <c r="C12" s="166" t="s">
        <v>289</v>
      </c>
      <c r="D12" s="166" t="s">
        <v>290</v>
      </c>
      <c r="E12" s="166" t="s">
        <v>291</v>
      </c>
      <c r="F12" s="166" t="s">
        <v>292</v>
      </c>
      <c r="G12" s="166" t="s">
        <v>293</v>
      </c>
      <c r="H12" s="166" t="s">
        <v>294</v>
      </c>
      <c r="I12" s="166" t="s">
        <v>296</v>
      </c>
      <c r="J12" s="166" t="s">
        <v>295</v>
      </c>
      <c r="K12" s="166" t="s">
        <v>297</v>
      </c>
      <c r="L12" s="166" t="s">
        <v>298</v>
      </c>
      <c r="M12" s="166" t="s">
        <v>299</v>
      </c>
      <c r="N12" s="166" t="s">
        <v>326</v>
      </c>
      <c r="O12" s="166" t="s">
        <v>300</v>
      </c>
      <c r="P12" s="166" t="s">
        <v>301</v>
      </c>
      <c r="R12" s="164"/>
      <c r="S12" s="164"/>
      <c r="T12" s="164"/>
    </row>
    <row r="13" spans="2:71">
      <c r="B13" s="173" t="s">
        <v>302</v>
      </c>
      <c r="C13" s="174">
        <v>687124250.92251003</v>
      </c>
      <c r="D13" s="174">
        <v>412059311.95170999</v>
      </c>
      <c r="E13" s="174">
        <f t="shared" ref="E13:E18" si="0">C13-D13</f>
        <v>275064938.97080004</v>
      </c>
      <c r="F13" s="175">
        <v>547214121.99619997</v>
      </c>
      <c r="G13" s="176">
        <f t="shared" ref="G13:G19" si="1">E13/SUM(E$13:E$19)</f>
        <v>0.70312758152171917</v>
      </c>
      <c r="H13" s="177">
        <v>1</v>
      </c>
      <c r="I13" s="178">
        <f t="shared" ref="I13:I19" si="2">$J$29*$J$30*H13</f>
        <v>6.2890325096770408E-2</v>
      </c>
      <c r="J13" s="179">
        <f t="shared" ref="J13:J20" si="3">E13*I13</f>
        <v>17298923.434596926</v>
      </c>
      <c r="K13" s="174">
        <v>292022577.22999996</v>
      </c>
      <c r="L13" s="179">
        <f t="shared" ref="L13:L20" si="4">D13</f>
        <v>412059311.95170999</v>
      </c>
      <c r="M13" s="179">
        <f t="shared" ref="M13:M20" si="5">SUM(K13:L13)</f>
        <v>704081889.18171</v>
      </c>
      <c r="N13" s="174">
        <f t="shared" ref="N13:N20" si="6">K13-E13</f>
        <v>16957638.259199917</v>
      </c>
      <c r="O13" s="177">
        <f t="shared" ref="O13:O21" si="7">N13/C13</f>
        <v>2.4679143890545503E-2</v>
      </c>
      <c r="P13" s="174">
        <f t="shared" ref="P13:P19" si="8">N13-J13</f>
        <v>-341285.17539700866</v>
      </c>
      <c r="R13" s="180"/>
      <c r="S13" s="164"/>
      <c r="T13" s="164"/>
    </row>
    <row r="14" spans="2:71">
      <c r="B14" s="181" t="s">
        <v>370</v>
      </c>
      <c r="C14" s="182">
        <v>226666968.79884002</v>
      </c>
      <c r="D14" s="182">
        <v>147137281.38923001</v>
      </c>
      <c r="E14" s="182">
        <f t="shared" si="0"/>
        <v>79529687.409610003</v>
      </c>
      <c r="F14" s="175">
        <v>196768099</v>
      </c>
      <c r="G14" s="176">
        <f t="shared" si="1"/>
        <v>0.20329569074389967</v>
      </c>
      <c r="H14" s="177">
        <v>1</v>
      </c>
      <c r="I14" s="178">
        <f t="shared" si="2"/>
        <v>6.2890325096770408E-2</v>
      </c>
      <c r="J14" s="183">
        <f t="shared" si="3"/>
        <v>5001647.896034902</v>
      </c>
      <c r="K14" s="182">
        <v>84431086.350000009</v>
      </c>
      <c r="L14" s="183">
        <f t="shared" si="4"/>
        <v>147137281.38923001</v>
      </c>
      <c r="M14" s="183">
        <f t="shared" si="5"/>
        <v>231568367.73923004</v>
      </c>
      <c r="N14" s="182">
        <f t="shared" si="6"/>
        <v>4901398.9403900057</v>
      </c>
      <c r="O14" s="177">
        <f t="shared" si="7"/>
        <v>2.1623790031532326E-2</v>
      </c>
      <c r="P14" s="174">
        <f t="shared" si="8"/>
        <v>-100248.95564489625</v>
      </c>
      <c r="R14" s="180"/>
      <c r="S14" s="164"/>
      <c r="T14" s="164"/>
    </row>
    <row r="15" spans="2:71">
      <c r="B15" s="184" t="s">
        <v>433</v>
      </c>
      <c r="C15" s="182">
        <v>74953002.045129985</v>
      </c>
      <c r="D15" s="182">
        <v>55891185.192539997</v>
      </c>
      <c r="E15" s="182">
        <f t="shared" si="0"/>
        <v>19061816.852589987</v>
      </c>
      <c r="F15" s="175">
        <v>80167287</v>
      </c>
      <c r="G15" s="176">
        <f t="shared" si="1"/>
        <v>4.8726272541751867E-2</v>
      </c>
      <c r="H15" s="177">
        <v>1</v>
      </c>
      <c r="I15" s="178">
        <f t="shared" si="2"/>
        <v>6.2890325096770408E-2</v>
      </c>
      <c r="J15" s="183">
        <f t="shared" si="3"/>
        <v>1198803.8587944813</v>
      </c>
      <c r="K15" s="182">
        <v>20235998.42746</v>
      </c>
      <c r="L15" s="183">
        <f t="shared" si="4"/>
        <v>55891185.192539997</v>
      </c>
      <c r="M15" s="183">
        <f t="shared" si="5"/>
        <v>76127183.620000005</v>
      </c>
      <c r="N15" s="182">
        <f t="shared" si="6"/>
        <v>1174181.5748700127</v>
      </c>
      <c r="O15" s="177">
        <f t="shared" si="7"/>
        <v>1.5665570995582349E-2</v>
      </c>
      <c r="P15" s="174">
        <f t="shared" si="8"/>
        <v>-24622.28392446856</v>
      </c>
      <c r="R15" s="180"/>
      <c r="S15" s="164"/>
      <c r="T15" s="164"/>
    </row>
    <row r="16" spans="2:71">
      <c r="B16" s="173" t="s">
        <v>434</v>
      </c>
      <c r="C16" s="182">
        <v>20734485.829505004</v>
      </c>
      <c r="D16" s="182">
        <v>11935717.215540001</v>
      </c>
      <c r="E16" s="182">
        <f t="shared" si="0"/>
        <v>8798768.6139650028</v>
      </c>
      <c r="F16" s="175">
        <v>82509251</v>
      </c>
      <c r="G16" s="176">
        <f t="shared" si="1"/>
        <v>2.2491622956581813E-2</v>
      </c>
      <c r="H16" s="177">
        <v>1</v>
      </c>
      <c r="I16" s="178">
        <f t="shared" si="2"/>
        <v>6.2890325096770408E-2</v>
      </c>
      <c r="J16" s="183">
        <f t="shared" si="3"/>
        <v>553357.41858351894</v>
      </c>
      <c r="K16" s="182">
        <v>9340499.1300000008</v>
      </c>
      <c r="L16" s="183">
        <f t="shared" si="4"/>
        <v>11935717.215540001</v>
      </c>
      <c r="M16" s="183">
        <f t="shared" si="5"/>
        <v>21276216.345540002</v>
      </c>
      <c r="N16" s="182">
        <f t="shared" si="6"/>
        <v>541730.516034998</v>
      </c>
      <c r="O16" s="177">
        <f t="shared" si="7"/>
        <v>2.6127029167230177E-2</v>
      </c>
      <c r="P16" s="174">
        <f t="shared" si="8"/>
        <v>-11626.902548520942</v>
      </c>
      <c r="R16" s="180"/>
      <c r="S16" s="164"/>
      <c r="T16" s="164"/>
    </row>
    <row r="17" spans="2:20">
      <c r="B17" s="184" t="s">
        <v>226</v>
      </c>
      <c r="C17" s="182">
        <v>13124062.040100001</v>
      </c>
      <c r="D17" s="182">
        <v>10122048.432779999</v>
      </c>
      <c r="E17" s="182">
        <f t="shared" si="0"/>
        <v>3002013.6073200013</v>
      </c>
      <c r="F17" s="175">
        <v>14201718</v>
      </c>
      <c r="G17" s="176">
        <f t="shared" si="1"/>
        <v>7.6738190454519531E-3</v>
      </c>
      <c r="H17" s="177">
        <v>1</v>
      </c>
      <c r="I17" s="178">
        <f t="shared" si="2"/>
        <v>6.2890325096770408E-2</v>
      </c>
      <c r="J17" s="183">
        <f t="shared" si="3"/>
        <v>188797.61170928334</v>
      </c>
      <c r="K17" s="182">
        <v>3187075.36</v>
      </c>
      <c r="L17" s="183">
        <f t="shared" si="4"/>
        <v>10122048.432779999</v>
      </c>
      <c r="M17" s="183">
        <f t="shared" si="5"/>
        <v>13309123.792779999</v>
      </c>
      <c r="N17" s="182">
        <f t="shared" si="6"/>
        <v>185061.75267999852</v>
      </c>
      <c r="O17" s="177">
        <f t="shared" si="7"/>
        <v>1.4100950766199549E-2</v>
      </c>
      <c r="P17" s="174">
        <f t="shared" si="8"/>
        <v>-3735.8590292848239</v>
      </c>
      <c r="R17" s="180"/>
      <c r="S17" s="164"/>
      <c r="T17" s="164"/>
    </row>
    <row r="18" spans="2:20">
      <c r="B18" s="184" t="s">
        <v>435</v>
      </c>
      <c r="C18" s="182">
        <v>26470544.207160003</v>
      </c>
      <c r="D18" s="182">
        <v>20725737.200280003</v>
      </c>
      <c r="E18" s="182">
        <f t="shared" si="0"/>
        <v>5744807.0068800002</v>
      </c>
      <c r="F18" s="175">
        <v>133171782</v>
      </c>
      <c r="G18" s="176">
        <f t="shared" si="1"/>
        <v>1.4685013190595559E-2</v>
      </c>
      <c r="H18" s="177">
        <v>1</v>
      </c>
      <c r="I18" s="178">
        <f t="shared" si="2"/>
        <v>6.2890325096770408E-2</v>
      </c>
      <c r="J18" s="183">
        <f t="shared" si="3"/>
        <v>361292.78028088779</v>
      </c>
      <c r="K18" s="182">
        <v>6098959.3600000003</v>
      </c>
      <c r="L18" s="183">
        <f t="shared" si="4"/>
        <v>20725737.200280003</v>
      </c>
      <c r="M18" s="183">
        <f t="shared" si="5"/>
        <v>26824696.560280003</v>
      </c>
      <c r="N18" s="182">
        <f t="shared" si="6"/>
        <v>354152.3531200001</v>
      </c>
      <c r="O18" s="177">
        <f t="shared" si="7"/>
        <v>1.3379111148920226E-2</v>
      </c>
      <c r="P18" s="174">
        <f t="shared" si="8"/>
        <v>-7140.4271608876879</v>
      </c>
      <c r="R18" s="180"/>
      <c r="S18" s="164"/>
      <c r="T18" s="164"/>
    </row>
    <row r="19" spans="2:20">
      <c r="B19" s="173" t="s">
        <v>305</v>
      </c>
      <c r="C19" s="182">
        <v>7923242.1399999997</v>
      </c>
      <c r="D19" s="182">
        <v>0</v>
      </c>
      <c r="E19" s="183"/>
      <c r="F19" s="175">
        <v>0</v>
      </c>
      <c r="G19" s="176">
        <f t="shared" si="1"/>
        <v>0</v>
      </c>
      <c r="H19" s="177">
        <v>1</v>
      </c>
      <c r="I19" s="178">
        <f t="shared" si="2"/>
        <v>6.2890325096770408E-2</v>
      </c>
      <c r="J19" s="183">
        <f t="shared" si="3"/>
        <v>0</v>
      </c>
      <c r="K19" s="182"/>
      <c r="L19" s="182">
        <f t="shared" si="4"/>
        <v>0</v>
      </c>
      <c r="M19" s="183">
        <f t="shared" si="5"/>
        <v>0</v>
      </c>
      <c r="N19" s="182">
        <f>K19-E19</f>
        <v>0</v>
      </c>
      <c r="O19" s="177">
        <f t="shared" si="7"/>
        <v>0</v>
      </c>
      <c r="P19" s="174">
        <f t="shared" si="8"/>
        <v>0</v>
      </c>
      <c r="R19" s="180"/>
      <c r="S19" s="164"/>
      <c r="T19" s="164"/>
    </row>
    <row r="20" spans="2:20" s="164" customFormat="1">
      <c r="B20" s="184" t="s">
        <v>319</v>
      </c>
      <c r="C20" s="182">
        <v>1635887.70373</v>
      </c>
      <c r="D20" s="182">
        <v>0</v>
      </c>
      <c r="E20" s="182">
        <f>C20-D20</f>
        <v>1635887.70373</v>
      </c>
      <c r="F20" s="175">
        <v>36150597</v>
      </c>
      <c r="G20" s="176"/>
      <c r="H20" s="178"/>
      <c r="I20" s="178"/>
      <c r="J20" s="183">
        <f t="shared" si="3"/>
        <v>0</v>
      </c>
      <c r="K20" s="182">
        <f>E20+40181</f>
        <v>1676068.70373</v>
      </c>
      <c r="L20" s="183">
        <f t="shared" si="4"/>
        <v>0</v>
      </c>
      <c r="M20" s="182">
        <f t="shared" si="5"/>
        <v>1676068.70373</v>
      </c>
      <c r="N20" s="182">
        <f t="shared" si="6"/>
        <v>40181</v>
      </c>
      <c r="O20" s="185">
        <f t="shared" si="7"/>
        <v>2.4562199415267317E-2</v>
      </c>
      <c r="P20" s="174"/>
      <c r="R20" s="186"/>
    </row>
    <row r="21" spans="2:20">
      <c r="B21" s="161" t="s">
        <v>436</v>
      </c>
      <c r="C21" s="187">
        <f>SUM(C13:C20)</f>
        <v>1058632443.686975</v>
      </c>
      <c r="D21" s="187">
        <f>SUM(D13:D20)</f>
        <v>657871281.38208008</v>
      </c>
      <c r="E21" s="187">
        <f>SUM(E13:E20)</f>
        <v>392837920.164895</v>
      </c>
      <c r="F21" s="188">
        <f>SUM(F13:F20)</f>
        <v>1090182855.9962001</v>
      </c>
      <c r="G21" s="189">
        <f>SUM(G13:G20)</f>
        <v>1</v>
      </c>
      <c r="H21" s="178"/>
      <c r="I21" s="178"/>
      <c r="J21" s="187">
        <f>SUM(J13:J20)</f>
        <v>24602823</v>
      </c>
      <c r="K21" s="187">
        <f>SUM(K13:K20)</f>
        <v>416992264.56119001</v>
      </c>
      <c r="L21" s="190">
        <f>SUM(L13:L20)</f>
        <v>657871281.38208008</v>
      </c>
      <c r="M21" s="187">
        <f>SUM(M13:M20)</f>
        <v>1074863545.9432702</v>
      </c>
      <c r="N21" s="190">
        <f>SUM(N13:N20)</f>
        <v>24154344.396294933</v>
      </c>
      <c r="O21" s="177">
        <f t="shared" si="7"/>
        <v>2.281655407439703E-2</v>
      </c>
      <c r="P21" s="190">
        <f>SUM(P13:P20)</f>
        <v>-488659.6037050669</v>
      </c>
      <c r="R21" s="164"/>
      <c r="S21" s="164"/>
      <c r="T21" s="164"/>
    </row>
    <row r="22" spans="2:20">
      <c r="B22" s="173"/>
      <c r="C22" s="183"/>
      <c r="D22" s="183"/>
      <c r="E22" s="183"/>
      <c r="F22" s="175"/>
      <c r="G22" s="176"/>
      <c r="H22" s="178"/>
      <c r="I22" s="178"/>
      <c r="J22" s="183"/>
      <c r="K22" s="183"/>
      <c r="L22" s="182"/>
      <c r="M22" s="183"/>
      <c r="N22" s="182"/>
      <c r="O22" s="177"/>
      <c r="P22" s="174"/>
      <c r="R22" s="164"/>
      <c r="S22" s="164"/>
      <c r="T22" s="164"/>
    </row>
    <row r="23" spans="2:20">
      <c r="B23" s="173" t="s">
        <v>437</v>
      </c>
      <c r="C23" s="183">
        <v>7186116.3250000011</v>
      </c>
      <c r="D23" s="183"/>
      <c r="E23" s="183">
        <f>C23</f>
        <v>7186116.3250000011</v>
      </c>
      <c r="F23" s="175"/>
      <c r="G23" s="176"/>
      <c r="H23" s="191"/>
      <c r="I23" s="191"/>
      <c r="J23" s="183"/>
      <c r="K23" s="183">
        <f>E23</f>
        <v>7186116.3250000011</v>
      </c>
      <c r="L23" s="182"/>
      <c r="M23" s="183">
        <f>SUM(K23:L23)</f>
        <v>7186116.3250000011</v>
      </c>
      <c r="N23" s="182"/>
      <c r="O23" s="185">
        <f>N23/C23</f>
        <v>0</v>
      </c>
      <c r="P23" s="164"/>
    </row>
    <row r="24" spans="2:20">
      <c r="B24" s="173" t="s">
        <v>279</v>
      </c>
      <c r="C24" s="187">
        <f>SUM(C21:C23)</f>
        <v>1065818560.011975</v>
      </c>
      <c r="D24" s="187">
        <f>SUM(D21:D23)</f>
        <v>657871281.38208008</v>
      </c>
      <c r="E24" s="187">
        <f>SUM(E21:E23)</f>
        <v>400024036.48989499</v>
      </c>
      <c r="F24" s="188">
        <f>SUM(F21:F23)</f>
        <v>1090182855.9962001</v>
      </c>
      <c r="G24" s="192"/>
      <c r="H24" s="191"/>
      <c r="I24" s="178"/>
      <c r="J24" s="187">
        <f>SUM(J21:J23)</f>
        <v>24602823</v>
      </c>
      <c r="K24" s="187">
        <f>SUM(K21:K23)</f>
        <v>424178380.88619</v>
      </c>
      <c r="L24" s="190">
        <f>SUM(L21:L23)</f>
        <v>657871281.38208008</v>
      </c>
      <c r="M24" s="187">
        <f>SUM(M21:M23)</f>
        <v>1082049662.2682703</v>
      </c>
      <c r="N24" s="190">
        <f>SUM(N21:N23)</f>
        <v>24154344.396294933</v>
      </c>
      <c r="O24" s="177">
        <f>N24/C24</f>
        <v>2.2662716997556832E-2</v>
      </c>
      <c r="P24" s="190">
        <f>SUM(P21:P23)</f>
        <v>-488659.6037050669</v>
      </c>
    </row>
    <row r="25" spans="2:20">
      <c r="H25" s="193"/>
      <c r="J25" s="164"/>
      <c r="K25" s="174"/>
      <c r="L25" s="164"/>
      <c r="N25" s="179"/>
      <c r="P25" s="194"/>
    </row>
    <row r="26" spans="2:20">
      <c r="B26" s="173" t="s">
        <v>438</v>
      </c>
      <c r="J26" s="195">
        <v>24643004</v>
      </c>
      <c r="K26" s="196"/>
      <c r="L26" s="197"/>
      <c r="M26" s="179"/>
      <c r="N26" s="198"/>
      <c r="O26" s="193"/>
      <c r="P26" s="179"/>
    </row>
    <row r="27" spans="2:20">
      <c r="B27" s="173" t="s">
        <v>439</v>
      </c>
      <c r="J27" s="197">
        <f>$J$26/(SUM(E$13:E$19))</f>
        <v>6.2993036730826124E-2</v>
      </c>
      <c r="K27" s="197"/>
      <c r="L27" s="174"/>
      <c r="M27" s="199"/>
      <c r="N27" s="200"/>
      <c r="O27" s="193"/>
    </row>
    <row r="28" spans="2:20">
      <c r="B28" s="173" t="s">
        <v>440</v>
      </c>
      <c r="E28" s="179"/>
      <c r="J28" s="197">
        <f>ROUND($J$26/(SUM(C$13:C$19)),4)</f>
        <v>2.3300000000000001E-2</v>
      </c>
      <c r="L28" s="174"/>
      <c r="N28" s="198"/>
      <c r="O28" s="193"/>
      <c r="P28" s="179"/>
    </row>
    <row r="29" spans="2:20" s="164" customFormat="1">
      <c r="B29" s="184" t="s">
        <v>441</v>
      </c>
      <c r="E29" s="174"/>
      <c r="J29" s="197">
        <f>(J26-N20)/SUM(E13:E19)</f>
        <v>6.2890325096770408E-2</v>
      </c>
      <c r="L29" s="174"/>
      <c r="N29" s="195"/>
      <c r="O29" s="201"/>
      <c r="P29" s="174"/>
    </row>
    <row r="30" spans="2:20" s="164" customFormat="1">
      <c r="B30" s="184" t="s">
        <v>442</v>
      </c>
      <c r="E30" s="174"/>
      <c r="J30" s="202">
        <f>1/SUMPRODUCT($G$13:$G$19,$H$13:$H$19)</f>
        <v>1</v>
      </c>
      <c r="L30" s="174"/>
      <c r="M30" s="195"/>
      <c r="N30" s="201"/>
      <c r="O30" s="201"/>
      <c r="P30" s="174"/>
    </row>
    <row r="31" spans="2:20" s="164" customFormat="1">
      <c r="B31" s="184" t="s">
        <v>443</v>
      </c>
      <c r="E31" s="174"/>
      <c r="J31" s="174"/>
      <c r="L31" s="174"/>
      <c r="M31" s="195"/>
      <c r="N31" s="195">
        <f>P19</f>
        <v>0</v>
      </c>
      <c r="O31" s="201"/>
      <c r="P31" s="174"/>
    </row>
    <row r="32" spans="2:20" s="164" customFormat="1">
      <c r="B32" s="184" t="s">
        <v>444</v>
      </c>
      <c r="E32" s="174"/>
      <c r="J32" s="174"/>
      <c r="L32" s="174"/>
      <c r="M32" s="195"/>
      <c r="N32" s="195">
        <f>P24-P19</f>
        <v>-488659.6037050669</v>
      </c>
      <c r="O32" s="201"/>
      <c r="P32" s="174"/>
    </row>
    <row r="33" spans="2:15" s="164" customFormat="1">
      <c r="E33" s="174"/>
      <c r="J33" s="174"/>
      <c r="L33" s="174"/>
      <c r="M33" s="195"/>
      <c r="N33" s="201"/>
      <c r="O33" s="201"/>
    </row>
    <row r="34" spans="2:15" s="164" customFormat="1">
      <c r="B34" s="203" t="s">
        <v>445</v>
      </c>
      <c r="E34" s="174"/>
      <c r="M34" s="195"/>
      <c r="N34" s="201"/>
      <c r="O34" s="201"/>
    </row>
    <row r="35" spans="2:15" s="164" customFormat="1">
      <c r="B35" s="203" t="s">
        <v>446</v>
      </c>
    </row>
    <row r="36" spans="2:15" s="164" customFormat="1"/>
    <row r="37" spans="2:15" s="164" customFormat="1">
      <c r="J37" s="174"/>
    </row>
    <row r="38" spans="2:15" s="164" customFormat="1"/>
    <row r="39" spans="2:15" s="164" customFormat="1">
      <c r="J39" s="174"/>
      <c r="N39" s="174"/>
    </row>
    <row r="40" spans="2:15" s="164" customFormat="1">
      <c r="C40" s="174"/>
      <c r="J40" s="199"/>
      <c r="K40" s="195"/>
      <c r="L40" s="195"/>
      <c r="M40" s="195"/>
      <c r="N40" s="195"/>
    </row>
    <row r="41" spans="2:15" s="164" customFormat="1"/>
    <row r="42" spans="2:15" s="164" customFormat="1"/>
    <row r="43" spans="2:15" s="164" customFormat="1"/>
    <row r="44" spans="2:15" s="164" customFormat="1">
      <c r="G44" s="204"/>
      <c r="H44" s="204"/>
      <c r="J44" s="197"/>
    </row>
    <row r="45" spans="2:15" s="164" customFormat="1">
      <c r="G45" s="204"/>
      <c r="H45" s="204"/>
    </row>
    <row r="46" spans="2:15" s="164" customFormat="1">
      <c r="B46" s="164" t="s">
        <v>18</v>
      </c>
      <c r="G46" s="204"/>
      <c r="H46" s="204"/>
    </row>
    <row r="47" spans="2:15" s="164" customFormat="1">
      <c r="G47" s="204"/>
      <c r="H47" s="204"/>
    </row>
    <row r="48" spans="2:15" s="164" customFormat="1">
      <c r="G48" s="204"/>
      <c r="H48" s="204"/>
    </row>
    <row r="49" spans="7:8" s="164" customFormat="1">
      <c r="G49" s="204"/>
      <c r="H49" s="204"/>
    </row>
    <row r="50" spans="7:8" s="164" customFormat="1">
      <c r="G50" s="204"/>
      <c r="H50" s="204"/>
    </row>
    <row r="51" spans="7:8" s="164" customFormat="1">
      <c r="G51" s="204"/>
    </row>
    <row r="52" spans="7:8" s="164" customFormat="1"/>
  </sheetData>
  <phoneticPr fontId="22" type="noConversion"/>
  <printOptions horizontalCentered="1"/>
  <pageMargins left="0.25" right="0.25" top="1.75" bottom="1" header="0.75" footer="0.5"/>
  <pageSetup scale="65" orientation="landscape" blackAndWhite="1" horizontalDpi="300" verticalDpi="300" r:id="rId1"/>
  <headerFooter alignWithMargins="0">
    <oddFooter>&amp;L&amp;F &amp;A&amp;C&amp;P&amp;R&amp;D</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39997558519241921"/>
    <pageSetUpPr fitToPage="1"/>
  </sheetPr>
  <dimension ref="A1:M42"/>
  <sheetViews>
    <sheetView workbookViewId="0">
      <selection activeCell="J25" sqref="J25"/>
    </sheetView>
  </sheetViews>
  <sheetFormatPr defaultRowHeight="15" customHeight="1"/>
  <cols>
    <col min="1" max="1" width="5.5" style="220" customWidth="1"/>
    <col min="2" max="2" width="2" style="220" customWidth="1"/>
    <col min="3" max="3" width="57.83203125" style="220" bestFit="1" customWidth="1"/>
    <col min="4" max="4" width="11.6640625" style="1039" customWidth="1"/>
    <col min="5" max="5" width="16.5" style="220" customWidth="1"/>
    <col min="6" max="6" width="18.6640625" style="220" customWidth="1"/>
    <col min="7" max="7" width="16.83203125" style="220" customWidth="1"/>
    <col min="8" max="8" width="9.33203125" style="220"/>
    <col min="9" max="9" width="10.5" style="220" hidden="1" customWidth="1"/>
    <col min="10" max="11" width="9.33203125" style="220"/>
    <col min="12" max="12" width="14.5" style="220" bestFit="1" customWidth="1"/>
    <col min="13" max="13" width="14.83203125" style="220" customWidth="1"/>
    <col min="14" max="14" width="14.6640625" style="220" bestFit="1" customWidth="1"/>
    <col min="15" max="256" width="9.33203125" style="220"/>
    <col min="257" max="257" width="5.5" style="220" customWidth="1"/>
    <col min="258" max="258" width="2" style="220" customWidth="1"/>
    <col min="259" max="259" width="57.83203125" style="220" bestFit="1" customWidth="1"/>
    <col min="260" max="260" width="11.6640625" style="220" customWidth="1"/>
    <col min="261" max="261" width="16.5" style="220" customWidth="1"/>
    <col min="262" max="262" width="18.6640625" style="220" customWidth="1"/>
    <col min="263" max="263" width="16.83203125" style="220" customWidth="1"/>
    <col min="264" max="264" width="9.33203125" style="220"/>
    <col min="265" max="265" width="0" style="220" hidden="1" customWidth="1"/>
    <col min="266" max="267" width="9.33203125" style="220"/>
    <col min="268" max="268" width="14.5" style="220" bestFit="1" customWidth="1"/>
    <col min="269" max="269" width="14.83203125" style="220" customWidth="1"/>
    <col min="270" max="270" width="14.6640625" style="220" bestFit="1" customWidth="1"/>
    <col min="271" max="512" width="9.33203125" style="220"/>
    <col min="513" max="513" width="5.5" style="220" customWidth="1"/>
    <col min="514" max="514" width="2" style="220" customWidth="1"/>
    <col min="515" max="515" width="57.83203125" style="220" bestFit="1" customWidth="1"/>
    <col min="516" max="516" width="11.6640625" style="220" customWidth="1"/>
    <col min="517" max="517" width="16.5" style="220" customWidth="1"/>
    <col min="518" max="518" width="18.6640625" style="220" customWidth="1"/>
    <col min="519" max="519" width="16.83203125" style="220" customWidth="1"/>
    <col min="520" max="520" width="9.33203125" style="220"/>
    <col min="521" max="521" width="0" style="220" hidden="1" customWidth="1"/>
    <col min="522" max="523" width="9.33203125" style="220"/>
    <col min="524" max="524" width="14.5" style="220" bestFit="1" customWidth="1"/>
    <col min="525" max="525" width="14.83203125" style="220" customWidth="1"/>
    <col min="526" max="526" width="14.6640625" style="220" bestFit="1" customWidth="1"/>
    <col min="527" max="768" width="9.33203125" style="220"/>
    <col min="769" max="769" width="5.5" style="220" customWidth="1"/>
    <col min="770" max="770" width="2" style="220" customWidth="1"/>
    <col min="771" max="771" width="57.83203125" style="220" bestFit="1" customWidth="1"/>
    <col min="772" max="772" width="11.6640625" style="220" customWidth="1"/>
    <col min="773" max="773" width="16.5" style="220" customWidth="1"/>
    <col min="774" max="774" width="18.6640625" style="220" customWidth="1"/>
    <col min="775" max="775" width="16.83203125" style="220" customWidth="1"/>
    <col min="776" max="776" width="9.33203125" style="220"/>
    <col min="777" max="777" width="0" style="220" hidden="1" customWidth="1"/>
    <col min="778" max="779" width="9.33203125" style="220"/>
    <col min="780" max="780" width="14.5" style="220" bestFit="1" customWidth="1"/>
    <col min="781" max="781" width="14.83203125" style="220" customWidth="1"/>
    <col min="782" max="782" width="14.6640625" style="220" bestFit="1" customWidth="1"/>
    <col min="783" max="1024" width="9.33203125" style="220"/>
    <col min="1025" max="1025" width="5.5" style="220" customWidth="1"/>
    <col min="1026" max="1026" width="2" style="220" customWidth="1"/>
    <col min="1027" max="1027" width="57.83203125" style="220" bestFit="1" customWidth="1"/>
    <col min="1028" max="1028" width="11.6640625" style="220" customWidth="1"/>
    <col min="1029" max="1029" width="16.5" style="220" customWidth="1"/>
    <col min="1030" max="1030" width="18.6640625" style="220" customWidth="1"/>
    <col min="1031" max="1031" width="16.83203125" style="220" customWidth="1"/>
    <col min="1032" max="1032" width="9.33203125" style="220"/>
    <col min="1033" max="1033" width="0" style="220" hidden="1" customWidth="1"/>
    <col min="1034" max="1035" width="9.33203125" style="220"/>
    <col min="1036" max="1036" width="14.5" style="220" bestFit="1" customWidth="1"/>
    <col min="1037" max="1037" width="14.83203125" style="220" customWidth="1"/>
    <col min="1038" max="1038" width="14.6640625" style="220" bestFit="1" customWidth="1"/>
    <col min="1039" max="1280" width="9.33203125" style="220"/>
    <col min="1281" max="1281" width="5.5" style="220" customWidth="1"/>
    <col min="1282" max="1282" width="2" style="220" customWidth="1"/>
    <col min="1283" max="1283" width="57.83203125" style="220" bestFit="1" customWidth="1"/>
    <col min="1284" max="1284" width="11.6640625" style="220" customWidth="1"/>
    <col min="1285" max="1285" width="16.5" style="220" customWidth="1"/>
    <col min="1286" max="1286" width="18.6640625" style="220" customWidth="1"/>
    <col min="1287" max="1287" width="16.83203125" style="220" customWidth="1"/>
    <col min="1288" max="1288" width="9.33203125" style="220"/>
    <col min="1289" max="1289" width="0" style="220" hidden="1" customWidth="1"/>
    <col min="1290" max="1291" width="9.33203125" style="220"/>
    <col min="1292" max="1292" width="14.5" style="220" bestFit="1" customWidth="1"/>
    <col min="1293" max="1293" width="14.83203125" style="220" customWidth="1"/>
    <col min="1294" max="1294" width="14.6640625" style="220" bestFit="1" customWidth="1"/>
    <col min="1295" max="1536" width="9.33203125" style="220"/>
    <col min="1537" max="1537" width="5.5" style="220" customWidth="1"/>
    <col min="1538" max="1538" width="2" style="220" customWidth="1"/>
    <col min="1539" max="1539" width="57.83203125" style="220" bestFit="1" customWidth="1"/>
    <col min="1540" max="1540" width="11.6640625" style="220" customWidth="1"/>
    <col min="1541" max="1541" width="16.5" style="220" customWidth="1"/>
    <col min="1542" max="1542" width="18.6640625" style="220" customWidth="1"/>
    <col min="1543" max="1543" width="16.83203125" style="220" customWidth="1"/>
    <col min="1544" max="1544" width="9.33203125" style="220"/>
    <col min="1545" max="1545" width="0" style="220" hidden="1" customWidth="1"/>
    <col min="1546" max="1547" width="9.33203125" style="220"/>
    <col min="1548" max="1548" width="14.5" style="220" bestFit="1" customWidth="1"/>
    <col min="1549" max="1549" width="14.83203125" style="220" customWidth="1"/>
    <col min="1550" max="1550" width="14.6640625" style="220" bestFit="1" customWidth="1"/>
    <col min="1551" max="1792" width="9.33203125" style="220"/>
    <col min="1793" max="1793" width="5.5" style="220" customWidth="1"/>
    <col min="1794" max="1794" width="2" style="220" customWidth="1"/>
    <col min="1795" max="1795" width="57.83203125" style="220" bestFit="1" customWidth="1"/>
    <col min="1796" max="1796" width="11.6640625" style="220" customWidth="1"/>
    <col min="1797" max="1797" width="16.5" style="220" customWidth="1"/>
    <col min="1798" max="1798" width="18.6640625" style="220" customWidth="1"/>
    <col min="1799" max="1799" width="16.83203125" style="220" customWidth="1"/>
    <col min="1800" max="1800" width="9.33203125" style="220"/>
    <col min="1801" max="1801" width="0" style="220" hidden="1" customWidth="1"/>
    <col min="1802" max="1803" width="9.33203125" style="220"/>
    <col min="1804" max="1804" width="14.5" style="220" bestFit="1" customWidth="1"/>
    <col min="1805" max="1805" width="14.83203125" style="220" customWidth="1"/>
    <col min="1806" max="1806" width="14.6640625" style="220" bestFit="1" customWidth="1"/>
    <col min="1807" max="2048" width="9.33203125" style="220"/>
    <col min="2049" max="2049" width="5.5" style="220" customWidth="1"/>
    <col min="2050" max="2050" width="2" style="220" customWidth="1"/>
    <col min="2051" max="2051" width="57.83203125" style="220" bestFit="1" customWidth="1"/>
    <col min="2052" max="2052" width="11.6640625" style="220" customWidth="1"/>
    <col min="2053" max="2053" width="16.5" style="220" customWidth="1"/>
    <col min="2054" max="2054" width="18.6640625" style="220" customWidth="1"/>
    <col min="2055" max="2055" width="16.83203125" style="220" customWidth="1"/>
    <col min="2056" max="2056" width="9.33203125" style="220"/>
    <col min="2057" max="2057" width="0" style="220" hidden="1" customWidth="1"/>
    <col min="2058" max="2059" width="9.33203125" style="220"/>
    <col min="2060" max="2060" width="14.5" style="220" bestFit="1" customWidth="1"/>
    <col min="2061" max="2061" width="14.83203125" style="220" customWidth="1"/>
    <col min="2062" max="2062" width="14.6640625" style="220" bestFit="1" customWidth="1"/>
    <col min="2063" max="2304" width="9.33203125" style="220"/>
    <col min="2305" max="2305" width="5.5" style="220" customWidth="1"/>
    <col min="2306" max="2306" width="2" style="220" customWidth="1"/>
    <col min="2307" max="2307" width="57.83203125" style="220" bestFit="1" customWidth="1"/>
    <col min="2308" max="2308" width="11.6640625" style="220" customWidth="1"/>
    <col min="2309" max="2309" width="16.5" style="220" customWidth="1"/>
    <col min="2310" max="2310" width="18.6640625" style="220" customWidth="1"/>
    <col min="2311" max="2311" width="16.83203125" style="220" customWidth="1"/>
    <col min="2312" max="2312" width="9.33203125" style="220"/>
    <col min="2313" max="2313" width="0" style="220" hidden="1" customWidth="1"/>
    <col min="2314" max="2315" width="9.33203125" style="220"/>
    <col min="2316" max="2316" width="14.5" style="220" bestFit="1" customWidth="1"/>
    <col min="2317" max="2317" width="14.83203125" style="220" customWidth="1"/>
    <col min="2318" max="2318" width="14.6640625" style="220" bestFit="1" customWidth="1"/>
    <col min="2319" max="2560" width="9.33203125" style="220"/>
    <col min="2561" max="2561" width="5.5" style="220" customWidth="1"/>
    <col min="2562" max="2562" width="2" style="220" customWidth="1"/>
    <col min="2563" max="2563" width="57.83203125" style="220" bestFit="1" customWidth="1"/>
    <col min="2564" max="2564" width="11.6640625" style="220" customWidth="1"/>
    <col min="2565" max="2565" width="16.5" style="220" customWidth="1"/>
    <col min="2566" max="2566" width="18.6640625" style="220" customWidth="1"/>
    <col min="2567" max="2567" width="16.83203125" style="220" customWidth="1"/>
    <col min="2568" max="2568" width="9.33203125" style="220"/>
    <col min="2569" max="2569" width="0" style="220" hidden="1" customWidth="1"/>
    <col min="2570" max="2571" width="9.33203125" style="220"/>
    <col min="2572" max="2572" width="14.5" style="220" bestFit="1" customWidth="1"/>
    <col min="2573" max="2573" width="14.83203125" style="220" customWidth="1"/>
    <col min="2574" max="2574" width="14.6640625" style="220" bestFit="1" customWidth="1"/>
    <col min="2575" max="2816" width="9.33203125" style="220"/>
    <col min="2817" max="2817" width="5.5" style="220" customWidth="1"/>
    <col min="2818" max="2818" width="2" style="220" customWidth="1"/>
    <col min="2819" max="2819" width="57.83203125" style="220" bestFit="1" customWidth="1"/>
    <col min="2820" max="2820" width="11.6640625" style="220" customWidth="1"/>
    <col min="2821" max="2821" width="16.5" style="220" customWidth="1"/>
    <col min="2822" max="2822" width="18.6640625" style="220" customWidth="1"/>
    <col min="2823" max="2823" width="16.83203125" style="220" customWidth="1"/>
    <col min="2824" max="2824" width="9.33203125" style="220"/>
    <col min="2825" max="2825" width="0" style="220" hidden="1" customWidth="1"/>
    <col min="2826" max="2827" width="9.33203125" style="220"/>
    <col min="2828" max="2828" width="14.5" style="220" bestFit="1" customWidth="1"/>
    <col min="2829" max="2829" width="14.83203125" style="220" customWidth="1"/>
    <col min="2830" max="2830" width="14.6640625" style="220" bestFit="1" customWidth="1"/>
    <col min="2831" max="3072" width="9.33203125" style="220"/>
    <col min="3073" max="3073" width="5.5" style="220" customWidth="1"/>
    <col min="3074" max="3074" width="2" style="220" customWidth="1"/>
    <col min="3075" max="3075" width="57.83203125" style="220" bestFit="1" customWidth="1"/>
    <col min="3076" max="3076" width="11.6640625" style="220" customWidth="1"/>
    <col min="3077" max="3077" width="16.5" style="220" customWidth="1"/>
    <col min="3078" max="3078" width="18.6640625" style="220" customWidth="1"/>
    <col min="3079" max="3079" width="16.83203125" style="220" customWidth="1"/>
    <col min="3080" max="3080" width="9.33203125" style="220"/>
    <col min="3081" max="3081" width="0" style="220" hidden="1" customWidth="1"/>
    <col min="3082" max="3083" width="9.33203125" style="220"/>
    <col min="3084" max="3084" width="14.5" style="220" bestFit="1" customWidth="1"/>
    <col min="3085" max="3085" width="14.83203125" style="220" customWidth="1"/>
    <col min="3086" max="3086" width="14.6640625" style="220" bestFit="1" customWidth="1"/>
    <col min="3087" max="3328" width="9.33203125" style="220"/>
    <col min="3329" max="3329" width="5.5" style="220" customWidth="1"/>
    <col min="3330" max="3330" width="2" style="220" customWidth="1"/>
    <col min="3331" max="3331" width="57.83203125" style="220" bestFit="1" customWidth="1"/>
    <col min="3332" max="3332" width="11.6640625" style="220" customWidth="1"/>
    <col min="3333" max="3333" width="16.5" style="220" customWidth="1"/>
    <col min="3334" max="3334" width="18.6640625" style="220" customWidth="1"/>
    <col min="3335" max="3335" width="16.83203125" style="220" customWidth="1"/>
    <col min="3336" max="3336" width="9.33203125" style="220"/>
    <col min="3337" max="3337" width="0" style="220" hidden="1" customWidth="1"/>
    <col min="3338" max="3339" width="9.33203125" style="220"/>
    <col min="3340" max="3340" width="14.5" style="220" bestFit="1" customWidth="1"/>
    <col min="3341" max="3341" width="14.83203125" style="220" customWidth="1"/>
    <col min="3342" max="3342" width="14.6640625" style="220" bestFit="1" customWidth="1"/>
    <col min="3343" max="3584" width="9.33203125" style="220"/>
    <col min="3585" max="3585" width="5.5" style="220" customWidth="1"/>
    <col min="3586" max="3586" width="2" style="220" customWidth="1"/>
    <col min="3587" max="3587" width="57.83203125" style="220" bestFit="1" customWidth="1"/>
    <col min="3588" max="3588" width="11.6640625" style="220" customWidth="1"/>
    <col min="3589" max="3589" width="16.5" style="220" customWidth="1"/>
    <col min="3590" max="3590" width="18.6640625" style="220" customWidth="1"/>
    <col min="3591" max="3591" width="16.83203125" style="220" customWidth="1"/>
    <col min="3592" max="3592" width="9.33203125" style="220"/>
    <col min="3593" max="3593" width="0" style="220" hidden="1" customWidth="1"/>
    <col min="3594" max="3595" width="9.33203125" style="220"/>
    <col min="3596" max="3596" width="14.5" style="220" bestFit="1" customWidth="1"/>
    <col min="3597" max="3597" width="14.83203125" style="220" customWidth="1"/>
    <col min="3598" max="3598" width="14.6640625" style="220" bestFit="1" customWidth="1"/>
    <col min="3599" max="3840" width="9.33203125" style="220"/>
    <col min="3841" max="3841" width="5.5" style="220" customWidth="1"/>
    <col min="3842" max="3842" width="2" style="220" customWidth="1"/>
    <col min="3843" max="3843" width="57.83203125" style="220" bestFit="1" customWidth="1"/>
    <col min="3844" max="3844" width="11.6640625" style="220" customWidth="1"/>
    <col min="3845" max="3845" width="16.5" style="220" customWidth="1"/>
    <col min="3846" max="3846" width="18.6640625" style="220" customWidth="1"/>
    <col min="3847" max="3847" width="16.83203125" style="220" customWidth="1"/>
    <col min="3848" max="3848" width="9.33203125" style="220"/>
    <col min="3849" max="3849" width="0" style="220" hidden="1" customWidth="1"/>
    <col min="3850" max="3851" width="9.33203125" style="220"/>
    <col min="3852" max="3852" width="14.5" style="220" bestFit="1" customWidth="1"/>
    <col min="3853" max="3853" width="14.83203125" style="220" customWidth="1"/>
    <col min="3854" max="3854" width="14.6640625" style="220" bestFit="1" customWidth="1"/>
    <col min="3855" max="4096" width="9.33203125" style="220"/>
    <col min="4097" max="4097" width="5.5" style="220" customWidth="1"/>
    <col min="4098" max="4098" width="2" style="220" customWidth="1"/>
    <col min="4099" max="4099" width="57.83203125" style="220" bestFit="1" customWidth="1"/>
    <col min="4100" max="4100" width="11.6640625" style="220" customWidth="1"/>
    <col min="4101" max="4101" width="16.5" style="220" customWidth="1"/>
    <col min="4102" max="4102" width="18.6640625" style="220" customWidth="1"/>
    <col min="4103" max="4103" width="16.83203125" style="220" customWidth="1"/>
    <col min="4104" max="4104" width="9.33203125" style="220"/>
    <col min="4105" max="4105" width="0" style="220" hidden="1" customWidth="1"/>
    <col min="4106" max="4107" width="9.33203125" style="220"/>
    <col min="4108" max="4108" width="14.5" style="220" bestFit="1" customWidth="1"/>
    <col min="4109" max="4109" width="14.83203125" style="220" customWidth="1"/>
    <col min="4110" max="4110" width="14.6640625" style="220" bestFit="1" customWidth="1"/>
    <col min="4111" max="4352" width="9.33203125" style="220"/>
    <col min="4353" max="4353" width="5.5" style="220" customWidth="1"/>
    <col min="4354" max="4354" width="2" style="220" customWidth="1"/>
    <col min="4355" max="4355" width="57.83203125" style="220" bestFit="1" customWidth="1"/>
    <col min="4356" max="4356" width="11.6640625" style="220" customWidth="1"/>
    <col min="4357" max="4357" width="16.5" style="220" customWidth="1"/>
    <col min="4358" max="4358" width="18.6640625" style="220" customWidth="1"/>
    <col min="4359" max="4359" width="16.83203125" style="220" customWidth="1"/>
    <col min="4360" max="4360" width="9.33203125" style="220"/>
    <col min="4361" max="4361" width="0" style="220" hidden="1" customWidth="1"/>
    <col min="4362" max="4363" width="9.33203125" style="220"/>
    <col min="4364" max="4364" width="14.5" style="220" bestFit="1" customWidth="1"/>
    <col min="4365" max="4365" width="14.83203125" style="220" customWidth="1"/>
    <col min="4366" max="4366" width="14.6640625" style="220" bestFit="1" customWidth="1"/>
    <col min="4367" max="4608" width="9.33203125" style="220"/>
    <col min="4609" max="4609" width="5.5" style="220" customWidth="1"/>
    <col min="4610" max="4610" width="2" style="220" customWidth="1"/>
    <col min="4611" max="4611" width="57.83203125" style="220" bestFit="1" customWidth="1"/>
    <col min="4612" max="4612" width="11.6640625" style="220" customWidth="1"/>
    <col min="4613" max="4613" width="16.5" style="220" customWidth="1"/>
    <col min="4614" max="4614" width="18.6640625" style="220" customWidth="1"/>
    <col min="4615" max="4615" width="16.83203125" style="220" customWidth="1"/>
    <col min="4616" max="4616" width="9.33203125" style="220"/>
    <col min="4617" max="4617" width="0" style="220" hidden="1" customWidth="1"/>
    <col min="4618" max="4619" width="9.33203125" style="220"/>
    <col min="4620" max="4620" width="14.5" style="220" bestFit="1" customWidth="1"/>
    <col min="4621" max="4621" width="14.83203125" style="220" customWidth="1"/>
    <col min="4622" max="4622" width="14.6640625" style="220" bestFit="1" customWidth="1"/>
    <col min="4623" max="4864" width="9.33203125" style="220"/>
    <col min="4865" max="4865" width="5.5" style="220" customWidth="1"/>
    <col min="4866" max="4866" width="2" style="220" customWidth="1"/>
    <col min="4867" max="4867" width="57.83203125" style="220" bestFit="1" customWidth="1"/>
    <col min="4868" max="4868" width="11.6640625" style="220" customWidth="1"/>
    <col min="4869" max="4869" width="16.5" style="220" customWidth="1"/>
    <col min="4870" max="4870" width="18.6640625" style="220" customWidth="1"/>
    <col min="4871" max="4871" width="16.83203125" style="220" customWidth="1"/>
    <col min="4872" max="4872" width="9.33203125" style="220"/>
    <col min="4873" max="4873" width="0" style="220" hidden="1" customWidth="1"/>
    <col min="4874" max="4875" width="9.33203125" style="220"/>
    <col min="4876" max="4876" width="14.5" style="220" bestFit="1" customWidth="1"/>
    <col min="4877" max="4877" width="14.83203125" style="220" customWidth="1"/>
    <col min="4878" max="4878" width="14.6640625" style="220" bestFit="1" customWidth="1"/>
    <col min="4879" max="5120" width="9.33203125" style="220"/>
    <col min="5121" max="5121" width="5.5" style="220" customWidth="1"/>
    <col min="5122" max="5122" width="2" style="220" customWidth="1"/>
    <col min="5123" max="5123" width="57.83203125" style="220" bestFit="1" customWidth="1"/>
    <col min="5124" max="5124" width="11.6640625" style="220" customWidth="1"/>
    <col min="5125" max="5125" width="16.5" style="220" customWidth="1"/>
    <col min="5126" max="5126" width="18.6640625" style="220" customWidth="1"/>
    <col min="5127" max="5127" width="16.83203125" style="220" customWidth="1"/>
    <col min="5128" max="5128" width="9.33203125" style="220"/>
    <col min="5129" max="5129" width="0" style="220" hidden="1" customWidth="1"/>
    <col min="5130" max="5131" width="9.33203125" style="220"/>
    <col min="5132" max="5132" width="14.5" style="220" bestFit="1" customWidth="1"/>
    <col min="5133" max="5133" width="14.83203125" style="220" customWidth="1"/>
    <col min="5134" max="5134" width="14.6640625" style="220" bestFit="1" customWidth="1"/>
    <col min="5135" max="5376" width="9.33203125" style="220"/>
    <col min="5377" max="5377" width="5.5" style="220" customWidth="1"/>
    <col min="5378" max="5378" width="2" style="220" customWidth="1"/>
    <col min="5379" max="5379" width="57.83203125" style="220" bestFit="1" customWidth="1"/>
    <col min="5380" max="5380" width="11.6640625" style="220" customWidth="1"/>
    <col min="5381" max="5381" width="16.5" style="220" customWidth="1"/>
    <col min="5382" max="5382" width="18.6640625" style="220" customWidth="1"/>
    <col min="5383" max="5383" width="16.83203125" style="220" customWidth="1"/>
    <col min="5384" max="5384" width="9.33203125" style="220"/>
    <col min="5385" max="5385" width="0" style="220" hidden="1" customWidth="1"/>
    <col min="5386" max="5387" width="9.33203125" style="220"/>
    <col min="5388" max="5388" width="14.5" style="220" bestFit="1" customWidth="1"/>
    <col min="5389" max="5389" width="14.83203125" style="220" customWidth="1"/>
    <col min="5390" max="5390" width="14.6640625" style="220" bestFit="1" customWidth="1"/>
    <col min="5391" max="5632" width="9.33203125" style="220"/>
    <col min="5633" max="5633" width="5.5" style="220" customWidth="1"/>
    <col min="5634" max="5634" width="2" style="220" customWidth="1"/>
    <col min="5635" max="5635" width="57.83203125" style="220" bestFit="1" customWidth="1"/>
    <col min="5636" max="5636" width="11.6640625" style="220" customWidth="1"/>
    <col min="5637" max="5637" width="16.5" style="220" customWidth="1"/>
    <col min="5638" max="5638" width="18.6640625" style="220" customWidth="1"/>
    <col min="5639" max="5639" width="16.83203125" style="220" customWidth="1"/>
    <col min="5640" max="5640" width="9.33203125" style="220"/>
    <col min="5641" max="5641" width="0" style="220" hidden="1" customWidth="1"/>
    <col min="5642" max="5643" width="9.33203125" style="220"/>
    <col min="5644" max="5644" width="14.5" style="220" bestFit="1" customWidth="1"/>
    <col min="5645" max="5645" width="14.83203125" style="220" customWidth="1"/>
    <col min="5646" max="5646" width="14.6640625" style="220" bestFit="1" customWidth="1"/>
    <col min="5647" max="5888" width="9.33203125" style="220"/>
    <col min="5889" max="5889" width="5.5" style="220" customWidth="1"/>
    <col min="5890" max="5890" width="2" style="220" customWidth="1"/>
    <col min="5891" max="5891" width="57.83203125" style="220" bestFit="1" customWidth="1"/>
    <col min="5892" max="5892" width="11.6640625" style="220" customWidth="1"/>
    <col min="5893" max="5893" width="16.5" style="220" customWidth="1"/>
    <col min="5894" max="5894" width="18.6640625" style="220" customWidth="1"/>
    <col min="5895" max="5895" width="16.83203125" style="220" customWidth="1"/>
    <col min="5896" max="5896" width="9.33203125" style="220"/>
    <col min="5897" max="5897" width="0" style="220" hidden="1" customWidth="1"/>
    <col min="5898" max="5899" width="9.33203125" style="220"/>
    <col min="5900" max="5900" width="14.5" style="220" bestFit="1" customWidth="1"/>
    <col min="5901" max="5901" width="14.83203125" style="220" customWidth="1"/>
    <col min="5902" max="5902" width="14.6640625" style="220" bestFit="1" customWidth="1"/>
    <col min="5903" max="6144" width="9.33203125" style="220"/>
    <col min="6145" max="6145" width="5.5" style="220" customWidth="1"/>
    <col min="6146" max="6146" width="2" style="220" customWidth="1"/>
    <col min="6147" max="6147" width="57.83203125" style="220" bestFit="1" customWidth="1"/>
    <col min="6148" max="6148" width="11.6640625" style="220" customWidth="1"/>
    <col min="6149" max="6149" width="16.5" style="220" customWidth="1"/>
    <col min="6150" max="6150" width="18.6640625" style="220" customWidth="1"/>
    <col min="6151" max="6151" width="16.83203125" style="220" customWidth="1"/>
    <col min="6152" max="6152" width="9.33203125" style="220"/>
    <col min="6153" max="6153" width="0" style="220" hidden="1" customWidth="1"/>
    <col min="6154" max="6155" width="9.33203125" style="220"/>
    <col min="6156" max="6156" width="14.5" style="220" bestFit="1" customWidth="1"/>
    <col min="6157" max="6157" width="14.83203125" style="220" customWidth="1"/>
    <col min="6158" max="6158" width="14.6640625" style="220" bestFit="1" customWidth="1"/>
    <col min="6159" max="6400" width="9.33203125" style="220"/>
    <col min="6401" max="6401" width="5.5" style="220" customWidth="1"/>
    <col min="6402" max="6402" width="2" style="220" customWidth="1"/>
    <col min="6403" max="6403" width="57.83203125" style="220" bestFit="1" customWidth="1"/>
    <col min="6404" max="6404" width="11.6640625" style="220" customWidth="1"/>
    <col min="6405" max="6405" width="16.5" style="220" customWidth="1"/>
    <col min="6406" max="6406" width="18.6640625" style="220" customWidth="1"/>
    <col min="6407" max="6407" width="16.83203125" style="220" customWidth="1"/>
    <col min="6408" max="6408" width="9.33203125" style="220"/>
    <col min="6409" max="6409" width="0" style="220" hidden="1" customWidth="1"/>
    <col min="6410" max="6411" width="9.33203125" style="220"/>
    <col min="6412" max="6412" width="14.5" style="220" bestFit="1" customWidth="1"/>
    <col min="6413" max="6413" width="14.83203125" style="220" customWidth="1"/>
    <col min="6414" max="6414" width="14.6640625" style="220" bestFit="1" customWidth="1"/>
    <col min="6415" max="6656" width="9.33203125" style="220"/>
    <col min="6657" max="6657" width="5.5" style="220" customWidth="1"/>
    <col min="6658" max="6658" width="2" style="220" customWidth="1"/>
    <col min="6659" max="6659" width="57.83203125" style="220" bestFit="1" customWidth="1"/>
    <col min="6660" max="6660" width="11.6640625" style="220" customWidth="1"/>
    <col min="6661" max="6661" width="16.5" style="220" customWidth="1"/>
    <col min="6662" max="6662" width="18.6640625" style="220" customWidth="1"/>
    <col min="6663" max="6663" width="16.83203125" style="220" customWidth="1"/>
    <col min="6664" max="6664" width="9.33203125" style="220"/>
    <col min="6665" max="6665" width="0" style="220" hidden="1" customWidth="1"/>
    <col min="6666" max="6667" width="9.33203125" style="220"/>
    <col min="6668" max="6668" width="14.5" style="220" bestFit="1" customWidth="1"/>
    <col min="6669" max="6669" width="14.83203125" style="220" customWidth="1"/>
    <col min="6670" max="6670" width="14.6640625" style="220" bestFit="1" customWidth="1"/>
    <col min="6671" max="6912" width="9.33203125" style="220"/>
    <col min="6913" max="6913" width="5.5" style="220" customWidth="1"/>
    <col min="6914" max="6914" width="2" style="220" customWidth="1"/>
    <col min="6915" max="6915" width="57.83203125" style="220" bestFit="1" customWidth="1"/>
    <col min="6916" max="6916" width="11.6640625" style="220" customWidth="1"/>
    <col min="6917" max="6917" width="16.5" style="220" customWidth="1"/>
    <col min="6918" max="6918" width="18.6640625" style="220" customWidth="1"/>
    <col min="6919" max="6919" width="16.83203125" style="220" customWidth="1"/>
    <col min="6920" max="6920" width="9.33203125" style="220"/>
    <col min="6921" max="6921" width="0" style="220" hidden="1" customWidth="1"/>
    <col min="6922" max="6923" width="9.33203125" style="220"/>
    <col min="6924" max="6924" width="14.5" style="220" bestFit="1" customWidth="1"/>
    <col min="6925" max="6925" width="14.83203125" style="220" customWidth="1"/>
    <col min="6926" max="6926" width="14.6640625" style="220" bestFit="1" customWidth="1"/>
    <col min="6927" max="7168" width="9.33203125" style="220"/>
    <col min="7169" max="7169" width="5.5" style="220" customWidth="1"/>
    <col min="7170" max="7170" width="2" style="220" customWidth="1"/>
    <col min="7171" max="7171" width="57.83203125" style="220" bestFit="1" customWidth="1"/>
    <col min="7172" max="7172" width="11.6640625" style="220" customWidth="1"/>
    <col min="7173" max="7173" width="16.5" style="220" customWidth="1"/>
    <col min="7174" max="7174" width="18.6640625" style="220" customWidth="1"/>
    <col min="7175" max="7175" width="16.83203125" style="220" customWidth="1"/>
    <col min="7176" max="7176" width="9.33203125" style="220"/>
    <col min="7177" max="7177" width="0" style="220" hidden="1" customWidth="1"/>
    <col min="7178" max="7179" width="9.33203125" style="220"/>
    <col min="7180" max="7180" width="14.5" style="220" bestFit="1" customWidth="1"/>
    <col min="7181" max="7181" width="14.83203125" style="220" customWidth="1"/>
    <col min="7182" max="7182" width="14.6640625" style="220" bestFit="1" customWidth="1"/>
    <col min="7183" max="7424" width="9.33203125" style="220"/>
    <col min="7425" max="7425" width="5.5" style="220" customWidth="1"/>
    <col min="7426" max="7426" width="2" style="220" customWidth="1"/>
    <col min="7427" max="7427" width="57.83203125" style="220" bestFit="1" customWidth="1"/>
    <col min="7428" max="7428" width="11.6640625" style="220" customWidth="1"/>
    <col min="7429" max="7429" width="16.5" style="220" customWidth="1"/>
    <col min="7430" max="7430" width="18.6640625" style="220" customWidth="1"/>
    <col min="7431" max="7431" width="16.83203125" style="220" customWidth="1"/>
    <col min="7432" max="7432" width="9.33203125" style="220"/>
    <col min="7433" max="7433" width="0" style="220" hidden="1" customWidth="1"/>
    <col min="7434" max="7435" width="9.33203125" style="220"/>
    <col min="7436" max="7436" width="14.5" style="220" bestFit="1" customWidth="1"/>
    <col min="7437" max="7437" width="14.83203125" style="220" customWidth="1"/>
    <col min="7438" max="7438" width="14.6640625" style="220" bestFit="1" customWidth="1"/>
    <col min="7439" max="7680" width="9.33203125" style="220"/>
    <col min="7681" max="7681" width="5.5" style="220" customWidth="1"/>
    <col min="7682" max="7682" width="2" style="220" customWidth="1"/>
    <col min="7683" max="7683" width="57.83203125" style="220" bestFit="1" customWidth="1"/>
    <col min="7684" max="7684" width="11.6640625" style="220" customWidth="1"/>
    <col min="7685" max="7685" width="16.5" style="220" customWidth="1"/>
    <col min="7686" max="7686" width="18.6640625" style="220" customWidth="1"/>
    <col min="7687" max="7687" width="16.83203125" style="220" customWidth="1"/>
    <col min="7688" max="7688" width="9.33203125" style="220"/>
    <col min="7689" max="7689" width="0" style="220" hidden="1" customWidth="1"/>
    <col min="7690" max="7691" width="9.33203125" style="220"/>
    <col min="7692" max="7692" width="14.5" style="220" bestFit="1" customWidth="1"/>
    <col min="7693" max="7693" width="14.83203125" style="220" customWidth="1"/>
    <col min="7694" max="7694" width="14.6640625" style="220" bestFit="1" customWidth="1"/>
    <col min="7695" max="7936" width="9.33203125" style="220"/>
    <col min="7937" max="7937" width="5.5" style="220" customWidth="1"/>
    <col min="7938" max="7938" width="2" style="220" customWidth="1"/>
    <col min="7939" max="7939" width="57.83203125" style="220" bestFit="1" customWidth="1"/>
    <col min="7940" max="7940" width="11.6640625" style="220" customWidth="1"/>
    <col min="7941" max="7941" width="16.5" style="220" customWidth="1"/>
    <col min="7942" max="7942" width="18.6640625" style="220" customWidth="1"/>
    <col min="7943" max="7943" width="16.83203125" style="220" customWidth="1"/>
    <col min="7944" max="7944" width="9.33203125" style="220"/>
    <col min="7945" max="7945" width="0" style="220" hidden="1" customWidth="1"/>
    <col min="7946" max="7947" width="9.33203125" style="220"/>
    <col min="7948" max="7948" width="14.5" style="220" bestFit="1" customWidth="1"/>
    <col min="7949" max="7949" width="14.83203125" style="220" customWidth="1"/>
    <col min="7950" max="7950" width="14.6640625" style="220" bestFit="1" customWidth="1"/>
    <col min="7951" max="8192" width="9.33203125" style="220"/>
    <col min="8193" max="8193" width="5.5" style="220" customWidth="1"/>
    <col min="8194" max="8194" width="2" style="220" customWidth="1"/>
    <col min="8195" max="8195" width="57.83203125" style="220" bestFit="1" customWidth="1"/>
    <col min="8196" max="8196" width="11.6640625" style="220" customWidth="1"/>
    <col min="8197" max="8197" width="16.5" style="220" customWidth="1"/>
    <col min="8198" max="8198" width="18.6640625" style="220" customWidth="1"/>
    <col min="8199" max="8199" width="16.83203125" style="220" customWidth="1"/>
    <col min="8200" max="8200" width="9.33203125" style="220"/>
    <col min="8201" max="8201" width="0" style="220" hidden="1" customWidth="1"/>
    <col min="8202" max="8203" width="9.33203125" style="220"/>
    <col min="8204" max="8204" width="14.5" style="220" bestFit="1" customWidth="1"/>
    <col min="8205" max="8205" width="14.83203125" style="220" customWidth="1"/>
    <col min="8206" max="8206" width="14.6640625" style="220" bestFit="1" customWidth="1"/>
    <col min="8207" max="8448" width="9.33203125" style="220"/>
    <col min="8449" max="8449" width="5.5" style="220" customWidth="1"/>
    <col min="8450" max="8450" width="2" style="220" customWidth="1"/>
    <col min="8451" max="8451" width="57.83203125" style="220" bestFit="1" customWidth="1"/>
    <col min="8452" max="8452" width="11.6640625" style="220" customWidth="1"/>
    <col min="8453" max="8453" width="16.5" style="220" customWidth="1"/>
    <col min="8454" max="8454" width="18.6640625" style="220" customWidth="1"/>
    <col min="8455" max="8455" width="16.83203125" style="220" customWidth="1"/>
    <col min="8456" max="8456" width="9.33203125" style="220"/>
    <col min="8457" max="8457" width="0" style="220" hidden="1" customWidth="1"/>
    <col min="8458" max="8459" width="9.33203125" style="220"/>
    <col min="8460" max="8460" width="14.5" style="220" bestFit="1" customWidth="1"/>
    <col min="8461" max="8461" width="14.83203125" style="220" customWidth="1"/>
    <col min="8462" max="8462" width="14.6640625" style="220" bestFit="1" customWidth="1"/>
    <col min="8463" max="8704" width="9.33203125" style="220"/>
    <col min="8705" max="8705" width="5.5" style="220" customWidth="1"/>
    <col min="8706" max="8706" width="2" style="220" customWidth="1"/>
    <col min="8707" max="8707" width="57.83203125" style="220" bestFit="1" customWidth="1"/>
    <col min="8708" max="8708" width="11.6640625" style="220" customWidth="1"/>
    <col min="8709" max="8709" width="16.5" style="220" customWidth="1"/>
    <col min="8710" max="8710" width="18.6640625" style="220" customWidth="1"/>
    <col min="8711" max="8711" width="16.83203125" style="220" customWidth="1"/>
    <col min="8712" max="8712" width="9.33203125" style="220"/>
    <col min="8713" max="8713" width="0" style="220" hidden="1" customWidth="1"/>
    <col min="8714" max="8715" width="9.33203125" style="220"/>
    <col min="8716" max="8716" width="14.5" style="220" bestFit="1" customWidth="1"/>
    <col min="8717" max="8717" width="14.83203125" style="220" customWidth="1"/>
    <col min="8718" max="8718" width="14.6640625" style="220" bestFit="1" customWidth="1"/>
    <col min="8719" max="8960" width="9.33203125" style="220"/>
    <col min="8961" max="8961" width="5.5" style="220" customWidth="1"/>
    <col min="8962" max="8962" width="2" style="220" customWidth="1"/>
    <col min="8963" max="8963" width="57.83203125" style="220" bestFit="1" customWidth="1"/>
    <col min="8964" max="8964" width="11.6640625" style="220" customWidth="1"/>
    <col min="8965" max="8965" width="16.5" style="220" customWidth="1"/>
    <col min="8966" max="8966" width="18.6640625" style="220" customWidth="1"/>
    <col min="8967" max="8967" width="16.83203125" style="220" customWidth="1"/>
    <col min="8968" max="8968" width="9.33203125" style="220"/>
    <col min="8969" max="8969" width="0" style="220" hidden="1" customWidth="1"/>
    <col min="8970" max="8971" width="9.33203125" style="220"/>
    <col min="8972" max="8972" width="14.5" style="220" bestFit="1" customWidth="1"/>
    <col min="8973" max="8973" width="14.83203125" style="220" customWidth="1"/>
    <col min="8974" max="8974" width="14.6640625" style="220" bestFit="1" customWidth="1"/>
    <col min="8975" max="9216" width="9.33203125" style="220"/>
    <col min="9217" max="9217" width="5.5" style="220" customWidth="1"/>
    <col min="9218" max="9218" width="2" style="220" customWidth="1"/>
    <col min="9219" max="9219" width="57.83203125" style="220" bestFit="1" customWidth="1"/>
    <col min="9220" max="9220" width="11.6640625" style="220" customWidth="1"/>
    <col min="9221" max="9221" width="16.5" style="220" customWidth="1"/>
    <col min="9222" max="9222" width="18.6640625" style="220" customWidth="1"/>
    <col min="9223" max="9223" width="16.83203125" style="220" customWidth="1"/>
    <col min="9224" max="9224" width="9.33203125" style="220"/>
    <col min="9225" max="9225" width="0" style="220" hidden="1" customWidth="1"/>
    <col min="9226" max="9227" width="9.33203125" style="220"/>
    <col min="9228" max="9228" width="14.5" style="220" bestFit="1" customWidth="1"/>
    <col min="9229" max="9229" width="14.83203125" style="220" customWidth="1"/>
    <col min="9230" max="9230" width="14.6640625" style="220" bestFit="1" customWidth="1"/>
    <col min="9231" max="9472" width="9.33203125" style="220"/>
    <col min="9473" max="9473" width="5.5" style="220" customWidth="1"/>
    <col min="9474" max="9474" width="2" style="220" customWidth="1"/>
    <col min="9475" max="9475" width="57.83203125" style="220" bestFit="1" customWidth="1"/>
    <col min="9476" max="9476" width="11.6640625" style="220" customWidth="1"/>
    <col min="9477" max="9477" width="16.5" style="220" customWidth="1"/>
    <col min="9478" max="9478" width="18.6640625" style="220" customWidth="1"/>
    <col min="9479" max="9479" width="16.83203125" style="220" customWidth="1"/>
    <col min="9480" max="9480" width="9.33203125" style="220"/>
    <col min="9481" max="9481" width="0" style="220" hidden="1" customWidth="1"/>
    <col min="9482" max="9483" width="9.33203125" style="220"/>
    <col min="9484" max="9484" width="14.5" style="220" bestFit="1" customWidth="1"/>
    <col min="9485" max="9485" width="14.83203125" style="220" customWidth="1"/>
    <col min="9486" max="9486" width="14.6640625" style="220" bestFit="1" customWidth="1"/>
    <col min="9487" max="9728" width="9.33203125" style="220"/>
    <col min="9729" max="9729" width="5.5" style="220" customWidth="1"/>
    <col min="9730" max="9730" width="2" style="220" customWidth="1"/>
    <col min="9731" max="9731" width="57.83203125" style="220" bestFit="1" customWidth="1"/>
    <col min="9732" max="9732" width="11.6640625" style="220" customWidth="1"/>
    <col min="9733" max="9733" width="16.5" style="220" customWidth="1"/>
    <col min="9734" max="9734" width="18.6640625" style="220" customWidth="1"/>
    <col min="9735" max="9735" width="16.83203125" style="220" customWidth="1"/>
    <col min="9736" max="9736" width="9.33203125" style="220"/>
    <col min="9737" max="9737" width="0" style="220" hidden="1" customWidth="1"/>
    <col min="9738" max="9739" width="9.33203125" style="220"/>
    <col min="9740" max="9740" width="14.5" style="220" bestFit="1" customWidth="1"/>
    <col min="9741" max="9741" width="14.83203125" style="220" customWidth="1"/>
    <col min="9742" max="9742" width="14.6640625" style="220" bestFit="1" customWidth="1"/>
    <col min="9743" max="9984" width="9.33203125" style="220"/>
    <col min="9985" max="9985" width="5.5" style="220" customWidth="1"/>
    <col min="9986" max="9986" width="2" style="220" customWidth="1"/>
    <col min="9987" max="9987" width="57.83203125" style="220" bestFit="1" customWidth="1"/>
    <col min="9988" max="9988" width="11.6640625" style="220" customWidth="1"/>
    <col min="9989" max="9989" width="16.5" style="220" customWidth="1"/>
    <col min="9990" max="9990" width="18.6640625" style="220" customWidth="1"/>
    <col min="9991" max="9991" width="16.83203125" style="220" customWidth="1"/>
    <col min="9992" max="9992" width="9.33203125" style="220"/>
    <col min="9993" max="9993" width="0" style="220" hidden="1" customWidth="1"/>
    <col min="9994" max="9995" width="9.33203125" style="220"/>
    <col min="9996" max="9996" width="14.5" style="220" bestFit="1" customWidth="1"/>
    <col min="9997" max="9997" width="14.83203125" style="220" customWidth="1"/>
    <col min="9998" max="9998" width="14.6640625" style="220" bestFit="1" customWidth="1"/>
    <col min="9999" max="10240" width="9.33203125" style="220"/>
    <col min="10241" max="10241" width="5.5" style="220" customWidth="1"/>
    <col min="10242" max="10242" width="2" style="220" customWidth="1"/>
    <col min="10243" max="10243" width="57.83203125" style="220" bestFit="1" customWidth="1"/>
    <col min="10244" max="10244" width="11.6640625" style="220" customWidth="1"/>
    <col min="10245" max="10245" width="16.5" style="220" customWidth="1"/>
    <col min="10246" max="10246" width="18.6640625" style="220" customWidth="1"/>
    <col min="10247" max="10247" width="16.83203125" style="220" customWidth="1"/>
    <col min="10248" max="10248" width="9.33203125" style="220"/>
    <col min="10249" max="10249" width="0" style="220" hidden="1" customWidth="1"/>
    <col min="10250" max="10251" width="9.33203125" style="220"/>
    <col min="10252" max="10252" width="14.5" style="220" bestFit="1" customWidth="1"/>
    <col min="10253" max="10253" width="14.83203125" style="220" customWidth="1"/>
    <col min="10254" max="10254" width="14.6640625" style="220" bestFit="1" customWidth="1"/>
    <col min="10255" max="10496" width="9.33203125" style="220"/>
    <col min="10497" max="10497" width="5.5" style="220" customWidth="1"/>
    <col min="10498" max="10498" width="2" style="220" customWidth="1"/>
    <col min="10499" max="10499" width="57.83203125" style="220" bestFit="1" customWidth="1"/>
    <col min="10500" max="10500" width="11.6640625" style="220" customWidth="1"/>
    <col min="10501" max="10501" width="16.5" style="220" customWidth="1"/>
    <col min="10502" max="10502" width="18.6640625" style="220" customWidth="1"/>
    <col min="10503" max="10503" width="16.83203125" style="220" customWidth="1"/>
    <col min="10504" max="10504" width="9.33203125" style="220"/>
    <col min="10505" max="10505" width="0" style="220" hidden="1" customWidth="1"/>
    <col min="10506" max="10507" width="9.33203125" style="220"/>
    <col min="10508" max="10508" width="14.5" style="220" bestFit="1" customWidth="1"/>
    <col min="10509" max="10509" width="14.83203125" style="220" customWidth="1"/>
    <col min="10510" max="10510" width="14.6640625" style="220" bestFit="1" customWidth="1"/>
    <col min="10511" max="10752" width="9.33203125" style="220"/>
    <col min="10753" max="10753" width="5.5" style="220" customWidth="1"/>
    <col min="10754" max="10754" width="2" style="220" customWidth="1"/>
    <col min="10755" max="10755" width="57.83203125" style="220" bestFit="1" customWidth="1"/>
    <col min="10756" max="10756" width="11.6640625" style="220" customWidth="1"/>
    <col min="10757" max="10757" width="16.5" style="220" customWidth="1"/>
    <col min="10758" max="10758" width="18.6640625" style="220" customWidth="1"/>
    <col min="10759" max="10759" width="16.83203125" style="220" customWidth="1"/>
    <col min="10760" max="10760" width="9.33203125" style="220"/>
    <col min="10761" max="10761" width="0" style="220" hidden="1" customWidth="1"/>
    <col min="10762" max="10763" width="9.33203125" style="220"/>
    <col min="10764" max="10764" width="14.5" style="220" bestFit="1" customWidth="1"/>
    <col min="10765" max="10765" width="14.83203125" style="220" customWidth="1"/>
    <col min="10766" max="10766" width="14.6640625" style="220" bestFit="1" customWidth="1"/>
    <col min="10767" max="11008" width="9.33203125" style="220"/>
    <col min="11009" max="11009" width="5.5" style="220" customWidth="1"/>
    <col min="11010" max="11010" width="2" style="220" customWidth="1"/>
    <col min="11011" max="11011" width="57.83203125" style="220" bestFit="1" customWidth="1"/>
    <col min="11012" max="11012" width="11.6640625" style="220" customWidth="1"/>
    <col min="11013" max="11013" width="16.5" style="220" customWidth="1"/>
    <col min="11014" max="11014" width="18.6640625" style="220" customWidth="1"/>
    <col min="11015" max="11015" width="16.83203125" style="220" customWidth="1"/>
    <col min="11016" max="11016" width="9.33203125" style="220"/>
    <col min="11017" max="11017" width="0" style="220" hidden="1" customWidth="1"/>
    <col min="11018" max="11019" width="9.33203125" style="220"/>
    <col min="11020" max="11020" width="14.5" style="220" bestFit="1" customWidth="1"/>
    <col min="11021" max="11021" width="14.83203125" style="220" customWidth="1"/>
    <col min="11022" max="11022" width="14.6640625" style="220" bestFit="1" customWidth="1"/>
    <col min="11023" max="11264" width="9.33203125" style="220"/>
    <col min="11265" max="11265" width="5.5" style="220" customWidth="1"/>
    <col min="11266" max="11266" width="2" style="220" customWidth="1"/>
    <col min="11267" max="11267" width="57.83203125" style="220" bestFit="1" customWidth="1"/>
    <col min="11268" max="11268" width="11.6640625" style="220" customWidth="1"/>
    <col min="11269" max="11269" width="16.5" style="220" customWidth="1"/>
    <col min="11270" max="11270" width="18.6640625" style="220" customWidth="1"/>
    <col min="11271" max="11271" width="16.83203125" style="220" customWidth="1"/>
    <col min="11272" max="11272" width="9.33203125" style="220"/>
    <col min="11273" max="11273" width="0" style="220" hidden="1" customWidth="1"/>
    <col min="11274" max="11275" width="9.33203125" style="220"/>
    <col min="11276" max="11276" width="14.5" style="220" bestFit="1" customWidth="1"/>
    <col min="11277" max="11277" width="14.83203125" style="220" customWidth="1"/>
    <col min="11278" max="11278" width="14.6640625" style="220" bestFit="1" customWidth="1"/>
    <col min="11279" max="11520" width="9.33203125" style="220"/>
    <col min="11521" max="11521" width="5.5" style="220" customWidth="1"/>
    <col min="11522" max="11522" width="2" style="220" customWidth="1"/>
    <col min="11523" max="11523" width="57.83203125" style="220" bestFit="1" customWidth="1"/>
    <col min="11524" max="11524" width="11.6640625" style="220" customWidth="1"/>
    <col min="11525" max="11525" width="16.5" style="220" customWidth="1"/>
    <col min="11526" max="11526" width="18.6640625" style="220" customWidth="1"/>
    <col min="11527" max="11527" width="16.83203125" style="220" customWidth="1"/>
    <col min="11528" max="11528" width="9.33203125" style="220"/>
    <col min="11529" max="11529" width="0" style="220" hidden="1" customWidth="1"/>
    <col min="11530" max="11531" width="9.33203125" style="220"/>
    <col min="11532" max="11532" width="14.5" style="220" bestFit="1" customWidth="1"/>
    <col min="11533" max="11533" width="14.83203125" style="220" customWidth="1"/>
    <col min="11534" max="11534" width="14.6640625" style="220" bestFit="1" customWidth="1"/>
    <col min="11535" max="11776" width="9.33203125" style="220"/>
    <col min="11777" max="11777" width="5.5" style="220" customWidth="1"/>
    <col min="11778" max="11778" width="2" style="220" customWidth="1"/>
    <col min="11779" max="11779" width="57.83203125" style="220" bestFit="1" customWidth="1"/>
    <col min="11780" max="11780" width="11.6640625" style="220" customWidth="1"/>
    <col min="11781" max="11781" width="16.5" style="220" customWidth="1"/>
    <col min="11782" max="11782" width="18.6640625" style="220" customWidth="1"/>
    <col min="11783" max="11783" width="16.83203125" style="220" customWidth="1"/>
    <col min="11784" max="11784" width="9.33203125" style="220"/>
    <col min="11785" max="11785" width="0" style="220" hidden="1" customWidth="1"/>
    <col min="11786" max="11787" width="9.33203125" style="220"/>
    <col min="11788" max="11788" width="14.5" style="220" bestFit="1" customWidth="1"/>
    <col min="11789" max="11789" width="14.83203125" style="220" customWidth="1"/>
    <col min="11790" max="11790" width="14.6640625" style="220" bestFit="1" customWidth="1"/>
    <col min="11791" max="12032" width="9.33203125" style="220"/>
    <col min="12033" max="12033" width="5.5" style="220" customWidth="1"/>
    <col min="12034" max="12034" width="2" style="220" customWidth="1"/>
    <col min="12035" max="12035" width="57.83203125" style="220" bestFit="1" customWidth="1"/>
    <col min="12036" max="12036" width="11.6640625" style="220" customWidth="1"/>
    <col min="12037" max="12037" width="16.5" style="220" customWidth="1"/>
    <col min="12038" max="12038" width="18.6640625" style="220" customWidth="1"/>
    <col min="12039" max="12039" width="16.83203125" style="220" customWidth="1"/>
    <col min="12040" max="12040" width="9.33203125" style="220"/>
    <col min="12041" max="12041" width="0" style="220" hidden="1" customWidth="1"/>
    <col min="12042" max="12043" width="9.33203125" style="220"/>
    <col min="12044" max="12044" width="14.5" style="220" bestFit="1" customWidth="1"/>
    <col min="12045" max="12045" width="14.83203125" style="220" customWidth="1"/>
    <col min="12046" max="12046" width="14.6640625" style="220" bestFit="1" customWidth="1"/>
    <col min="12047" max="12288" width="9.33203125" style="220"/>
    <col min="12289" max="12289" width="5.5" style="220" customWidth="1"/>
    <col min="12290" max="12290" width="2" style="220" customWidth="1"/>
    <col min="12291" max="12291" width="57.83203125" style="220" bestFit="1" customWidth="1"/>
    <col min="12292" max="12292" width="11.6640625" style="220" customWidth="1"/>
    <col min="12293" max="12293" width="16.5" style="220" customWidth="1"/>
    <col min="12294" max="12294" width="18.6640625" style="220" customWidth="1"/>
    <col min="12295" max="12295" width="16.83203125" style="220" customWidth="1"/>
    <col min="12296" max="12296" width="9.33203125" style="220"/>
    <col min="12297" max="12297" width="0" style="220" hidden="1" customWidth="1"/>
    <col min="12298" max="12299" width="9.33203125" style="220"/>
    <col min="12300" max="12300" width="14.5" style="220" bestFit="1" customWidth="1"/>
    <col min="12301" max="12301" width="14.83203125" style="220" customWidth="1"/>
    <col min="12302" max="12302" width="14.6640625" style="220" bestFit="1" customWidth="1"/>
    <col min="12303" max="12544" width="9.33203125" style="220"/>
    <col min="12545" max="12545" width="5.5" style="220" customWidth="1"/>
    <col min="12546" max="12546" width="2" style="220" customWidth="1"/>
    <col min="12547" max="12547" width="57.83203125" style="220" bestFit="1" customWidth="1"/>
    <col min="12548" max="12548" width="11.6640625" style="220" customWidth="1"/>
    <col min="12549" max="12549" width="16.5" style="220" customWidth="1"/>
    <col min="12550" max="12550" width="18.6640625" style="220" customWidth="1"/>
    <col min="12551" max="12551" width="16.83203125" style="220" customWidth="1"/>
    <col min="12552" max="12552" width="9.33203125" style="220"/>
    <col min="12553" max="12553" width="0" style="220" hidden="1" customWidth="1"/>
    <col min="12554" max="12555" width="9.33203125" style="220"/>
    <col min="12556" max="12556" width="14.5" style="220" bestFit="1" customWidth="1"/>
    <col min="12557" max="12557" width="14.83203125" style="220" customWidth="1"/>
    <col min="12558" max="12558" width="14.6640625" style="220" bestFit="1" customWidth="1"/>
    <col min="12559" max="12800" width="9.33203125" style="220"/>
    <col min="12801" max="12801" width="5.5" style="220" customWidth="1"/>
    <col min="12802" max="12802" width="2" style="220" customWidth="1"/>
    <col min="12803" max="12803" width="57.83203125" style="220" bestFit="1" customWidth="1"/>
    <col min="12804" max="12804" width="11.6640625" style="220" customWidth="1"/>
    <col min="12805" max="12805" width="16.5" style="220" customWidth="1"/>
    <col min="12806" max="12806" width="18.6640625" style="220" customWidth="1"/>
    <col min="12807" max="12807" width="16.83203125" style="220" customWidth="1"/>
    <col min="12808" max="12808" width="9.33203125" style="220"/>
    <col min="12809" max="12809" width="0" style="220" hidden="1" customWidth="1"/>
    <col min="12810" max="12811" width="9.33203125" style="220"/>
    <col min="12812" max="12812" width="14.5" style="220" bestFit="1" customWidth="1"/>
    <col min="12813" max="12813" width="14.83203125" style="220" customWidth="1"/>
    <col min="12814" max="12814" width="14.6640625" style="220" bestFit="1" customWidth="1"/>
    <col min="12815" max="13056" width="9.33203125" style="220"/>
    <col min="13057" max="13057" width="5.5" style="220" customWidth="1"/>
    <col min="13058" max="13058" width="2" style="220" customWidth="1"/>
    <col min="13059" max="13059" width="57.83203125" style="220" bestFit="1" customWidth="1"/>
    <col min="13060" max="13060" width="11.6640625" style="220" customWidth="1"/>
    <col min="13061" max="13061" width="16.5" style="220" customWidth="1"/>
    <col min="13062" max="13062" width="18.6640625" style="220" customWidth="1"/>
    <col min="13063" max="13063" width="16.83203125" style="220" customWidth="1"/>
    <col min="13064" max="13064" width="9.33203125" style="220"/>
    <col min="13065" max="13065" width="0" style="220" hidden="1" customWidth="1"/>
    <col min="13066" max="13067" width="9.33203125" style="220"/>
    <col min="13068" max="13068" width="14.5" style="220" bestFit="1" customWidth="1"/>
    <col min="13069" max="13069" width="14.83203125" style="220" customWidth="1"/>
    <col min="13070" max="13070" width="14.6640625" style="220" bestFit="1" customWidth="1"/>
    <col min="13071" max="13312" width="9.33203125" style="220"/>
    <col min="13313" max="13313" width="5.5" style="220" customWidth="1"/>
    <col min="13314" max="13314" width="2" style="220" customWidth="1"/>
    <col min="13315" max="13315" width="57.83203125" style="220" bestFit="1" customWidth="1"/>
    <col min="13316" max="13316" width="11.6640625" style="220" customWidth="1"/>
    <col min="13317" max="13317" width="16.5" style="220" customWidth="1"/>
    <col min="13318" max="13318" width="18.6640625" style="220" customWidth="1"/>
    <col min="13319" max="13319" width="16.83203125" style="220" customWidth="1"/>
    <col min="13320" max="13320" width="9.33203125" style="220"/>
    <col min="13321" max="13321" width="0" style="220" hidden="1" customWidth="1"/>
    <col min="13322" max="13323" width="9.33203125" style="220"/>
    <col min="13324" max="13324" width="14.5" style="220" bestFit="1" customWidth="1"/>
    <col min="13325" max="13325" width="14.83203125" style="220" customWidth="1"/>
    <col min="13326" max="13326" width="14.6640625" style="220" bestFit="1" customWidth="1"/>
    <col min="13327" max="13568" width="9.33203125" style="220"/>
    <col min="13569" max="13569" width="5.5" style="220" customWidth="1"/>
    <col min="13570" max="13570" width="2" style="220" customWidth="1"/>
    <col min="13571" max="13571" width="57.83203125" style="220" bestFit="1" customWidth="1"/>
    <col min="13572" max="13572" width="11.6640625" style="220" customWidth="1"/>
    <col min="13573" max="13573" width="16.5" style="220" customWidth="1"/>
    <col min="13574" max="13574" width="18.6640625" style="220" customWidth="1"/>
    <col min="13575" max="13575" width="16.83203125" style="220" customWidth="1"/>
    <col min="13576" max="13576" width="9.33203125" style="220"/>
    <col min="13577" max="13577" width="0" style="220" hidden="1" customWidth="1"/>
    <col min="13578" max="13579" width="9.33203125" style="220"/>
    <col min="13580" max="13580" width="14.5" style="220" bestFit="1" customWidth="1"/>
    <col min="13581" max="13581" width="14.83203125" style="220" customWidth="1"/>
    <col min="13582" max="13582" width="14.6640625" style="220" bestFit="1" customWidth="1"/>
    <col min="13583" max="13824" width="9.33203125" style="220"/>
    <col min="13825" max="13825" width="5.5" style="220" customWidth="1"/>
    <col min="13826" max="13826" width="2" style="220" customWidth="1"/>
    <col min="13827" max="13827" width="57.83203125" style="220" bestFit="1" customWidth="1"/>
    <col min="13828" max="13828" width="11.6640625" style="220" customWidth="1"/>
    <col min="13829" max="13829" width="16.5" style="220" customWidth="1"/>
    <col min="13830" max="13830" width="18.6640625" style="220" customWidth="1"/>
    <col min="13831" max="13831" width="16.83203125" style="220" customWidth="1"/>
    <col min="13832" max="13832" width="9.33203125" style="220"/>
    <col min="13833" max="13833" width="0" style="220" hidden="1" customWidth="1"/>
    <col min="13834" max="13835" width="9.33203125" style="220"/>
    <col min="13836" max="13836" width="14.5" style="220" bestFit="1" customWidth="1"/>
    <col min="13837" max="13837" width="14.83203125" style="220" customWidth="1"/>
    <col min="13838" max="13838" width="14.6640625" style="220" bestFit="1" customWidth="1"/>
    <col min="13839" max="14080" width="9.33203125" style="220"/>
    <col min="14081" max="14081" width="5.5" style="220" customWidth="1"/>
    <col min="14082" max="14082" width="2" style="220" customWidth="1"/>
    <col min="14083" max="14083" width="57.83203125" style="220" bestFit="1" customWidth="1"/>
    <col min="14084" max="14084" width="11.6640625" style="220" customWidth="1"/>
    <col min="14085" max="14085" width="16.5" style="220" customWidth="1"/>
    <col min="14086" max="14086" width="18.6640625" style="220" customWidth="1"/>
    <col min="14087" max="14087" width="16.83203125" style="220" customWidth="1"/>
    <col min="14088" max="14088" width="9.33203125" style="220"/>
    <col min="14089" max="14089" width="0" style="220" hidden="1" customWidth="1"/>
    <col min="14090" max="14091" width="9.33203125" style="220"/>
    <col min="14092" max="14092" width="14.5" style="220" bestFit="1" customWidth="1"/>
    <col min="14093" max="14093" width="14.83203125" style="220" customWidth="1"/>
    <col min="14094" max="14094" width="14.6640625" style="220" bestFit="1" customWidth="1"/>
    <col min="14095" max="14336" width="9.33203125" style="220"/>
    <col min="14337" max="14337" width="5.5" style="220" customWidth="1"/>
    <col min="14338" max="14338" width="2" style="220" customWidth="1"/>
    <col min="14339" max="14339" width="57.83203125" style="220" bestFit="1" customWidth="1"/>
    <col min="14340" max="14340" width="11.6640625" style="220" customWidth="1"/>
    <col min="14341" max="14341" width="16.5" style="220" customWidth="1"/>
    <col min="14342" max="14342" width="18.6640625" style="220" customWidth="1"/>
    <col min="14343" max="14343" width="16.83203125" style="220" customWidth="1"/>
    <col min="14344" max="14344" width="9.33203125" style="220"/>
    <col min="14345" max="14345" width="0" style="220" hidden="1" customWidth="1"/>
    <col min="14346" max="14347" width="9.33203125" style="220"/>
    <col min="14348" max="14348" width="14.5" style="220" bestFit="1" customWidth="1"/>
    <col min="14349" max="14349" width="14.83203125" style="220" customWidth="1"/>
    <col min="14350" max="14350" width="14.6640625" style="220" bestFit="1" customWidth="1"/>
    <col min="14351" max="14592" width="9.33203125" style="220"/>
    <col min="14593" max="14593" width="5.5" style="220" customWidth="1"/>
    <col min="14594" max="14594" width="2" style="220" customWidth="1"/>
    <col min="14595" max="14595" width="57.83203125" style="220" bestFit="1" customWidth="1"/>
    <col min="14596" max="14596" width="11.6640625" style="220" customWidth="1"/>
    <col min="14597" max="14597" width="16.5" style="220" customWidth="1"/>
    <col min="14598" max="14598" width="18.6640625" style="220" customWidth="1"/>
    <col min="14599" max="14599" width="16.83203125" style="220" customWidth="1"/>
    <col min="14600" max="14600" width="9.33203125" style="220"/>
    <col min="14601" max="14601" width="0" style="220" hidden="1" customWidth="1"/>
    <col min="14602" max="14603" width="9.33203125" style="220"/>
    <col min="14604" max="14604" width="14.5" style="220" bestFit="1" customWidth="1"/>
    <col min="14605" max="14605" width="14.83203125" style="220" customWidth="1"/>
    <col min="14606" max="14606" width="14.6640625" style="220" bestFit="1" customWidth="1"/>
    <col min="14607" max="14848" width="9.33203125" style="220"/>
    <col min="14849" max="14849" width="5.5" style="220" customWidth="1"/>
    <col min="14850" max="14850" width="2" style="220" customWidth="1"/>
    <col min="14851" max="14851" width="57.83203125" style="220" bestFit="1" customWidth="1"/>
    <col min="14852" max="14852" width="11.6640625" style="220" customWidth="1"/>
    <col min="14853" max="14853" width="16.5" style="220" customWidth="1"/>
    <col min="14854" max="14854" width="18.6640625" style="220" customWidth="1"/>
    <col min="14855" max="14855" width="16.83203125" style="220" customWidth="1"/>
    <col min="14856" max="14856" width="9.33203125" style="220"/>
    <col min="14857" max="14857" width="0" style="220" hidden="1" customWidth="1"/>
    <col min="14858" max="14859" width="9.33203125" style="220"/>
    <col min="14860" max="14860" width="14.5" style="220" bestFit="1" customWidth="1"/>
    <col min="14861" max="14861" width="14.83203125" style="220" customWidth="1"/>
    <col min="14862" max="14862" width="14.6640625" style="220" bestFit="1" customWidth="1"/>
    <col min="14863" max="15104" width="9.33203125" style="220"/>
    <col min="15105" max="15105" width="5.5" style="220" customWidth="1"/>
    <col min="15106" max="15106" width="2" style="220" customWidth="1"/>
    <col min="15107" max="15107" width="57.83203125" style="220" bestFit="1" customWidth="1"/>
    <col min="15108" max="15108" width="11.6640625" style="220" customWidth="1"/>
    <col min="15109" max="15109" width="16.5" style="220" customWidth="1"/>
    <col min="15110" max="15110" width="18.6640625" style="220" customWidth="1"/>
    <col min="15111" max="15111" width="16.83203125" style="220" customWidth="1"/>
    <col min="15112" max="15112" width="9.33203125" style="220"/>
    <col min="15113" max="15113" width="0" style="220" hidden="1" customWidth="1"/>
    <col min="15114" max="15115" width="9.33203125" style="220"/>
    <col min="15116" max="15116" width="14.5" style="220" bestFit="1" customWidth="1"/>
    <col min="15117" max="15117" width="14.83203125" style="220" customWidth="1"/>
    <col min="15118" max="15118" width="14.6640625" style="220" bestFit="1" customWidth="1"/>
    <col min="15119" max="15360" width="9.33203125" style="220"/>
    <col min="15361" max="15361" width="5.5" style="220" customWidth="1"/>
    <col min="15362" max="15362" width="2" style="220" customWidth="1"/>
    <col min="15363" max="15363" width="57.83203125" style="220" bestFit="1" customWidth="1"/>
    <col min="15364" max="15364" width="11.6640625" style="220" customWidth="1"/>
    <col min="15365" max="15365" width="16.5" style="220" customWidth="1"/>
    <col min="15366" max="15366" width="18.6640625" style="220" customWidth="1"/>
    <col min="15367" max="15367" width="16.83203125" style="220" customWidth="1"/>
    <col min="15368" max="15368" width="9.33203125" style="220"/>
    <col min="15369" max="15369" width="0" style="220" hidden="1" customWidth="1"/>
    <col min="15370" max="15371" width="9.33203125" style="220"/>
    <col min="15372" max="15372" width="14.5" style="220" bestFit="1" customWidth="1"/>
    <col min="15373" max="15373" width="14.83203125" style="220" customWidth="1"/>
    <col min="15374" max="15374" width="14.6640625" style="220" bestFit="1" customWidth="1"/>
    <col min="15375" max="15616" width="9.33203125" style="220"/>
    <col min="15617" max="15617" width="5.5" style="220" customWidth="1"/>
    <col min="15618" max="15618" width="2" style="220" customWidth="1"/>
    <col min="15619" max="15619" width="57.83203125" style="220" bestFit="1" customWidth="1"/>
    <col min="15620" max="15620" width="11.6640625" style="220" customWidth="1"/>
    <col min="15621" max="15621" width="16.5" style="220" customWidth="1"/>
    <col min="15622" max="15622" width="18.6640625" style="220" customWidth="1"/>
    <col min="15623" max="15623" width="16.83203125" style="220" customWidth="1"/>
    <col min="15624" max="15624" width="9.33203125" style="220"/>
    <col min="15625" max="15625" width="0" style="220" hidden="1" customWidth="1"/>
    <col min="15626" max="15627" width="9.33203125" style="220"/>
    <col min="15628" max="15628" width="14.5" style="220" bestFit="1" customWidth="1"/>
    <col min="15629" max="15629" width="14.83203125" style="220" customWidth="1"/>
    <col min="15630" max="15630" width="14.6640625" style="220" bestFit="1" customWidth="1"/>
    <col min="15631" max="15872" width="9.33203125" style="220"/>
    <col min="15873" max="15873" width="5.5" style="220" customWidth="1"/>
    <col min="15874" max="15874" width="2" style="220" customWidth="1"/>
    <col min="15875" max="15875" width="57.83203125" style="220" bestFit="1" customWidth="1"/>
    <col min="15876" max="15876" width="11.6640625" style="220" customWidth="1"/>
    <col min="15877" max="15877" width="16.5" style="220" customWidth="1"/>
    <col min="15878" max="15878" width="18.6640625" style="220" customWidth="1"/>
    <col min="15879" max="15879" width="16.83203125" style="220" customWidth="1"/>
    <col min="15880" max="15880" width="9.33203125" style="220"/>
    <col min="15881" max="15881" width="0" style="220" hidden="1" customWidth="1"/>
    <col min="15882" max="15883" width="9.33203125" style="220"/>
    <col min="15884" max="15884" width="14.5" style="220" bestFit="1" customWidth="1"/>
    <col min="15885" max="15885" width="14.83203125" style="220" customWidth="1"/>
    <col min="15886" max="15886" width="14.6640625" style="220" bestFit="1" customWidth="1"/>
    <col min="15887" max="16128" width="9.33203125" style="220"/>
    <col min="16129" max="16129" width="5.5" style="220" customWidth="1"/>
    <col min="16130" max="16130" width="2" style="220" customWidth="1"/>
    <col min="16131" max="16131" width="57.83203125" style="220" bestFit="1" customWidth="1"/>
    <col min="16132" max="16132" width="11.6640625" style="220" customWidth="1"/>
    <col min="16133" max="16133" width="16.5" style="220" customWidth="1"/>
    <col min="16134" max="16134" width="18.6640625" style="220" customWidth="1"/>
    <col min="16135" max="16135" width="16.83203125" style="220" customWidth="1"/>
    <col min="16136" max="16136" width="9.33203125" style="220"/>
    <col min="16137" max="16137" width="0" style="220" hidden="1" customWidth="1"/>
    <col min="16138" max="16139" width="9.33203125" style="220"/>
    <col min="16140" max="16140" width="14.5" style="220" bestFit="1" customWidth="1"/>
    <col min="16141" max="16141" width="14.83203125" style="220" customWidth="1"/>
    <col min="16142" max="16142" width="14.6640625" style="220" bestFit="1" customWidth="1"/>
    <col min="16143" max="16384" width="9.33203125" style="220"/>
  </cols>
  <sheetData>
    <row r="1" spans="1:9" ht="15" customHeight="1">
      <c r="G1" s="1040"/>
    </row>
    <row r="2" spans="1:9" ht="14.25" customHeight="1">
      <c r="A2" s="1041" t="s">
        <v>1217</v>
      </c>
      <c r="B2" s="1041"/>
      <c r="C2" s="1041"/>
      <c r="D2" s="1041"/>
      <c r="E2" s="1041"/>
      <c r="F2" s="1041"/>
      <c r="G2" s="1041"/>
    </row>
    <row r="3" spans="1:9" ht="15" customHeight="1">
      <c r="A3" s="1041" t="s">
        <v>447</v>
      </c>
      <c r="B3" s="1041"/>
      <c r="C3" s="1041"/>
      <c r="D3" s="1041"/>
      <c r="E3" s="1041"/>
      <c r="F3" s="1041"/>
      <c r="G3" s="1041"/>
    </row>
    <row r="4" spans="1:9" ht="15" customHeight="1">
      <c r="A4" s="1041" t="s">
        <v>1218</v>
      </c>
      <c r="B4" s="1041"/>
      <c r="C4" s="1041"/>
      <c r="D4" s="1041"/>
      <c r="E4" s="1041"/>
      <c r="F4" s="1041"/>
      <c r="G4" s="1041"/>
    </row>
    <row r="5" spans="1:9" s="1042" customFormat="1" ht="15" customHeight="1">
      <c r="C5" s="1043"/>
      <c r="D5" s="1043"/>
    </row>
    <row r="6" spans="1:9" s="1042" customFormat="1" ht="15" customHeight="1">
      <c r="A6" s="1044" t="s">
        <v>1219</v>
      </c>
      <c r="B6" s="1044"/>
      <c r="C6" s="1044" t="s">
        <v>523</v>
      </c>
      <c r="D6" s="1044"/>
      <c r="E6" s="1044" t="s">
        <v>1027</v>
      </c>
      <c r="F6" s="1044" t="s">
        <v>1028</v>
      </c>
      <c r="G6" s="1044" t="s">
        <v>279</v>
      </c>
    </row>
    <row r="7" spans="1:9" s="1042" customFormat="1" ht="29.25" customHeight="1">
      <c r="D7" s="1043"/>
    </row>
    <row r="8" spans="1:9" s="1042" customFormat="1" ht="15" customHeight="1">
      <c r="A8" s="1045">
        <v>1</v>
      </c>
      <c r="B8" s="1045" t="s">
        <v>1119</v>
      </c>
      <c r="C8" s="1046" t="s">
        <v>1220</v>
      </c>
      <c r="D8" s="1047">
        <v>40543</v>
      </c>
      <c r="E8" s="1048">
        <f>'3.05E - Customer Count Pg 6a'!D61</f>
        <v>1078501</v>
      </c>
      <c r="F8" s="1048">
        <f>'3.05G - Customer Count Pg6b'!D53</f>
        <v>750811</v>
      </c>
      <c r="G8" s="1048">
        <f>SUM(E8:F8)</f>
        <v>1829312</v>
      </c>
      <c r="I8" s="1042" t="s">
        <v>1221</v>
      </c>
    </row>
    <row r="9" spans="1:9" s="1042" customFormat="1" ht="18.95" customHeight="1" thickBot="1">
      <c r="B9" s="1043"/>
      <c r="C9" s="1049" t="s">
        <v>412</v>
      </c>
      <c r="D9" s="1043"/>
      <c r="E9" s="1050">
        <f>ROUND(+E8/G8,4)</f>
        <v>0.58960000000000001</v>
      </c>
      <c r="F9" s="1050">
        <f>ROUND(+F8/G8,4)</f>
        <v>0.41039999999999999</v>
      </c>
      <c r="G9" s="1051">
        <f>SUM(E9:F9)</f>
        <v>1</v>
      </c>
    </row>
    <row r="10" spans="1:9" s="1042" customFormat="1" ht="15" customHeight="1" thickTop="1">
      <c r="A10" s="1043"/>
      <c r="B10" s="1043"/>
      <c r="D10" s="1047"/>
    </row>
    <row r="11" spans="1:9" s="1042" customFormat="1" ht="15" customHeight="1">
      <c r="A11" s="1045">
        <v>2</v>
      </c>
      <c r="B11" s="1045" t="s">
        <v>1119</v>
      </c>
      <c r="C11" s="1046" t="s">
        <v>1222</v>
      </c>
      <c r="D11" s="1047">
        <v>40543</v>
      </c>
      <c r="E11" s="1052">
        <f>'3.05 - Joint Meter Customers'!C1698</f>
        <v>706127</v>
      </c>
      <c r="F11" s="1052">
        <f>'3.05 - Joint Meter Customers'!D1698</f>
        <v>408431</v>
      </c>
      <c r="G11" s="1052">
        <f>SUM(E11:F11)</f>
        <v>1114558</v>
      </c>
      <c r="H11" s="1053"/>
    </row>
    <row r="12" spans="1:9" s="1042" customFormat="1" ht="18.95" customHeight="1" thickBot="1">
      <c r="B12" s="1043"/>
      <c r="C12" s="1049" t="s">
        <v>412</v>
      </c>
      <c r="D12" s="1043"/>
      <c r="E12" s="1050">
        <f>ROUND(+E11/G11,4)</f>
        <v>0.63349999999999995</v>
      </c>
      <c r="F12" s="1050">
        <f>ROUND(+F11/G11,4)</f>
        <v>0.36649999999999999</v>
      </c>
      <c r="G12" s="1051">
        <f>SUM(E12:F12)</f>
        <v>1</v>
      </c>
    </row>
    <row r="13" spans="1:9" s="1042" customFormat="1" ht="15" customHeight="1" thickTop="1">
      <c r="A13" s="1043"/>
      <c r="B13" s="1043"/>
      <c r="D13" s="1043"/>
    </row>
    <row r="14" spans="1:9" s="1042" customFormat="1" ht="15" customHeight="1">
      <c r="A14" s="1045">
        <v>3</v>
      </c>
      <c r="B14" s="1045" t="s">
        <v>1119</v>
      </c>
      <c r="C14" s="1046" t="s">
        <v>1223</v>
      </c>
      <c r="D14" s="1043"/>
    </row>
    <row r="15" spans="1:9" s="1042" customFormat="1" ht="15" customHeight="1">
      <c r="A15" s="1043"/>
      <c r="B15" s="1043"/>
      <c r="C15" s="1054" t="s">
        <v>1224</v>
      </c>
      <c r="D15" s="1047">
        <v>40543</v>
      </c>
      <c r="E15" s="1055">
        <f>'3.05 - Electric'!P272</f>
        <v>3457231764</v>
      </c>
      <c r="F15" s="1055">
        <f>'3.05 - Gas'!P60</f>
        <v>2533527615</v>
      </c>
      <c r="G15" s="1055">
        <f>SUM(E15:F15)</f>
        <v>5990759379</v>
      </c>
    </row>
    <row r="16" spans="1:9" s="1042" customFormat="1" ht="15" customHeight="1">
      <c r="A16" s="1043"/>
      <c r="B16" s="1043"/>
      <c r="C16" s="1054" t="s">
        <v>1225</v>
      </c>
      <c r="D16" s="1047">
        <v>40543</v>
      </c>
      <c r="E16" s="1056">
        <f>'3.05 - Electric'!P103</f>
        <v>425086614</v>
      </c>
      <c r="F16" s="1056">
        <v>0</v>
      </c>
      <c r="G16" s="1056">
        <f>SUM(E16:F16)</f>
        <v>425086614</v>
      </c>
    </row>
    <row r="17" spans="1:8" s="1042" customFormat="1" ht="15" customHeight="1">
      <c r="A17" s="1043"/>
      <c r="B17" s="1043"/>
      <c r="C17" s="1054" t="s">
        <v>1226</v>
      </c>
      <c r="D17" s="1047">
        <v>40543</v>
      </c>
      <c r="E17" s="1056">
        <f>'3.05 - Electric'!P385</f>
        <v>136171270.25833333</v>
      </c>
      <c r="F17" s="1056">
        <f>'3.05 - Gas'!P103</f>
        <v>47516627.650833331</v>
      </c>
      <c r="G17" s="1056">
        <f>SUM(E17:F17)</f>
        <v>183687897.90916666</v>
      </c>
    </row>
    <row r="18" spans="1:8" s="1042" customFormat="1" ht="15" customHeight="1">
      <c r="A18" s="1043"/>
      <c r="B18" s="1043"/>
      <c r="C18" s="1054" t="s">
        <v>279</v>
      </c>
      <c r="D18" s="1057"/>
      <c r="E18" s="1058">
        <f>SUM(E15:E17)</f>
        <v>4018489648.2583332</v>
      </c>
      <c r="F18" s="1058">
        <f>SUM(F15:F17)</f>
        <v>2581044242.6508331</v>
      </c>
      <c r="G18" s="1058">
        <f>SUM(E18:F18)</f>
        <v>6599533890.9091663</v>
      </c>
    </row>
    <row r="19" spans="1:8" s="1042" customFormat="1" ht="18.95" customHeight="1" thickBot="1">
      <c r="B19" s="1043"/>
      <c r="C19" s="1049" t="s">
        <v>412</v>
      </c>
      <c r="D19" s="1043"/>
      <c r="E19" s="1050">
        <f>ROUND(+E18/G18,4)</f>
        <v>0.6089</v>
      </c>
      <c r="F19" s="1050">
        <f>ROUND(+F18/G18,4)</f>
        <v>0.3911</v>
      </c>
      <c r="G19" s="1051">
        <f>SUM(E19:F19)</f>
        <v>1</v>
      </c>
    </row>
    <row r="20" spans="1:8" s="1042" customFormat="1" ht="15" customHeight="1" thickTop="1">
      <c r="A20" s="1043"/>
      <c r="B20" s="1043"/>
      <c r="D20" s="1043"/>
    </row>
    <row r="21" spans="1:8" s="1042" customFormat="1" ht="15" customHeight="1">
      <c r="A21" s="1045">
        <v>4</v>
      </c>
      <c r="B21" s="1045" t="s">
        <v>1119</v>
      </c>
      <c r="C21" s="1046" t="s">
        <v>1227</v>
      </c>
      <c r="D21" s="1043" t="s">
        <v>1228</v>
      </c>
    </row>
    <row r="22" spans="1:8" s="1042" customFormat="1" ht="15" customHeight="1">
      <c r="A22" s="1043"/>
      <c r="B22" s="1043"/>
      <c r="C22" s="1054" t="s">
        <v>1229</v>
      </c>
      <c r="D22" s="1047">
        <v>40543</v>
      </c>
      <c r="E22" s="1048">
        <f>+E8</f>
        <v>1078501</v>
      </c>
      <c r="F22" s="1048">
        <f>+F8</f>
        <v>750811</v>
      </c>
      <c r="G22" s="1048">
        <f>SUM(E22:F22)</f>
        <v>1829312</v>
      </c>
    </row>
    <row r="23" spans="1:8" s="1042" customFormat="1" ht="15" customHeight="1">
      <c r="A23" s="1043"/>
      <c r="B23" s="1043"/>
      <c r="C23" s="1049" t="s">
        <v>1230</v>
      </c>
      <c r="D23" s="1043"/>
      <c r="E23" s="1059">
        <f>+E22/G22</f>
        <v>0.5895664599587167</v>
      </c>
      <c r="F23" s="1059">
        <f>+F22/G22</f>
        <v>0.4104335400412833</v>
      </c>
      <c r="G23" s="1060">
        <f>SUM(E23:F23)</f>
        <v>1</v>
      </c>
    </row>
    <row r="24" spans="1:8" s="1042" customFormat="1" ht="15" customHeight="1">
      <c r="A24" s="1043"/>
      <c r="B24" s="1043"/>
      <c r="D24" s="1043"/>
    </row>
    <row r="25" spans="1:8" s="1042" customFormat="1" ht="15" customHeight="1">
      <c r="A25" s="1043"/>
      <c r="B25" s="1043"/>
      <c r="C25" s="1042" t="s">
        <v>1231</v>
      </c>
      <c r="D25" s="1047">
        <v>40543</v>
      </c>
      <c r="E25" s="1606">
        <f>'3.05 - FERC Pg 354 &amp; 355'!M3</f>
        <v>47628712.222444043</v>
      </c>
      <c r="F25" s="1606">
        <f>'3.05 - FERC Pg 354 &amp; 355'!M4</f>
        <v>23754416.951529805</v>
      </c>
      <c r="G25" s="1061">
        <f>SUM(E25:F25)</f>
        <v>71383129.173973843</v>
      </c>
      <c r="H25" s="1607"/>
    </row>
    <row r="26" spans="1:8" s="1042" customFormat="1" ht="15" customHeight="1">
      <c r="A26" s="1043"/>
      <c r="B26" s="1043"/>
      <c r="C26" s="1049" t="s">
        <v>1230</v>
      </c>
      <c r="D26" s="1043"/>
      <c r="E26" s="1059">
        <f>+E25/G25</f>
        <v>0.66722645495638178</v>
      </c>
      <c r="F26" s="1059">
        <f>+F25/G25</f>
        <v>0.33277354504361822</v>
      </c>
      <c r="G26" s="1060">
        <f>SUM(E26:F26)</f>
        <v>1</v>
      </c>
    </row>
    <row r="27" spans="1:8" s="1042" customFormat="1" ht="15" customHeight="1">
      <c r="A27" s="1043"/>
      <c r="B27" s="1043"/>
      <c r="D27" s="1043"/>
    </row>
    <row r="28" spans="1:8" s="1042" customFormat="1" ht="15" customHeight="1">
      <c r="A28" s="1043"/>
      <c r="B28" s="1043"/>
      <c r="C28" s="1042" t="s">
        <v>1232</v>
      </c>
      <c r="D28" s="1047">
        <v>40543</v>
      </c>
      <c r="E28" s="1606">
        <f>'3.05 - 2010 IS'!B43</f>
        <v>69836081.472392678</v>
      </c>
      <c r="F28" s="1606">
        <f>'3.05 - 2010 IS'!C43</f>
        <v>27914823.18653493</v>
      </c>
      <c r="G28" s="1062">
        <f>SUM(E28:F28)</f>
        <v>97750904.658927605</v>
      </c>
      <c r="H28" s="1607"/>
    </row>
    <row r="29" spans="1:8" s="1042" customFormat="1" ht="15" customHeight="1">
      <c r="A29" s="1043"/>
      <c r="B29" s="1043"/>
      <c r="C29" s="1049" t="s">
        <v>1230</v>
      </c>
      <c r="D29" s="1043"/>
      <c r="E29" s="1059">
        <f>+E28/G28</f>
        <v>0.71442900417202981</v>
      </c>
      <c r="F29" s="1059">
        <f>+F28/G28</f>
        <v>0.28557099582797024</v>
      </c>
      <c r="G29" s="1060">
        <f>SUM(E29:F29)</f>
        <v>1</v>
      </c>
    </row>
    <row r="30" spans="1:8" s="1042" customFormat="1" ht="15" customHeight="1">
      <c r="A30" s="1043"/>
      <c r="B30" s="1043"/>
      <c r="D30" s="1043"/>
    </row>
    <row r="31" spans="1:8" s="1042" customFormat="1" ht="15" customHeight="1">
      <c r="A31" s="1043"/>
      <c r="B31" s="1043"/>
      <c r="C31" s="1042" t="s">
        <v>1233</v>
      </c>
      <c r="D31" s="1047">
        <v>40543</v>
      </c>
      <c r="E31" s="1048">
        <f>'3.05 - E &amp; G RB'!D25</f>
        <v>3879978868.5912499</v>
      </c>
      <c r="F31" s="1048">
        <f>'3.05 - E &amp; G RB'!D42</f>
        <v>1750859729.093334</v>
      </c>
      <c r="G31" s="1048">
        <f>SUM(E31:F31)</f>
        <v>5630838597.6845837</v>
      </c>
    </row>
    <row r="32" spans="1:8" s="1042" customFormat="1" ht="15" customHeight="1">
      <c r="A32" s="1043"/>
      <c r="B32" s="1043"/>
      <c r="C32" s="1049" t="s">
        <v>1230</v>
      </c>
      <c r="D32" s="1043"/>
      <c r="E32" s="1059">
        <f>+E31/G31</f>
        <v>0.68905879671044168</v>
      </c>
      <c r="F32" s="1059">
        <f>+F31/G31</f>
        <v>0.31094120328955838</v>
      </c>
      <c r="G32" s="1060">
        <f>SUM(E32:F32)</f>
        <v>1</v>
      </c>
    </row>
    <row r="33" spans="1:13" s="1042" customFormat="1" ht="15" customHeight="1">
      <c r="A33" s="1043"/>
      <c r="D33" s="1043"/>
      <c r="E33" s="1063"/>
      <c r="F33" s="1063"/>
      <c r="G33" s="1063"/>
    </row>
    <row r="34" spans="1:13" s="1042" customFormat="1" ht="15" customHeight="1">
      <c r="A34" s="1043"/>
      <c r="C34" s="1042" t="s">
        <v>1234</v>
      </c>
      <c r="D34" s="1043"/>
      <c r="E34" s="1064">
        <f>+E32+E29+E26+E23</f>
        <v>2.6602807157975699</v>
      </c>
      <c r="F34" s="1064">
        <f>+F32+F29+F26+F23</f>
        <v>1.3397192842024301</v>
      </c>
      <c r="G34" s="1064">
        <f>+G32+G29+G26+G23</f>
        <v>4</v>
      </c>
      <c r="L34" s="1065"/>
    </row>
    <row r="35" spans="1:13" s="1042" customFormat="1" ht="18.95" customHeight="1" thickBot="1">
      <c r="C35" s="1042" t="s">
        <v>412</v>
      </c>
      <c r="D35" s="1043"/>
      <c r="E35" s="1050">
        <f>ROUND(+E34/4,4)</f>
        <v>0.66510000000000002</v>
      </c>
      <c r="F35" s="1050">
        <f>ROUND(+F34/4,4)</f>
        <v>0.33489999999999998</v>
      </c>
      <c r="G35" s="1051">
        <f>+G34/4</f>
        <v>1</v>
      </c>
      <c r="L35" s="1065"/>
    </row>
    <row r="36" spans="1:13" s="1042" customFormat="1" ht="15" customHeight="1" thickTop="1">
      <c r="D36" s="1043"/>
      <c r="L36" s="1065"/>
    </row>
    <row r="37" spans="1:13" s="1042" customFormat="1" ht="15" customHeight="1">
      <c r="A37" s="1045">
        <v>5</v>
      </c>
      <c r="B37" s="1045" t="s">
        <v>1119</v>
      </c>
      <c r="C37" s="1046" t="s">
        <v>1235</v>
      </c>
      <c r="D37" s="1043"/>
      <c r="L37" s="1065"/>
      <c r="M37" s="1065"/>
    </row>
    <row r="38" spans="1:13" s="1042" customFormat="1" ht="15" customHeight="1">
      <c r="C38" s="1049" t="s">
        <v>1236</v>
      </c>
      <c r="D38" s="1047">
        <v>40543</v>
      </c>
      <c r="E38" s="1048">
        <f>'3.05 - SAP DL Download'!D27</f>
        <v>49678351.670000002</v>
      </c>
      <c r="F38" s="1048">
        <f>'3.05 - SAP DL Download'!D53</f>
        <v>24123485.859999999</v>
      </c>
      <c r="G38" s="1048">
        <f>SUM(E38:F38)</f>
        <v>73801837.530000001</v>
      </c>
      <c r="L38" s="1065"/>
    </row>
    <row r="39" spans="1:13" s="1042" customFormat="1" ht="15" customHeight="1">
      <c r="C39" s="1042" t="s">
        <v>279</v>
      </c>
      <c r="D39" s="1043"/>
      <c r="E39" s="1066">
        <f>SUM(E38:E38)</f>
        <v>49678351.670000002</v>
      </c>
      <c r="F39" s="1066">
        <f>SUM(F38:F38)</f>
        <v>24123485.859999999</v>
      </c>
      <c r="G39" s="1066">
        <f>SUM(G38:G38)</f>
        <v>73801837.530000001</v>
      </c>
      <c r="L39" s="1065"/>
      <c r="M39" s="1065"/>
    </row>
    <row r="40" spans="1:13" s="1042" customFormat="1" ht="18.95" customHeight="1" thickBot="1">
      <c r="C40" s="1042" t="s">
        <v>412</v>
      </c>
      <c r="D40" s="1043"/>
      <c r="E40" s="1050">
        <f>ROUND(+E39/G39,4)</f>
        <v>0.67310000000000003</v>
      </c>
      <c r="F40" s="1050">
        <f>ROUND(+F39/G39,4)</f>
        <v>0.32690000000000002</v>
      </c>
      <c r="G40" s="1067">
        <f>SUM(E40:F40)</f>
        <v>1</v>
      </c>
      <c r="L40" s="1065"/>
      <c r="M40" s="1068"/>
    </row>
    <row r="41" spans="1:13" s="1042" customFormat="1" ht="15" customHeight="1" thickTop="1">
      <c r="D41" s="1043"/>
    </row>
    <row r="42" spans="1:13" s="1042" customFormat="1" ht="15" customHeight="1">
      <c r="D42" s="1043"/>
    </row>
  </sheetData>
  <printOptions horizontalCentered="1"/>
  <pageMargins left="0.5" right="0.41" top="0.75" bottom="0.75" header="0.5" footer="0.5"/>
  <pageSetup scale="83" orientation="portrait" verticalDpi="300" r:id="rId1"/>
  <headerFooter alignWithMargins="0">
    <oddHeader xml:space="preserve">&amp;R&amp;"Helv,Bold"Exhibit No.__((JHS-03 and MJS-03)
Page 3.09
&amp;P of &amp;N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E1698"/>
  <sheetViews>
    <sheetView workbookViewId="0">
      <pane ySplit="1" topLeftCell="A1659" activePane="bottomLeft" state="frozen"/>
      <selection activeCell="O32" sqref="O32"/>
      <selection pane="bottomLeft" activeCell="O32" sqref="O32"/>
    </sheetView>
  </sheetViews>
  <sheetFormatPr defaultColWidth="10.6640625" defaultRowHeight="12.75"/>
  <cols>
    <col min="1" max="1" width="17" style="1072" customWidth="1"/>
    <col min="2" max="2" width="10.5" style="1072" bestFit="1" customWidth="1"/>
    <col min="3" max="3" width="15" style="1072" bestFit="1" customWidth="1"/>
    <col min="4" max="4" width="14.1640625" style="1072" bestFit="1" customWidth="1"/>
    <col min="5" max="256" width="10.6640625" style="1072"/>
    <col min="257" max="257" width="17" style="1072" customWidth="1"/>
    <col min="258" max="258" width="10.5" style="1072" bestFit="1" customWidth="1"/>
    <col min="259" max="259" width="15" style="1072" bestFit="1" customWidth="1"/>
    <col min="260" max="260" width="14.1640625" style="1072" bestFit="1" customWidth="1"/>
    <col min="261" max="512" width="10.6640625" style="1072"/>
    <col min="513" max="513" width="17" style="1072" customWidth="1"/>
    <col min="514" max="514" width="10.5" style="1072" bestFit="1" customWidth="1"/>
    <col min="515" max="515" width="15" style="1072" bestFit="1" customWidth="1"/>
    <col min="516" max="516" width="14.1640625" style="1072" bestFit="1" customWidth="1"/>
    <col min="517" max="768" width="10.6640625" style="1072"/>
    <col min="769" max="769" width="17" style="1072" customWidth="1"/>
    <col min="770" max="770" width="10.5" style="1072" bestFit="1" customWidth="1"/>
    <col min="771" max="771" width="15" style="1072" bestFit="1" customWidth="1"/>
    <col min="772" max="772" width="14.1640625" style="1072" bestFit="1" customWidth="1"/>
    <col min="773" max="1024" width="10.6640625" style="1072"/>
    <col min="1025" max="1025" width="17" style="1072" customWidth="1"/>
    <col min="1026" max="1026" width="10.5" style="1072" bestFit="1" customWidth="1"/>
    <col min="1027" max="1027" width="15" style="1072" bestFit="1" customWidth="1"/>
    <col min="1028" max="1028" width="14.1640625" style="1072" bestFit="1" customWidth="1"/>
    <col min="1029" max="1280" width="10.6640625" style="1072"/>
    <col min="1281" max="1281" width="17" style="1072" customWidth="1"/>
    <col min="1282" max="1282" width="10.5" style="1072" bestFit="1" customWidth="1"/>
    <col min="1283" max="1283" width="15" style="1072" bestFit="1" customWidth="1"/>
    <col min="1284" max="1284" width="14.1640625" style="1072" bestFit="1" customWidth="1"/>
    <col min="1285" max="1536" width="10.6640625" style="1072"/>
    <col min="1537" max="1537" width="17" style="1072" customWidth="1"/>
    <col min="1538" max="1538" width="10.5" style="1072" bestFit="1" customWidth="1"/>
    <col min="1539" max="1539" width="15" style="1072" bestFit="1" customWidth="1"/>
    <col min="1540" max="1540" width="14.1640625" style="1072" bestFit="1" customWidth="1"/>
    <col min="1541" max="1792" width="10.6640625" style="1072"/>
    <col min="1793" max="1793" width="17" style="1072" customWidth="1"/>
    <col min="1794" max="1794" width="10.5" style="1072" bestFit="1" customWidth="1"/>
    <col min="1795" max="1795" width="15" style="1072" bestFit="1" customWidth="1"/>
    <col min="1796" max="1796" width="14.1640625" style="1072" bestFit="1" customWidth="1"/>
    <col min="1797" max="2048" width="10.6640625" style="1072"/>
    <col min="2049" max="2049" width="17" style="1072" customWidth="1"/>
    <col min="2050" max="2050" width="10.5" style="1072" bestFit="1" customWidth="1"/>
    <col min="2051" max="2051" width="15" style="1072" bestFit="1" customWidth="1"/>
    <col min="2052" max="2052" width="14.1640625" style="1072" bestFit="1" customWidth="1"/>
    <col min="2053" max="2304" width="10.6640625" style="1072"/>
    <col min="2305" max="2305" width="17" style="1072" customWidth="1"/>
    <col min="2306" max="2306" width="10.5" style="1072" bestFit="1" customWidth="1"/>
    <col min="2307" max="2307" width="15" style="1072" bestFit="1" customWidth="1"/>
    <col min="2308" max="2308" width="14.1640625" style="1072" bestFit="1" customWidth="1"/>
    <col min="2309" max="2560" width="10.6640625" style="1072"/>
    <col min="2561" max="2561" width="17" style="1072" customWidth="1"/>
    <col min="2562" max="2562" width="10.5" style="1072" bestFit="1" customWidth="1"/>
    <col min="2563" max="2563" width="15" style="1072" bestFit="1" customWidth="1"/>
    <col min="2564" max="2564" width="14.1640625" style="1072" bestFit="1" customWidth="1"/>
    <col min="2565" max="2816" width="10.6640625" style="1072"/>
    <col min="2817" max="2817" width="17" style="1072" customWidth="1"/>
    <col min="2818" max="2818" width="10.5" style="1072" bestFit="1" customWidth="1"/>
    <col min="2819" max="2819" width="15" style="1072" bestFit="1" customWidth="1"/>
    <col min="2820" max="2820" width="14.1640625" style="1072" bestFit="1" customWidth="1"/>
    <col min="2821" max="3072" width="10.6640625" style="1072"/>
    <col min="3073" max="3073" width="17" style="1072" customWidth="1"/>
    <col min="3074" max="3074" width="10.5" style="1072" bestFit="1" customWidth="1"/>
    <col min="3075" max="3075" width="15" style="1072" bestFit="1" customWidth="1"/>
    <col min="3076" max="3076" width="14.1640625" style="1072" bestFit="1" customWidth="1"/>
    <col min="3077" max="3328" width="10.6640625" style="1072"/>
    <col min="3329" max="3329" width="17" style="1072" customWidth="1"/>
    <col min="3330" max="3330" width="10.5" style="1072" bestFit="1" customWidth="1"/>
    <col min="3331" max="3331" width="15" style="1072" bestFit="1" customWidth="1"/>
    <col min="3332" max="3332" width="14.1640625" style="1072" bestFit="1" customWidth="1"/>
    <col min="3333" max="3584" width="10.6640625" style="1072"/>
    <col min="3585" max="3585" width="17" style="1072" customWidth="1"/>
    <col min="3586" max="3586" width="10.5" style="1072" bestFit="1" customWidth="1"/>
    <col min="3587" max="3587" width="15" style="1072" bestFit="1" customWidth="1"/>
    <col min="3588" max="3588" width="14.1640625" style="1072" bestFit="1" customWidth="1"/>
    <col min="3589" max="3840" width="10.6640625" style="1072"/>
    <col min="3841" max="3841" width="17" style="1072" customWidth="1"/>
    <col min="3842" max="3842" width="10.5" style="1072" bestFit="1" customWidth="1"/>
    <col min="3843" max="3843" width="15" style="1072" bestFit="1" customWidth="1"/>
    <col min="3844" max="3844" width="14.1640625" style="1072" bestFit="1" customWidth="1"/>
    <col min="3845" max="4096" width="10.6640625" style="1072"/>
    <col min="4097" max="4097" width="17" style="1072" customWidth="1"/>
    <col min="4098" max="4098" width="10.5" style="1072" bestFit="1" customWidth="1"/>
    <col min="4099" max="4099" width="15" style="1072" bestFit="1" customWidth="1"/>
    <col min="4100" max="4100" width="14.1640625" style="1072" bestFit="1" customWidth="1"/>
    <col min="4101" max="4352" width="10.6640625" style="1072"/>
    <col min="4353" max="4353" width="17" style="1072" customWidth="1"/>
    <col min="4354" max="4354" width="10.5" style="1072" bestFit="1" customWidth="1"/>
    <col min="4355" max="4355" width="15" style="1072" bestFit="1" customWidth="1"/>
    <col min="4356" max="4356" width="14.1640625" style="1072" bestFit="1" customWidth="1"/>
    <col min="4357" max="4608" width="10.6640625" style="1072"/>
    <col min="4609" max="4609" width="17" style="1072" customWidth="1"/>
    <col min="4610" max="4610" width="10.5" style="1072" bestFit="1" customWidth="1"/>
    <col min="4611" max="4611" width="15" style="1072" bestFit="1" customWidth="1"/>
    <col min="4612" max="4612" width="14.1640625" style="1072" bestFit="1" customWidth="1"/>
    <col min="4613" max="4864" width="10.6640625" style="1072"/>
    <col min="4865" max="4865" width="17" style="1072" customWidth="1"/>
    <col min="4866" max="4866" width="10.5" style="1072" bestFit="1" customWidth="1"/>
    <col min="4867" max="4867" width="15" style="1072" bestFit="1" customWidth="1"/>
    <col min="4868" max="4868" width="14.1640625" style="1072" bestFit="1" customWidth="1"/>
    <col min="4869" max="5120" width="10.6640625" style="1072"/>
    <col min="5121" max="5121" width="17" style="1072" customWidth="1"/>
    <col min="5122" max="5122" width="10.5" style="1072" bestFit="1" customWidth="1"/>
    <col min="5123" max="5123" width="15" style="1072" bestFit="1" customWidth="1"/>
    <col min="5124" max="5124" width="14.1640625" style="1072" bestFit="1" customWidth="1"/>
    <col min="5125" max="5376" width="10.6640625" style="1072"/>
    <col min="5377" max="5377" width="17" style="1072" customWidth="1"/>
    <col min="5378" max="5378" width="10.5" style="1072" bestFit="1" customWidth="1"/>
    <col min="5379" max="5379" width="15" style="1072" bestFit="1" customWidth="1"/>
    <col min="5380" max="5380" width="14.1640625" style="1072" bestFit="1" customWidth="1"/>
    <col min="5381" max="5632" width="10.6640625" style="1072"/>
    <col min="5633" max="5633" width="17" style="1072" customWidth="1"/>
    <col min="5634" max="5634" width="10.5" style="1072" bestFit="1" customWidth="1"/>
    <col min="5635" max="5635" width="15" style="1072" bestFit="1" customWidth="1"/>
    <col min="5636" max="5636" width="14.1640625" style="1072" bestFit="1" customWidth="1"/>
    <col min="5637" max="5888" width="10.6640625" style="1072"/>
    <col min="5889" max="5889" width="17" style="1072" customWidth="1"/>
    <col min="5890" max="5890" width="10.5" style="1072" bestFit="1" customWidth="1"/>
    <col min="5891" max="5891" width="15" style="1072" bestFit="1" customWidth="1"/>
    <col min="5892" max="5892" width="14.1640625" style="1072" bestFit="1" customWidth="1"/>
    <col min="5893" max="6144" width="10.6640625" style="1072"/>
    <col min="6145" max="6145" width="17" style="1072" customWidth="1"/>
    <col min="6146" max="6146" width="10.5" style="1072" bestFit="1" customWidth="1"/>
    <col min="6147" max="6147" width="15" style="1072" bestFit="1" customWidth="1"/>
    <col min="6148" max="6148" width="14.1640625" style="1072" bestFit="1" customWidth="1"/>
    <col min="6149" max="6400" width="10.6640625" style="1072"/>
    <col min="6401" max="6401" width="17" style="1072" customWidth="1"/>
    <col min="6402" max="6402" width="10.5" style="1072" bestFit="1" customWidth="1"/>
    <col min="6403" max="6403" width="15" style="1072" bestFit="1" customWidth="1"/>
    <col min="6404" max="6404" width="14.1640625" style="1072" bestFit="1" customWidth="1"/>
    <col min="6405" max="6656" width="10.6640625" style="1072"/>
    <col min="6657" max="6657" width="17" style="1072" customWidth="1"/>
    <col min="6658" max="6658" width="10.5" style="1072" bestFit="1" customWidth="1"/>
    <col min="6659" max="6659" width="15" style="1072" bestFit="1" customWidth="1"/>
    <col min="6660" max="6660" width="14.1640625" style="1072" bestFit="1" customWidth="1"/>
    <col min="6661" max="6912" width="10.6640625" style="1072"/>
    <col min="6913" max="6913" width="17" style="1072" customWidth="1"/>
    <col min="6914" max="6914" width="10.5" style="1072" bestFit="1" customWidth="1"/>
    <col min="6915" max="6915" width="15" style="1072" bestFit="1" customWidth="1"/>
    <col min="6916" max="6916" width="14.1640625" style="1072" bestFit="1" customWidth="1"/>
    <col min="6917" max="7168" width="10.6640625" style="1072"/>
    <col min="7169" max="7169" width="17" style="1072" customWidth="1"/>
    <col min="7170" max="7170" width="10.5" style="1072" bestFit="1" customWidth="1"/>
    <col min="7171" max="7171" width="15" style="1072" bestFit="1" customWidth="1"/>
    <col min="7172" max="7172" width="14.1640625" style="1072" bestFit="1" customWidth="1"/>
    <col min="7173" max="7424" width="10.6640625" style="1072"/>
    <col min="7425" max="7425" width="17" style="1072" customWidth="1"/>
    <col min="7426" max="7426" width="10.5" style="1072" bestFit="1" customWidth="1"/>
    <col min="7427" max="7427" width="15" style="1072" bestFit="1" customWidth="1"/>
    <col min="7428" max="7428" width="14.1640625" style="1072" bestFit="1" customWidth="1"/>
    <col min="7429" max="7680" width="10.6640625" style="1072"/>
    <col min="7681" max="7681" width="17" style="1072" customWidth="1"/>
    <col min="7682" max="7682" width="10.5" style="1072" bestFit="1" customWidth="1"/>
    <col min="7683" max="7683" width="15" style="1072" bestFit="1" customWidth="1"/>
    <col min="7684" max="7684" width="14.1640625" style="1072" bestFit="1" customWidth="1"/>
    <col min="7685" max="7936" width="10.6640625" style="1072"/>
    <col min="7937" max="7937" width="17" style="1072" customWidth="1"/>
    <col min="7938" max="7938" width="10.5" style="1072" bestFit="1" customWidth="1"/>
    <col min="7939" max="7939" width="15" style="1072" bestFit="1" customWidth="1"/>
    <col min="7940" max="7940" width="14.1640625" style="1072" bestFit="1" customWidth="1"/>
    <col min="7941" max="8192" width="10.6640625" style="1072"/>
    <col min="8193" max="8193" width="17" style="1072" customWidth="1"/>
    <col min="8194" max="8194" width="10.5" style="1072" bestFit="1" customWidth="1"/>
    <col min="8195" max="8195" width="15" style="1072" bestFit="1" customWidth="1"/>
    <col min="8196" max="8196" width="14.1640625" style="1072" bestFit="1" customWidth="1"/>
    <col min="8197" max="8448" width="10.6640625" style="1072"/>
    <col min="8449" max="8449" width="17" style="1072" customWidth="1"/>
    <col min="8450" max="8450" width="10.5" style="1072" bestFit="1" customWidth="1"/>
    <col min="8451" max="8451" width="15" style="1072" bestFit="1" customWidth="1"/>
    <col min="8452" max="8452" width="14.1640625" style="1072" bestFit="1" customWidth="1"/>
    <col min="8453" max="8704" width="10.6640625" style="1072"/>
    <col min="8705" max="8705" width="17" style="1072" customWidth="1"/>
    <col min="8706" max="8706" width="10.5" style="1072" bestFit="1" customWidth="1"/>
    <col min="8707" max="8707" width="15" style="1072" bestFit="1" customWidth="1"/>
    <col min="8708" max="8708" width="14.1640625" style="1072" bestFit="1" customWidth="1"/>
    <col min="8709" max="8960" width="10.6640625" style="1072"/>
    <col min="8961" max="8961" width="17" style="1072" customWidth="1"/>
    <col min="8962" max="8962" width="10.5" style="1072" bestFit="1" customWidth="1"/>
    <col min="8963" max="8963" width="15" style="1072" bestFit="1" customWidth="1"/>
    <col min="8964" max="8964" width="14.1640625" style="1072" bestFit="1" customWidth="1"/>
    <col min="8965" max="9216" width="10.6640625" style="1072"/>
    <col min="9217" max="9217" width="17" style="1072" customWidth="1"/>
    <col min="9218" max="9218" width="10.5" style="1072" bestFit="1" customWidth="1"/>
    <col min="9219" max="9219" width="15" style="1072" bestFit="1" customWidth="1"/>
    <col min="9220" max="9220" width="14.1640625" style="1072" bestFit="1" customWidth="1"/>
    <col min="9221" max="9472" width="10.6640625" style="1072"/>
    <col min="9473" max="9473" width="17" style="1072" customWidth="1"/>
    <col min="9474" max="9474" width="10.5" style="1072" bestFit="1" customWidth="1"/>
    <col min="9475" max="9475" width="15" style="1072" bestFit="1" customWidth="1"/>
    <col min="9476" max="9476" width="14.1640625" style="1072" bestFit="1" customWidth="1"/>
    <col min="9477" max="9728" width="10.6640625" style="1072"/>
    <col min="9729" max="9729" width="17" style="1072" customWidth="1"/>
    <col min="9730" max="9730" width="10.5" style="1072" bestFit="1" customWidth="1"/>
    <col min="9731" max="9731" width="15" style="1072" bestFit="1" customWidth="1"/>
    <col min="9732" max="9732" width="14.1640625" style="1072" bestFit="1" customWidth="1"/>
    <col min="9733" max="9984" width="10.6640625" style="1072"/>
    <col min="9985" max="9985" width="17" style="1072" customWidth="1"/>
    <col min="9986" max="9986" width="10.5" style="1072" bestFit="1" customWidth="1"/>
    <col min="9987" max="9987" width="15" style="1072" bestFit="1" customWidth="1"/>
    <col min="9988" max="9988" width="14.1640625" style="1072" bestFit="1" customWidth="1"/>
    <col min="9989" max="10240" width="10.6640625" style="1072"/>
    <col min="10241" max="10241" width="17" style="1072" customWidth="1"/>
    <col min="10242" max="10242" width="10.5" style="1072" bestFit="1" customWidth="1"/>
    <col min="10243" max="10243" width="15" style="1072" bestFit="1" customWidth="1"/>
    <col min="10244" max="10244" width="14.1640625" style="1072" bestFit="1" customWidth="1"/>
    <col min="10245" max="10496" width="10.6640625" style="1072"/>
    <col min="10497" max="10497" width="17" style="1072" customWidth="1"/>
    <col min="10498" max="10498" width="10.5" style="1072" bestFit="1" customWidth="1"/>
    <col min="10499" max="10499" width="15" style="1072" bestFit="1" customWidth="1"/>
    <col min="10500" max="10500" width="14.1640625" style="1072" bestFit="1" customWidth="1"/>
    <col min="10501" max="10752" width="10.6640625" style="1072"/>
    <col min="10753" max="10753" width="17" style="1072" customWidth="1"/>
    <col min="10754" max="10754" width="10.5" style="1072" bestFit="1" customWidth="1"/>
    <col min="10755" max="10755" width="15" style="1072" bestFit="1" customWidth="1"/>
    <col min="10756" max="10756" width="14.1640625" style="1072" bestFit="1" customWidth="1"/>
    <col min="10757" max="11008" width="10.6640625" style="1072"/>
    <col min="11009" max="11009" width="17" style="1072" customWidth="1"/>
    <col min="11010" max="11010" width="10.5" style="1072" bestFit="1" customWidth="1"/>
    <col min="11011" max="11011" width="15" style="1072" bestFit="1" customWidth="1"/>
    <col min="11012" max="11012" width="14.1640625" style="1072" bestFit="1" customWidth="1"/>
    <col min="11013" max="11264" width="10.6640625" style="1072"/>
    <col min="11265" max="11265" width="17" style="1072" customWidth="1"/>
    <col min="11266" max="11266" width="10.5" style="1072" bestFit="1" customWidth="1"/>
    <col min="11267" max="11267" width="15" style="1072" bestFit="1" customWidth="1"/>
    <col min="11268" max="11268" width="14.1640625" style="1072" bestFit="1" customWidth="1"/>
    <col min="11269" max="11520" width="10.6640625" style="1072"/>
    <col min="11521" max="11521" width="17" style="1072" customWidth="1"/>
    <col min="11522" max="11522" width="10.5" style="1072" bestFit="1" customWidth="1"/>
    <col min="11523" max="11523" width="15" style="1072" bestFit="1" customWidth="1"/>
    <col min="11524" max="11524" width="14.1640625" style="1072" bestFit="1" customWidth="1"/>
    <col min="11525" max="11776" width="10.6640625" style="1072"/>
    <col min="11777" max="11777" width="17" style="1072" customWidth="1"/>
    <col min="11778" max="11778" width="10.5" style="1072" bestFit="1" customWidth="1"/>
    <col min="11779" max="11779" width="15" style="1072" bestFit="1" customWidth="1"/>
    <col min="11780" max="11780" width="14.1640625" style="1072" bestFit="1" customWidth="1"/>
    <col min="11781" max="12032" width="10.6640625" style="1072"/>
    <col min="12033" max="12033" width="17" style="1072" customWidth="1"/>
    <col min="12034" max="12034" width="10.5" style="1072" bestFit="1" customWidth="1"/>
    <col min="12035" max="12035" width="15" style="1072" bestFit="1" customWidth="1"/>
    <col min="12036" max="12036" width="14.1640625" style="1072" bestFit="1" customWidth="1"/>
    <col min="12037" max="12288" width="10.6640625" style="1072"/>
    <col min="12289" max="12289" width="17" style="1072" customWidth="1"/>
    <col min="12290" max="12290" width="10.5" style="1072" bestFit="1" customWidth="1"/>
    <col min="12291" max="12291" width="15" style="1072" bestFit="1" customWidth="1"/>
    <col min="12292" max="12292" width="14.1640625" style="1072" bestFit="1" customWidth="1"/>
    <col min="12293" max="12544" width="10.6640625" style="1072"/>
    <col min="12545" max="12545" width="17" style="1072" customWidth="1"/>
    <col min="12546" max="12546" width="10.5" style="1072" bestFit="1" customWidth="1"/>
    <col min="12547" max="12547" width="15" style="1072" bestFit="1" customWidth="1"/>
    <col min="12548" max="12548" width="14.1640625" style="1072" bestFit="1" customWidth="1"/>
    <col min="12549" max="12800" width="10.6640625" style="1072"/>
    <col min="12801" max="12801" width="17" style="1072" customWidth="1"/>
    <col min="12802" max="12802" width="10.5" style="1072" bestFit="1" customWidth="1"/>
    <col min="12803" max="12803" width="15" style="1072" bestFit="1" customWidth="1"/>
    <col min="12804" max="12804" width="14.1640625" style="1072" bestFit="1" customWidth="1"/>
    <col min="12805" max="13056" width="10.6640625" style="1072"/>
    <col min="13057" max="13057" width="17" style="1072" customWidth="1"/>
    <col min="13058" max="13058" width="10.5" style="1072" bestFit="1" customWidth="1"/>
    <col min="13059" max="13059" width="15" style="1072" bestFit="1" customWidth="1"/>
    <col min="13060" max="13060" width="14.1640625" style="1072" bestFit="1" customWidth="1"/>
    <col min="13061" max="13312" width="10.6640625" style="1072"/>
    <col min="13313" max="13313" width="17" style="1072" customWidth="1"/>
    <col min="13314" max="13314" width="10.5" style="1072" bestFit="1" customWidth="1"/>
    <col min="13315" max="13315" width="15" style="1072" bestFit="1" customWidth="1"/>
    <col min="13316" max="13316" width="14.1640625" style="1072" bestFit="1" customWidth="1"/>
    <col min="13317" max="13568" width="10.6640625" style="1072"/>
    <col min="13569" max="13569" width="17" style="1072" customWidth="1"/>
    <col min="13570" max="13570" width="10.5" style="1072" bestFit="1" customWidth="1"/>
    <col min="13571" max="13571" width="15" style="1072" bestFit="1" customWidth="1"/>
    <col min="13572" max="13572" width="14.1640625" style="1072" bestFit="1" customWidth="1"/>
    <col min="13573" max="13824" width="10.6640625" style="1072"/>
    <col min="13825" max="13825" width="17" style="1072" customWidth="1"/>
    <col min="13826" max="13826" width="10.5" style="1072" bestFit="1" customWidth="1"/>
    <col min="13827" max="13827" width="15" style="1072" bestFit="1" customWidth="1"/>
    <col min="13828" max="13828" width="14.1640625" style="1072" bestFit="1" customWidth="1"/>
    <col min="13829" max="14080" width="10.6640625" style="1072"/>
    <col min="14081" max="14081" width="17" style="1072" customWidth="1"/>
    <col min="14082" max="14082" width="10.5" style="1072" bestFit="1" customWidth="1"/>
    <col min="14083" max="14083" width="15" style="1072" bestFit="1" customWidth="1"/>
    <col min="14084" max="14084" width="14.1640625" style="1072" bestFit="1" customWidth="1"/>
    <col min="14085" max="14336" width="10.6640625" style="1072"/>
    <col min="14337" max="14337" width="17" style="1072" customWidth="1"/>
    <col min="14338" max="14338" width="10.5" style="1072" bestFit="1" customWidth="1"/>
    <col min="14339" max="14339" width="15" style="1072" bestFit="1" customWidth="1"/>
    <col min="14340" max="14340" width="14.1640625" style="1072" bestFit="1" customWidth="1"/>
    <col min="14341" max="14592" width="10.6640625" style="1072"/>
    <col min="14593" max="14593" width="17" style="1072" customWidth="1"/>
    <col min="14594" max="14594" width="10.5" style="1072" bestFit="1" customWidth="1"/>
    <col min="14595" max="14595" width="15" style="1072" bestFit="1" customWidth="1"/>
    <col min="14596" max="14596" width="14.1640625" style="1072" bestFit="1" customWidth="1"/>
    <col min="14597" max="14848" width="10.6640625" style="1072"/>
    <col min="14849" max="14849" width="17" style="1072" customWidth="1"/>
    <col min="14850" max="14850" width="10.5" style="1072" bestFit="1" customWidth="1"/>
    <col min="14851" max="14851" width="15" style="1072" bestFit="1" customWidth="1"/>
    <col min="14852" max="14852" width="14.1640625" style="1072" bestFit="1" customWidth="1"/>
    <col min="14853" max="15104" width="10.6640625" style="1072"/>
    <col min="15105" max="15105" width="17" style="1072" customWidth="1"/>
    <col min="15106" max="15106" width="10.5" style="1072" bestFit="1" customWidth="1"/>
    <col min="15107" max="15107" width="15" style="1072" bestFit="1" customWidth="1"/>
    <col min="15108" max="15108" width="14.1640625" style="1072" bestFit="1" customWidth="1"/>
    <col min="15109" max="15360" width="10.6640625" style="1072"/>
    <col min="15361" max="15361" width="17" style="1072" customWidth="1"/>
    <col min="15362" max="15362" width="10.5" style="1072" bestFit="1" customWidth="1"/>
    <col min="15363" max="15363" width="15" style="1072" bestFit="1" customWidth="1"/>
    <col min="15364" max="15364" width="14.1640625" style="1072" bestFit="1" customWidth="1"/>
    <col min="15365" max="15616" width="10.6640625" style="1072"/>
    <col min="15617" max="15617" width="17" style="1072" customWidth="1"/>
    <col min="15618" max="15618" width="10.5" style="1072" bestFit="1" customWidth="1"/>
    <col min="15619" max="15619" width="15" style="1072" bestFit="1" customWidth="1"/>
    <col min="15620" max="15620" width="14.1640625" style="1072" bestFit="1" customWidth="1"/>
    <col min="15621" max="15872" width="10.6640625" style="1072"/>
    <col min="15873" max="15873" width="17" style="1072" customWidth="1"/>
    <col min="15874" max="15874" width="10.5" style="1072" bestFit="1" customWidth="1"/>
    <col min="15875" max="15875" width="15" style="1072" bestFit="1" customWidth="1"/>
    <col min="15876" max="15876" width="14.1640625" style="1072" bestFit="1" customWidth="1"/>
    <col min="15877" max="16128" width="10.6640625" style="1072"/>
    <col min="16129" max="16129" width="17" style="1072" customWidth="1"/>
    <col min="16130" max="16130" width="10.5" style="1072" bestFit="1" customWidth="1"/>
    <col min="16131" max="16131" width="15" style="1072" bestFit="1" customWidth="1"/>
    <col min="16132" max="16132" width="14.1640625" style="1072" bestFit="1" customWidth="1"/>
    <col min="16133" max="16384" width="10.6640625" style="1072"/>
  </cols>
  <sheetData>
    <row r="1" spans="1:5" ht="13.5" thickBot="1">
      <c r="A1" s="1069" t="s">
        <v>1237</v>
      </c>
      <c r="B1" s="1070" t="s">
        <v>1238</v>
      </c>
      <c r="C1" s="1070" t="s">
        <v>1239</v>
      </c>
      <c r="D1" s="1070" t="s">
        <v>1240</v>
      </c>
      <c r="E1" s="1071" t="s">
        <v>37</v>
      </c>
    </row>
    <row r="2" spans="1:5">
      <c r="A2" s="1072" t="s">
        <v>1241</v>
      </c>
      <c r="B2" s="1072">
        <v>1003126</v>
      </c>
      <c r="C2" s="1072">
        <v>271</v>
      </c>
      <c r="D2" s="1072">
        <v>95</v>
      </c>
      <c r="E2" s="1072">
        <f t="shared" ref="E2:E65" si="0">C2+D2</f>
        <v>366</v>
      </c>
    </row>
    <row r="3" spans="1:5">
      <c r="A3" s="1072" t="s">
        <v>1241</v>
      </c>
      <c r="B3" s="1072">
        <v>1003430</v>
      </c>
      <c r="C3" s="1072">
        <v>332</v>
      </c>
      <c r="D3" s="1072">
        <v>264</v>
      </c>
      <c r="E3" s="1072">
        <f t="shared" si="0"/>
        <v>596</v>
      </c>
    </row>
    <row r="4" spans="1:5">
      <c r="A4" s="1072" t="s">
        <v>1241</v>
      </c>
      <c r="B4" s="1072">
        <v>1013430</v>
      </c>
      <c r="C4" s="1072">
        <v>386</v>
      </c>
      <c r="D4" s="1072">
        <v>205</v>
      </c>
      <c r="E4" s="1072">
        <f t="shared" si="0"/>
        <v>591</v>
      </c>
    </row>
    <row r="5" spans="1:5">
      <c r="A5" s="1072" t="s">
        <v>1241</v>
      </c>
      <c r="B5" s="1072">
        <v>1014440</v>
      </c>
      <c r="C5" s="1072">
        <v>502</v>
      </c>
      <c r="D5" s="1072">
        <v>104</v>
      </c>
      <c r="E5" s="1072">
        <f t="shared" si="0"/>
        <v>606</v>
      </c>
    </row>
    <row r="6" spans="1:5">
      <c r="A6" s="1072" t="s">
        <v>1241</v>
      </c>
      <c r="B6" s="1072">
        <v>1023430</v>
      </c>
      <c r="C6" s="1072">
        <v>674</v>
      </c>
      <c r="D6" s="1072">
        <v>481</v>
      </c>
      <c r="E6" s="1072">
        <f t="shared" si="0"/>
        <v>1155</v>
      </c>
    </row>
    <row r="7" spans="1:5">
      <c r="A7" s="1072" t="s">
        <v>1241</v>
      </c>
      <c r="B7" s="1072">
        <v>1024440</v>
      </c>
      <c r="C7" s="1072">
        <v>326</v>
      </c>
      <c r="D7" s="1072">
        <v>167</v>
      </c>
      <c r="E7" s="1072">
        <f t="shared" si="0"/>
        <v>493</v>
      </c>
    </row>
    <row r="8" spans="1:5">
      <c r="A8" s="1072" t="s">
        <v>1241</v>
      </c>
      <c r="B8" s="1072">
        <v>1033126</v>
      </c>
      <c r="C8" s="1072">
        <v>152</v>
      </c>
      <c r="D8" s="1072">
        <v>2</v>
      </c>
      <c r="E8" s="1072">
        <f t="shared" si="0"/>
        <v>154</v>
      </c>
    </row>
    <row r="9" spans="1:5">
      <c r="A9" s="1072" t="s">
        <v>1241</v>
      </c>
      <c r="B9" s="1072">
        <v>1033430</v>
      </c>
      <c r="C9" s="1072">
        <v>227</v>
      </c>
      <c r="D9" s="1072">
        <v>182</v>
      </c>
      <c r="E9" s="1072">
        <f t="shared" si="0"/>
        <v>409</v>
      </c>
    </row>
    <row r="10" spans="1:5">
      <c r="A10" s="1072" t="s">
        <v>1241</v>
      </c>
      <c r="B10" s="1072">
        <v>1034440</v>
      </c>
      <c r="C10" s="1072">
        <v>450</v>
      </c>
      <c r="D10" s="1072">
        <v>355</v>
      </c>
      <c r="E10" s="1072">
        <f t="shared" si="0"/>
        <v>805</v>
      </c>
    </row>
    <row r="11" spans="1:5">
      <c r="A11" s="1072" t="s">
        <v>1241</v>
      </c>
      <c r="B11" s="1072">
        <v>1043430</v>
      </c>
      <c r="C11" s="1072">
        <v>476</v>
      </c>
      <c r="D11" s="1072">
        <v>235</v>
      </c>
      <c r="E11" s="1072">
        <f t="shared" si="0"/>
        <v>711</v>
      </c>
    </row>
    <row r="12" spans="1:5">
      <c r="A12" s="1072" t="s">
        <v>1241</v>
      </c>
      <c r="B12" s="1072">
        <v>1044440</v>
      </c>
      <c r="C12" s="1072">
        <v>433</v>
      </c>
      <c r="D12" s="1072">
        <v>153</v>
      </c>
      <c r="E12" s="1072">
        <f t="shared" si="0"/>
        <v>586</v>
      </c>
    </row>
    <row r="13" spans="1:5">
      <c r="A13" s="1072" t="s">
        <v>1241</v>
      </c>
      <c r="B13" s="1072">
        <v>1053126</v>
      </c>
      <c r="C13" s="1072">
        <v>143</v>
      </c>
      <c r="D13" s="1072">
        <v>23</v>
      </c>
      <c r="E13" s="1072">
        <f t="shared" si="0"/>
        <v>166</v>
      </c>
    </row>
    <row r="14" spans="1:5">
      <c r="A14" s="1072" t="s">
        <v>1241</v>
      </c>
      <c r="B14" s="1072">
        <v>1053430</v>
      </c>
      <c r="C14" s="1072">
        <v>233</v>
      </c>
      <c r="D14" s="1072">
        <v>123</v>
      </c>
      <c r="E14" s="1072">
        <f t="shared" si="0"/>
        <v>356</v>
      </c>
    </row>
    <row r="15" spans="1:5">
      <c r="A15" s="1072" t="s">
        <v>1241</v>
      </c>
      <c r="B15" s="1072">
        <v>1054440</v>
      </c>
      <c r="C15" s="1072">
        <v>527</v>
      </c>
      <c r="D15" s="1072">
        <v>198</v>
      </c>
      <c r="E15" s="1072">
        <f t="shared" si="0"/>
        <v>725</v>
      </c>
    </row>
    <row r="16" spans="1:5">
      <c r="A16" s="1072" t="s">
        <v>1241</v>
      </c>
      <c r="B16" s="1072">
        <v>1063126</v>
      </c>
      <c r="C16" s="1072">
        <v>146</v>
      </c>
      <c r="D16" s="1072">
        <v>37</v>
      </c>
      <c r="E16" s="1072">
        <f t="shared" si="0"/>
        <v>183</v>
      </c>
    </row>
    <row r="17" spans="1:5">
      <c r="A17" s="1072" t="s">
        <v>1241</v>
      </c>
      <c r="B17" s="1072">
        <v>1063430</v>
      </c>
      <c r="C17" s="1072">
        <v>429</v>
      </c>
      <c r="D17" s="1072">
        <v>365</v>
      </c>
      <c r="E17" s="1072">
        <f t="shared" si="0"/>
        <v>794</v>
      </c>
    </row>
    <row r="18" spans="1:5">
      <c r="A18" s="1072" t="s">
        <v>1241</v>
      </c>
      <c r="B18" s="1072">
        <v>1064440</v>
      </c>
      <c r="C18" s="1072">
        <v>922</v>
      </c>
      <c r="D18" s="1072">
        <v>298</v>
      </c>
      <c r="E18" s="1072">
        <f t="shared" si="0"/>
        <v>1220</v>
      </c>
    </row>
    <row r="19" spans="1:5">
      <c r="A19" s="1072" t="s">
        <v>1241</v>
      </c>
      <c r="B19" s="1072">
        <v>1073126</v>
      </c>
      <c r="C19" s="1072">
        <v>152</v>
      </c>
      <c r="D19" s="1072">
        <v>9</v>
      </c>
      <c r="E19" s="1072">
        <f t="shared" si="0"/>
        <v>161</v>
      </c>
    </row>
    <row r="20" spans="1:5">
      <c r="A20" s="1072" t="s">
        <v>1241</v>
      </c>
      <c r="B20" s="1072">
        <v>1073430</v>
      </c>
      <c r="C20" s="1072">
        <v>219</v>
      </c>
      <c r="D20" s="1072">
        <v>81</v>
      </c>
      <c r="E20" s="1072">
        <f t="shared" si="0"/>
        <v>300</v>
      </c>
    </row>
    <row r="21" spans="1:5">
      <c r="A21" s="1072" t="s">
        <v>1241</v>
      </c>
      <c r="B21" s="1072">
        <v>1074440</v>
      </c>
      <c r="C21" s="1072">
        <v>1302</v>
      </c>
      <c r="D21" s="1072">
        <v>1128</v>
      </c>
      <c r="E21" s="1072">
        <f t="shared" si="0"/>
        <v>2430</v>
      </c>
    </row>
    <row r="22" spans="1:5">
      <c r="A22" s="1072" t="s">
        <v>1241</v>
      </c>
      <c r="B22" s="1072">
        <v>1083430</v>
      </c>
      <c r="C22" s="1072">
        <v>225</v>
      </c>
      <c r="D22" s="1072">
        <v>1</v>
      </c>
      <c r="E22" s="1072">
        <f t="shared" si="0"/>
        <v>226</v>
      </c>
    </row>
    <row r="23" spans="1:5">
      <c r="A23" s="1072" t="s">
        <v>1241</v>
      </c>
      <c r="B23" s="1072">
        <v>1084440</v>
      </c>
      <c r="C23" s="1072">
        <v>323</v>
      </c>
      <c r="D23" s="1072">
        <v>309</v>
      </c>
      <c r="E23" s="1072">
        <f t="shared" si="0"/>
        <v>632</v>
      </c>
    </row>
    <row r="24" spans="1:5">
      <c r="A24" s="1072" t="s">
        <v>1241</v>
      </c>
      <c r="B24" s="1072">
        <v>1094440</v>
      </c>
      <c r="C24" s="1072">
        <v>248</v>
      </c>
      <c r="D24" s="1072">
        <v>238</v>
      </c>
      <c r="E24" s="1072">
        <f t="shared" si="0"/>
        <v>486</v>
      </c>
    </row>
    <row r="25" spans="1:5">
      <c r="A25" s="1072" t="s">
        <v>1241</v>
      </c>
      <c r="B25" s="1072">
        <v>1103430</v>
      </c>
      <c r="C25" s="1072">
        <v>218</v>
      </c>
      <c r="D25" s="1072">
        <v>22</v>
      </c>
      <c r="E25" s="1072">
        <f t="shared" si="0"/>
        <v>240</v>
      </c>
    </row>
    <row r="26" spans="1:5">
      <c r="A26" s="1072" t="s">
        <v>1241</v>
      </c>
      <c r="B26" s="1072">
        <v>1104440</v>
      </c>
      <c r="C26" s="1072">
        <v>275</v>
      </c>
      <c r="D26" s="1072">
        <v>149</v>
      </c>
      <c r="E26" s="1072">
        <f t="shared" si="0"/>
        <v>424</v>
      </c>
    </row>
    <row r="27" spans="1:5">
      <c r="A27" s="1072" t="s">
        <v>1241</v>
      </c>
      <c r="B27" s="1072">
        <v>1113430</v>
      </c>
      <c r="C27" s="1072">
        <v>239</v>
      </c>
      <c r="D27" s="1072">
        <v>20</v>
      </c>
      <c r="E27" s="1072">
        <f t="shared" si="0"/>
        <v>259</v>
      </c>
    </row>
    <row r="28" spans="1:5">
      <c r="A28" s="1072" t="s">
        <v>1241</v>
      </c>
      <c r="B28" s="1072">
        <v>1114440</v>
      </c>
      <c r="C28" s="1072">
        <v>213</v>
      </c>
      <c r="D28" s="1072">
        <v>206</v>
      </c>
      <c r="E28" s="1072">
        <f t="shared" si="0"/>
        <v>419</v>
      </c>
    </row>
    <row r="29" spans="1:5">
      <c r="A29" s="1072" t="s">
        <v>1241</v>
      </c>
      <c r="B29" s="1072">
        <v>1123430</v>
      </c>
      <c r="C29" s="1072">
        <v>498</v>
      </c>
      <c r="D29" s="1072">
        <v>333</v>
      </c>
      <c r="E29" s="1072">
        <f t="shared" si="0"/>
        <v>831</v>
      </c>
    </row>
    <row r="30" spans="1:5">
      <c r="A30" s="1072" t="s">
        <v>1241</v>
      </c>
      <c r="B30" s="1072">
        <v>1124440</v>
      </c>
      <c r="C30" s="1072">
        <v>854</v>
      </c>
      <c r="D30" s="1072">
        <v>225</v>
      </c>
      <c r="E30" s="1072">
        <f t="shared" si="0"/>
        <v>1079</v>
      </c>
    </row>
    <row r="31" spans="1:5">
      <c r="A31" s="1072" t="s">
        <v>1241</v>
      </c>
      <c r="B31" s="1072">
        <v>1133430</v>
      </c>
      <c r="C31" s="1072">
        <v>586</v>
      </c>
      <c r="D31" s="1072">
        <v>522</v>
      </c>
      <c r="E31" s="1072">
        <f t="shared" si="0"/>
        <v>1108</v>
      </c>
    </row>
    <row r="32" spans="1:5">
      <c r="A32" s="1072" t="s">
        <v>1241</v>
      </c>
      <c r="B32" s="1072">
        <v>1134440</v>
      </c>
      <c r="C32" s="1072">
        <v>452</v>
      </c>
      <c r="D32" s="1072">
        <v>150</v>
      </c>
      <c r="E32" s="1072">
        <f t="shared" si="0"/>
        <v>602</v>
      </c>
    </row>
    <row r="33" spans="1:5">
      <c r="A33" s="1072" t="s">
        <v>1241</v>
      </c>
      <c r="B33" s="1072">
        <v>1143430</v>
      </c>
      <c r="C33" s="1072">
        <v>522</v>
      </c>
      <c r="D33" s="1072">
        <v>461</v>
      </c>
      <c r="E33" s="1072">
        <f t="shared" si="0"/>
        <v>983</v>
      </c>
    </row>
    <row r="34" spans="1:5">
      <c r="A34" s="1072" t="s">
        <v>1241</v>
      </c>
      <c r="B34" s="1072">
        <v>1144440</v>
      </c>
      <c r="C34" s="1072">
        <v>487</v>
      </c>
      <c r="D34" s="1072">
        <v>278</v>
      </c>
      <c r="E34" s="1072">
        <f t="shared" si="0"/>
        <v>765</v>
      </c>
    </row>
    <row r="35" spans="1:5">
      <c r="A35" s="1072" t="s">
        <v>1241</v>
      </c>
      <c r="B35" s="1072">
        <v>1153430</v>
      </c>
      <c r="C35" s="1072">
        <v>379</v>
      </c>
      <c r="D35" s="1072">
        <v>218</v>
      </c>
      <c r="E35" s="1072">
        <f t="shared" si="0"/>
        <v>597</v>
      </c>
    </row>
    <row r="36" spans="1:5">
      <c r="A36" s="1072" t="s">
        <v>1241</v>
      </c>
      <c r="B36" s="1072">
        <v>1154440</v>
      </c>
      <c r="C36" s="1072">
        <v>640</v>
      </c>
      <c r="D36" s="1072">
        <v>140</v>
      </c>
      <c r="E36" s="1072">
        <f t="shared" si="0"/>
        <v>780</v>
      </c>
    </row>
    <row r="37" spans="1:5">
      <c r="A37" s="1072" t="s">
        <v>1241</v>
      </c>
      <c r="B37" s="1072">
        <v>1163430</v>
      </c>
      <c r="C37" s="1072">
        <v>392</v>
      </c>
      <c r="D37" s="1072">
        <v>364</v>
      </c>
      <c r="E37" s="1072">
        <f t="shared" si="0"/>
        <v>756</v>
      </c>
    </row>
    <row r="38" spans="1:5">
      <c r="A38" s="1072" t="s">
        <v>1241</v>
      </c>
      <c r="B38" s="1072">
        <v>1164440</v>
      </c>
      <c r="C38" s="1072">
        <v>189</v>
      </c>
      <c r="D38" s="1072">
        <v>117</v>
      </c>
      <c r="E38" s="1072">
        <f t="shared" si="0"/>
        <v>306</v>
      </c>
    </row>
    <row r="39" spans="1:5">
      <c r="A39" s="1072" t="s">
        <v>1241</v>
      </c>
      <c r="B39" s="1072">
        <v>1173430</v>
      </c>
      <c r="C39" s="1072">
        <v>279</v>
      </c>
      <c r="D39" s="1072">
        <v>263</v>
      </c>
      <c r="E39" s="1072">
        <f t="shared" si="0"/>
        <v>542</v>
      </c>
    </row>
    <row r="40" spans="1:5">
      <c r="A40" s="1072" t="s">
        <v>1241</v>
      </c>
      <c r="B40" s="1072">
        <v>1174440</v>
      </c>
      <c r="C40" s="1072">
        <v>225</v>
      </c>
      <c r="D40" s="1072">
        <v>113</v>
      </c>
      <c r="E40" s="1072">
        <f t="shared" si="0"/>
        <v>338</v>
      </c>
    </row>
    <row r="41" spans="1:5">
      <c r="A41" s="1072" t="s">
        <v>1241</v>
      </c>
      <c r="B41" s="1072">
        <v>1183430</v>
      </c>
      <c r="C41" s="1072">
        <v>385</v>
      </c>
      <c r="D41" s="1072">
        <v>290</v>
      </c>
      <c r="E41" s="1072">
        <f t="shared" si="0"/>
        <v>675</v>
      </c>
    </row>
    <row r="42" spans="1:5">
      <c r="A42" s="1072" t="s">
        <v>1241</v>
      </c>
      <c r="B42" s="1072">
        <v>1184440</v>
      </c>
      <c r="C42" s="1072">
        <v>293</v>
      </c>
      <c r="D42" s="1072">
        <v>4</v>
      </c>
      <c r="E42" s="1072">
        <f t="shared" si="0"/>
        <v>297</v>
      </c>
    </row>
    <row r="43" spans="1:5">
      <c r="A43" s="1072" t="s">
        <v>1241</v>
      </c>
      <c r="B43" s="1072">
        <v>1193430</v>
      </c>
      <c r="C43" s="1072">
        <v>585</v>
      </c>
      <c r="D43" s="1072">
        <v>481</v>
      </c>
      <c r="E43" s="1072">
        <f t="shared" si="0"/>
        <v>1066</v>
      </c>
    </row>
    <row r="44" spans="1:5">
      <c r="A44" s="1072" t="s">
        <v>1241</v>
      </c>
      <c r="B44" s="1072">
        <v>1194440</v>
      </c>
      <c r="C44" s="1072">
        <v>197</v>
      </c>
      <c r="D44" s="1072">
        <v>21</v>
      </c>
      <c r="E44" s="1072">
        <f t="shared" si="0"/>
        <v>218</v>
      </c>
    </row>
    <row r="45" spans="1:5">
      <c r="A45" s="1072" t="s">
        <v>1241</v>
      </c>
      <c r="B45" s="1072">
        <v>1203430</v>
      </c>
      <c r="C45" s="1072">
        <v>215</v>
      </c>
      <c r="D45" s="1072">
        <v>51</v>
      </c>
      <c r="E45" s="1072">
        <f t="shared" si="0"/>
        <v>266</v>
      </c>
    </row>
    <row r="46" spans="1:5">
      <c r="A46" s="1072" t="s">
        <v>1241</v>
      </c>
      <c r="B46" s="1072">
        <v>1204440</v>
      </c>
      <c r="C46" s="1072">
        <v>268</v>
      </c>
      <c r="D46" s="1072">
        <v>64</v>
      </c>
      <c r="E46" s="1072">
        <f t="shared" si="0"/>
        <v>332</v>
      </c>
    </row>
    <row r="47" spans="1:5">
      <c r="A47" s="1072" t="s">
        <v>1241</v>
      </c>
      <c r="B47" s="1072">
        <v>1213430</v>
      </c>
      <c r="C47" s="1072">
        <v>285</v>
      </c>
      <c r="D47" s="1072">
        <v>105</v>
      </c>
      <c r="E47" s="1072">
        <f t="shared" si="0"/>
        <v>390</v>
      </c>
    </row>
    <row r="48" spans="1:5">
      <c r="A48" s="1072" t="s">
        <v>1241</v>
      </c>
      <c r="B48" s="1072">
        <v>1214440</v>
      </c>
      <c r="C48" s="1072">
        <v>265</v>
      </c>
      <c r="D48" s="1072">
        <v>147</v>
      </c>
      <c r="E48" s="1072">
        <f t="shared" si="0"/>
        <v>412</v>
      </c>
    </row>
    <row r="49" spans="1:5">
      <c r="A49" s="1072" t="s">
        <v>1241</v>
      </c>
      <c r="B49" s="1072">
        <v>1224440</v>
      </c>
      <c r="C49" s="1072">
        <v>210</v>
      </c>
      <c r="D49" s="1072">
        <v>170</v>
      </c>
      <c r="E49" s="1072">
        <f t="shared" si="0"/>
        <v>380</v>
      </c>
    </row>
    <row r="50" spans="1:5">
      <c r="A50" s="1072" t="s">
        <v>1241</v>
      </c>
      <c r="B50" s="1072">
        <v>1234440</v>
      </c>
      <c r="C50" s="1072">
        <v>195</v>
      </c>
      <c r="D50" s="1072">
        <v>165</v>
      </c>
      <c r="E50" s="1072">
        <f t="shared" si="0"/>
        <v>360</v>
      </c>
    </row>
    <row r="51" spans="1:5">
      <c r="A51" s="1072" t="s">
        <v>1241</v>
      </c>
      <c r="B51" s="1072">
        <v>1244440</v>
      </c>
      <c r="C51" s="1072">
        <v>191</v>
      </c>
      <c r="D51" s="1072">
        <v>92</v>
      </c>
      <c r="E51" s="1072">
        <f t="shared" si="0"/>
        <v>283</v>
      </c>
    </row>
    <row r="52" spans="1:5">
      <c r="A52" s="1072" t="s">
        <v>1241</v>
      </c>
      <c r="B52" s="1072">
        <v>1254440</v>
      </c>
      <c r="C52" s="1072">
        <v>249</v>
      </c>
      <c r="D52" s="1072">
        <v>47</v>
      </c>
      <c r="E52" s="1072">
        <f t="shared" si="0"/>
        <v>296</v>
      </c>
    </row>
    <row r="53" spans="1:5">
      <c r="A53" s="1072" t="s">
        <v>1241</v>
      </c>
      <c r="B53" s="1072">
        <v>1264440</v>
      </c>
      <c r="C53" s="1072">
        <v>214</v>
      </c>
      <c r="D53" s="1072">
        <v>1</v>
      </c>
      <c r="E53" s="1072">
        <f t="shared" si="0"/>
        <v>215</v>
      </c>
    </row>
    <row r="54" spans="1:5">
      <c r="A54" s="1072" t="s">
        <v>1241</v>
      </c>
      <c r="B54" s="1072">
        <v>1274440</v>
      </c>
      <c r="C54" s="1072">
        <v>3283</v>
      </c>
      <c r="D54" s="1072">
        <v>2139</v>
      </c>
      <c r="E54" s="1072">
        <f t="shared" si="0"/>
        <v>5422</v>
      </c>
    </row>
    <row r="55" spans="1:5">
      <c r="A55" s="1072" t="s">
        <v>1241</v>
      </c>
      <c r="B55" s="1072">
        <v>1284440</v>
      </c>
      <c r="C55" s="1072">
        <v>118</v>
      </c>
      <c r="D55" s="1072">
        <v>60</v>
      </c>
      <c r="E55" s="1072">
        <f t="shared" si="0"/>
        <v>178</v>
      </c>
    </row>
    <row r="56" spans="1:5">
      <c r="A56" s="1072" t="s">
        <v>1241</v>
      </c>
      <c r="B56" s="1072">
        <v>1294440</v>
      </c>
      <c r="C56" s="1072">
        <v>154</v>
      </c>
      <c r="D56" s="1072">
        <v>120</v>
      </c>
      <c r="E56" s="1072">
        <f t="shared" si="0"/>
        <v>274</v>
      </c>
    </row>
    <row r="57" spans="1:5">
      <c r="A57" s="1072" t="s">
        <v>1241</v>
      </c>
      <c r="B57" s="1072">
        <v>1304440</v>
      </c>
      <c r="C57" s="1072">
        <v>353</v>
      </c>
      <c r="D57" s="1072">
        <v>351</v>
      </c>
      <c r="E57" s="1072">
        <f t="shared" si="0"/>
        <v>704</v>
      </c>
    </row>
    <row r="58" spans="1:5">
      <c r="A58" s="1072" t="s">
        <v>1241</v>
      </c>
      <c r="B58" s="1072">
        <v>1314440</v>
      </c>
      <c r="C58" s="1072">
        <v>336</v>
      </c>
      <c r="D58" s="1072">
        <v>324</v>
      </c>
      <c r="E58" s="1072">
        <f t="shared" si="0"/>
        <v>660</v>
      </c>
    </row>
    <row r="59" spans="1:5">
      <c r="A59" s="1072" t="s">
        <v>1241</v>
      </c>
      <c r="B59" s="1072">
        <v>1324440</v>
      </c>
      <c r="C59" s="1072">
        <v>472</v>
      </c>
      <c r="D59" s="1072">
        <v>237</v>
      </c>
      <c r="E59" s="1072">
        <f t="shared" si="0"/>
        <v>709</v>
      </c>
    </row>
    <row r="60" spans="1:5">
      <c r="A60" s="1072" t="s">
        <v>1241</v>
      </c>
      <c r="B60" s="1072">
        <v>2003126</v>
      </c>
      <c r="C60" s="1072">
        <v>281</v>
      </c>
      <c r="D60" s="1072">
        <v>45</v>
      </c>
      <c r="E60" s="1072">
        <f t="shared" si="0"/>
        <v>326</v>
      </c>
    </row>
    <row r="61" spans="1:5">
      <c r="A61" s="1072" t="s">
        <v>1241</v>
      </c>
      <c r="B61" s="1072">
        <v>2003128</v>
      </c>
      <c r="C61" s="1072">
        <v>987</v>
      </c>
      <c r="D61" s="1072">
        <v>605</v>
      </c>
      <c r="E61" s="1072">
        <f t="shared" si="0"/>
        <v>1592</v>
      </c>
    </row>
    <row r="62" spans="1:5">
      <c r="A62" s="1072" t="s">
        <v>1241</v>
      </c>
      <c r="B62" s="1072">
        <v>2005620</v>
      </c>
      <c r="C62" s="1072">
        <v>1</v>
      </c>
      <c r="D62" s="1072">
        <v>245</v>
      </c>
      <c r="E62" s="1072">
        <f t="shared" si="0"/>
        <v>246</v>
      </c>
    </row>
    <row r="63" spans="1:5">
      <c r="A63" s="1072" t="s">
        <v>1241</v>
      </c>
      <c r="B63" s="1072">
        <v>2013126</v>
      </c>
      <c r="C63" s="1072">
        <v>222</v>
      </c>
      <c r="D63" s="1072">
        <v>10</v>
      </c>
      <c r="E63" s="1072">
        <f t="shared" si="0"/>
        <v>232</v>
      </c>
    </row>
    <row r="64" spans="1:5">
      <c r="A64" s="1072" t="s">
        <v>1241</v>
      </c>
      <c r="B64" s="1072">
        <v>2014339</v>
      </c>
      <c r="C64" s="1072">
        <v>81</v>
      </c>
      <c r="D64" s="1072">
        <v>1</v>
      </c>
      <c r="E64" s="1072">
        <f t="shared" si="0"/>
        <v>82</v>
      </c>
    </row>
    <row r="65" spans="1:5">
      <c r="A65" s="1072" t="s">
        <v>1241</v>
      </c>
      <c r="B65" s="1072">
        <v>2023126</v>
      </c>
      <c r="C65" s="1072">
        <v>242</v>
      </c>
      <c r="D65" s="1072">
        <v>152</v>
      </c>
      <c r="E65" s="1072">
        <f t="shared" si="0"/>
        <v>394</v>
      </c>
    </row>
    <row r="66" spans="1:5">
      <c r="A66" s="1072" t="s">
        <v>1241</v>
      </c>
      <c r="B66" s="1072">
        <v>2024341</v>
      </c>
      <c r="C66" s="1072">
        <v>28</v>
      </c>
      <c r="D66" s="1072">
        <v>8</v>
      </c>
      <c r="E66" s="1072">
        <f t="shared" ref="E66:E129" si="1">C66+D66</f>
        <v>36</v>
      </c>
    </row>
    <row r="67" spans="1:5">
      <c r="A67" s="1072" t="s">
        <v>1241</v>
      </c>
      <c r="B67" s="1072">
        <v>2033126</v>
      </c>
      <c r="C67" s="1072">
        <v>198</v>
      </c>
      <c r="D67" s="1072">
        <v>90</v>
      </c>
      <c r="E67" s="1072">
        <f t="shared" si="1"/>
        <v>288</v>
      </c>
    </row>
    <row r="68" spans="1:5">
      <c r="A68" s="1072" t="s">
        <v>1241</v>
      </c>
      <c r="B68" s="1072">
        <v>2034339</v>
      </c>
      <c r="C68" s="1072">
        <v>117</v>
      </c>
      <c r="D68" s="1072">
        <v>24</v>
      </c>
      <c r="E68" s="1072">
        <f t="shared" si="1"/>
        <v>141</v>
      </c>
    </row>
    <row r="69" spans="1:5">
      <c r="A69" s="1072" t="s">
        <v>1241</v>
      </c>
      <c r="B69" s="1072">
        <v>2034341</v>
      </c>
      <c r="C69" s="1072">
        <v>251</v>
      </c>
      <c r="D69" s="1072">
        <v>171</v>
      </c>
      <c r="E69" s="1072">
        <f t="shared" si="1"/>
        <v>422</v>
      </c>
    </row>
    <row r="70" spans="1:5">
      <c r="A70" s="1072" t="s">
        <v>1241</v>
      </c>
      <c r="B70" s="1072">
        <v>2043126</v>
      </c>
      <c r="C70" s="1072">
        <v>266</v>
      </c>
      <c r="D70" s="1072">
        <v>222</v>
      </c>
      <c r="E70" s="1072">
        <f t="shared" si="1"/>
        <v>488</v>
      </c>
    </row>
    <row r="71" spans="1:5">
      <c r="A71" s="1072" t="s">
        <v>1241</v>
      </c>
      <c r="B71" s="1072">
        <v>2044341</v>
      </c>
      <c r="C71" s="1072">
        <v>250</v>
      </c>
      <c r="D71" s="1072">
        <v>135</v>
      </c>
      <c r="E71" s="1072">
        <f t="shared" si="1"/>
        <v>385</v>
      </c>
    </row>
    <row r="72" spans="1:5">
      <c r="A72" s="1072" t="s">
        <v>1241</v>
      </c>
      <c r="B72" s="1072">
        <v>2053126</v>
      </c>
      <c r="C72" s="1072">
        <v>230</v>
      </c>
      <c r="D72" s="1072">
        <v>2</v>
      </c>
      <c r="E72" s="1072">
        <f t="shared" si="1"/>
        <v>232</v>
      </c>
    </row>
    <row r="73" spans="1:5">
      <c r="A73" s="1072" t="s">
        <v>1241</v>
      </c>
      <c r="B73" s="1072">
        <v>2054341</v>
      </c>
      <c r="C73" s="1072">
        <v>325</v>
      </c>
      <c r="D73" s="1072">
        <v>191</v>
      </c>
      <c r="E73" s="1072">
        <f t="shared" si="1"/>
        <v>516</v>
      </c>
    </row>
    <row r="74" spans="1:5">
      <c r="A74" s="1072" t="s">
        <v>1241</v>
      </c>
      <c r="B74" s="1072">
        <v>2063126</v>
      </c>
      <c r="C74" s="1072">
        <v>164</v>
      </c>
      <c r="D74" s="1072">
        <v>1</v>
      </c>
      <c r="E74" s="1072">
        <f t="shared" si="1"/>
        <v>165</v>
      </c>
    </row>
    <row r="75" spans="1:5">
      <c r="A75" s="1072" t="s">
        <v>1241</v>
      </c>
      <c r="B75" s="1072">
        <v>2064341</v>
      </c>
      <c r="C75" s="1072">
        <v>198</v>
      </c>
      <c r="D75" s="1072">
        <v>154</v>
      </c>
      <c r="E75" s="1072">
        <f t="shared" si="1"/>
        <v>352</v>
      </c>
    </row>
    <row r="76" spans="1:5">
      <c r="A76" s="1072" t="s">
        <v>1241</v>
      </c>
      <c r="B76" s="1072">
        <v>2073126</v>
      </c>
      <c r="C76" s="1072">
        <v>557</v>
      </c>
      <c r="D76" s="1072">
        <v>506</v>
      </c>
      <c r="E76" s="1072">
        <f t="shared" si="1"/>
        <v>1063</v>
      </c>
    </row>
    <row r="77" spans="1:5">
      <c r="A77" s="1072" t="s">
        <v>1241</v>
      </c>
      <c r="B77" s="1072">
        <v>2074341</v>
      </c>
      <c r="C77" s="1072">
        <v>164</v>
      </c>
      <c r="D77" s="1072">
        <v>87</v>
      </c>
      <c r="E77" s="1072">
        <f t="shared" si="1"/>
        <v>251</v>
      </c>
    </row>
    <row r="78" spans="1:5">
      <c r="A78" s="1072" t="s">
        <v>1241</v>
      </c>
      <c r="B78" s="1072">
        <v>2083126</v>
      </c>
      <c r="C78" s="1072">
        <v>577</v>
      </c>
      <c r="D78" s="1072">
        <v>481</v>
      </c>
      <c r="E78" s="1072">
        <f t="shared" si="1"/>
        <v>1058</v>
      </c>
    </row>
    <row r="79" spans="1:5">
      <c r="A79" s="1072" t="s">
        <v>1241</v>
      </c>
      <c r="B79" s="1072">
        <v>2084341</v>
      </c>
      <c r="C79" s="1072">
        <v>159</v>
      </c>
      <c r="D79" s="1072">
        <v>63</v>
      </c>
      <c r="E79" s="1072">
        <f t="shared" si="1"/>
        <v>222</v>
      </c>
    </row>
    <row r="80" spans="1:5">
      <c r="A80" s="1072" t="s">
        <v>1241</v>
      </c>
      <c r="B80" s="1072">
        <v>2093126</v>
      </c>
      <c r="C80" s="1072">
        <v>461</v>
      </c>
      <c r="D80" s="1072">
        <v>145</v>
      </c>
      <c r="E80" s="1072">
        <f t="shared" si="1"/>
        <v>606</v>
      </c>
    </row>
    <row r="81" spans="1:5">
      <c r="A81" s="1072" t="s">
        <v>1241</v>
      </c>
      <c r="B81" s="1072">
        <v>2094341</v>
      </c>
      <c r="C81" s="1072">
        <v>225</v>
      </c>
      <c r="D81" s="1072">
        <v>47</v>
      </c>
      <c r="E81" s="1072">
        <f t="shared" si="1"/>
        <v>272</v>
      </c>
    </row>
    <row r="82" spans="1:5">
      <c r="A82" s="1072" t="s">
        <v>1241</v>
      </c>
      <c r="B82" s="1072">
        <v>2103126</v>
      </c>
      <c r="C82" s="1072">
        <v>250</v>
      </c>
      <c r="D82" s="1072">
        <v>112</v>
      </c>
      <c r="E82" s="1072">
        <f t="shared" si="1"/>
        <v>362</v>
      </c>
    </row>
    <row r="83" spans="1:5">
      <c r="A83" s="1072" t="s">
        <v>1241</v>
      </c>
      <c r="B83" s="1072">
        <v>2113126</v>
      </c>
      <c r="C83" s="1072">
        <v>378</v>
      </c>
      <c r="D83" s="1072">
        <v>338</v>
      </c>
      <c r="E83" s="1072">
        <f t="shared" si="1"/>
        <v>716</v>
      </c>
    </row>
    <row r="84" spans="1:5">
      <c r="A84" s="1072" t="s">
        <v>1241</v>
      </c>
      <c r="B84" s="1072">
        <v>2123126</v>
      </c>
      <c r="C84" s="1072">
        <v>604</v>
      </c>
      <c r="D84" s="1072">
        <v>510</v>
      </c>
      <c r="E84" s="1072">
        <f t="shared" si="1"/>
        <v>1114</v>
      </c>
    </row>
    <row r="85" spans="1:5">
      <c r="A85" s="1072" t="s">
        <v>1241</v>
      </c>
      <c r="B85" s="1072">
        <v>2133126</v>
      </c>
      <c r="C85" s="1072">
        <v>319</v>
      </c>
      <c r="D85" s="1072">
        <v>284</v>
      </c>
      <c r="E85" s="1072">
        <f t="shared" si="1"/>
        <v>603</v>
      </c>
    </row>
    <row r="86" spans="1:5">
      <c r="A86" s="1072" t="s">
        <v>1241</v>
      </c>
      <c r="B86" s="1072">
        <v>2143126</v>
      </c>
      <c r="C86" s="1072">
        <v>514</v>
      </c>
      <c r="D86" s="1072">
        <v>297</v>
      </c>
      <c r="E86" s="1072">
        <f t="shared" si="1"/>
        <v>811</v>
      </c>
    </row>
    <row r="87" spans="1:5">
      <c r="A87" s="1072" t="s">
        <v>1241</v>
      </c>
      <c r="B87" s="1072">
        <v>2153126</v>
      </c>
      <c r="C87" s="1072">
        <v>473</v>
      </c>
      <c r="D87" s="1072">
        <v>409</v>
      </c>
      <c r="E87" s="1072">
        <f t="shared" si="1"/>
        <v>882</v>
      </c>
    </row>
    <row r="88" spans="1:5">
      <c r="A88" s="1072" t="s">
        <v>1241</v>
      </c>
      <c r="B88" s="1072">
        <v>2163126</v>
      </c>
      <c r="C88" s="1072">
        <v>247</v>
      </c>
      <c r="D88" s="1072">
        <v>163</v>
      </c>
      <c r="E88" s="1072">
        <f t="shared" si="1"/>
        <v>410</v>
      </c>
    </row>
    <row r="89" spans="1:5">
      <c r="A89" s="1072" t="s">
        <v>1241</v>
      </c>
      <c r="B89" s="1072">
        <v>3003127</v>
      </c>
      <c r="C89" s="1072">
        <v>264</v>
      </c>
      <c r="D89" s="1072">
        <v>185</v>
      </c>
      <c r="E89" s="1072">
        <f t="shared" si="1"/>
        <v>449</v>
      </c>
    </row>
    <row r="90" spans="1:5">
      <c r="A90" s="1072" t="s">
        <v>1241</v>
      </c>
      <c r="B90" s="1072">
        <v>3003128</v>
      </c>
      <c r="C90" s="1072">
        <v>187</v>
      </c>
      <c r="D90" s="1072">
        <v>146</v>
      </c>
      <c r="E90" s="1072">
        <f t="shared" si="1"/>
        <v>333</v>
      </c>
    </row>
    <row r="91" spans="1:5">
      <c r="A91" s="1072" t="s">
        <v>1241</v>
      </c>
      <c r="B91" s="1072">
        <v>3013127</v>
      </c>
      <c r="C91" s="1072">
        <v>299</v>
      </c>
      <c r="D91" s="1072">
        <v>291</v>
      </c>
      <c r="E91" s="1072">
        <f t="shared" si="1"/>
        <v>590</v>
      </c>
    </row>
    <row r="92" spans="1:5">
      <c r="A92" s="1072" t="s">
        <v>1241</v>
      </c>
      <c r="B92" s="1072">
        <v>3013128</v>
      </c>
      <c r="C92" s="1072">
        <v>177</v>
      </c>
      <c r="D92" s="1072">
        <v>150</v>
      </c>
      <c r="E92" s="1072">
        <f t="shared" si="1"/>
        <v>327</v>
      </c>
    </row>
    <row r="93" spans="1:5">
      <c r="A93" s="1072" t="s">
        <v>1241</v>
      </c>
      <c r="B93" s="1072">
        <v>3014342</v>
      </c>
      <c r="C93" s="1072">
        <v>270</v>
      </c>
      <c r="D93" s="1072">
        <v>164</v>
      </c>
      <c r="E93" s="1072">
        <f t="shared" si="1"/>
        <v>434</v>
      </c>
    </row>
    <row r="94" spans="1:5">
      <c r="A94" s="1072" t="s">
        <v>1241</v>
      </c>
      <c r="B94" s="1072">
        <v>3015009</v>
      </c>
      <c r="C94" s="1072">
        <v>2</v>
      </c>
      <c r="D94" s="1072">
        <v>2</v>
      </c>
      <c r="E94" s="1072">
        <f t="shared" si="1"/>
        <v>4</v>
      </c>
    </row>
    <row r="95" spans="1:5">
      <c r="A95" s="1072" t="s">
        <v>1241</v>
      </c>
      <c r="B95" s="1072">
        <v>3015537</v>
      </c>
      <c r="C95" s="1072">
        <v>1</v>
      </c>
      <c r="D95" s="1072">
        <v>530</v>
      </c>
      <c r="E95" s="1072">
        <f t="shared" si="1"/>
        <v>531</v>
      </c>
    </row>
    <row r="96" spans="1:5">
      <c r="A96" s="1072" t="s">
        <v>1241</v>
      </c>
      <c r="B96" s="1072">
        <v>3023127</v>
      </c>
      <c r="C96" s="1072">
        <v>418</v>
      </c>
      <c r="D96" s="1072">
        <v>316</v>
      </c>
      <c r="E96" s="1072">
        <f t="shared" si="1"/>
        <v>734</v>
      </c>
    </row>
    <row r="97" spans="1:5">
      <c r="A97" s="1072" t="s">
        <v>1241</v>
      </c>
      <c r="B97" s="1072">
        <v>3023128</v>
      </c>
      <c r="C97" s="1072">
        <v>188</v>
      </c>
      <c r="D97" s="1072">
        <v>130</v>
      </c>
      <c r="E97" s="1072">
        <f t="shared" si="1"/>
        <v>318</v>
      </c>
    </row>
    <row r="98" spans="1:5">
      <c r="A98" s="1072" t="s">
        <v>1241</v>
      </c>
      <c r="B98" s="1072">
        <v>3024342</v>
      </c>
      <c r="C98" s="1072">
        <v>3292</v>
      </c>
      <c r="D98" s="1072">
        <v>2948</v>
      </c>
      <c r="E98" s="1072">
        <f t="shared" si="1"/>
        <v>6240</v>
      </c>
    </row>
    <row r="99" spans="1:5">
      <c r="A99" s="1072" t="s">
        <v>1241</v>
      </c>
      <c r="B99" s="1072">
        <v>3033127</v>
      </c>
      <c r="C99" s="1072">
        <v>446</v>
      </c>
      <c r="D99" s="1072">
        <v>391</v>
      </c>
      <c r="E99" s="1072">
        <f t="shared" si="1"/>
        <v>837</v>
      </c>
    </row>
    <row r="100" spans="1:5">
      <c r="A100" s="1072" t="s">
        <v>1241</v>
      </c>
      <c r="B100" s="1072">
        <v>3033128</v>
      </c>
      <c r="C100" s="1072">
        <v>199</v>
      </c>
      <c r="D100" s="1072">
        <v>101</v>
      </c>
      <c r="E100" s="1072">
        <f t="shared" si="1"/>
        <v>300</v>
      </c>
    </row>
    <row r="101" spans="1:5">
      <c r="A101" s="1072" t="s">
        <v>1241</v>
      </c>
      <c r="B101" s="1072">
        <v>3034342</v>
      </c>
      <c r="C101" s="1072">
        <v>151</v>
      </c>
      <c r="D101" s="1072">
        <v>92</v>
      </c>
      <c r="E101" s="1072">
        <f t="shared" si="1"/>
        <v>243</v>
      </c>
    </row>
    <row r="102" spans="1:5">
      <c r="A102" s="1072" t="s">
        <v>1241</v>
      </c>
      <c r="B102" s="1072">
        <v>3043127</v>
      </c>
      <c r="C102" s="1072">
        <v>598</v>
      </c>
      <c r="D102" s="1072">
        <v>469</v>
      </c>
      <c r="E102" s="1072">
        <f t="shared" si="1"/>
        <v>1067</v>
      </c>
    </row>
    <row r="103" spans="1:5">
      <c r="A103" s="1072" t="s">
        <v>1241</v>
      </c>
      <c r="B103" s="1072">
        <v>3043128</v>
      </c>
      <c r="C103" s="1072">
        <v>192</v>
      </c>
      <c r="D103" s="1072">
        <v>119</v>
      </c>
      <c r="E103" s="1072">
        <f t="shared" si="1"/>
        <v>311</v>
      </c>
    </row>
    <row r="104" spans="1:5">
      <c r="A104" s="1072" t="s">
        <v>1241</v>
      </c>
      <c r="B104" s="1072">
        <v>3044342</v>
      </c>
      <c r="C104" s="1072">
        <v>239</v>
      </c>
      <c r="D104" s="1072">
        <v>107</v>
      </c>
      <c r="E104" s="1072">
        <f t="shared" si="1"/>
        <v>346</v>
      </c>
    </row>
    <row r="105" spans="1:5">
      <c r="A105" s="1072" t="s">
        <v>1241</v>
      </c>
      <c r="B105" s="1072">
        <v>3053127</v>
      </c>
      <c r="C105" s="1072">
        <v>293</v>
      </c>
      <c r="D105" s="1072">
        <v>246</v>
      </c>
      <c r="E105" s="1072">
        <f t="shared" si="1"/>
        <v>539</v>
      </c>
    </row>
    <row r="106" spans="1:5">
      <c r="A106" s="1072" t="s">
        <v>1241</v>
      </c>
      <c r="B106" s="1072">
        <v>3053128</v>
      </c>
      <c r="C106" s="1072">
        <v>406</v>
      </c>
      <c r="D106" s="1072">
        <v>288</v>
      </c>
      <c r="E106" s="1072">
        <f t="shared" si="1"/>
        <v>694</v>
      </c>
    </row>
    <row r="107" spans="1:5">
      <c r="A107" s="1072" t="s">
        <v>1241</v>
      </c>
      <c r="B107" s="1072">
        <v>3054342</v>
      </c>
      <c r="C107" s="1072">
        <v>298</v>
      </c>
      <c r="D107" s="1072">
        <v>167</v>
      </c>
      <c r="E107" s="1072">
        <f t="shared" si="1"/>
        <v>465</v>
      </c>
    </row>
    <row r="108" spans="1:5">
      <c r="A108" s="1072" t="s">
        <v>1241</v>
      </c>
      <c r="B108" s="1072">
        <v>3063127</v>
      </c>
      <c r="C108" s="1072">
        <v>274</v>
      </c>
      <c r="D108" s="1072">
        <v>215</v>
      </c>
      <c r="E108" s="1072">
        <f t="shared" si="1"/>
        <v>489</v>
      </c>
    </row>
    <row r="109" spans="1:5">
      <c r="A109" s="1072" t="s">
        <v>1241</v>
      </c>
      <c r="B109" s="1072">
        <v>3063128</v>
      </c>
      <c r="C109" s="1072">
        <v>247</v>
      </c>
      <c r="D109" s="1072">
        <v>217</v>
      </c>
      <c r="E109" s="1072">
        <f t="shared" si="1"/>
        <v>464</v>
      </c>
    </row>
    <row r="110" spans="1:5">
      <c r="A110" s="1072" t="s">
        <v>1241</v>
      </c>
      <c r="B110" s="1072">
        <v>3064342</v>
      </c>
      <c r="C110" s="1072">
        <v>216</v>
      </c>
      <c r="D110" s="1072">
        <v>162</v>
      </c>
      <c r="E110" s="1072">
        <f t="shared" si="1"/>
        <v>378</v>
      </c>
    </row>
    <row r="111" spans="1:5">
      <c r="A111" s="1072" t="s">
        <v>1241</v>
      </c>
      <c r="B111" s="1072">
        <v>3073127</v>
      </c>
      <c r="C111" s="1072">
        <v>261</v>
      </c>
      <c r="D111" s="1072">
        <v>198</v>
      </c>
      <c r="E111" s="1072">
        <f t="shared" si="1"/>
        <v>459</v>
      </c>
    </row>
    <row r="112" spans="1:5">
      <c r="A112" s="1072" t="s">
        <v>1241</v>
      </c>
      <c r="B112" s="1072">
        <v>3073128</v>
      </c>
      <c r="C112" s="1072">
        <v>297</v>
      </c>
      <c r="D112" s="1072">
        <v>166</v>
      </c>
      <c r="E112" s="1072">
        <f t="shared" si="1"/>
        <v>463</v>
      </c>
    </row>
    <row r="113" spans="1:5">
      <c r="A113" s="1072" t="s">
        <v>1241</v>
      </c>
      <c r="B113" s="1072">
        <v>3074342</v>
      </c>
      <c r="C113" s="1072">
        <v>226</v>
      </c>
      <c r="D113" s="1072">
        <v>126</v>
      </c>
      <c r="E113" s="1072">
        <f t="shared" si="1"/>
        <v>352</v>
      </c>
    </row>
    <row r="114" spans="1:5">
      <c r="A114" s="1072" t="s">
        <v>1241</v>
      </c>
      <c r="B114" s="1072">
        <v>3083127</v>
      </c>
      <c r="C114" s="1072">
        <v>370</v>
      </c>
      <c r="D114" s="1072">
        <v>282</v>
      </c>
      <c r="E114" s="1072">
        <f t="shared" si="1"/>
        <v>652</v>
      </c>
    </row>
    <row r="115" spans="1:5">
      <c r="A115" s="1072" t="s">
        <v>1241</v>
      </c>
      <c r="B115" s="1072">
        <v>3083128</v>
      </c>
      <c r="C115" s="1072">
        <v>286</v>
      </c>
      <c r="D115" s="1072">
        <v>137</v>
      </c>
      <c r="E115" s="1072">
        <f t="shared" si="1"/>
        <v>423</v>
      </c>
    </row>
    <row r="116" spans="1:5">
      <c r="A116" s="1072" t="s">
        <v>1241</v>
      </c>
      <c r="B116" s="1072">
        <v>3093127</v>
      </c>
      <c r="C116" s="1072">
        <v>298</v>
      </c>
      <c r="D116" s="1072">
        <v>201</v>
      </c>
      <c r="E116" s="1072">
        <f t="shared" si="1"/>
        <v>499</v>
      </c>
    </row>
    <row r="117" spans="1:5">
      <c r="A117" s="1072" t="s">
        <v>1241</v>
      </c>
      <c r="B117" s="1072">
        <v>3093128</v>
      </c>
      <c r="C117" s="1072">
        <v>367</v>
      </c>
      <c r="D117" s="1072">
        <v>171</v>
      </c>
      <c r="E117" s="1072">
        <f t="shared" si="1"/>
        <v>538</v>
      </c>
    </row>
    <row r="118" spans="1:5">
      <c r="A118" s="1072" t="s">
        <v>1241</v>
      </c>
      <c r="B118" s="1072">
        <v>3094342</v>
      </c>
      <c r="C118" s="1072">
        <v>318</v>
      </c>
      <c r="D118" s="1072">
        <v>33</v>
      </c>
      <c r="E118" s="1072">
        <f t="shared" si="1"/>
        <v>351</v>
      </c>
    </row>
    <row r="119" spans="1:5">
      <c r="A119" s="1072" t="s">
        <v>1241</v>
      </c>
      <c r="B119" s="1072">
        <v>3103127</v>
      </c>
      <c r="C119" s="1072">
        <v>311</v>
      </c>
      <c r="D119" s="1072">
        <v>194</v>
      </c>
      <c r="E119" s="1072">
        <f t="shared" si="1"/>
        <v>505</v>
      </c>
    </row>
    <row r="120" spans="1:5">
      <c r="A120" s="1072" t="s">
        <v>1241</v>
      </c>
      <c r="B120" s="1072">
        <v>3103128</v>
      </c>
      <c r="C120" s="1072">
        <v>279</v>
      </c>
      <c r="D120" s="1072">
        <v>223</v>
      </c>
      <c r="E120" s="1072">
        <f t="shared" si="1"/>
        <v>502</v>
      </c>
    </row>
    <row r="121" spans="1:5">
      <c r="A121" s="1072" t="s">
        <v>1241</v>
      </c>
      <c r="B121" s="1072">
        <v>3113127</v>
      </c>
      <c r="C121" s="1072">
        <v>335</v>
      </c>
      <c r="D121" s="1072">
        <v>308</v>
      </c>
      <c r="E121" s="1072">
        <f t="shared" si="1"/>
        <v>643</v>
      </c>
    </row>
    <row r="122" spans="1:5">
      <c r="A122" s="1072" t="s">
        <v>1241</v>
      </c>
      <c r="B122" s="1072">
        <v>3113128</v>
      </c>
      <c r="C122" s="1072">
        <v>307</v>
      </c>
      <c r="D122" s="1072">
        <v>193</v>
      </c>
      <c r="E122" s="1072">
        <f t="shared" si="1"/>
        <v>500</v>
      </c>
    </row>
    <row r="123" spans="1:5">
      <c r="A123" s="1072" t="s">
        <v>1241</v>
      </c>
      <c r="B123" s="1072">
        <v>3123127</v>
      </c>
      <c r="C123" s="1072">
        <v>272</v>
      </c>
      <c r="D123" s="1072">
        <v>248</v>
      </c>
      <c r="E123" s="1072">
        <f t="shared" si="1"/>
        <v>520</v>
      </c>
    </row>
    <row r="124" spans="1:5">
      <c r="A124" s="1072" t="s">
        <v>1241</v>
      </c>
      <c r="B124" s="1072">
        <v>3123128</v>
      </c>
      <c r="C124" s="1072">
        <v>279</v>
      </c>
      <c r="D124" s="1072">
        <v>230</v>
      </c>
      <c r="E124" s="1072">
        <f t="shared" si="1"/>
        <v>509</v>
      </c>
    </row>
    <row r="125" spans="1:5">
      <c r="A125" s="1072" t="s">
        <v>1241</v>
      </c>
      <c r="B125" s="1072">
        <v>3133127</v>
      </c>
      <c r="C125" s="1072">
        <v>323</v>
      </c>
      <c r="D125" s="1072">
        <v>294</v>
      </c>
      <c r="E125" s="1072">
        <f t="shared" si="1"/>
        <v>617</v>
      </c>
    </row>
    <row r="126" spans="1:5">
      <c r="A126" s="1072" t="s">
        <v>1241</v>
      </c>
      <c r="B126" s="1072">
        <v>3133128</v>
      </c>
      <c r="C126" s="1072">
        <v>230</v>
      </c>
      <c r="D126" s="1072">
        <v>136</v>
      </c>
      <c r="E126" s="1072">
        <f t="shared" si="1"/>
        <v>366</v>
      </c>
    </row>
    <row r="127" spans="1:5">
      <c r="A127" s="1072" t="s">
        <v>1241</v>
      </c>
      <c r="B127" s="1072">
        <v>3143127</v>
      </c>
      <c r="C127" s="1072">
        <v>227</v>
      </c>
      <c r="D127" s="1072">
        <v>100</v>
      </c>
      <c r="E127" s="1072">
        <f t="shared" si="1"/>
        <v>327</v>
      </c>
    </row>
    <row r="128" spans="1:5">
      <c r="A128" s="1072" t="s">
        <v>1241</v>
      </c>
      <c r="B128" s="1072">
        <v>3143128</v>
      </c>
      <c r="C128" s="1072">
        <v>397</v>
      </c>
      <c r="D128" s="1072">
        <v>368</v>
      </c>
      <c r="E128" s="1072">
        <f t="shared" si="1"/>
        <v>765</v>
      </c>
    </row>
    <row r="129" spans="1:5">
      <c r="A129" s="1072" t="s">
        <v>1241</v>
      </c>
      <c r="B129" s="1072">
        <v>3153127</v>
      </c>
      <c r="C129" s="1072">
        <v>288</v>
      </c>
      <c r="D129" s="1072">
        <v>271</v>
      </c>
      <c r="E129" s="1072">
        <f t="shared" si="1"/>
        <v>559</v>
      </c>
    </row>
    <row r="130" spans="1:5">
      <c r="A130" s="1072" t="s">
        <v>1241</v>
      </c>
      <c r="B130" s="1072">
        <v>3153128</v>
      </c>
      <c r="C130" s="1072">
        <v>177</v>
      </c>
      <c r="D130" s="1072">
        <v>128</v>
      </c>
      <c r="E130" s="1072">
        <f t="shared" ref="E130:E193" si="2">C130+D130</f>
        <v>305</v>
      </c>
    </row>
    <row r="131" spans="1:5">
      <c r="A131" s="1072" t="s">
        <v>1241</v>
      </c>
      <c r="B131" s="1072">
        <v>3163127</v>
      </c>
      <c r="C131" s="1072">
        <v>364</v>
      </c>
      <c r="D131" s="1072">
        <v>187</v>
      </c>
      <c r="E131" s="1072">
        <f t="shared" si="2"/>
        <v>551</v>
      </c>
    </row>
    <row r="132" spans="1:5">
      <c r="A132" s="1072" t="s">
        <v>1241</v>
      </c>
      <c r="B132" s="1072">
        <v>3163128</v>
      </c>
      <c r="C132" s="1072">
        <v>238</v>
      </c>
      <c r="D132" s="1072">
        <v>128</v>
      </c>
      <c r="E132" s="1072">
        <f t="shared" si="2"/>
        <v>366</v>
      </c>
    </row>
    <row r="133" spans="1:5">
      <c r="A133" s="1072" t="s">
        <v>1241</v>
      </c>
      <c r="B133" s="1072">
        <v>3173127</v>
      </c>
      <c r="C133" s="1072">
        <v>279</v>
      </c>
      <c r="D133" s="1072">
        <v>268</v>
      </c>
      <c r="E133" s="1072">
        <f t="shared" si="2"/>
        <v>547</v>
      </c>
    </row>
    <row r="134" spans="1:5">
      <c r="A134" s="1072" t="s">
        <v>1241</v>
      </c>
      <c r="B134" s="1072">
        <v>3173128</v>
      </c>
      <c r="C134" s="1072">
        <v>219</v>
      </c>
      <c r="D134" s="1072">
        <v>129</v>
      </c>
      <c r="E134" s="1072">
        <f t="shared" si="2"/>
        <v>348</v>
      </c>
    </row>
    <row r="135" spans="1:5">
      <c r="A135" s="1072" t="s">
        <v>1241</v>
      </c>
      <c r="B135" s="1072">
        <v>3183127</v>
      </c>
      <c r="C135" s="1072">
        <v>207</v>
      </c>
      <c r="D135" s="1072">
        <v>138</v>
      </c>
      <c r="E135" s="1072">
        <f t="shared" si="2"/>
        <v>345</v>
      </c>
    </row>
    <row r="136" spans="1:5">
      <c r="A136" s="1072" t="s">
        <v>1241</v>
      </c>
      <c r="B136" s="1072">
        <v>3183128</v>
      </c>
      <c r="C136" s="1072">
        <v>254</v>
      </c>
      <c r="D136" s="1072">
        <v>170</v>
      </c>
      <c r="E136" s="1072">
        <f t="shared" si="2"/>
        <v>424</v>
      </c>
    </row>
    <row r="137" spans="1:5">
      <c r="A137" s="1072" t="s">
        <v>1241</v>
      </c>
      <c r="B137" s="1072">
        <v>3193127</v>
      </c>
      <c r="C137" s="1072">
        <v>232</v>
      </c>
      <c r="D137" s="1072">
        <v>172</v>
      </c>
      <c r="E137" s="1072">
        <f t="shared" si="2"/>
        <v>404</v>
      </c>
    </row>
    <row r="138" spans="1:5">
      <c r="A138" s="1072" t="s">
        <v>1241</v>
      </c>
      <c r="B138" s="1072">
        <v>3193128</v>
      </c>
      <c r="C138" s="1072">
        <v>169</v>
      </c>
      <c r="D138" s="1072">
        <v>85</v>
      </c>
      <c r="E138" s="1072">
        <f t="shared" si="2"/>
        <v>254</v>
      </c>
    </row>
    <row r="139" spans="1:5">
      <c r="A139" s="1072" t="s">
        <v>1241</v>
      </c>
      <c r="B139" s="1072">
        <v>3203127</v>
      </c>
      <c r="C139" s="1072">
        <v>228</v>
      </c>
      <c r="D139" s="1072">
        <v>155</v>
      </c>
      <c r="E139" s="1072">
        <f t="shared" si="2"/>
        <v>383</v>
      </c>
    </row>
    <row r="140" spans="1:5">
      <c r="A140" s="1072" t="s">
        <v>1241</v>
      </c>
      <c r="B140" s="1072">
        <v>3203128</v>
      </c>
      <c r="C140" s="1072">
        <v>145</v>
      </c>
      <c r="D140" s="1072">
        <v>20</v>
      </c>
      <c r="E140" s="1072">
        <f t="shared" si="2"/>
        <v>165</v>
      </c>
    </row>
    <row r="141" spans="1:5">
      <c r="A141" s="1072" t="s">
        <v>1241</v>
      </c>
      <c r="B141" s="1072">
        <v>3213128</v>
      </c>
      <c r="C141" s="1072">
        <v>195</v>
      </c>
      <c r="D141" s="1072">
        <v>191</v>
      </c>
      <c r="E141" s="1072">
        <f t="shared" si="2"/>
        <v>386</v>
      </c>
    </row>
    <row r="142" spans="1:5">
      <c r="A142" s="1072" t="s">
        <v>1241</v>
      </c>
      <c r="B142" s="1072">
        <v>4003231</v>
      </c>
      <c r="C142" s="1072">
        <v>477</v>
      </c>
      <c r="D142" s="1072">
        <v>130</v>
      </c>
      <c r="E142" s="1072">
        <f t="shared" si="2"/>
        <v>607</v>
      </c>
    </row>
    <row r="143" spans="1:5">
      <c r="A143" s="1072" t="s">
        <v>1241</v>
      </c>
      <c r="B143" s="1072">
        <v>4003431</v>
      </c>
      <c r="C143" s="1072">
        <v>1126</v>
      </c>
      <c r="D143" s="1072">
        <v>191</v>
      </c>
      <c r="E143" s="1072">
        <f t="shared" si="2"/>
        <v>1317</v>
      </c>
    </row>
    <row r="144" spans="1:5">
      <c r="A144" s="1072" t="s">
        <v>1241</v>
      </c>
      <c r="B144" s="1072">
        <v>4003438</v>
      </c>
      <c r="C144" s="1072">
        <v>168</v>
      </c>
      <c r="D144" s="1072">
        <v>43</v>
      </c>
      <c r="E144" s="1072">
        <f t="shared" si="2"/>
        <v>211</v>
      </c>
    </row>
    <row r="145" spans="1:5">
      <c r="A145" s="1072" t="s">
        <v>1241</v>
      </c>
      <c r="B145" s="1072">
        <v>4013128</v>
      </c>
      <c r="C145" s="1072">
        <v>230</v>
      </c>
      <c r="D145" s="1072">
        <v>14</v>
      </c>
      <c r="E145" s="1072">
        <f t="shared" si="2"/>
        <v>244</v>
      </c>
    </row>
    <row r="146" spans="1:5">
      <c r="A146" s="1072" t="s">
        <v>1241</v>
      </c>
      <c r="B146" s="1072">
        <v>4013231</v>
      </c>
      <c r="C146" s="1072">
        <v>474</v>
      </c>
      <c r="D146" s="1072">
        <v>410</v>
      </c>
      <c r="E146" s="1072">
        <f t="shared" si="2"/>
        <v>884</v>
      </c>
    </row>
    <row r="147" spans="1:5">
      <c r="A147" s="1072" t="s">
        <v>1241</v>
      </c>
      <c r="B147" s="1072">
        <v>4013431</v>
      </c>
      <c r="C147" s="1072">
        <v>594</v>
      </c>
      <c r="D147" s="1072">
        <v>148</v>
      </c>
      <c r="E147" s="1072">
        <f t="shared" si="2"/>
        <v>742</v>
      </c>
    </row>
    <row r="148" spans="1:5">
      <c r="A148" s="1072" t="s">
        <v>1241</v>
      </c>
      <c r="B148" s="1072">
        <v>4014343</v>
      </c>
      <c r="C148" s="1072">
        <v>226</v>
      </c>
      <c r="D148" s="1072">
        <v>390</v>
      </c>
      <c r="E148" s="1072">
        <f t="shared" si="2"/>
        <v>616</v>
      </c>
    </row>
    <row r="149" spans="1:5">
      <c r="A149" s="1072" t="s">
        <v>1241</v>
      </c>
      <c r="B149" s="1072">
        <v>4023128</v>
      </c>
      <c r="C149" s="1072">
        <v>223</v>
      </c>
      <c r="D149" s="1072">
        <v>83</v>
      </c>
      <c r="E149" s="1072">
        <f t="shared" si="2"/>
        <v>306</v>
      </c>
    </row>
    <row r="150" spans="1:5">
      <c r="A150" s="1072" t="s">
        <v>1241</v>
      </c>
      <c r="B150" s="1072">
        <v>4023231</v>
      </c>
      <c r="C150" s="1072">
        <v>390</v>
      </c>
      <c r="D150" s="1072">
        <v>98</v>
      </c>
      <c r="E150" s="1072">
        <f t="shared" si="2"/>
        <v>488</v>
      </c>
    </row>
    <row r="151" spans="1:5">
      <c r="A151" s="1072" t="s">
        <v>1241</v>
      </c>
      <c r="B151" s="1072">
        <v>4023431</v>
      </c>
      <c r="C151" s="1072">
        <v>366</v>
      </c>
      <c r="D151" s="1072">
        <v>346</v>
      </c>
      <c r="E151" s="1072">
        <f t="shared" si="2"/>
        <v>712</v>
      </c>
    </row>
    <row r="152" spans="1:5">
      <c r="A152" s="1072" t="s">
        <v>1241</v>
      </c>
      <c r="B152" s="1072">
        <v>4024343</v>
      </c>
      <c r="C152" s="1072">
        <v>384</v>
      </c>
      <c r="D152" s="1072">
        <v>188</v>
      </c>
      <c r="E152" s="1072">
        <f t="shared" si="2"/>
        <v>572</v>
      </c>
    </row>
    <row r="153" spans="1:5">
      <c r="A153" s="1072" t="s">
        <v>1241</v>
      </c>
      <c r="B153" s="1072">
        <v>4033128</v>
      </c>
      <c r="C153" s="1072">
        <v>239</v>
      </c>
      <c r="D153" s="1072">
        <v>80</v>
      </c>
      <c r="E153" s="1072">
        <f t="shared" si="2"/>
        <v>319</v>
      </c>
    </row>
    <row r="154" spans="1:5">
      <c r="A154" s="1072" t="s">
        <v>1241</v>
      </c>
      <c r="B154" s="1072">
        <v>4033231</v>
      </c>
      <c r="C154" s="1072">
        <v>227</v>
      </c>
      <c r="D154" s="1072">
        <v>206</v>
      </c>
      <c r="E154" s="1072">
        <f t="shared" si="2"/>
        <v>433</v>
      </c>
    </row>
    <row r="155" spans="1:5">
      <c r="A155" s="1072" t="s">
        <v>1241</v>
      </c>
      <c r="B155" s="1072">
        <v>4033431</v>
      </c>
      <c r="C155" s="1072">
        <v>553</v>
      </c>
      <c r="D155" s="1072">
        <v>175</v>
      </c>
      <c r="E155" s="1072">
        <f t="shared" si="2"/>
        <v>728</v>
      </c>
    </row>
    <row r="156" spans="1:5">
      <c r="A156" s="1072" t="s">
        <v>1241</v>
      </c>
      <c r="B156" s="1072">
        <v>4034343</v>
      </c>
      <c r="C156" s="1072">
        <v>356</v>
      </c>
      <c r="D156" s="1072">
        <v>191</v>
      </c>
      <c r="E156" s="1072">
        <f t="shared" si="2"/>
        <v>547</v>
      </c>
    </row>
    <row r="157" spans="1:5">
      <c r="A157" s="1072" t="s">
        <v>1241</v>
      </c>
      <c r="B157" s="1072">
        <v>4043128</v>
      </c>
      <c r="C157" s="1072">
        <v>241</v>
      </c>
      <c r="D157" s="1072">
        <v>195</v>
      </c>
      <c r="E157" s="1072">
        <f t="shared" si="2"/>
        <v>436</v>
      </c>
    </row>
    <row r="158" spans="1:5">
      <c r="A158" s="1072" t="s">
        <v>1241</v>
      </c>
      <c r="B158" s="1072">
        <v>4043231</v>
      </c>
      <c r="C158" s="1072">
        <v>239</v>
      </c>
      <c r="D158" s="1072">
        <v>212</v>
      </c>
      <c r="E158" s="1072">
        <f t="shared" si="2"/>
        <v>451</v>
      </c>
    </row>
    <row r="159" spans="1:5">
      <c r="A159" s="1072" t="s">
        <v>1241</v>
      </c>
      <c r="B159" s="1072">
        <v>4043431</v>
      </c>
      <c r="C159" s="1072">
        <v>365</v>
      </c>
      <c r="D159" s="1072">
        <v>300</v>
      </c>
      <c r="E159" s="1072">
        <f t="shared" si="2"/>
        <v>665</v>
      </c>
    </row>
    <row r="160" spans="1:5">
      <c r="A160" s="1072" t="s">
        <v>1241</v>
      </c>
      <c r="B160" s="1072">
        <v>4053128</v>
      </c>
      <c r="C160" s="1072">
        <v>249</v>
      </c>
      <c r="D160" s="1072">
        <v>5</v>
      </c>
      <c r="E160" s="1072">
        <f t="shared" si="2"/>
        <v>254</v>
      </c>
    </row>
    <row r="161" spans="1:5">
      <c r="A161" s="1072" t="s">
        <v>1241</v>
      </c>
      <c r="B161" s="1072">
        <v>4053231</v>
      </c>
      <c r="C161" s="1072">
        <v>1052</v>
      </c>
      <c r="D161" s="1072">
        <v>160</v>
      </c>
      <c r="E161" s="1072">
        <f t="shared" si="2"/>
        <v>1212</v>
      </c>
    </row>
    <row r="162" spans="1:5">
      <c r="A162" s="1072" t="s">
        <v>1241</v>
      </c>
      <c r="B162" s="1072">
        <v>4053431</v>
      </c>
      <c r="C162" s="1072">
        <v>320</v>
      </c>
      <c r="D162" s="1072">
        <v>298</v>
      </c>
      <c r="E162" s="1072">
        <f t="shared" si="2"/>
        <v>618</v>
      </c>
    </row>
    <row r="163" spans="1:5">
      <c r="A163" s="1072" t="s">
        <v>1241</v>
      </c>
      <c r="B163" s="1072">
        <v>4054343</v>
      </c>
      <c r="C163" s="1072">
        <v>412</v>
      </c>
      <c r="D163" s="1072">
        <v>187</v>
      </c>
      <c r="E163" s="1072">
        <f t="shared" si="2"/>
        <v>599</v>
      </c>
    </row>
    <row r="164" spans="1:5">
      <c r="A164" s="1072" t="s">
        <v>1241</v>
      </c>
      <c r="B164" s="1072">
        <v>4063431</v>
      </c>
      <c r="C164" s="1072">
        <v>360</v>
      </c>
      <c r="D164" s="1072">
        <v>346</v>
      </c>
      <c r="E164" s="1072">
        <f t="shared" si="2"/>
        <v>706</v>
      </c>
    </row>
    <row r="165" spans="1:5">
      <c r="A165" s="1072" t="s">
        <v>1241</v>
      </c>
      <c r="B165" s="1072">
        <v>4064343</v>
      </c>
      <c r="C165" s="1072">
        <v>120</v>
      </c>
      <c r="D165" s="1072">
        <v>226</v>
      </c>
      <c r="E165" s="1072">
        <f t="shared" si="2"/>
        <v>346</v>
      </c>
    </row>
    <row r="166" spans="1:5">
      <c r="A166" s="1072" t="s">
        <v>1241</v>
      </c>
      <c r="B166" s="1072">
        <v>4073431</v>
      </c>
      <c r="C166" s="1072">
        <v>222</v>
      </c>
      <c r="D166" s="1072">
        <v>182</v>
      </c>
      <c r="E166" s="1072">
        <f t="shared" si="2"/>
        <v>404</v>
      </c>
    </row>
    <row r="167" spans="1:5">
      <c r="A167" s="1072" t="s">
        <v>1241</v>
      </c>
      <c r="B167" s="1072">
        <v>4074343</v>
      </c>
      <c r="C167" s="1072">
        <v>211</v>
      </c>
      <c r="D167" s="1072">
        <v>224</v>
      </c>
      <c r="E167" s="1072">
        <f t="shared" si="2"/>
        <v>435</v>
      </c>
    </row>
    <row r="168" spans="1:5">
      <c r="A168" s="1072" t="s">
        <v>1241</v>
      </c>
      <c r="B168" s="1072">
        <v>4083431</v>
      </c>
      <c r="C168" s="1072">
        <v>361</v>
      </c>
      <c r="D168" s="1072">
        <v>309</v>
      </c>
      <c r="E168" s="1072">
        <f t="shared" si="2"/>
        <v>670</v>
      </c>
    </row>
    <row r="169" spans="1:5">
      <c r="A169" s="1072" t="s">
        <v>1241</v>
      </c>
      <c r="B169" s="1072">
        <v>4084343</v>
      </c>
      <c r="C169" s="1072">
        <v>345</v>
      </c>
      <c r="D169" s="1072">
        <v>182</v>
      </c>
      <c r="E169" s="1072">
        <f t="shared" si="2"/>
        <v>527</v>
      </c>
    </row>
    <row r="170" spans="1:5">
      <c r="A170" s="1072" t="s">
        <v>1241</v>
      </c>
      <c r="B170" s="1072">
        <v>4093431</v>
      </c>
      <c r="C170" s="1072">
        <v>322</v>
      </c>
      <c r="D170" s="1072">
        <v>270</v>
      </c>
      <c r="E170" s="1072">
        <f t="shared" si="2"/>
        <v>592</v>
      </c>
    </row>
    <row r="171" spans="1:5">
      <c r="A171" s="1072" t="s">
        <v>1241</v>
      </c>
      <c r="B171" s="1072">
        <v>4094343</v>
      </c>
      <c r="C171" s="1072">
        <v>389</v>
      </c>
      <c r="D171" s="1072">
        <v>311</v>
      </c>
      <c r="E171" s="1072">
        <f t="shared" si="2"/>
        <v>700</v>
      </c>
    </row>
    <row r="172" spans="1:5">
      <c r="A172" s="1072" t="s">
        <v>1241</v>
      </c>
      <c r="B172" s="1072">
        <v>4103431</v>
      </c>
      <c r="C172" s="1072">
        <v>420</v>
      </c>
      <c r="D172" s="1072">
        <v>240</v>
      </c>
      <c r="E172" s="1072">
        <f t="shared" si="2"/>
        <v>660</v>
      </c>
    </row>
    <row r="173" spans="1:5">
      <c r="A173" s="1072" t="s">
        <v>1241</v>
      </c>
      <c r="B173" s="1072">
        <v>4104343</v>
      </c>
      <c r="C173" s="1072">
        <v>224</v>
      </c>
      <c r="D173" s="1072">
        <v>85</v>
      </c>
      <c r="E173" s="1072">
        <f t="shared" si="2"/>
        <v>309</v>
      </c>
    </row>
    <row r="174" spans="1:5">
      <c r="A174" s="1072" t="s">
        <v>1241</v>
      </c>
      <c r="B174" s="1072">
        <v>4113431</v>
      </c>
      <c r="C174" s="1072">
        <v>604</v>
      </c>
      <c r="D174" s="1072">
        <v>483</v>
      </c>
      <c r="E174" s="1072">
        <f t="shared" si="2"/>
        <v>1087</v>
      </c>
    </row>
    <row r="175" spans="1:5">
      <c r="A175" s="1072" t="s">
        <v>1241</v>
      </c>
      <c r="B175" s="1072">
        <v>4114343</v>
      </c>
      <c r="C175" s="1072">
        <v>570</v>
      </c>
      <c r="D175" s="1072">
        <v>215</v>
      </c>
      <c r="E175" s="1072">
        <f t="shared" si="2"/>
        <v>785</v>
      </c>
    </row>
    <row r="176" spans="1:5">
      <c r="A176" s="1072" t="s">
        <v>1241</v>
      </c>
      <c r="B176" s="1072">
        <v>4123431</v>
      </c>
      <c r="C176" s="1072">
        <v>771</v>
      </c>
      <c r="D176" s="1072">
        <v>720</v>
      </c>
      <c r="E176" s="1072">
        <f t="shared" si="2"/>
        <v>1491</v>
      </c>
    </row>
    <row r="177" spans="1:5">
      <c r="A177" s="1072" t="s">
        <v>1241</v>
      </c>
      <c r="B177" s="1072">
        <v>4124343</v>
      </c>
      <c r="C177" s="1072">
        <v>167</v>
      </c>
      <c r="D177" s="1072">
        <v>99</v>
      </c>
      <c r="E177" s="1072">
        <f t="shared" si="2"/>
        <v>266</v>
      </c>
    </row>
    <row r="178" spans="1:5">
      <c r="A178" s="1072" t="s">
        <v>1241</v>
      </c>
      <c r="B178" s="1072">
        <v>4133431</v>
      </c>
      <c r="C178" s="1072">
        <v>239</v>
      </c>
      <c r="D178" s="1072">
        <v>85</v>
      </c>
      <c r="E178" s="1072">
        <f t="shared" si="2"/>
        <v>324</v>
      </c>
    </row>
    <row r="179" spans="1:5">
      <c r="A179" s="1072" t="s">
        <v>1241</v>
      </c>
      <c r="B179" s="1072">
        <v>4134343</v>
      </c>
      <c r="C179" s="1072">
        <v>275</v>
      </c>
      <c r="D179" s="1072">
        <v>133</v>
      </c>
      <c r="E179" s="1072">
        <f t="shared" si="2"/>
        <v>408</v>
      </c>
    </row>
    <row r="180" spans="1:5">
      <c r="A180" s="1072" t="s">
        <v>1241</v>
      </c>
      <c r="B180" s="1072">
        <v>4143431</v>
      </c>
      <c r="C180" s="1072">
        <v>265</v>
      </c>
      <c r="D180" s="1072">
        <v>202</v>
      </c>
      <c r="E180" s="1072">
        <f t="shared" si="2"/>
        <v>467</v>
      </c>
    </row>
    <row r="181" spans="1:5">
      <c r="A181" s="1072" t="s">
        <v>1241</v>
      </c>
      <c r="B181" s="1072">
        <v>4144343</v>
      </c>
      <c r="C181" s="1072">
        <v>225</v>
      </c>
      <c r="D181" s="1072">
        <v>126</v>
      </c>
      <c r="E181" s="1072">
        <f t="shared" si="2"/>
        <v>351</v>
      </c>
    </row>
    <row r="182" spans="1:5">
      <c r="A182" s="1072" t="s">
        <v>1241</v>
      </c>
      <c r="B182" s="1072">
        <v>4153431</v>
      </c>
      <c r="C182" s="1072">
        <v>204</v>
      </c>
      <c r="D182" s="1072">
        <v>184</v>
      </c>
      <c r="E182" s="1072">
        <f t="shared" si="2"/>
        <v>388</v>
      </c>
    </row>
    <row r="183" spans="1:5">
      <c r="A183" s="1072" t="s">
        <v>1241</v>
      </c>
      <c r="B183" s="1072">
        <v>4154343</v>
      </c>
      <c r="C183" s="1072">
        <v>244</v>
      </c>
      <c r="D183" s="1072">
        <v>76</v>
      </c>
      <c r="E183" s="1072">
        <f t="shared" si="2"/>
        <v>320</v>
      </c>
    </row>
    <row r="184" spans="1:5">
      <c r="A184" s="1072" t="s">
        <v>1241</v>
      </c>
      <c r="B184" s="1072">
        <v>4163431</v>
      </c>
      <c r="C184" s="1072">
        <v>606</v>
      </c>
      <c r="D184" s="1072">
        <v>337</v>
      </c>
      <c r="E184" s="1072">
        <f t="shared" si="2"/>
        <v>943</v>
      </c>
    </row>
    <row r="185" spans="1:5">
      <c r="A185" s="1072" t="s">
        <v>1241</v>
      </c>
      <c r="B185" s="1072">
        <v>4173431</v>
      </c>
      <c r="C185" s="1072">
        <v>706</v>
      </c>
      <c r="D185" s="1072">
        <v>379</v>
      </c>
      <c r="E185" s="1072">
        <f t="shared" si="2"/>
        <v>1085</v>
      </c>
    </row>
    <row r="186" spans="1:5">
      <c r="A186" s="1072" t="s">
        <v>1241</v>
      </c>
      <c r="B186" s="1072">
        <v>4183431</v>
      </c>
      <c r="C186" s="1072">
        <v>539</v>
      </c>
      <c r="D186" s="1072">
        <v>276</v>
      </c>
      <c r="E186" s="1072">
        <f t="shared" si="2"/>
        <v>815</v>
      </c>
    </row>
    <row r="187" spans="1:5">
      <c r="A187" s="1072" t="s">
        <v>1241</v>
      </c>
      <c r="B187" s="1072">
        <v>5003232</v>
      </c>
      <c r="C187" s="1072">
        <v>407</v>
      </c>
      <c r="D187" s="1072">
        <v>195</v>
      </c>
      <c r="E187" s="1072">
        <f t="shared" si="2"/>
        <v>602</v>
      </c>
    </row>
    <row r="188" spans="1:5">
      <c r="A188" s="1072" t="s">
        <v>1241</v>
      </c>
      <c r="B188" s="1072">
        <v>5013128</v>
      </c>
      <c r="C188" s="1072">
        <v>380</v>
      </c>
      <c r="D188" s="1072">
        <v>159</v>
      </c>
      <c r="E188" s="1072">
        <f t="shared" si="2"/>
        <v>539</v>
      </c>
    </row>
    <row r="189" spans="1:5">
      <c r="A189" s="1072" t="s">
        <v>1241</v>
      </c>
      <c r="B189" s="1072">
        <v>5014544</v>
      </c>
      <c r="C189" s="1072">
        <v>329</v>
      </c>
      <c r="D189" s="1072">
        <v>228</v>
      </c>
      <c r="E189" s="1072">
        <f t="shared" si="2"/>
        <v>557</v>
      </c>
    </row>
    <row r="190" spans="1:5">
      <c r="A190" s="1072" t="s">
        <v>1241</v>
      </c>
      <c r="B190" s="1072">
        <v>5024544</v>
      </c>
      <c r="C190" s="1072">
        <v>392</v>
      </c>
      <c r="D190" s="1072">
        <v>223</v>
      </c>
      <c r="E190" s="1072">
        <f t="shared" si="2"/>
        <v>615</v>
      </c>
    </row>
    <row r="191" spans="1:5">
      <c r="A191" s="1072" t="s">
        <v>1241</v>
      </c>
      <c r="B191" s="1072">
        <v>5033128</v>
      </c>
      <c r="C191" s="1072">
        <v>213</v>
      </c>
      <c r="D191" s="1072">
        <v>189</v>
      </c>
      <c r="E191" s="1072">
        <f t="shared" si="2"/>
        <v>402</v>
      </c>
    </row>
    <row r="192" spans="1:5">
      <c r="A192" s="1072" t="s">
        <v>1241</v>
      </c>
      <c r="B192" s="1072">
        <v>5034544</v>
      </c>
      <c r="C192" s="1072">
        <v>331</v>
      </c>
      <c r="D192" s="1072">
        <v>299</v>
      </c>
      <c r="E192" s="1072">
        <f t="shared" si="2"/>
        <v>630</v>
      </c>
    </row>
    <row r="193" spans="1:5">
      <c r="A193" s="1072" t="s">
        <v>1241</v>
      </c>
      <c r="B193" s="1072">
        <v>5043128</v>
      </c>
      <c r="C193" s="1072">
        <v>200</v>
      </c>
      <c r="D193" s="1072">
        <v>60</v>
      </c>
      <c r="E193" s="1072">
        <f t="shared" si="2"/>
        <v>260</v>
      </c>
    </row>
    <row r="194" spans="1:5">
      <c r="A194" s="1072" t="s">
        <v>1241</v>
      </c>
      <c r="B194" s="1072">
        <v>5044544</v>
      </c>
      <c r="C194" s="1072">
        <v>370</v>
      </c>
      <c r="D194" s="1072">
        <v>342</v>
      </c>
      <c r="E194" s="1072">
        <f t="shared" ref="E194:E257" si="3">C194+D194</f>
        <v>712</v>
      </c>
    </row>
    <row r="195" spans="1:5">
      <c r="A195" s="1072" t="s">
        <v>1241</v>
      </c>
      <c r="B195" s="1072">
        <v>5054544</v>
      </c>
      <c r="C195" s="1072">
        <v>487</v>
      </c>
      <c r="D195" s="1072">
        <v>252</v>
      </c>
      <c r="E195" s="1072">
        <f t="shared" si="3"/>
        <v>739</v>
      </c>
    </row>
    <row r="196" spans="1:5">
      <c r="A196" s="1072" t="s">
        <v>1241</v>
      </c>
      <c r="B196" s="1072">
        <v>5063128</v>
      </c>
      <c r="C196" s="1072">
        <v>239</v>
      </c>
      <c r="D196" s="1072">
        <v>67</v>
      </c>
      <c r="E196" s="1072">
        <f t="shared" si="3"/>
        <v>306</v>
      </c>
    </row>
    <row r="197" spans="1:5">
      <c r="A197" s="1072" t="s">
        <v>1241</v>
      </c>
      <c r="B197" s="1072">
        <v>5064544</v>
      </c>
      <c r="C197" s="1072">
        <v>646</v>
      </c>
      <c r="D197" s="1072">
        <v>540</v>
      </c>
      <c r="E197" s="1072">
        <f t="shared" si="3"/>
        <v>1186</v>
      </c>
    </row>
    <row r="198" spans="1:5">
      <c r="A198" s="1072" t="s">
        <v>1241</v>
      </c>
      <c r="B198" s="1072">
        <v>5073128</v>
      </c>
      <c r="C198" s="1072">
        <v>178</v>
      </c>
      <c r="D198" s="1072">
        <v>6</v>
      </c>
      <c r="E198" s="1072">
        <f t="shared" si="3"/>
        <v>184</v>
      </c>
    </row>
    <row r="199" spans="1:5">
      <c r="A199" s="1072" t="s">
        <v>1241</v>
      </c>
      <c r="B199" s="1072">
        <v>5074544</v>
      </c>
      <c r="C199" s="1072">
        <v>292</v>
      </c>
      <c r="D199" s="1072">
        <v>265</v>
      </c>
      <c r="E199" s="1072">
        <f t="shared" si="3"/>
        <v>557</v>
      </c>
    </row>
    <row r="200" spans="1:5">
      <c r="A200" s="1072" t="s">
        <v>1241</v>
      </c>
      <c r="B200" s="1072">
        <v>5084544</v>
      </c>
      <c r="C200" s="1072">
        <v>338</v>
      </c>
      <c r="D200" s="1072">
        <v>310</v>
      </c>
      <c r="E200" s="1072">
        <f t="shared" si="3"/>
        <v>648</v>
      </c>
    </row>
    <row r="201" spans="1:5">
      <c r="A201" s="1072" t="s">
        <v>1241</v>
      </c>
      <c r="B201" s="1072">
        <v>5094544</v>
      </c>
      <c r="C201" s="1072">
        <v>619</v>
      </c>
      <c r="D201" s="1072">
        <v>544</v>
      </c>
      <c r="E201" s="1072">
        <f t="shared" si="3"/>
        <v>1163</v>
      </c>
    </row>
    <row r="202" spans="1:5">
      <c r="A202" s="1072" t="s">
        <v>1241</v>
      </c>
      <c r="B202" s="1072">
        <v>5104544</v>
      </c>
      <c r="C202" s="1072">
        <v>253</v>
      </c>
      <c r="D202" s="1072">
        <v>217</v>
      </c>
      <c r="E202" s="1072">
        <f t="shared" si="3"/>
        <v>470</v>
      </c>
    </row>
    <row r="203" spans="1:5">
      <c r="A203" s="1072" t="s">
        <v>1241</v>
      </c>
      <c r="B203" s="1072">
        <v>5114544</v>
      </c>
      <c r="C203" s="1072">
        <v>314</v>
      </c>
      <c r="D203" s="1072">
        <v>220</v>
      </c>
      <c r="E203" s="1072">
        <f t="shared" si="3"/>
        <v>534</v>
      </c>
    </row>
    <row r="204" spans="1:5">
      <c r="A204" s="1072" t="s">
        <v>1241</v>
      </c>
      <c r="B204" s="1072">
        <v>5124544</v>
      </c>
      <c r="C204" s="1072">
        <v>352</v>
      </c>
      <c r="D204" s="1072">
        <v>307</v>
      </c>
      <c r="E204" s="1072">
        <f t="shared" si="3"/>
        <v>659</v>
      </c>
    </row>
    <row r="205" spans="1:5">
      <c r="A205" s="1072" t="s">
        <v>1241</v>
      </c>
      <c r="B205" s="1072">
        <v>5134544</v>
      </c>
      <c r="C205" s="1072">
        <v>272</v>
      </c>
      <c r="D205" s="1072">
        <v>221</v>
      </c>
      <c r="E205" s="1072">
        <f t="shared" si="3"/>
        <v>493</v>
      </c>
    </row>
    <row r="206" spans="1:5">
      <c r="A206" s="1072" t="s">
        <v>1241</v>
      </c>
      <c r="B206" s="1072">
        <v>5144544</v>
      </c>
      <c r="C206" s="1072">
        <v>224</v>
      </c>
      <c r="D206" s="1072">
        <v>177</v>
      </c>
      <c r="E206" s="1072">
        <f t="shared" si="3"/>
        <v>401</v>
      </c>
    </row>
    <row r="207" spans="1:5">
      <c r="A207" s="1072" t="s">
        <v>1241</v>
      </c>
      <c r="B207" s="1072">
        <v>5164544</v>
      </c>
      <c r="C207" s="1072">
        <v>609</v>
      </c>
      <c r="D207" s="1072">
        <v>560</v>
      </c>
      <c r="E207" s="1072">
        <f t="shared" si="3"/>
        <v>1169</v>
      </c>
    </row>
    <row r="208" spans="1:5">
      <c r="A208" s="1072" t="s">
        <v>1241</v>
      </c>
      <c r="B208" s="1072">
        <v>5174544</v>
      </c>
      <c r="C208" s="1072">
        <v>695</v>
      </c>
      <c r="D208" s="1072">
        <v>208</v>
      </c>
      <c r="E208" s="1072">
        <f t="shared" si="3"/>
        <v>903</v>
      </c>
    </row>
    <row r="209" spans="1:5">
      <c r="A209" s="1072" t="s">
        <v>1241</v>
      </c>
      <c r="B209" s="1072">
        <v>5184544</v>
      </c>
      <c r="C209" s="1072">
        <v>600</v>
      </c>
      <c r="D209" s="1072">
        <v>315</v>
      </c>
      <c r="E209" s="1072">
        <f t="shared" si="3"/>
        <v>915</v>
      </c>
    </row>
    <row r="210" spans="1:5">
      <c r="A210" s="1072" t="s">
        <v>1241</v>
      </c>
      <c r="B210" s="1072">
        <v>5194544</v>
      </c>
      <c r="C210" s="1072">
        <v>385</v>
      </c>
      <c r="D210" s="1072">
        <v>312</v>
      </c>
      <c r="E210" s="1072">
        <f t="shared" si="3"/>
        <v>697</v>
      </c>
    </row>
    <row r="211" spans="1:5">
      <c r="A211" s="1072" t="s">
        <v>1241</v>
      </c>
      <c r="B211" s="1072">
        <v>5204544</v>
      </c>
      <c r="C211" s="1072">
        <v>580</v>
      </c>
      <c r="D211" s="1072">
        <v>296</v>
      </c>
      <c r="E211" s="1072">
        <f t="shared" si="3"/>
        <v>876</v>
      </c>
    </row>
    <row r="212" spans="1:5">
      <c r="A212" s="1072" t="s">
        <v>1241</v>
      </c>
      <c r="B212" s="1072">
        <v>5214544</v>
      </c>
      <c r="C212" s="1072">
        <v>819</v>
      </c>
      <c r="D212" s="1072">
        <v>458</v>
      </c>
      <c r="E212" s="1072">
        <f t="shared" si="3"/>
        <v>1277</v>
      </c>
    </row>
    <row r="213" spans="1:5">
      <c r="A213" s="1072" t="s">
        <v>1241</v>
      </c>
      <c r="B213" s="1072">
        <v>5224544</v>
      </c>
      <c r="C213" s="1072">
        <v>1506</v>
      </c>
      <c r="D213" s="1072">
        <v>1104</v>
      </c>
      <c r="E213" s="1072">
        <f t="shared" si="3"/>
        <v>2610</v>
      </c>
    </row>
    <row r="214" spans="1:5">
      <c r="A214" s="1072" t="s">
        <v>1241</v>
      </c>
      <c r="B214" s="1072">
        <v>5234544</v>
      </c>
      <c r="C214" s="1072">
        <v>366</v>
      </c>
      <c r="D214" s="1072">
        <v>343</v>
      </c>
      <c r="E214" s="1072">
        <f t="shared" si="3"/>
        <v>709</v>
      </c>
    </row>
    <row r="215" spans="1:5">
      <c r="A215" s="1072" t="s">
        <v>1241</v>
      </c>
      <c r="B215" s="1072">
        <v>5244544</v>
      </c>
      <c r="C215" s="1072">
        <v>450</v>
      </c>
      <c r="D215" s="1072">
        <v>437</v>
      </c>
      <c r="E215" s="1072">
        <f t="shared" si="3"/>
        <v>887</v>
      </c>
    </row>
    <row r="216" spans="1:5">
      <c r="A216" s="1072" t="s">
        <v>1241</v>
      </c>
      <c r="B216" s="1072">
        <v>5254544</v>
      </c>
      <c r="C216" s="1072">
        <v>427</v>
      </c>
      <c r="D216" s="1072">
        <v>422</v>
      </c>
      <c r="E216" s="1072">
        <f t="shared" si="3"/>
        <v>849</v>
      </c>
    </row>
    <row r="217" spans="1:5">
      <c r="A217" s="1072" t="s">
        <v>1241</v>
      </c>
      <c r="B217" s="1072">
        <v>5264544</v>
      </c>
      <c r="C217" s="1072">
        <v>471</v>
      </c>
      <c r="D217" s="1072">
        <v>462</v>
      </c>
      <c r="E217" s="1072">
        <f t="shared" si="3"/>
        <v>933</v>
      </c>
    </row>
    <row r="218" spans="1:5">
      <c r="A218" s="1072" t="s">
        <v>1241</v>
      </c>
      <c r="B218" s="1072">
        <v>5274544</v>
      </c>
      <c r="C218" s="1072">
        <v>746</v>
      </c>
      <c r="D218" s="1072">
        <v>220</v>
      </c>
      <c r="E218" s="1072">
        <f t="shared" si="3"/>
        <v>966</v>
      </c>
    </row>
    <row r="219" spans="1:5">
      <c r="A219" s="1072" t="s">
        <v>1241</v>
      </c>
      <c r="B219" s="1072">
        <v>5284544</v>
      </c>
      <c r="C219" s="1072">
        <v>379</v>
      </c>
      <c r="D219" s="1072">
        <v>372</v>
      </c>
      <c r="E219" s="1072">
        <f t="shared" si="3"/>
        <v>751</v>
      </c>
    </row>
    <row r="220" spans="1:5">
      <c r="A220" s="1072" t="s">
        <v>1241</v>
      </c>
      <c r="B220" s="1072">
        <v>5294544</v>
      </c>
      <c r="C220" s="1072">
        <v>537</v>
      </c>
      <c r="D220" s="1072">
        <v>447</v>
      </c>
      <c r="E220" s="1072">
        <f t="shared" si="3"/>
        <v>984</v>
      </c>
    </row>
    <row r="221" spans="1:5">
      <c r="A221" s="1072" t="s">
        <v>1241</v>
      </c>
      <c r="B221" s="1072">
        <v>5304544</v>
      </c>
      <c r="C221" s="1072">
        <v>452</v>
      </c>
      <c r="D221" s="1072">
        <v>442</v>
      </c>
      <c r="E221" s="1072">
        <f t="shared" si="3"/>
        <v>894</v>
      </c>
    </row>
    <row r="222" spans="1:5">
      <c r="A222" s="1072" t="s">
        <v>1241</v>
      </c>
      <c r="B222" s="1072">
        <v>5314544</v>
      </c>
      <c r="C222" s="1072">
        <v>273</v>
      </c>
      <c r="D222" s="1072">
        <v>265</v>
      </c>
      <c r="E222" s="1072">
        <f t="shared" si="3"/>
        <v>538</v>
      </c>
    </row>
    <row r="223" spans="1:5">
      <c r="A223" s="1072" t="s">
        <v>1241</v>
      </c>
      <c r="B223" s="1072">
        <v>5324544</v>
      </c>
      <c r="C223" s="1072">
        <v>198</v>
      </c>
      <c r="D223" s="1072">
        <v>182</v>
      </c>
      <c r="E223" s="1072">
        <f t="shared" si="3"/>
        <v>380</v>
      </c>
    </row>
    <row r="224" spans="1:5">
      <c r="A224" s="1072" t="s">
        <v>1241</v>
      </c>
      <c r="B224" s="1072">
        <v>5334544</v>
      </c>
      <c r="C224" s="1072">
        <v>1290</v>
      </c>
      <c r="D224" s="1072">
        <v>1214</v>
      </c>
      <c r="E224" s="1072">
        <f t="shared" si="3"/>
        <v>2504</v>
      </c>
    </row>
    <row r="225" spans="1:5">
      <c r="A225" s="1072" t="s">
        <v>1241</v>
      </c>
      <c r="B225" s="1072">
        <v>5344544</v>
      </c>
      <c r="C225" s="1072">
        <v>416</v>
      </c>
      <c r="D225" s="1072">
        <v>368</v>
      </c>
      <c r="E225" s="1072">
        <f t="shared" si="3"/>
        <v>784</v>
      </c>
    </row>
    <row r="226" spans="1:5">
      <c r="A226" s="1072" t="s">
        <v>1241</v>
      </c>
      <c r="B226" s="1072">
        <v>5354544</v>
      </c>
      <c r="C226" s="1072">
        <v>193</v>
      </c>
      <c r="D226" s="1072">
        <v>155</v>
      </c>
      <c r="E226" s="1072">
        <f t="shared" si="3"/>
        <v>348</v>
      </c>
    </row>
    <row r="227" spans="1:5">
      <c r="A227" s="1072" t="s">
        <v>1241</v>
      </c>
      <c r="B227" s="1072">
        <v>5364544</v>
      </c>
      <c r="C227" s="1072">
        <v>524</v>
      </c>
      <c r="D227" s="1072">
        <v>463</v>
      </c>
      <c r="E227" s="1072">
        <f t="shared" si="3"/>
        <v>987</v>
      </c>
    </row>
    <row r="228" spans="1:5">
      <c r="A228" s="1072" t="s">
        <v>1241</v>
      </c>
      <c r="B228" s="1072">
        <v>5374544</v>
      </c>
      <c r="C228" s="1072">
        <v>422</v>
      </c>
      <c r="D228" s="1072">
        <v>393</v>
      </c>
      <c r="E228" s="1072">
        <f t="shared" si="3"/>
        <v>815</v>
      </c>
    </row>
    <row r="229" spans="1:5">
      <c r="A229" s="1072" t="s">
        <v>1241</v>
      </c>
      <c r="B229" s="1072">
        <v>5384544</v>
      </c>
      <c r="C229" s="1072">
        <v>331</v>
      </c>
      <c r="D229" s="1072">
        <v>305</v>
      </c>
      <c r="E229" s="1072">
        <f t="shared" si="3"/>
        <v>636</v>
      </c>
    </row>
    <row r="230" spans="1:5">
      <c r="A230" s="1072" t="s">
        <v>1241</v>
      </c>
      <c r="B230" s="1072">
        <v>5394544</v>
      </c>
      <c r="C230" s="1072">
        <v>1359</v>
      </c>
      <c r="D230" s="1072">
        <v>1272</v>
      </c>
      <c r="E230" s="1072">
        <f t="shared" si="3"/>
        <v>2631</v>
      </c>
    </row>
    <row r="231" spans="1:5">
      <c r="A231" s="1072" t="s">
        <v>1241</v>
      </c>
      <c r="B231" s="1072">
        <v>5404544</v>
      </c>
      <c r="C231" s="1072">
        <v>534</v>
      </c>
      <c r="D231" s="1072">
        <v>459</v>
      </c>
      <c r="E231" s="1072">
        <f t="shared" si="3"/>
        <v>993</v>
      </c>
    </row>
    <row r="232" spans="1:5">
      <c r="A232" s="1072" t="s">
        <v>1241</v>
      </c>
      <c r="B232" s="1072">
        <v>5414544</v>
      </c>
      <c r="C232" s="1072">
        <v>782</v>
      </c>
      <c r="D232" s="1072">
        <v>741</v>
      </c>
      <c r="E232" s="1072">
        <f t="shared" si="3"/>
        <v>1523</v>
      </c>
    </row>
    <row r="233" spans="1:5">
      <c r="A233" s="1072" t="s">
        <v>1241</v>
      </c>
      <c r="B233" s="1072">
        <v>5424544</v>
      </c>
      <c r="C233" s="1072">
        <v>374</v>
      </c>
      <c r="D233" s="1072">
        <v>292</v>
      </c>
      <c r="E233" s="1072">
        <f t="shared" si="3"/>
        <v>666</v>
      </c>
    </row>
    <row r="234" spans="1:5">
      <c r="A234" s="1072" t="s">
        <v>1241</v>
      </c>
      <c r="B234" s="1072">
        <v>6003129</v>
      </c>
      <c r="C234" s="1072">
        <v>270</v>
      </c>
      <c r="D234" s="1072">
        <v>14</v>
      </c>
      <c r="E234" s="1072">
        <f t="shared" si="3"/>
        <v>284</v>
      </c>
    </row>
    <row r="235" spans="1:5">
      <c r="A235" s="1072" t="s">
        <v>1241</v>
      </c>
      <c r="B235" s="1072">
        <v>6003232</v>
      </c>
      <c r="C235" s="1072">
        <v>512</v>
      </c>
      <c r="D235" s="1072">
        <v>231</v>
      </c>
      <c r="E235" s="1072">
        <f t="shared" si="3"/>
        <v>743</v>
      </c>
    </row>
    <row r="236" spans="1:5">
      <c r="A236" s="1072" t="s">
        <v>1241</v>
      </c>
      <c r="B236" s="1072">
        <v>6013232</v>
      </c>
      <c r="C236" s="1072">
        <v>483</v>
      </c>
      <c r="D236" s="1072">
        <v>31</v>
      </c>
      <c r="E236" s="1072">
        <f t="shared" si="3"/>
        <v>514</v>
      </c>
    </row>
    <row r="237" spans="1:5">
      <c r="A237" s="1072" t="s">
        <v>1241</v>
      </c>
      <c r="B237" s="1072">
        <v>6014544</v>
      </c>
      <c r="C237" s="1072">
        <v>491</v>
      </c>
      <c r="D237" s="1072">
        <v>421</v>
      </c>
      <c r="E237" s="1072">
        <f t="shared" si="3"/>
        <v>912</v>
      </c>
    </row>
    <row r="238" spans="1:5">
      <c r="A238" s="1072" t="s">
        <v>1241</v>
      </c>
      <c r="B238" s="1072">
        <v>6023232</v>
      </c>
      <c r="C238" s="1072">
        <v>319</v>
      </c>
      <c r="D238" s="1072">
        <v>143</v>
      </c>
      <c r="E238" s="1072">
        <f t="shared" si="3"/>
        <v>462</v>
      </c>
    </row>
    <row r="239" spans="1:5">
      <c r="A239" s="1072" t="s">
        <v>1241</v>
      </c>
      <c r="B239" s="1072">
        <v>6024544</v>
      </c>
      <c r="C239" s="1072">
        <v>286</v>
      </c>
      <c r="D239" s="1072">
        <v>235</v>
      </c>
      <c r="E239" s="1072">
        <f t="shared" si="3"/>
        <v>521</v>
      </c>
    </row>
    <row r="240" spans="1:5">
      <c r="A240" s="1072" t="s">
        <v>1241</v>
      </c>
      <c r="B240" s="1072">
        <v>6033232</v>
      </c>
      <c r="C240" s="1072">
        <v>535</v>
      </c>
      <c r="D240" s="1072">
        <v>252</v>
      </c>
      <c r="E240" s="1072">
        <f t="shared" si="3"/>
        <v>787</v>
      </c>
    </row>
    <row r="241" spans="1:5">
      <c r="A241" s="1072" t="s">
        <v>1241</v>
      </c>
      <c r="B241" s="1072">
        <v>6034544</v>
      </c>
      <c r="C241" s="1072">
        <v>690</v>
      </c>
      <c r="D241" s="1072">
        <v>674</v>
      </c>
      <c r="E241" s="1072">
        <f t="shared" si="3"/>
        <v>1364</v>
      </c>
    </row>
    <row r="242" spans="1:5">
      <c r="A242" s="1072" t="s">
        <v>1241</v>
      </c>
      <c r="B242" s="1072">
        <v>6043232</v>
      </c>
      <c r="C242" s="1072">
        <v>276</v>
      </c>
      <c r="D242" s="1072">
        <v>273</v>
      </c>
      <c r="E242" s="1072">
        <f t="shared" si="3"/>
        <v>549</v>
      </c>
    </row>
    <row r="243" spans="1:5">
      <c r="A243" s="1072" t="s">
        <v>1241</v>
      </c>
      <c r="B243" s="1072">
        <v>6044544</v>
      </c>
      <c r="C243" s="1072">
        <v>284</v>
      </c>
      <c r="D243" s="1072">
        <v>278</v>
      </c>
      <c r="E243" s="1072">
        <f t="shared" si="3"/>
        <v>562</v>
      </c>
    </row>
    <row r="244" spans="1:5">
      <c r="A244" s="1072" t="s">
        <v>1241</v>
      </c>
      <c r="B244" s="1072">
        <v>6053232</v>
      </c>
      <c r="C244" s="1072">
        <v>420</v>
      </c>
      <c r="D244" s="1072">
        <v>148</v>
      </c>
      <c r="E244" s="1072">
        <f t="shared" si="3"/>
        <v>568</v>
      </c>
    </row>
    <row r="245" spans="1:5">
      <c r="A245" s="1072" t="s">
        <v>1241</v>
      </c>
      <c r="B245" s="1072">
        <v>6054544</v>
      </c>
      <c r="C245" s="1072">
        <v>301</v>
      </c>
      <c r="D245" s="1072">
        <v>284</v>
      </c>
      <c r="E245" s="1072">
        <f t="shared" si="3"/>
        <v>585</v>
      </c>
    </row>
    <row r="246" spans="1:5">
      <c r="A246" s="1072" t="s">
        <v>1241</v>
      </c>
      <c r="B246" s="1072">
        <v>6064544</v>
      </c>
      <c r="C246" s="1072">
        <v>264</v>
      </c>
      <c r="D246" s="1072">
        <v>260</v>
      </c>
      <c r="E246" s="1072">
        <f t="shared" si="3"/>
        <v>524</v>
      </c>
    </row>
    <row r="247" spans="1:5">
      <c r="A247" s="1072" t="s">
        <v>1241</v>
      </c>
      <c r="B247" s="1072">
        <v>6074544</v>
      </c>
      <c r="C247" s="1072">
        <v>239</v>
      </c>
      <c r="D247" s="1072">
        <v>235</v>
      </c>
      <c r="E247" s="1072">
        <f t="shared" si="3"/>
        <v>474</v>
      </c>
    </row>
    <row r="248" spans="1:5">
      <c r="A248" s="1072" t="s">
        <v>1241</v>
      </c>
      <c r="B248" s="1072">
        <v>6084544</v>
      </c>
      <c r="C248" s="1072">
        <v>259</v>
      </c>
      <c r="D248" s="1072">
        <v>258</v>
      </c>
      <c r="E248" s="1072">
        <f t="shared" si="3"/>
        <v>517</v>
      </c>
    </row>
    <row r="249" spans="1:5">
      <c r="A249" s="1072" t="s">
        <v>1241</v>
      </c>
      <c r="B249" s="1072">
        <v>6094544</v>
      </c>
      <c r="C249" s="1072">
        <v>292</v>
      </c>
      <c r="D249" s="1072">
        <v>270</v>
      </c>
      <c r="E249" s="1072">
        <f t="shared" si="3"/>
        <v>562</v>
      </c>
    </row>
    <row r="250" spans="1:5">
      <c r="A250" s="1072" t="s">
        <v>1241</v>
      </c>
      <c r="B250" s="1072">
        <v>6104544</v>
      </c>
      <c r="C250" s="1072">
        <v>377</v>
      </c>
      <c r="D250" s="1072">
        <v>376</v>
      </c>
      <c r="E250" s="1072">
        <f t="shared" si="3"/>
        <v>753</v>
      </c>
    </row>
    <row r="251" spans="1:5">
      <c r="A251" s="1072" t="s">
        <v>1241</v>
      </c>
      <c r="B251" s="1072">
        <v>6114544</v>
      </c>
      <c r="C251" s="1072">
        <v>311</v>
      </c>
      <c r="D251" s="1072">
        <v>304</v>
      </c>
      <c r="E251" s="1072">
        <f t="shared" si="3"/>
        <v>615</v>
      </c>
    </row>
    <row r="252" spans="1:5">
      <c r="A252" s="1072" t="s">
        <v>1241</v>
      </c>
      <c r="B252" s="1072">
        <v>6124544</v>
      </c>
      <c r="C252" s="1072">
        <v>339</v>
      </c>
      <c r="D252" s="1072">
        <v>323</v>
      </c>
      <c r="E252" s="1072">
        <f t="shared" si="3"/>
        <v>662</v>
      </c>
    </row>
    <row r="253" spans="1:5">
      <c r="A253" s="1072" t="s">
        <v>1241</v>
      </c>
      <c r="B253" s="1072">
        <v>6134545</v>
      </c>
      <c r="C253" s="1072">
        <v>211</v>
      </c>
      <c r="D253" s="1072">
        <v>88</v>
      </c>
      <c r="E253" s="1072">
        <f t="shared" si="3"/>
        <v>299</v>
      </c>
    </row>
    <row r="254" spans="1:5">
      <c r="A254" s="1072" t="s">
        <v>1241</v>
      </c>
      <c r="B254" s="1072">
        <v>6144545</v>
      </c>
      <c r="C254" s="1072">
        <v>275</v>
      </c>
      <c r="D254" s="1072">
        <v>121</v>
      </c>
      <c r="E254" s="1072">
        <f t="shared" si="3"/>
        <v>396</v>
      </c>
    </row>
    <row r="255" spans="1:5">
      <c r="A255" s="1072" t="s">
        <v>1241</v>
      </c>
      <c r="B255" s="1072">
        <v>6154545</v>
      </c>
      <c r="C255" s="1072">
        <v>183</v>
      </c>
      <c r="D255" s="1072">
        <v>224</v>
      </c>
      <c r="E255" s="1072">
        <f t="shared" si="3"/>
        <v>407</v>
      </c>
    </row>
    <row r="256" spans="1:5">
      <c r="A256" s="1072" t="s">
        <v>1241</v>
      </c>
      <c r="B256" s="1072">
        <v>6164545</v>
      </c>
      <c r="C256" s="1072">
        <v>17</v>
      </c>
      <c r="D256" s="1072">
        <v>407</v>
      </c>
      <c r="E256" s="1072">
        <f t="shared" si="3"/>
        <v>424</v>
      </c>
    </row>
    <row r="257" spans="1:5">
      <c r="A257" s="1072" t="s">
        <v>1241</v>
      </c>
      <c r="B257" s="1072">
        <v>6174545</v>
      </c>
      <c r="C257" s="1072">
        <v>59</v>
      </c>
      <c r="D257" s="1072">
        <v>470</v>
      </c>
      <c r="E257" s="1072">
        <f t="shared" si="3"/>
        <v>529</v>
      </c>
    </row>
    <row r="258" spans="1:5">
      <c r="A258" s="1072" t="s">
        <v>1241</v>
      </c>
      <c r="B258" s="1072">
        <v>6184545</v>
      </c>
      <c r="C258" s="1072">
        <v>241</v>
      </c>
      <c r="D258" s="1072">
        <v>219</v>
      </c>
      <c r="E258" s="1072">
        <f t="shared" ref="E258:E321" si="4">C258+D258</f>
        <v>460</v>
      </c>
    </row>
    <row r="259" spans="1:5">
      <c r="A259" s="1072" t="s">
        <v>1241</v>
      </c>
      <c r="B259" s="1072">
        <v>6194545</v>
      </c>
      <c r="C259" s="1072">
        <v>207</v>
      </c>
      <c r="D259" s="1072">
        <v>173</v>
      </c>
      <c r="E259" s="1072">
        <f t="shared" si="4"/>
        <v>380</v>
      </c>
    </row>
    <row r="260" spans="1:5">
      <c r="A260" s="1072" t="s">
        <v>1241</v>
      </c>
      <c r="B260" s="1072">
        <v>6204545</v>
      </c>
      <c r="C260" s="1072">
        <v>226</v>
      </c>
      <c r="D260" s="1072">
        <v>207</v>
      </c>
      <c r="E260" s="1072">
        <f t="shared" si="4"/>
        <v>433</v>
      </c>
    </row>
    <row r="261" spans="1:5">
      <c r="A261" s="1072" t="s">
        <v>1241</v>
      </c>
      <c r="B261" s="1072">
        <v>6214545</v>
      </c>
      <c r="C261" s="1072">
        <v>226</v>
      </c>
      <c r="D261" s="1072">
        <v>109</v>
      </c>
      <c r="E261" s="1072">
        <f t="shared" si="4"/>
        <v>335</v>
      </c>
    </row>
    <row r="262" spans="1:5">
      <c r="A262" s="1072" t="s">
        <v>1241</v>
      </c>
      <c r="B262" s="1072">
        <v>6224545</v>
      </c>
      <c r="C262" s="1072">
        <v>195</v>
      </c>
      <c r="D262" s="1072">
        <v>127</v>
      </c>
      <c r="E262" s="1072">
        <f t="shared" si="4"/>
        <v>322</v>
      </c>
    </row>
    <row r="263" spans="1:5">
      <c r="A263" s="1072" t="s">
        <v>1241</v>
      </c>
      <c r="B263" s="1072">
        <v>6234545</v>
      </c>
      <c r="C263" s="1072">
        <v>1708</v>
      </c>
      <c r="D263" s="1072">
        <v>456</v>
      </c>
      <c r="E263" s="1072">
        <f t="shared" si="4"/>
        <v>2164</v>
      </c>
    </row>
    <row r="264" spans="1:5">
      <c r="A264" s="1072" t="s">
        <v>1241</v>
      </c>
      <c r="B264" s="1072">
        <v>6244545</v>
      </c>
      <c r="C264" s="1072">
        <v>306</v>
      </c>
      <c r="D264" s="1072">
        <v>188</v>
      </c>
      <c r="E264" s="1072">
        <f t="shared" si="4"/>
        <v>494</v>
      </c>
    </row>
    <row r="265" spans="1:5">
      <c r="A265" s="1072" t="s">
        <v>1241</v>
      </c>
      <c r="B265" s="1072">
        <v>6253129</v>
      </c>
      <c r="C265" s="1072">
        <v>229</v>
      </c>
      <c r="D265" s="1072">
        <v>1</v>
      </c>
      <c r="E265" s="1072">
        <f t="shared" si="4"/>
        <v>230</v>
      </c>
    </row>
    <row r="266" spans="1:5">
      <c r="A266" s="1072" t="s">
        <v>1241</v>
      </c>
      <c r="B266" s="1072">
        <v>6254545</v>
      </c>
      <c r="C266" s="1072">
        <v>389</v>
      </c>
      <c r="D266" s="1072">
        <v>234</v>
      </c>
      <c r="E266" s="1072">
        <f t="shared" si="4"/>
        <v>623</v>
      </c>
    </row>
    <row r="267" spans="1:5">
      <c r="A267" s="1072" t="s">
        <v>1241</v>
      </c>
      <c r="B267" s="1072">
        <v>6264545</v>
      </c>
      <c r="C267" s="1072">
        <v>251</v>
      </c>
      <c r="D267" s="1072">
        <v>198</v>
      </c>
      <c r="E267" s="1072">
        <f t="shared" si="4"/>
        <v>449</v>
      </c>
    </row>
    <row r="268" spans="1:5">
      <c r="A268" s="1072" t="s">
        <v>1241</v>
      </c>
      <c r="B268" s="1072">
        <v>6274545</v>
      </c>
      <c r="C268" s="1072">
        <v>237</v>
      </c>
      <c r="D268" s="1072">
        <v>200</v>
      </c>
      <c r="E268" s="1072">
        <f t="shared" si="4"/>
        <v>437</v>
      </c>
    </row>
    <row r="269" spans="1:5">
      <c r="A269" s="1072" t="s">
        <v>1241</v>
      </c>
      <c r="B269" s="1072">
        <v>6284545</v>
      </c>
      <c r="C269" s="1072">
        <v>314</v>
      </c>
      <c r="D269" s="1072">
        <v>268</v>
      </c>
      <c r="E269" s="1072">
        <f t="shared" si="4"/>
        <v>582</v>
      </c>
    </row>
    <row r="270" spans="1:5">
      <c r="A270" s="1072" t="s">
        <v>1241</v>
      </c>
      <c r="B270" s="1072">
        <v>6294545</v>
      </c>
      <c r="C270" s="1072">
        <v>375</v>
      </c>
      <c r="D270" s="1072">
        <v>292</v>
      </c>
      <c r="E270" s="1072">
        <f t="shared" si="4"/>
        <v>667</v>
      </c>
    </row>
    <row r="271" spans="1:5">
      <c r="A271" s="1072" t="s">
        <v>1241</v>
      </c>
      <c r="B271" s="1072">
        <v>7003232</v>
      </c>
      <c r="C271" s="1072">
        <v>282</v>
      </c>
      <c r="D271" s="1072">
        <v>195</v>
      </c>
      <c r="E271" s="1072">
        <f t="shared" si="4"/>
        <v>477</v>
      </c>
    </row>
    <row r="272" spans="1:5">
      <c r="A272" s="1072" t="s">
        <v>1241</v>
      </c>
      <c r="B272" s="1072">
        <v>7013232</v>
      </c>
      <c r="C272" s="1072">
        <v>393</v>
      </c>
      <c r="D272" s="1072">
        <v>248</v>
      </c>
      <c r="E272" s="1072">
        <f t="shared" si="4"/>
        <v>641</v>
      </c>
    </row>
    <row r="273" spans="1:5">
      <c r="A273" s="1072" t="s">
        <v>1241</v>
      </c>
      <c r="B273" s="1072">
        <v>7014539</v>
      </c>
      <c r="C273" s="1072">
        <v>80</v>
      </c>
      <c r="D273" s="1072">
        <v>1</v>
      </c>
      <c r="E273" s="1072">
        <f t="shared" si="4"/>
        <v>81</v>
      </c>
    </row>
    <row r="274" spans="1:5">
      <c r="A274" s="1072" t="s">
        <v>1241</v>
      </c>
      <c r="B274" s="1072">
        <v>7015540</v>
      </c>
      <c r="C274" s="1072">
        <v>2</v>
      </c>
      <c r="D274" s="1072">
        <v>640</v>
      </c>
      <c r="E274" s="1072">
        <f t="shared" si="4"/>
        <v>642</v>
      </c>
    </row>
    <row r="275" spans="1:5">
      <c r="A275" s="1072" t="s">
        <v>1241</v>
      </c>
      <c r="B275" s="1072">
        <v>7023232</v>
      </c>
      <c r="C275" s="1072">
        <v>484</v>
      </c>
      <c r="D275" s="1072">
        <v>264</v>
      </c>
      <c r="E275" s="1072">
        <f t="shared" si="4"/>
        <v>748</v>
      </c>
    </row>
    <row r="276" spans="1:5">
      <c r="A276" s="1072" t="s">
        <v>1241</v>
      </c>
      <c r="B276" s="1072">
        <v>7024545</v>
      </c>
      <c r="C276" s="1072">
        <v>246</v>
      </c>
      <c r="D276" s="1072">
        <v>12</v>
      </c>
      <c r="E276" s="1072">
        <f t="shared" si="4"/>
        <v>258</v>
      </c>
    </row>
    <row r="277" spans="1:5">
      <c r="A277" s="1072" t="s">
        <v>1241</v>
      </c>
      <c r="B277" s="1072">
        <v>7033232</v>
      </c>
      <c r="C277" s="1072">
        <v>819</v>
      </c>
      <c r="D277" s="1072">
        <v>53</v>
      </c>
      <c r="E277" s="1072">
        <f t="shared" si="4"/>
        <v>872</v>
      </c>
    </row>
    <row r="278" spans="1:5">
      <c r="A278" s="1072" t="s">
        <v>1241</v>
      </c>
      <c r="B278" s="1072">
        <v>7034545</v>
      </c>
      <c r="C278" s="1072">
        <v>368</v>
      </c>
      <c r="D278" s="1072">
        <v>79</v>
      </c>
      <c r="E278" s="1072">
        <f t="shared" si="4"/>
        <v>447</v>
      </c>
    </row>
    <row r="279" spans="1:5">
      <c r="A279" s="1072" t="s">
        <v>1241</v>
      </c>
      <c r="B279" s="1072">
        <v>7043232</v>
      </c>
      <c r="C279" s="1072">
        <v>383</v>
      </c>
      <c r="D279" s="1072">
        <v>151</v>
      </c>
      <c r="E279" s="1072">
        <f t="shared" si="4"/>
        <v>534</v>
      </c>
    </row>
    <row r="280" spans="1:5">
      <c r="A280" s="1072" t="s">
        <v>1241</v>
      </c>
      <c r="B280" s="1072">
        <v>7044545</v>
      </c>
      <c r="C280" s="1072">
        <v>213</v>
      </c>
      <c r="D280" s="1072">
        <v>167</v>
      </c>
      <c r="E280" s="1072">
        <f t="shared" si="4"/>
        <v>380</v>
      </c>
    </row>
    <row r="281" spans="1:5">
      <c r="A281" s="1072" t="s">
        <v>1241</v>
      </c>
      <c r="B281" s="1072">
        <v>7053232</v>
      </c>
      <c r="C281" s="1072">
        <v>412</v>
      </c>
      <c r="D281" s="1072">
        <v>76</v>
      </c>
      <c r="E281" s="1072">
        <f t="shared" si="4"/>
        <v>488</v>
      </c>
    </row>
    <row r="282" spans="1:5">
      <c r="A282" s="1072" t="s">
        <v>1241</v>
      </c>
      <c r="B282" s="1072">
        <v>7054545</v>
      </c>
      <c r="C282" s="1072">
        <v>308</v>
      </c>
      <c r="D282" s="1072">
        <v>30</v>
      </c>
      <c r="E282" s="1072">
        <f t="shared" si="4"/>
        <v>338</v>
      </c>
    </row>
    <row r="283" spans="1:5">
      <c r="A283" s="1072" t="s">
        <v>1241</v>
      </c>
      <c r="B283" s="1072">
        <v>7063232</v>
      </c>
      <c r="C283" s="1072">
        <v>466</v>
      </c>
      <c r="D283" s="1072">
        <v>79</v>
      </c>
      <c r="E283" s="1072">
        <f t="shared" si="4"/>
        <v>545</v>
      </c>
    </row>
    <row r="284" spans="1:5">
      <c r="A284" s="1072" t="s">
        <v>1241</v>
      </c>
      <c r="B284" s="1072">
        <v>7073232</v>
      </c>
      <c r="C284" s="1072">
        <v>559</v>
      </c>
      <c r="D284" s="1072">
        <v>23</v>
      </c>
      <c r="E284" s="1072">
        <f t="shared" si="4"/>
        <v>582</v>
      </c>
    </row>
    <row r="285" spans="1:5">
      <c r="A285" s="1072" t="s">
        <v>1241</v>
      </c>
      <c r="B285" s="1072">
        <v>7074546</v>
      </c>
      <c r="C285" s="1072">
        <v>213</v>
      </c>
      <c r="D285" s="1072">
        <v>108</v>
      </c>
      <c r="E285" s="1072">
        <f t="shared" si="4"/>
        <v>321</v>
      </c>
    </row>
    <row r="286" spans="1:5">
      <c r="A286" s="1072" t="s">
        <v>1241</v>
      </c>
      <c r="B286" s="1072">
        <v>7083232</v>
      </c>
      <c r="C286" s="1072">
        <v>578</v>
      </c>
      <c r="D286" s="1072">
        <v>378</v>
      </c>
      <c r="E286" s="1072">
        <f t="shared" si="4"/>
        <v>956</v>
      </c>
    </row>
    <row r="287" spans="1:5">
      <c r="A287" s="1072" t="s">
        <v>1241</v>
      </c>
      <c r="B287" s="1072">
        <v>7084546</v>
      </c>
      <c r="C287" s="1072">
        <v>240</v>
      </c>
      <c r="D287" s="1072">
        <v>155</v>
      </c>
      <c r="E287" s="1072">
        <f t="shared" si="4"/>
        <v>395</v>
      </c>
    </row>
    <row r="288" spans="1:5">
      <c r="A288" s="1072" t="s">
        <v>1241</v>
      </c>
      <c r="B288" s="1072">
        <v>7093232</v>
      </c>
      <c r="C288" s="1072">
        <v>690</v>
      </c>
      <c r="D288" s="1072">
        <v>580</v>
      </c>
      <c r="E288" s="1072">
        <f t="shared" si="4"/>
        <v>1270</v>
      </c>
    </row>
    <row r="289" spans="1:5">
      <c r="A289" s="1072" t="s">
        <v>1241</v>
      </c>
      <c r="B289" s="1072">
        <v>7094546</v>
      </c>
      <c r="C289" s="1072">
        <v>249</v>
      </c>
      <c r="D289" s="1072">
        <v>55</v>
      </c>
      <c r="E289" s="1072">
        <f t="shared" si="4"/>
        <v>304</v>
      </c>
    </row>
    <row r="290" spans="1:5">
      <c r="A290" s="1072" t="s">
        <v>1241</v>
      </c>
      <c r="B290" s="1072">
        <v>7103232</v>
      </c>
      <c r="C290" s="1072">
        <v>486</v>
      </c>
      <c r="D290" s="1072">
        <v>273</v>
      </c>
      <c r="E290" s="1072">
        <f t="shared" si="4"/>
        <v>759</v>
      </c>
    </row>
    <row r="291" spans="1:5">
      <c r="A291" s="1072" t="s">
        <v>1241</v>
      </c>
      <c r="B291" s="1072">
        <v>7104546</v>
      </c>
      <c r="C291" s="1072">
        <v>248</v>
      </c>
      <c r="D291" s="1072">
        <v>31</v>
      </c>
      <c r="E291" s="1072">
        <f t="shared" si="4"/>
        <v>279</v>
      </c>
    </row>
    <row r="292" spans="1:5">
      <c r="A292" s="1072" t="s">
        <v>1241</v>
      </c>
      <c r="B292" s="1072">
        <v>7113232</v>
      </c>
      <c r="C292" s="1072">
        <v>184</v>
      </c>
      <c r="D292" s="1072">
        <v>59</v>
      </c>
      <c r="E292" s="1072">
        <f t="shared" si="4"/>
        <v>243</v>
      </c>
    </row>
    <row r="293" spans="1:5">
      <c r="A293" s="1072" t="s">
        <v>1241</v>
      </c>
      <c r="B293" s="1072">
        <v>7123232</v>
      </c>
      <c r="C293" s="1072">
        <v>164</v>
      </c>
      <c r="D293" s="1072">
        <v>155</v>
      </c>
      <c r="E293" s="1072">
        <f t="shared" si="4"/>
        <v>319</v>
      </c>
    </row>
    <row r="294" spans="1:5">
      <c r="A294" s="1072" t="s">
        <v>1241</v>
      </c>
      <c r="B294" s="1072">
        <v>7133232</v>
      </c>
      <c r="C294" s="1072">
        <v>450</v>
      </c>
      <c r="D294" s="1072">
        <v>157</v>
      </c>
      <c r="E294" s="1072">
        <f t="shared" si="4"/>
        <v>607</v>
      </c>
    </row>
    <row r="295" spans="1:5">
      <c r="A295" s="1072" t="s">
        <v>1241</v>
      </c>
      <c r="B295" s="1072">
        <v>7143232</v>
      </c>
      <c r="C295" s="1072">
        <v>693</v>
      </c>
      <c r="D295" s="1072">
        <v>50</v>
      </c>
      <c r="E295" s="1072">
        <f t="shared" si="4"/>
        <v>743</v>
      </c>
    </row>
    <row r="296" spans="1:5">
      <c r="A296" s="1072" t="s">
        <v>1241</v>
      </c>
      <c r="B296" s="1072">
        <v>7153232</v>
      </c>
      <c r="C296" s="1072">
        <v>192</v>
      </c>
      <c r="D296" s="1072">
        <v>169</v>
      </c>
      <c r="E296" s="1072">
        <f t="shared" si="4"/>
        <v>361</v>
      </c>
    </row>
    <row r="297" spans="1:5">
      <c r="A297" s="1072" t="s">
        <v>1241</v>
      </c>
      <c r="B297" s="1072">
        <v>7163232</v>
      </c>
      <c r="C297" s="1072">
        <v>315</v>
      </c>
      <c r="D297" s="1072">
        <v>283</v>
      </c>
      <c r="E297" s="1072">
        <f t="shared" si="4"/>
        <v>598</v>
      </c>
    </row>
    <row r="298" spans="1:5">
      <c r="A298" s="1072" t="s">
        <v>1241</v>
      </c>
      <c r="B298" s="1072">
        <v>7173232</v>
      </c>
      <c r="C298" s="1072">
        <v>253</v>
      </c>
      <c r="D298" s="1072">
        <v>370</v>
      </c>
      <c r="E298" s="1072">
        <f t="shared" si="4"/>
        <v>623</v>
      </c>
    </row>
    <row r="299" spans="1:5">
      <c r="A299" s="1072" t="s">
        <v>1241</v>
      </c>
      <c r="B299" s="1072">
        <v>7183232</v>
      </c>
      <c r="C299" s="1072">
        <v>453</v>
      </c>
      <c r="D299" s="1072">
        <v>107</v>
      </c>
      <c r="E299" s="1072">
        <f t="shared" si="4"/>
        <v>560</v>
      </c>
    </row>
    <row r="300" spans="1:5">
      <c r="A300" s="1072" t="s">
        <v>1241</v>
      </c>
      <c r="B300" s="1072">
        <v>7193232</v>
      </c>
      <c r="C300" s="1072">
        <v>296</v>
      </c>
      <c r="D300" s="1072">
        <v>214</v>
      </c>
      <c r="E300" s="1072">
        <f t="shared" si="4"/>
        <v>510</v>
      </c>
    </row>
    <row r="301" spans="1:5">
      <c r="A301" s="1072" t="s">
        <v>1241</v>
      </c>
      <c r="B301" s="1072">
        <v>7203232</v>
      </c>
      <c r="C301" s="1072">
        <v>386</v>
      </c>
      <c r="D301" s="1072">
        <v>127</v>
      </c>
      <c r="E301" s="1072">
        <f t="shared" si="4"/>
        <v>513</v>
      </c>
    </row>
    <row r="302" spans="1:5">
      <c r="A302" s="1072" t="s">
        <v>1241</v>
      </c>
      <c r="B302" s="1072">
        <v>7213232</v>
      </c>
      <c r="C302" s="1072">
        <v>284</v>
      </c>
      <c r="D302" s="1072">
        <v>205</v>
      </c>
      <c r="E302" s="1072">
        <f t="shared" si="4"/>
        <v>489</v>
      </c>
    </row>
    <row r="303" spans="1:5">
      <c r="A303" s="1072" t="s">
        <v>1241</v>
      </c>
      <c r="B303" s="1072">
        <v>7223232</v>
      </c>
      <c r="C303" s="1072">
        <v>288</v>
      </c>
      <c r="D303" s="1072">
        <v>217</v>
      </c>
      <c r="E303" s="1072">
        <f t="shared" si="4"/>
        <v>505</v>
      </c>
    </row>
    <row r="304" spans="1:5">
      <c r="A304" s="1072" t="s">
        <v>1241</v>
      </c>
      <c r="B304" s="1072">
        <v>8003232</v>
      </c>
      <c r="C304" s="1072">
        <v>468</v>
      </c>
      <c r="D304" s="1072">
        <v>105</v>
      </c>
      <c r="E304" s="1072">
        <f t="shared" si="4"/>
        <v>573</v>
      </c>
    </row>
    <row r="305" spans="1:5">
      <c r="A305" s="1072" t="s">
        <v>1241</v>
      </c>
      <c r="B305" s="1072">
        <v>8013232</v>
      </c>
      <c r="C305" s="1072">
        <v>539</v>
      </c>
      <c r="D305" s="1072">
        <v>153</v>
      </c>
      <c r="E305" s="1072">
        <f t="shared" si="4"/>
        <v>692</v>
      </c>
    </row>
    <row r="306" spans="1:5">
      <c r="A306" s="1072" t="s">
        <v>1241</v>
      </c>
      <c r="B306" s="1072">
        <v>8014539</v>
      </c>
      <c r="C306" s="1072">
        <v>97</v>
      </c>
      <c r="D306" s="1072">
        <v>1</v>
      </c>
      <c r="E306" s="1072">
        <f t="shared" si="4"/>
        <v>98</v>
      </c>
    </row>
    <row r="307" spans="1:5">
      <c r="A307" s="1072" t="s">
        <v>1241</v>
      </c>
      <c r="B307" s="1072">
        <v>8023232</v>
      </c>
      <c r="C307" s="1072">
        <v>334</v>
      </c>
      <c r="D307" s="1072">
        <v>208</v>
      </c>
      <c r="E307" s="1072">
        <f t="shared" si="4"/>
        <v>542</v>
      </c>
    </row>
    <row r="308" spans="1:5">
      <c r="A308" s="1072" t="s">
        <v>1241</v>
      </c>
      <c r="B308" s="1072">
        <v>8024546</v>
      </c>
      <c r="C308" s="1072">
        <v>539</v>
      </c>
      <c r="D308" s="1072">
        <v>389</v>
      </c>
      <c r="E308" s="1072">
        <f t="shared" si="4"/>
        <v>928</v>
      </c>
    </row>
    <row r="309" spans="1:5">
      <c r="A309" s="1072" t="s">
        <v>1241</v>
      </c>
      <c r="B309" s="1072">
        <v>8033232</v>
      </c>
      <c r="C309" s="1072">
        <v>309</v>
      </c>
      <c r="D309" s="1072">
        <v>216</v>
      </c>
      <c r="E309" s="1072">
        <f t="shared" si="4"/>
        <v>525</v>
      </c>
    </row>
    <row r="310" spans="1:5">
      <c r="A310" s="1072" t="s">
        <v>1241</v>
      </c>
      <c r="B310" s="1072">
        <v>8034546</v>
      </c>
      <c r="C310" s="1072">
        <v>319</v>
      </c>
      <c r="D310" s="1072">
        <v>270</v>
      </c>
      <c r="E310" s="1072">
        <f t="shared" si="4"/>
        <v>589</v>
      </c>
    </row>
    <row r="311" spans="1:5">
      <c r="A311" s="1072" t="s">
        <v>1241</v>
      </c>
      <c r="B311" s="1072">
        <v>8043232</v>
      </c>
      <c r="C311" s="1072">
        <v>516</v>
      </c>
      <c r="D311" s="1072">
        <v>138</v>
      </c>
      <c r="E311" s="1072">
        <f t="shared" si="4"/>
        <v>654</v>
      </c>
    </row>
    <row r="312" spans="1:5">
      <c r="A312" s="1072" t="s">
        <v>1241</v>
      </c>
      <c r="B312" s="1072">
        <v>8044546</v>
      </c>
      <c r="C312" s="1072">
        <v>501</v>
      </c>
      <c r="D312" s="1072">
        <v>250</v>
      </c>
      <c r="E312" s="1072">
        <f t="shared" si="4"/>
        <v>751</v>
      </c>
    </row>
    <row r="313" spans="1:5">
      <c r="A313" s="1072" t="s">
        <v>1241</v>
      </c>
      <c r="B313" s="1072">
        <v>8053232</v>
      </c>
      <c r="C313" s="1072">
        <v>280</v>
      </c>
      <c r="D313" s="1072">
        <v>118</v>
      </c>
      <c r="E313" s="1072">
        <f t="shared" si="4"/>
        <v>398</v>
      </c>
    </row>
    <row r="314" spans="1:5">
      <c r="A314" s="1072" t="s">
        <v>1241</v>
      </c>
      <c r="B314" s="1072">
        <v>8054546</v>
      </c>
      <c r="C314" s="1072">
        <v>594</v>
      </c>
      <c r="D314" s="1072">
        <v>555</v>
      </c>
      <c r="E314" s="1072">
        <f t="shared" si="4"/>
        <v>1149</v>
      </c>
    </row>
    <row r="315" spans="1:5">
      <c r="A315" s="1072" t="s">
        <v>1241</v>
      </c>
      <c r="B315" s="1072">
        <v>8063232</v>
      </c>
      <c r="C315" s="1072">
        <v>774</v>
      </c>
      <c r="D315" s="1072">
        <v>153</v>
      </c>
      <c r="E315" s="1072">
        <f t="shared" si="4"/>
        <v>927</v>
      </c>
    </row>
    <row r="316" spans="1:5">
      <c r="A316" s="1072" t="s">
        <v>1241</v>
      </c>
      <c r="B316" s="1072">
        <v>8064546</v>
      </c>
      <c r="C316" s="1072">
        <v>327</v>
      </c>
      <c r="D316" s="1072">
        <v>152</v>
      </c>
      <c r="E316" s="1072">
        <f t="shared" si="4"/>
        <v>479</v>
      </c>
    </row>
    <row r="317" spans="1:5">
      <c r="A317" s="1072" t="s">
        <v>1241</v>
      </c>
      <c r="B317" s="1072">
        <v>8073232</v>
      </c>
      <c r="C317" s="1072">
        <v>181</v>
      </c>
      <c r="D317" s="1072">
        <v>127</v>
      </c>
      <c r="E317" s="1072">
        <f t="shared" si="4"/>
        <v>308</v>
      </c>
    </row>
    <row r="318" spans="1:5">
      <c r="A318" s="1072" t="s">
        <v>1241</v>
      </c>
      <c r="B318" s="1072">
        <v>8074546</v>
      </c>
      <c r="C318" s="1072">
        <v>429</v>
      </c>
      <c r="D318" s="1072">
        <v>273</v>
      </c>
      <c r="E318" s="1072">
        <f t="shared" si="4"/>
        <v>702</v>
      </c>
    </row>
    <row r="319" spans="1:5">
      <c r="A319" s="1072" t="s">
        <v>1241</v>
      </c>
      <c r="B319" s="1072">
        <v>8083232</v>
      </c>
      <c r="C319" s="1072">
        <v>282</v>
      </c>
      <c r="D319" s="1072">
        <v>183</v>
      </c>
      <c r="E319" s="1072">
        <f t="shared" si="4"/>
        <v>465</v>
      </c>
    </row>
    <row r="320" spans="1:5">
      <c r="A320" s="1072" t="s">
        <v>1241</v>
      </c>
      <c r="B320" s="1072">
        <v>8084546</v>
      </c>
      <c r="C320" s="1072">
        <v>202</v>
      </c>
      <c r="D320" s="1072">
        <v>14</v>
      </c>
      <c r="E320" s="1072">
        <f t="shared" si="4"/>
        <v>216</v>
      </c>
    </row>
    <row r="321" spans="1:5">
      <c r="A321" s="1072" t="s">
        <v>1241</v>
      </c>
      <c r="B321" s="1072">
        <v>8093232</v>
      </c>
      <c r="C321" s="1072">
        <v>443</v>
      </c>
      <c r="D321" s="1072">
        <v>183</v>
      </c>
      <c r="E321" s="1072">
        <f t="shared" si="4"/>
        <v>626</v>
      </c>
    </row>
    <row r="322" spans="1:5">
      <c r="A322" s="1072" t="s">
        <v>1241</v>
      </c>
      <c r="B322" s="1072">
        <v>8103232</v>
      </c>
      <c r="C322" s="1072">
        <v>434</v>
      </c>
      <c r="D322" s="1072">
        <v>184</v>
      </c>
      <c r="E322" s="1072">
        <f t="shared" ref="E322:E385" si="5">C322+D322</f>
        <v>618</v>
      </c>
    </row>
    <row r="323" spans="1:5">
      <c r="A323" s="1072" t="s">
        <v>1241</v>
      </c>
      <c r="B323" s="1072">
        <v>8113232</v>
      </c>
      <c r="C323" s="1072">
        <v>386</v>
      </c>
      <c r="D323" s="1072">
        <v>201</v>
      </c>
      <c r="E323" s="1072">
        <f t="shared" si="5"/>
        <v>587</v>
      </c>
    </row>
    <row r="324" spans="1:5">
      <c r="A324" s="1072" t="s">
        <v>1241</v>
      </c>
      <c r="B324" s="1072">
        <v>8123232</v>
      </c>
      <c r="C324" s="1072">
        <v>569</v>
      </c>
      <c r="D324" s="1072">
        <v>354</v>
      </c>
      <c r="E324" s="1072">
        <f t="shared" si="5"/>
        <v>923</v>
      </c>
    </row>
    <row r="325" spans="1:5">
      <c r="A325" s="1072" t="s">
        <v>1241</v>
      </c>
      <c r="B325" s="1072">
        <v>8124546</v>
      </c>
      <c r="C325" s="1072">
        <v>240</v>
      </c>
      <c r="D325" s="1072">
        <v>60</v>
      </c>
      <c r="E325" s="1072">
        <f t="shared" si="5"/>
        <v>300</v>
      </c>
    </row>
    <row r="326" spans="1:5">
      <c r="A326" s="1072" t="s">
        <v>1241</v>
      </c>
      <c r="B326" s="1072">
        <v>8133232</v>
      </c>
      <c r="C326" s="1072">
        <v>439</v>
      </c>
      <c r="D326" s="1072">
        <v>188</v>
      </c>
      <c r="E326" s="1072">
        <f t="shared" si="5"/>
        <v>627</v>
      </c>
    </row>
    <row r="327" spans="1:5">
      <c r="A327" s="1072" t="s">
        <v>1241</v>
      </c>
      <c r="B327" s="1072">
        <v>8143232</v>
      </c>
      <c r="C327" s="1072">
        <v>315</v>
      </c>
      <c r="D327" s="1072">
        <v>180</v>
      </c>
      <c r="E327" s="1072">
        <f t="shared" si="5"/>
        <v>495</v>
      </c>
    </row>
    <row r="328" spans="1:5">
      <c r="A328" s="1072" t="s">
        <v>1241</v>
      </c>
      <c r="B328" s="1072">
        <v>8153232</v>
      </c>
      <c r="C328" s="1072">
        <v>640</v>
      </c>
      <c r="D328" s="1072">
        <v>167</v>
      </c>
      <c r="E328" s="1072">
        <f t="shared" si="5"/>
        <v>807</v>
      </c>
    </row>
    <row r="329" spans="1:5">
      <c r="A329" s="1072" t="s">
        <v>1241</v>
      </c>
      <c r="B329" s="1072">
        <v>8163232</v>
      </c>
      <c r="C329" s="1072">
        <v>263</v>
      </c>
      <c r="D329" s="1072">
        <v>212</v>
      </c>
      <c r="E329" s="1072">
        <f t="shared" si="5"/>
        <v>475</v>
      </c>
    </row>
    <row r="330" spans="1:5">
      <c r="A330" s="1072" t="s">
        <v>1241</v>
      </c>
      <c r="B330" s="1072">
        <v>8173232</v>
      </c>
      <c r="C330" s="1072">
        <v>390</v>
      </c>
      <c r="D330" s="1072">
        <v>201</v>
      </c>
      <c r="E330" s="1072">
        <f t="shared" si="5"/>
        <v>591</v>
      </c>
    </row>
    <row r="331" spans="1:5">
      <c r="A331" s="1072" t="s">
        <v>1241</v>
      </c>
      <c r="B331" s="1072">
        <v>9003232</v>
      </c>
      <c r="C331" s="1072">
        <v>438</v>
      </c>
      <c r="D331" s="1072">
        <v>223</v>
      </c>
      <c r="E331" s="1072">
        <f t="shared" si="5"/>
        <v>661</v>
      </c>
    </row>
    <row r="332" spans="1:5">
      <c r="A332" s="1072" t="s">
        <v>1241</v>
      </c>
      <c r="B332" s="1072">
        <v>9003437</v>
      </c>
      <c r="C332" s="1072">
        <v>704</v>
      </c>
      <c r="D332" s="1072">
        <v>64</v>
      </c>
      <c r="E332" s="1072">
        <f t="shared" si="5"/>
        <v>768</v>
      </c>
    </row>
    <row r="333" spans="1:5">
      <c r="A333" s="1072" t="s">
        <v>1241</v>
      </c>
      <c r="B333" s="1072">
        <v>9013232</v>
      </c>
      <c r="C333" s="1072">
        <v>400</v>
      </c>
      <c r="D333" s="1072">
        <v>120</v>
      </c>
      <c r="E333" s="1072">
        <f t="shared" si="5"/>
        <v>520</v>
      </c>
    </row>
    <row r="334" spans="1:5">
      <c r="A334" s="1072" t="s">
        <v>1241</v>
      </c>
      <c r="B334" s="1072">
        <v>9013437</v>
      </c>
      <c r="C334" s="1072">
        <v>508</v>
      </c>
      <c r="D334" s="1072">
        <v>163</v>
      </c>
      <c r="E334" s="1072">
        <f t="shared" si="5"/>
        <v>671</v>
      </c>
    </row>
    <row r="335" spans="1:5">
      <c r="A335" s="1072" t="s">
        <v>1241</v>
      </c>
      <c r="B335" s="1072">
        <v>9014539</v>
      </c>
      <c r="C335" s="1072">
        <v>1775</v>
      </c>
      <c r="D335" s="1072">
        <v>1091</v>
      </c>
      <c r="E335" s="1072">
        <f t="shared" si="5"/>
        <v>2866</v>
      </c>
    </row>
    <row r="336" spans="1:5">
      <c r="A336" s="1072" t="s">
        <v>1241</v>
      </c>
      <c r="B336" s="1072">
        <v>9014547</v>
      </c>
      <c r="C336" s="1072">
        <v>840</v>
      </c>
      <c r="D336" s="1072">
        <v>599</v>
      </c>
      <c r="E336" s="1072">
        <f t="shared" si="5"/>
        <v>1439</v>
      </c>
    </row>
    <row r="337" spans="1:5">
      <c r="A337" s="1072" t="s">
        <v>1241</v>
      </c>
      <c r="B337" s="1072">
        <v>9015537</v>
      </c>
      <c r="C337" s="1072">
        <v>1</v>
      </c>
      <c r="D337" s="1072">
        <v>550</v>
      </c>
      <c r="E337" s="1072">
        <f t="shared" si="5"/>
        <v>551</v>
      </c>
    </row>
    <row r="338" spans="1:5">
      <c r="A338" s="1072" t="s">
        <v>1241</v>
      </c>
      <c r="B338" s="1072">
        <v>9023232</v>
      </c>
      <c r="C338" s="1072">
        <v>659</v>
      </c>
      <c r="D338" s="1072">
        <v>93</v>
      </c>
      <c r="E338" s="1072">
        <f t="shared" si="5"/>
        <v>752</v>
      </c>
    </row>
    <row r="339" spans="1:5">
      <c r="A339" s="1072" t="s">
        <v>1241</v>
      </c>
      <c r="B339" s="1072">
        <v>9023437</v>
      </c>
      <c r="C339" s="1072">
        <v>389</v>
      </c>
      <c r="D339" s="1072">
        <v>158</v>
      </c>
      <c r="E339" s="1072">
        <f t="shared" si="5"/>
        <v>547</v>
      </c>
    </row>
    <row r="340" spans="1:5">
      <c r="A340" s="1072" t="s">
        <v>1241</v>
      </c>
      <c r="B340" s="1072">
        <v>9024547</v>
      </c>
      <c r="C340" s="1072">
        <v>1891</v>
      </c>
      <c r="D340" s="1072">
        <v>1419</v>
      </c>
      <c r="E340" s="1072">
        <f t="shared" si="5"/>
        <v>3310</v>
      </c>
    </row>
    <row r="341" spans="1:5">
      <c r="A341" s="1072" t="s">
        <v>1241</v>
      </c>
      <c r="B341" s="1072">
        <v>9033232</v>
      </c>
      <c r="C341" s="1072">
        <v>696</v>
      </c>
      <c r="D341" s="1072">
        <v>271</v>
      </c>
      <c r="E341" s="1072">
        <f t="shared" si="5"/>
        <v>967</v>
      </c>
    </row>
    <row r="342" spans="1:5">
      <c r="A342" s="1072" t="s">
        <v>1241</v>
      </c>
      <c r="B342" s="1072">
        <v>9033437</v>
      </c>
      <c r="C342" s="1072">
        <v>296</v>
      </c>
      <c r="D342" s="1072">
        <v>148</v>
      </c>
      <c r="E342" s="1072">
        <f t="shared" si="5"/>
        <v>444</v>
      </c>
    </row>
    <row r="343" spans="1:5">
      <c r="A343" s="1072" t="s">
        <v>1241</v>
      </c>
      <c r="B343" s="1072">
        <v>9034547</v>
      </c>
      <c r="C343" s="1072">
        <v>293</v>
      </c>
      <c r="D343" s="1072">
        <v>103</v>
      </c>
      <c r="E343" s="1072">
        <f t="shared" si="5"/>
        <v>396</v>
      </c>
    </row>
    <row r="344" spans="1:5">
      <c r="A344" s="1072" t="s">
        <v>1241</v>
      </c>
      <c r="B344" s="1072">
        <v>9043232</v>
      </c>
      <c r="C344" s="1072">
        <v>607</v>
      </c>
      <c r="D344" s="1072">
        <v>38</v>
      </c>
      <c r="E344" s="1072">
        <f t="shared" si="5"/>
        <v>645</v>
      </c>
    </row>
    <row r="345" spans="1:5">
      <c r="A345" s="1072" t="s">
        <v>1241</v>
      </c>
      <c r="B345" s="1072">
        <v>9043437</v>
      </c>
      <c r="C345" s="1072">
        <v>400</v>
      </c>
      <c r="D345" s="1072">
        <v>175</v>
      </c>
      <c r="E345" s="1072">
        <f t="shared" si="5"/>
        <v>575</v>
      </c>
    </row>
    <row r="346" spans="1:5">
      <c r="A346" s="1072" t="s">
        <v>1241</v>
      </c>
      <c r="B346" s="1072">
        <v>9044547</v>
      </c>
      <c r="C346" s="1072">
        <v>215</v>
      </c>
      <c r="D346" s="1072">
        <v>74</v>
      </c>
      <c r="E346" s="1072">
        <f t="shared" si="5"/>
        <v>289</v>
      </c>
    </row>
    <row r="347" spans="1:5">
      <c r="A347" s="1072" t="s">
        <v>1241</v>
      </c>
      <c r="B347" s="1072">
        <v>9053232</v>
      </c>
      <c r="C347" s="1072">
        <v>433</v>
      </c>
      <c r="D347" s="1072">
        <v>335</v>
      </c>
      <c r="E347" s="1072">
        <f t="shared" si="5"/>
        <v>768</v>
      </c>
    </row>
    <row r="348" spans="1:5">
      <c r="A348" s="1072" t="s">
        <v>1241</v>
      </c>
      <c r="B348" s="1072">
        <v>9053437</v>
      </c>
      <c r="C348" s="1072">
        <v>271</v>
      </c>
      <c r="D348" s="1072">
        <v>223</v>
      </c>
      <c r="E348" s="1072">
        <f t="shared" si="5"/>
        <v>494</v>
      </c>
    </row>
    <row r="349" spans="1:5">
      <c r="A349" s="1072" t="s">
        <v>1241</v>
      </c>
      <c r="B349" s="1072">
        <v>9054547</v>
      </c>
      <c r="C349" s="1072">
        <v>329</v>
      </c>
      <c r="D349" s="1072">
        <v>294</v>
      </c>
      <c r="E349" s="1072">
        <f t="shared" si="5"/>
        <v>623</v>
      </c>
    </row>
    <row r="350" spans="1:5">
      <c r="A350" s="1072" t="s">
        <v>1241</v>
      </c>
      <c r="B350" s="1072">
        <v>9063232</v>
      </c>
      <c r="C350" s="1072">
        <v>197</v>
      </c>
      <c r="D350" s="1072">
        <v>93</v>
      </c>
      <c r="E350" s="1072">
        <f t="shared" si="5"/>
        <v>290</v>
      </c>
    </row>
    <row r="351" spans="1:5">
      <c r="A351" s="1072" t="s">
        <v>1241</v>
      </c>
      <c r="B351" s="1072">
        <v>9063437</v>
      </c>
      <c r="C351" s="1072">
        <v>272</v>
      </c>
      <c r="D351" s="1072">
        <v>248</v>
      </c>
      <c r="E351" s="1072">
        <f t="shared" si="5"/>
        <v>520</v>
      </c>
    </row>
    <row r="352" spans="1:5">
      <c r="A352" s="1072" t="s">
        <v>1241</v>
      </c>
      <c r="B352" s="1072">
        <v>9064547</v>
      </c>
      <c r="C352" s="1072">
        <v>324</v>
      </c>
      <c r="D352" s="1072">
        <v>307</v>
      </c>
      <c r="E352" s="1072">
        <f t="shared" si="5"/>
        <v>631</v>
      </c>
    </row>
    <row r="353" spans="1:5">
      <c r="A353" s="1072" t="s">
        <v>1241</v>
      </c>
      <c r="B353" s="1072">
        <v>9073232</v>
      </c>
      <c r="C353" s="1072">
        <v>425</v>
      </c>
      <c r="D353" s="1072">
        <v>313</v>
      </c>
      <c r="E353" s="1072">
        <f t="shared" si="5"/>
        <v>738</v>
      </c>
    </row>
    <row r="354" spans="1:5">
      <c r="A354" s="1072" t="s">
        <v>1241</v>
      </c>
      <c r="B354" s="1072">
        <v>9074547</v>
      </c>
      <c r="C354" s="1072">
        <v>284</v>
      </c>
      <c r="D354" s="1072">
        <v>246</v>
      </c>
      <c r="E354" s="1072">
        <f t="shared" si="5"/>
        <v>530</v>
      </c>
    </row>
    <row r="355" spans="1:5">
      <c r="A355" s="1072" t="s">
        <v>1241</v>
      </c>
      <c r="B355" s="1072">
        <v>9083232</v>
      </c>
      <c r="C355" s="1072">
        <v>395</v>
      </c>
      <c r="D355" s="1072">
        <v>276</v>
      </c>
      <c r="E355" s="1072">
        <f t="shared" si="5"/>
        <v>671</v>
      </c>
    </row>
    <row r="356" spans="1:5">
      <c r="A356" s="1072" t="s">
        <v>1241</v>
      </c>
      <c r="B356" s="1072">
        <v>9084547</v>
      </c>
      <c r="C356" s="1072">
        <v>186</v>
      </c>
      <c r="D356" s="1072">
        <v>128</v>
      </c>
      <c r="E356" s="1072">
        <f t="shared" si="5"/>
        <v>314</v>
      </c>
    </row>
    <row r="357" spans="1:5">
      <c r="A357" s="1072" t="s">
        <v>1241</v>
      </c>
      <c r="B357" s="1072">
        <v>9093232</v>
      </c>
      <c r="C357" s="1072">
        <v>848</v>
      </c>
      <c r="D357" s="1072">
        <v>384</v>
      </c>
      <c r="E357" s="1072">
        <f t="shared" si="5"/>
        <v>1232</v>
      </c>
    </row>
    <row r="358" spans="1:5">
      <c r="A358" s="1072" t="s">
        <v>1241</v>
      </c>
      <c r="B358" s="1072">
        <v>9094547</v>
      </c>
      <c r="C358" s="1072">
        <v>250</v>
      </c>
      <c r="D358" s="1072">
        <v>196</v>
      </c>
      <c r="E358" s="1072">
        <f t="shared" si="5"/>
        <v>446</v>
      </c>
    </row>
    <row r="359" spans="1:5">
      <c r="A359" s="1072" t="s">
        <v>1241</v>
      </c>
      <c r="B359" s="1072">
        <v>9104547</v>
      </c>
      <c r="C359" s="1072">
        <v>247</v>
      </c>
      <c r="D359" s="1072">
        <v>174</v>
      </c>
      <c r="E359" s="1072">
        <f t="shared" si="5"/>
        <v>421</v>
      </c>
    </row>
    <row r="360" spans="1:5">
      <c r="A360" s="1072" t="s">
        <v>1241</v>
      </c>
      <c r="B360" s="1072">
        <v>9114547</v>
      </c>
      <c r="C360" s="1072">
        <v>208</v>
      </c>
      <c r="D360" s="1072">
        <v>151</v>
      </c>
      <c r="E360" s="1072">
        <f t="shared" si="5"/>
        <v>359</v>
      </c>
    </row>
    <row r="361" spans="1:5">
      <c r="A361" s="1072" t="s">
        <v>1241</v>
      </c>
      <c r="B361" s="1072">
        <v>9124547</v>
      </c>
      <c r="C361" s="1072">
        <v>217</v>
      </c>
      <c r="D361" s="1072">
        <v>165</v>
      </c>
      <c r="E361" s="1072">
        <f t="shared" si="5"/>
        <v>382</v>
      </c>
    </row>
    <row r="362" spans="1:5">
      <c r="A362" s="1072" t="s">
        <v>1241</v>
      </c>
      <c r="B362" s="1072">
        <v>9134547</v>
      </c>
      <c r="C362" s="1072">
        <v>259</v>
      </c>
      <c r="D362" s="1072">
        <v>209</v>
      </c>
      <c r="E362" s="1072">
        <f t="shared" si="5"/>
        <v>468</v>
      </c>
    </row>
    <row r="363" spans="1:5">
      <c r="A363" s="1072" t="s">
        <v>1241</v>
      </c>
      <c r="B363" s="1072">
        <v>9144547</v>
      </c>
      <c r="C363" s="1072">
        <v>231</v>
      </c>
      <c r="D363" s="1072">
        <v>178</v>
      </c>
      <c r="E363" s="1072">
        <f t="shared" si="5"/>
        <v>409</v>
      </c>
    </row>
    <row r="364" spans="1:5">
      <c r="A364" s="1072" t="s">
        <v>1241</v>
      </c>
      <c r="B364" s="1072">
        <v>9154547</v>
      </c>
      <c r="C364" s="1072">
        <v>335</v>
      </c>
      <c r="D364" s="1072">
        <v>238</v>
      </c>
      <c r="E364" s="1072">
        <f t="shared" si="5"/>
        <v>573</v>
      </c>
    </row>
    <row r="365" spans="1:5">
      <c r="A365" s="1072" t="s">
        <v>1241</v>
      </c>
      <c r="B365" s="1072">
        <v>9164547</v>
      </c>
      <c r="C365" s="1072">
        <v>214</v>
      </c>
      <c r="D365" s="1072">
        <v>58</v>
      </c>
      <c r="E365" s="1072">
        <f t="shared" si="5"/>
        <v>272</v>
      </c>
    </row>
    <row r="366" spans="1:5">
      <c r="A366" s="1072" t="s">
        <v>1241</v>
      </c>
      <c r="B366" s="1072">
        <v>9174547</v>
      </c>
      <c r="C366" s="1072">
        <v>202</v>
      </c>
      <c r="D366" s="1072">
        <v>160</v>
      </c>
      <c r="E366" s="1072">
        <f t="shared" si="5"/>
        <v>362</v>
      </c>
    </row>
    <row r="367" spans="1:5">
      <c r="A367" s="1072" t="s">
        <v>1241</v>
      </c>
      <c r="B367" s="1072">
        <v>9184547</v>
      </c>
      <c r="C367" s="1072">
        <v>244</v>
      </c>
      <c r="D367" s="1072">
        <v>208</v>
      </c>
      <c r="E367" s="1072">
        <f t="shared" si="5"/>
        <v>452</v>
      </c>
    </row>
    <row r="368" spans="1:5">
      <c r="A368" s="1072" t="s">
        <v>1241</v>
      </c>
      <c r="B368" s="1072">
        <v>9194547</v>
      </c>
      <c r="C368" s="1072">
        <v>227</v>
      </c>
      <c r="D368" s="1072">
        <v>171</v>
      </c>
      <c r="E368" s="1072">
        <f t="shared" si="5"/>
        <v>398</v>
      </c>
    </row>
    <row r="369" spans="1:5">
      <c r="A369" s="1072" t="s">
        <v>1241</v>
      </c>
      <c r="B369" s="1072">
        <v>9204547</v>
      </c>
      <c r="C369" s="1072">
        <v>235</v>
      </c>
      <c r="D369" s="1072">
        <v>151</v>
      </c>
      <c r="E369" s="1072">
        <f t="shared" si="5"/>
        <v>386</v>
      </c>
    </row>
    <row r="370" spans="1:5">
      <c r="A370" s="1072" t="s">
        <v>1241</v>
      </c>
      <c r="B370" s="1072">
        <v>9214547</v>
      </c>
      <c r="C370" s="1072">
        <v>229</v>
      </c>
      <c r="D370" s="1072">
        <v>200</v>
      </c>
      <c r="E370" s="1072">
        <f t="shared" si="5"/>
        <v>429</v>
      </c>
    </row>
    <row r="371" spans="1:5">
      <c r="A371" s="1072" t="s">
        <v>1241</v>
      </c>
      <c r="B371" s="1072">
        <v>10003334</v>
      </c>
      <c r="C371" s="1072">
        <v>1327</v>
      </c>
      <c r="D371" s="1072">
        <v>11</v>
      </c>
      <c r="E371" s="1072">
        <f t="shared" si="5"/>
        <v>1338</v>
      </c>
    </row>
    <row r="372" spans="1:5">
      <c r="A372" s="1072" t="s">
        <v>1241</v>
      </c>
      <c r="B372" s="1072">
        <v>10013334</v>
      </c>
      <c r="C372" s="1072">
        <v>1071</v>
      </c>
      <c r="D372" s="1072">
        <v>18</v>
      </c>
      <c r="E372" s="1072">
        <f t="shared" si="5"/>
        <v>1089</v>
      </c>
    </row>
    <row r="373" spans="1:5">
      <c r="A373" s="1072" t="s">
        <v>1241</v>
      </c>
      <c r="B373" s="1072">
        <v>10014548</v>
      </c>
      <c r="C373" s="1072">
        <v>236</v>
      </c>
      <c r="D373" s="1072">
        <v>234</v>
      </c>
      <c r="E373" s="1072">
        <f t="shared" si="5"/>
        <v>470</v>
      </c>
    </row>
    <row r="374" spans="1:5">
      <c r="A374" s="1072" t="s">
        <v>1241</v>
      </c>
      <c r="B374" s="1072">
        <v>10015507</v>
      </c>
      <c r="C374" s="1072">
        <v>8</v>
      </c>
      <c r="D374" s="1072">
        <v>405</v>
      </c>
      <c r="E374" s="1072">
        <f t="shared" si="5"/>
        <v>413</v>
      </c>
    </row>
    <row r="375" spans="1:5">
      <c r="A375" s="1072" t="s">
        <v>1241</v>
      </c>
      <c r="B375" s="1072">
        <v>10015508</v>
      </c>
      <c r="C375" s="1072">
        <v>4</v>
      </c>
      <c r="D375" s="1072">
        <v>736</v>
      </c>
      <c r="E375" s="1072">
        <f t="shared" si="5"/>
        <v>740</v>
      </c>
    </row>
    <row r="376" spans="1:5">
      <c r="A376" s="1072" t="s">
        <v>1241</v>
      </c>
      <c r="B376" s="1072">
        <v>10015509</v>
      </c>
      <c r="C376" s="1072">
        <v>2</v>
      </c>
      <c r="D376" s="1072">
        <v>497</v>
      </c>
      <c r="E376" s="1072">
        <f t="shared" si="5"/>
        <v>499</v>
      </c>
    </row>
    <row r="377" spans="1:5">
      <c r="A377" s="1072" t="s">
        <v>1241</v>
      </c>
      <c r="B377" s="1072">
        <v>10023334</v>
      </c>
      <c r="C377" s="1072">
        <v>248</v>
      </c>
      <c r="D377" s="1072">
        <v>145</v>
      </c>
      <c r="E377" s="1072">
        <f t="shared" si="5"/>
        <v>393</v>
      </c>
    </row>
    <row r="378" spans="1:5">
      <c r="A378" s="1072" t="s">
        <v>1241</v>
      </c>
      <c r="B378" s="1072">
        <v>10024548</v>
      </c>
      <c r="C378" s="1072">
        <v>257</v>
      </c>
      <c r="D378" s="1072">
        <v>246</v>
      </c>
      <c r="E378" s="1072">
        <f t="shared" si="5"/>
        <v>503</v>
      </c>
    </row>
    <row r="379" spans="1:5">
      <c r="A379" s="1072" t="s">
        <v>1241</v>
      </c>
      <c r="B379" s="1072">
        <v>10033334</v>
      </c>
      <c r="C379" s="1072">
        <v>350</v>
      </c>
      <c r="D379" s="1072">
        <v>357</v>
      </c>
      <c r="E379" s="1072">
        <f t="shared" si="5"/>
        <v>707</v>
      </c>
    </row>
    <row r="380" spans="1:5">
      <c r="A380" s="1072" t="s">
        <v>1241</v>
      </c>
      <c r="B380" s="1072">
        <v>10034548</v>
      </c>
      <c r="C380" s="1072">
        <v>218</v>
      </c>
      <c r="D380" s="1072">
        <v>146</v>
      </c>
      <c r="E380" s="1072">
        <f t="shared" si="5"/>
        <v>364</v>
      </c>
    </row>
    <row r="381" spans="1:5">
      <c r="A381" s="1072" t="s">
        <v>1241</v>
      </c>
      <c r="B381" s="1072">
        <v>10043334</v>
      </c>
      <c r="C381" s="1072">
        <v>251</v>
      </c>
      <c r="D381" s="1072">
        <v>209</v>
      </c>
      <c r="E381" s="1072">
        <f t="shared" si="5"/>
        <v>460</v>
      </c>
    </row>
    <row r="382" spans="1:5">
      <c r="A382" s="1072" t="s">
        <v>1241</v>
      </c>
      <c r="B382" s="1072">
        <v>10044548</v>
      </c>
      <c r="C382" s="1072">
        <v>274</v>
      </c>
      <c r="D382" s="1072">
        <v>180</v>
      </c>
      <c r="E382" s="1072">
        <f t="shared" si="5"/>
        <v>454</v>
      </c>
    </row>
    <row r="383" spans="1:5">
      <c r="A383" s="1072" t="s">
        <v>1241</v>
      </c>
      <c r="B383" s="1072">
        <v>10053334</v>
      </c>
      <c r="C383" s="1072">
        <v>569</v>
      </c>
      <c r="D383" s="1072">
        <v>120</v>
      </c>
      <c r="E383" s="1072">
        <f t="shared" si="5"/>
        <v>689</v>
      </c>
    </row>
    <row r="384" spans="1:5">
      <c r="A384" s="1072" t="s">
        <v>1241</v>
      </c>
      <c r="B384" s="1072">
        <v>10054548</v>
      </c>
      <c r="C384" s="1072">
        <v>247</v>
      </c>
      <c r="D384" s="1072">
        <v>222</v>
      </c>
      <c r="E384" s="1072">
        <f t="shared" si="5"/>
        <v>469</v>
      </c>
    </row>
    <row r="385" spans="1:5">
      <c r="A385" s="1072" t="s">
        <v>1241</v>
      </c>
      <c r="B385" s="1072">
        <v>10063334</v>
      </c>
      <c r="C385" s="1072">
        <v>228</v>
      </c>
      <c r="D385" s="1072">
        <v>223</v>
      </c>
      <c r="E385" s="1072">
        <f t="shared" si="5"/>
        <v>451</v>
      </c>
    </row>
    <row r="386" spans="1:5">
      <c r="A386" s="1072" t="s">
        <v>1241</v>
      </c>
      <c r="B386" s="1072">
        <v>10064548</v>
      </c>
      <c r="C386" s="1072">
        <v>232</v>
      </c>
      <c r="D386" s="1072">
        <v>198</v>
      </c>
      <c r="E386" s="1072">
        <f t="shared" ref="E386:E449" si="6">C386+D386</f>
        <v>430</v>
      </c>
    </row>
    <row r="387" spans="1:5">
      <c r="A387" s="1072" t="s">
        <v>1241</v>
      </c>
      <c r="B387" s="1072">
        <v>10073334</v>
      </c>
      <c r="C387" s="1072">
        <v>397</v>
      </c>
      <c r="D387" s="1072">
        <v>158</v>
      </c>
      <c r="E387" s="1072">
        <f t="shared" si="6"/>
        <v>555</v>
      </c>
    </row>
    <row r="388" spans="1:5">
      <c r="A388" s="1072" t="s">
        <v>1241</v>
      </c>
      <c r="B388" s="1072">
        <v>10074548</v>
      </c>
      <c r="C388" s="1072">
        <v>688</v>
      </c>
      <c r="D388" s="1072">
        <v>398</v>
      </c>
      <c r="E388" s="1072">
        <f t="shared" si="6"/>
        <v>1086</v>
      </c>
    </row>
    <row r="389" spans="1:5">
      <c r="A389" s="1072" t="s">
        <v>1241</v>
      </c>
      <c r="B389" s="1072">
        <v>10083334</v>
      </c>
      <c r="C389" s="1072">
        <v>269</v>
      </c>
      <c r="D389" s="1072">
        <v>224</v>
      </c>
      <c r="E389" s="1072">
        <f t="shared" si="6"/>
        <v>493</v>
      </c>
    </row>
    <row r="390" spans="1:5">
      <c r="A390" s="1072" t="s">
        <v>1241</v>
      </c>
      <c r="B390" s="1072">
        <v>10084548</v>
      </c>
      <c r="C390" s="1072">
        <v>346</v>
      </c>
      <c r="D390" s="1072">
        <v>269</v>
      </c>
      <c r="E390" s="1072">
        <f t="shared" si="6"/>
        <v>615</v>
      </c>
    </row>
    <row r="391" spans="1:5">
      <c r="A391" s="1072" t="s">
        <v>1241</v>
      </c>
      <c r="B391" s="1072">
        <v>10093334</v>
      </c>
      <c r="C391" s="1072">
        <v>227</v>
      </c>
      <c r="D391" s="1072">
        <v>206</v>
      </c>
      <c r="E391" s="1072">
        <f t="shared" si="6"/>
        <v>433</v>
      </c>
    </row>
    <row r="392" spans="1:5">
      <c r="A392" s="1072" t="s">
        <v>1241</v>
      </c>
      <c r="B392" s="1072">
        <v>10094548</v>
      </c>
      <c r="C392" s="1072">
        <v>1194</v>
      </c>
      <c r="D392" s="1072">
        <v>58</v>
      </c>
      <c r="E392" s="1072">
        <f t="shared" si="6"/>
        <v>1252</v>
      </c>
    </row>
    <row r="393" spans="1:5">
      <c r="A393" s="1072" t="s">
        <v>1241</v>
      </c>
      <c r="B393" s="1072">
        <v>10103334</v>
      </c>
      <c r="C393" s="1072">
        <v>631</v>
      </c>
      <c r="D393" s="1072">
        <v>133</v>
      </c>
      <c r="E393" s="1072">
        <f t="shared" si="6"/>
        <v>764</v>
      </c>
    </row>
    <row r="394" spans="1:5">
      <c r="A394" s="1072" t="s">
        <v>1241</v>
      </c>
      <c r="B394" s="1072">
        <v>10104548</v>
      </c>
      <c r="C394" s="1072">
        <v>502</v>
      </c>
      <c r="D394" s="1072">
        <v>307</v>
      </c>
      <c r="E394" s="1072">
        <f t="shared" si="6"/>
        <v>809</v>
      </c>
    </row>
    <row r="395" spans="1:5">
      <c r="A395" s="1072" t="s">
        <v>1241</v>
      </c>
      <c r="B395" s="1072">
        <v>10113334</v>
      </c>
      <c r="C395" s="1072">
        <v>250</v>
      </c>
      <c r="D395" s="1072">
        <v>192</v>
      </c>
      <c r="E395" s="1072">
        <f t="shared" si="6"/>
        <v>442</v>
      </c>
    </row>
    <row r="396" spans="1:5">
      <c r="A396" s="1072" t="s">
        <v>1241</v>
      </c>
      <c r="B396" s="1072">
        <v>10114548</v>
      </c>
      <c r="C396" s="1072">
        <v>695</v>
      </c>
      <c r="D396" s="1072">
        <v>55</v>
      </c>
      <c r="E396" s="1072">
        <f t="shared" si="6"/>
        <v>750</v>
      </c>
    </row>
    <row r="397" spans="1:5">
      <c r="A397" s="1072" t="s">
        <v>1241</v>
      </c>
      <c r="B397" s="1072">
        <v>10123334</v>
      </c>
      <c r="C397" s="1072">
        <v>248</v>
      </c>
      <c r="D397" s="1072">
        <v>192</v>
      </c>
      <c r="E397" s="1072">
        <f t="shared" si="6"/>
        <v>440</v>
      </c>
    </row>
    <row r="398" spans="1:5">
      <c r="A398" s="1072" t="s">
        <v>1241</v>
      </c>
      <c r="B398" s="1072">
        <v>10124548</v>
      </c>
      <c r="C398" s="1072">
        <v>217</v>
      </c>
      <c r="D398" s="1072">
        <v>184</v>
      </c>
      <c r="E398" s="1072">
        <f t="shared" si="6"/>
        <v>401</v>
      </c>
    </row>
    <row r="399" spans="1:5">
      <c r="A399" s="1072" t="s">
        <v>1241</v>
      </c>
      <c r="B399" s="1072">
        <v>10133334</v>
      </c>
      <c r="C399" s="1072">
        <v>357</v>
      </c>
      <c r="D399" s="1072">
        <v>300</v>
      </c>
      <c r="E399" s="1072">
        <f t="shared" si="6"/>
        <v>657</v>
      </c>
    </row>
    <row r="400" spans="1:5">
      <c r="A400" s="1072" t="s">
        <v>1241</v>
      </c>
      <c r="B400" s="1072">
        <v>10134548</v>
      </c>
      <c r="C400" s="1072">
        <v>209</v>
      </c>
      <c r="D400" s="1072">
        <v>182</v>
      </c>
      <c r="E400" s="1072">
        <f t="shared" si="6"/>
        <v>391</v>
      </c>
    </row>
    <row r="401" spans="1:5">
      <c r="A401" s="1072" t="s">
        <v>1241</v>
      </c>
      <c r="B401" s="1072">
        <v>10143334</v>
      </c>
      <c r="C401" s="1072">
        <v>433</v>
      </c>
      <c r="D401" s="1072">
        <v>343</v>
      </c>
      <c r="E401" s="1072">
        <f t="shared" si="6"/>
        <v>776</v>
      </c>
    </row>
    <row r="402" spans="1:5">
      <c r="A402" s="1072" t="s">
        <v>1241</v>
      </c>
      <c r="B402" s="1072">
        <v>10144548</v>
      </c>
      <c r="C402" s="1072">
        <v>232</v>
      </c>
      <c r="D402" s="1072">
        <v>190</v>
      </c>
      <c r="E402" s="1072">
        <f t="shared" si="6"/>
        <v>422</v>
      </c>
    </row>
    <row r="403" spans="1:5">
      <c r="A403" s="1072" t="s">
        <v>1241</v>
      </c>
      <c r="B403" s="1072">
        <v>10153334</v>
      </c>
      <c r="C403" s="1072">
        <v>236</v>
      </c>
      <c r="D403" s="1072">
        <v>219</v>
      </c>
      <c r="E403" s="1072">
        <f t="shared" si="6"/>
        <v>455</v>
      </c>
    </row>
    <row r="404" spans="1:5">
      <c r="A404" s="1072" t="s">
        <v>1241</v>
      </c>
      <c r="B404" s="1072">
        <v>10154548</v>
      </c>
      <c r="C404" s="1072">
        <v>237</v>
      </c>
      <c r="D404" s="1072">
        <v>211</v>
      </c>
      <c r="E404" s="1072">
        <f t="shared" si="6"/>
        <v>448</v>
      </c>
    </row>
    <row r="405" spans="1:5">
      <c r="A405" s="1072" t="s">
        <v>1241</v>
      </c>
      <c r="B405" s="1072">
        <v>10163334</v>
      </c>
      <c r="C405" s="1072">
        <v>317</v>
      </c>
      <c r="D405" s="1072">
        <v>292</v>
      </c>
      <c r="E405" s="1072">
        <f t="shared" si="6"/>
        <v>609</v>
      </c>
    </row>
    <row r="406" spans="1:5">
      <c r="A406" s="1072" t="s">
        <v>1241</v>
      </c>
      <c r="B406" s="1072">
        <v>10164548</v>
      </c>
      <c r="C406" s="1072">
        <v>250</v>
      </c>
      <c r="D406" s="1072">
        <v>207</v>
      </c>
      <c r="E406" s="1072">
        <f t="shared" si="6"/>
        <v>457</v>
      </c>
    </row>
    <row r="407" spans="1:5">
      <c r="A407" s="1072" t="s">
        <v>1241</v>
      </c>
      <c r="B407" s="1072">
        <v>10173334</v>
      </c>
      <c r="C407" s="1072">
        <v>606</v>
      </c>
      <c r="D407" s="1072">
        <v>549</v>
      </c>
      <c r="E407" s="1072">
        <f t="shared" si="6"/>
        <v>1155</v>
      </c>
    </row>
    <row r="408" spans="1:5">
      <c r="A408" s="1072" t="s">
        <v>1241</v>
      </c>
      <c r="B408" s="1072">
        <v>10174548</v>
      </c>
      <c r="C408" s="1072">
        <v>234</v>
      </c>
      <c r="D408" s="1072">
        <v>164</v>
      </c>
      <c r="E408" s="1072">
        <f t="shared" si="6"/>
        <v>398</v>
      </c>
    </row>
    <row r="409" spans="1:5">
      <c r="A409" s="1072" t="s">
        <v>1241</v>
      </c>
      <c r="B409" s="1072">
        <v>10183334</v>
      </c>
      <c r="C409" s="1072">
        <v>287</v>
      </c>
      <c r="D409" s="1072">
        <v>279</v>
      </c>
      <c r="E409" s="1072">
        <f t="shared" si="6"/>
        <v>566</v>
      </c>
    </row>
    <row r="410" spans="1:5">
      <c r="A410" s="1072" t="s">
        <v>1241</v>
      </c>
      <c r="B410" s="1072">
        <v>10184548</v>
      </c>
      <c r="C410" s="1072">
        <v>248</v>
      </c>
      <c r="D410" s="1072">
        <v>204</v>
      </c>
      <c r="E410" s="1072">
        <f t="shared" si="6"/>
        <v>452</v>
      </c>
    </row>
    <row r="411" spans="1:5">
      <c r="A411" s="1072" t="s">
        <v>1241</v>
      </c>
      <c r="B411" s="1072">
        <v>10193334</v>
      </c>
      <c r="C411" s="1072">
        <v>240</v>
      </c>
      <c r="D411" s="1072">
        <v>229</v>
      </c>
      <c r="E411" s="1072">
        <f t="shared" si="6"/>
        <v>469</v>
      </c>
    </row>
    <row r="412" spans="1:5">
      <c r="A412" s="1072" t="s">
        <v>1241</v>
      </c>
      <c r="B412" s="1072">
        <v>10194548</v>
      </c>
      <c r="C412" s="1072">
        <v>273</v>
      </c>
      <c r="D412" s="1072">
        <v>214</v>
      </c>
      <c r="E412" s="1072">
        <f t="shared" si="6"/>
        <v>487</v>
      </c>
    </row>
    <row r="413" spans="1:5">
      <c r="A413" s="1072" t="s">
        <v>1241</v>
      </c>
      <c r="B413" s="1072">
        <v>10203334</v>
      </c>
      <c r="C413" s="1072">
        <v>204</v>
      </c>
      <c r="D413" s="1072">
        <v>204</v>
      </c>
      <c r="E413" s="1072">
        <f t="shared" si="6"/>
        <v>408</v>
      </c>
    </row>
    <row r="414" spans="1:5">
      <c r="A414" s="1072" t="s">
        <v>1241</v>
      </c>
      <c r="B414" s="1072">
        <v>10204548</v>
      </c>
      <c r="C414" s="1072">
        <v>303</v>
      </c>
      <c r="D414" s="1072">
        <v>261</v>
      </c>
      <c r="E414" s="1072">
        <f t="shared" si="6"/>
        <v>564</v>
      </c>
    </row>
    <row r="415" spans="1:5">
      <c r="A415" s="1072" t="s">
        <v>1241</v>
      </c>
      <c r="B415" s="1072">
        <v>10213334</v>
      </c>
      <c r="C415" s="1072">
        <v>375</v>
      </c>
      <c r="D415" s="1072">
        <v>197</v>
      </c>
      <c r="E415" s="1072">
        <f t="shared" si="6"/>
        <v>572</v>
      </c>
    </row>
    <row r="416" spans="1:5">
      <c r="A416" s="1072" t="s">
        <v>1241</v>
      </c>
      <c r="B416" s="1072">
        <v>10214548</v>
      </c>
      <c r="C416" s="1072">
        <v>259</v>
      </c>
      <c r="D416" s="1072">
        <v>232</v>
      </c>
      <c r="E416" s="1072">
        <f t="shared" si="6"/>
        <v>491</v>
      </c>
    </row>
    <row r="417" spans="1:5">
      <c r="A417" s="1072" t="s">
        <v>1241</v>
      </c>
      <c r="B417" s="1072">
        <v>10223334</v>
      </c>
      <c r="C417" s="1072">
        <v>335</v>
      </c>
      <c r="D417" s="1072">
        <v>263</v>
      </c>
      <c r="E417" s="1072">
        <f t="shared" si="6"/>
        <v>598</v>
      </c>
    </row>
    <row r="418" spans="1:5">
      <c r="A418" s="1072" t="s">
        <v>1241</v>
      </c>
      <c r="B418" s="1072">
        <v>10224548</v>
      </c>
      <c r="C418" s="1072">
        <v>252</v>
      </c>
      <c r="D418" s="1072">
        <v>207</v>
      </c>
      <c r="E418" s="1072">
        <f t="shared" si="6"/>
        <v>459</v>
      </c>
    </row>
    <row r="419" spans="1:5">
      <c r="A419" s="1072" t="s">
        <v>1241</v>
      </c>
      <c r="B419" s="1072">
        <v>10233334</v>
      </c>
      <c r="C419" s="1072">
        <v>367</v>
      </c>
      <c r="D419" s="1072">
        <v>344</v>
      </c>
      <c r="E419" s="1072">
        <f t="shared" si="6"/>
        <v>711</v>
      </c>
    </row>
    <row r="420" spans="1:5">
      <c r="A420" s="1072" t="s">
        <v>1241</v>
      </c>
      <c r="B420" s="1072">
        <v>10234548</v>
      </c>
      <c r="C420" s="1072">
        <v>300</v>
      </c>
      <c r="D420" s="1072">
        <v>293</v>
      </c>
      <c r="E420" s="1072">
        <f t="shared" si="6"/>
        <v>593</v>
      </c>
    </row>
    <row r="421" spans="1:5">
      <c r="A421" s="1072" t="s">
        <v>1241</v>
      </c>
      <c r="B421" s="1072">
        <v>10243334</v>
      </c>
      <c r="C421" s="1072">
        <v>439</v>
      </c>
      <c r="D421" s="1072">
        <v>267</v>
      </c>
      <c r="E421" s="1072">
        <f t="shared" si="6"/>
        <v>706</v>
      </c>
    </row>
    <row r="422" spans="1:5">
      <c r="A422" s="1072" t="s">
        <v>1241</v>
      </c>
      <c r="B422" s="1072">
        <v>10244548</v>
      </c>
      <c r="C422" s="1072">
        <v>303</v>
      </c>
      <c r="D422" s="1072">
        <v>296</v>
      </c>
      <c r="E422" s="1072">
        <f t="shared" si="6"/>
        <v>599</v>
      </c>
    </row>
    <row r="423" spans="1:5">
      <c r="A423" s="1072" t="s">
        <v>1241</v>
      </c>
      <c r="B423" s="1072">
        <v>10253334</v>
      </c>
      <c r="C423" s="1072">
        <v>274</v>
      </c>
      <c r="D423" s="1072">
        <v>176</v>
      </c>
      <c r="E423" s="1072">
        <f t="shared" si="6"/>
        <v>450</v>
      </c>
    </row>
    <row r="424" spans="1:5">
      <c r="A424" s="1072" t="s">
        <v>1241</v>
      </c>
      <c r="B424" s="1072">
        <v>10254548</v>
      </c>
      <c r="C424" s="1072">
        <v>287</v>
      </c>
      <c r="D424" s="1072">
        <v>280</v>
      </c>
      <c r="E424" s="1072">
        <f t="shared" si="6"/>
        <v>567</v>
      </c>
    </row>
    <row r="425" spans="1:5">
      <c r="A425" s="1072" t="s">
        <v>1241</v>
      </c>
      <c r="B425" s="1072">
        <v>10263334</v>
      </c>
      <c r="C425" s="1072">
        <v>378</v>
      </c>
      <c r="D425" s="1072">
        <v>79</v>
      </c>
      <c r="E425" s="1072">
        <f t="shared" si="6"/>
        <v>457</v>
      </c>
    </row>
    <row r="426" spans="1:5">
      <c r="A426" s="1072" t="s">
        <v>1241</v>
      </c>
      <c r="B426" s="1072">
        <v>10264548</v>
      </c>
      <c r="C426" s="1072">
        <v>256</v>
      </c>
      <c r="D426" s="1072">
        <v>225</v>
      </c>
      <c r="E426" s="1072">
        <f t="shared" si="6"/>
        <v>481</v>
      </c>
    </row>
    <row r="427" spans="1:5">
      <c r="A427" s="1072" t="s">
        <v>1241</v>
      </c>
      <c r="B427" s="1072">
        <v>10273334</v>
      </c>
      <c r="C427" s="1072">
        <v>332</v>
      </c>
      <c r="D427" s="1072">
        <v>247</v>
      </c>
      <c r="E427" s="1072">
        <f t="shared" si="6"/>
        <v>579</v>
      </c>
    </row>
    <row r="428" spans="1:5">
      <c r="A428" s="1072" t="s">
        <v>1241</v>
      </c>
      <c r="B428" s="1072">
        <v>10274548</v>
      </c>
      <c r="C428" s="1072">
        <v>261</v>
      </c>
      <c r="D428" s="1072">
        <v>217</v>
      </c>
      <c r="E428" s="1072">
        <f t="shared" si="6"/>
        <v>478</v>
      </c>
    </row>
    <row r="429" spans="1:5">
      <c r="A429" s="1072" t="s">
        <v>1241</v>
      </c>
      <c r="B429" s="1072">
        <v>10283334</v>
      </c>
      <c r="C429" s="1072">
        <v>392</v>
      </c>
      <c r="D429" s="1072">
        <v>109</v>
      </c>
      <c r="E429" s="1072">
        <f t="shared" si="6"/>
        <v>501</v>
      </c>
    </row>
    <row r="430" spans="1:5">
      <c r="A430" s="1072" t="s">
        <v>1241</v>
      </c>
      <c r="B430" s="1072">
        <v>10284548</v>
      </c>
      <c r="C430" s="1072">
        <v>222</v>
      </c>
      <c r="D430" s="1072">
        <v>200</v>
      </c>
      <c r="E430" s="1072">
        <f t="shared" si="6"/>
        <v>422</v>
      </c>
    </row>
    <row r="431" spans="1:5">
      <c r="A431" s="1072" t="s">
        <v>1241</v>
      </c>
      <c r="B431" s="1072">
        <v>10293334</v>
      </c>
      <c r="C431" s="1072">
        <v>258</v>
      </c>
      <c r="D431" s="1072">
        <v>159</v>
      </c>
      <c r="E431" s="1072">
        <f t="shared" si="6"/>
        <v>417</v>
      </c>
    </row>
    <row r="432" spans="1:5">
      <c r="A432" s="1072" t="s">
        <v>1241</v>
      </c>
      <c r="B432" s="1072">
        <v>10294548</v>
      </c>
      <c r="C432" s="1072">
        <v>373</v>
      </c>
      <c r="D432" s="1072">
        <v>212</v>
      </c>
      <c r="E432" s="1072">
        <f t="shared" si="6"/>
        <v>585</v>
      </c>
    </row>
    <row r="433" spans="1:5">
      <c r="A433" s="1072" t="s">
        <v>1241</v>
      </c>
      <c r="B433" s="1072">
        <v>10303334</v>
      </c>
      <c r="C433" s="1072">
        <v>346</v>
      </c>
      <c r="D433" s="1072">
        <v>162</v>
      </c>
      <c r="E433" s="1072">
        <f t="shared" si="6"/>
        <v>508</v>
      </c>
    </row>
    <row r="434" spans="1:5">
      <c r="A434" s="1072" t="s">
        <v>1241</v>
      </c>
      <c r="B434" s="1072">
        <v>10304648</v>
      </c>
      <c r="C434" s="1072">
        <v>506</v>
      </c>
      <c r="D434" s="1072">
        <v>453</v>
      </c>
      <c r="E434" s="1072">
        <f t="shared" si="6"/>
        <v>959</v>
      </c>
    </row>
    <row r="435" spans="1:5">
      <c r="A435" s="1072" t="s">
        <v>1241</v>
      </c>
      <c r="B435" s="1072">
        <v>10313334</v>
      </c>
      <c r="C435" s="1072">
        <v>668</v>
      </c>
      <c r="D435" s="1072">
        <v>57</v>
      </c>
      <c r="E435" s="1072">
        <f t="shared" si="6"/>
        <v>725</v>
      </c>
    </row>
    <row r="436" spans="1:5">
      <c r="A436" s="1072" t="s">
        <v>1241</v>
      </c>
      <c r="B436" s="1072">
        <v>10314648</v>
      </c>
      <c r="C436" s="1072">
        <v>319</v>
      </c>
      <c r="D436" s="1072">
        <v>318</v>
      </c>
      <c r="E436" s="1072">
        <f t="shared" si="6"/>
        <v>637</v>
      </c>
    </row>
    <row r="437" spans="1:5">
      <c r="A437" s="1072" t="s">
        <v>1241</v>
      </c>
      <c r="B437" s="1072">
        <v>10323334</v>
      </c>
      <c r="C437" s="1072">
        <v>1081</v>
      </c>
      <c r="D437" s="1072">
        <v>125</v>
      </c>
      <c r="E437" s="1072">
        <f t="shared" si="6"/>
        <v>1206</v>
      </c>
    </row>
    <row r="438" spans="1:5">
      <c r="A438" s="1072" t="s">
        <v>1241</v>
      </c>
      <c r="B438" s="1072">
        <v>10324648</v>
      </c>
      <c r="C438" s="1072">
        <v>917</v>
      </c>
      <c r="D438" s="1072">
        <v>190</v>
      </c>
      <c r="E438" s="1072">
        <f t="shared" si="6"/>
        <v>1107</v>
      </c>
    </row>
    <row r="439" spans="1:5">
      <c r="A439" s="1072" t="s">
        <v>1241</v>
      </c>
      <c r="B439" s="1072">
        <v>10334648</v>
      </c>
      <c r="C439" s="1072">
        <v>450</v>
      </c>
      <c r="D439" s="1072">
        <v>264</v>
      </c>
      <c r="E439" s="1072">
        <f t="shared" si="6"/>
        <v>714</v>
      </c>
    </row>
    <row r="440" spans="1:5">
      <c r="A440" s="1072" t="s">
        <v>1241</v>
      </c>
      <c r="B440" s="1072">
        <v>10344648</v>
      </c>
      <c r="C440" s="1072">
        <v>668</v>
      </c>
      <c r="D440" s="1072">
        <v>351</v>
      </c>
      <c r="E440" s="1072">
        <f t="shared" si="6"/>
        <v>1019</v>
      </c>
    </row>
    <row r="441" spans="1:5">
      <c r="A441" s="1072" t="s">
        <v>1241</v>
      </c>
      <c r="B441" s="1072">
        <v>10354648</v>
      </c>
      <c r="C441" s="1072">
        <v>546</v>
      </c>
      <c r="D441" s="1072">
        <v>467</v>
      </c>
      <c r="E441" s="1072">
        <f t="shared" si="6"/>
        <v>1013</v>
      </c>
    </row>
    <row r="442" spans="1:5">
      <c r="A442" s="1072" t="s">
        <v>1241</v>
      </c>
      <c r="B442" s="1072">
        <v>10364648</v>
      </c>
      <c r="C442" s="1072">
        <v>477</v>
      </c>
      <c r="D442" s="1072">
        <v>410</v>
      </c>
      <c r="E442" s="1072">
        <f t="shared" si="6"/>
        <v>887</v>
      </c>
    </row>
    <row r="443" spans="1:5">
      <c r="A443" s="1072" t="s">
        <v>1241</v>
      </c>
      <c r="B443" s="1072">
        <v>10374648</v>
      </c>
      <c r="C443" s="1072">
        <v>551</v>
      </c>
      <c r="D443" s="1072">
        <v>502</v>
      </c>
      <c r="E443" s="1072">
        <f t="shared" si="6"/>
        <v>1053</v>
      </c>
    </row>
    <row r="444" spans="1:5">
      <c r="A444" s="1072" t="s">
        <v>1241</v>
      </c>
      <c r="B444" s="1072">
        <v>10384648</v>
      </c>
      <c r="C444" s="1072">
        <v>303</v>
      </c>
      <c r="D444" s="1072">
        <v>297</v>
      </c>
      <c r="E444" s="1072">
        <f t="shared" si="6"/>
        <v>600</v>
      </c>
    </row>
    <row r="445" spans="1:5">
      <c r="A445" s="1072" t="s">
        <v>1241</v>
      </c>
      <c r="B445" s="1072">
        <v>10394648</v>
      </c>
      <c r="C445" s="1072">
        <v>409</v>
      </c>
      <c r="D445" s="1072">
        <v>284</v>
      </c>
      <c r="E445" s="1072">
        <f t="shared" si="6"/>
        <v>693</v>
      </c>
    </row>
    <row r="446" spans="1:5">
      <c r="A446" s="1072" t="s">
        <v>1241</v>
      </c>
      <c r="B446" s="1072">
        <v>10404648</v>
      </c>
      <c r="C446" s="1072">
        <v>296</v>
      </c>
      <c r="D446" s="1072">
        <v>288</v>
      </c>
      <c r="E446" s="1072">
        <f t="shared" si="6"/>
        <v>584</v>
      </c>
    </row>
    <row r="447" spans="1:5">
      <c r="A447" s="1072" t="s">
        <v>1241</v>
      </c>
      <c r="B447" s="1072">
        <v>10414648</v>
      </c>
      <c r="C447" s="1072">
        <v>304</v>
      </c>
      <c r="D447" s="1072">
        <v>280</v>
      </c>
      <c r="E447" s="1072">
        <f t="shared" si="6"/>
        <v>584</v>
      </c>
    </row>
    <row r="448" spans="1:5">
      <c r="A448" s="1072" t="s">
        <v>1241</v>
      </c>
      <c r="B448" s="1072">
        <v>10424648</v>
      </c>
      <c r="C448" s="1072">
        <v>297</v>
      </c>
      <c r="D448" s="1072">
        <v>281</v>
      </c>
      <c r="E448" s="1072">
        <f t="shared" si="6"/>
        <v>578</v>
      </c>
    </row>
    <row r="449" spans="1:5">
      <c r="A449" s="1072" t="s">
        <v>1241</v>
      </c>
      <c r="B449" s="1072">
        <v>10434648</v>
      </c>
      <c r="C449" s="1072">
        <v>291</v>
      </c>
      <c r="D449" s="1072">
        <v>262</v>
      </c>
      <c r="E449" s="1072">
        <f t="shared" si="6"/>
        <v>553</v>
      </c>
    </row>
    <row r="450" spans="1:5">
      <c r="A450" s="1072" t="s">
        <v>1241</v>
      </c>
      <c r="B450" s="1072">
        <v>10444648</v>
      </c>
      <c r="C450" s="1072">
        <v>288</v>
      </c>
      <c r="D450" s="1072">
        <v>249</v>
      </c>
      <c r="E450" s="1072">
        <f t="shared" ref="E450:E513" si="7">C450+D450</f>
        <v>537</v>
      </c>
    </row>
    <row r="451" spans="1:5">
      <c r="A451" s="1072" t="s">
        <v>1241</v>
      </c>
      <c r="B451" s="1072">
        <v>10454648</v>
      </c>
      <c r="C451" s="1072">
        <v>788</v>
      </c>
      <c r="D451" s="1072">
        <v>520</v>
      </c>
      <c r="E451" s="1072">
        <f t="shared" si="7"/>
        <v>1308</v>
      </c>
    </row>
    <row r="452" spans="1:5">
      <c r="A452" s="1072" t="s">
        <v>1241</v>
      </c>
      <c r="B452" s="1072">
        <v>11003233</v>
      </c>
      <c r="C452" s="1072">
        <v>352</v>
      </c>
      <c r="D452" s="1072">
        <v>347</v>
      </c>
      <c r="E452" s="1072">
        <f t="shared" si="7"/>
        <v>699</v>
      </c>
    </row>
    <row r="453" spans="1:5">
      <c r="A453" s="1072" t="s">
        <v>1241</v>
      </c>
      <c r="B453" s="1072">
        <v>11003333</v>
      </c>
      <c r="C453" s="1072">
        <v>1030</v>
      </c>
      <c r="D453" s="1072">
        <v>381</v>
      </c>
      <c r="E453" s="1072">
        <f t="shared" si="7"/>
        <v>1411</v>
      </c>
    </row>
    <row r="454" spans="1:5">
      <c r="A454" s="1072" t="s">
        <v>1241</v>
      </c>
      <c r="B454" s="1072">
        <v>11013233</v>
      </c>
      <c r="C454" s="1072">
        <v>379</v>
      </c>
      <c r="D454" s="1072">
        <v>322</v>
      </c>
      <c r="E454" s="1072">
        <f t="shared" si="7"/>
        <v>701</v>
      </c>
    </row>
    <row r="455" spans="1:5">
      <c r="A455" s="1072" t="s">
        <v>1241</v>
      </c>
      <c r="B455" s="1072">
        <v>11013333</v>
      </c>
      <c r="C455" s="1072">
        <v>525</v>
      </c>
      <c r="D455" s="1072">
        <v>119</v>
      </c>
      <c r="E455" s="1072">
        <f t="shared" si="7"/>
        <v>644</v>
      </c>
    </row>
    <row r="456" spans="1:5">
      <c r="A456" s="1072" t="s">
        <v>1241</v>
      </c>
      <c r="B456" s="1072">
        <v>11014650</v>
      </c>
      <c r="C456" s="1072">
        <v>564</v>
      </c>
      <c r="D456" s="1072">
        <v>508</v>
      </c>
      <c r="E456" s="1072">
        <f t="shared" si="7"/>
        <v>1072</v>
      </c>
    </row>
    <row r="457" spans="1:5">
      <c r="A457" s="1072" t="s">
        <v>1241</v>
      </c>
      <c r="B457" s="1072">
        <v>11023233</v>
      </c>
      <c r="C457" s="1072">
        <v>462</v>
      </c>
      <c r="D457" s="1072">
        <v>77</v>
      </c>
      <c r="E457" s="1072">
        <f t="shared" si="7"/>
        <v>539</v>
      </c>
    </row>
    <row r="458" spans="1:5">
      <c r="A458" s="1072" t="s">
        <v>1241</v>
      </c>
      <c r="B458" s="1072">
        <v>11023333</v>
      </c>
      <c r="C458" s="1072">
        <v>431</v>
      </c>
      <c r="D458" s="1072">
        <v>90</v>
      </c>
      <c r="E458" s="1072">
        <f t="shared" si="7"/>
        <v>521</v>
      </c>
    </row>
    <row r="459" spans="1:5">
      <c r="A459" s="1072" t="s">
        <v>1241</v>
      </c>
      <c r="B459" s="1072">
        <v>11024650</v>
      </c>
      <c r="C459" s="1072">
        <v>582</v>
      </c>
      <c r="D459" s="1072">
        <v>314</v>
      </c>
      <c r="E459" s="1072">
        <f t="shared" si="7"/>
        <v>896</v>
      </c>
    </row>
    <row r="460" spans="1:5">
      <c r="A460" s="1072" t="s">
        <v>1241</v>
      </c>
      <c r="B460" s="1072">
        <v>11033233</v>
      </c>
      <c r="C460" s="1072">
        <v>310</v>
      </c>
      <c r="D460" s="1072">
        <v>263</v>
      </c>
      <c r="E460" s="1072">
        <f t="shared" si="7"/>
        <v>573</v>
      </c>
    </row>
    <row r="461" spans="1:5">
      <c r="A461" s="1072" t="s">
        <v>1241</v>
      </c>
      <c r="B461" s="1072">
        <v>11033333</v>
      </c>
      <c r="C461" s="1072">
        <v>607</v>
      </c>
      <c r="D461" s="1072">
        <v>99</v>
      </c>
      <c r="E461" s="1072">
        <f t="shared" si="7"/>
        <v>706</v>
      </c>
    </row>
    <row r="462" spans="1:5">
      <c r="A462" s="1072" t="s">
        <v>1241</v>
      </c>
      <c r="B462" s="1072">
        <v>11043233</v>
      </c>
      <c r="C462" s="1072">
        <v>591</v>
      </c>
      <c r="D462" s="1072">
        <v>150</v>
      </c>
      <c r="E462" s="1072">
        <f t="shared" si="7"/>
        <v>741</v>
      </c>
    </row>
    <row r="463" spans="1:5">
      <c r="A463" s="1072" t="s">
        <v>1241</v>
      </c>
      <c r="B463" s="1072">
        <v>11043333</v>
      </c>
      <c r="C463" s="1072">
        <v>752</v>
      </c>
      <c r="D463" s="1072">
        <v>107</v>
      </c>
      <c r="E463" s="1072">
        <f t="shared" si="7"/>
        <v>859</v>
      </c>
    </row>
    <row r="464" spans="1:5">
      <c r="A464" s="1072" t="s">
        <v>1241</v>
      </c>
      <c r="B464" s="1072">
        <v>11044650</v>
      </c>
      <c r="C464" s="1072">
        <v>1253</v>
      </c>
      <c r="D464" s="1072">
        <v>428</v>
      </c>
      <c r="E464" s="1072">
        <f t="shared" si="7"/>
        <v>1681</v>
      </c>
    </row>
    <row r="465" spans="1:5">
      <c r="A465" s="1072" t="s">
        <v>1241</v>
      </c>
      <c r="B465" s="1072">
        <v>11053233</v>
      </c>
      <c r="C465" s="1072">
        <v>274</v>
      </c>
      <c r="D465" s="1072">
        <v>203</v>
      </c>
      <c r="E465" s="1072">
        <f t="shared" si="7"/>
        <v>477</v>
      </c>
    </row>
    <row r="466" spans="1:5">
      <c r="A466" s="1072" t="s">
        <v>1241</v>
      </c>
      <c r="B466" s="1072">
        <v>11053333</v>
      </c>
      <c r="C466" s="1072">
        <v>580</v>
      </c>
      <c r="D466" s="1072">
        <v>217</v>
      </c>
      <c r="E466" s="1072">
        <f t="shared" si="7"/>
        <v>797</v>
      </c>
    </row>
    <row r="467" spans="1:5">
      <c r="A467" s="1072" t="s">
        <v>1241</v>
      </c>
      <c r="B467" s="1072">
        <v>11054650</v>
      </c>
      <c r="C467" s="1072">
        <v>623</v>
      </c>
      <c r="D467" s="1072">
        <v>207</v>
      </c>
      <c r="E467" s="1072">
        <f t="shared" si="7"/>
        <v>830</v>
      </c>
    </row>
    <row r="468" spans="1:5">
      <c r="A468" s="1072" t="s">
        <v>1241</v>
      </c>
      <c r="B468" s="1072">
        <v>11063233</v>
      </c>
      <c r="C468" s="1072">
        <v>331</v>
      </c>
      <c r="D468" s="1072">
        <v>262</v>
      </c>
      <c r="E468" s="1072">
        <f t="shared" si="7"/>
        <v>593</v>
      </c>
    </row>
    <row r="469" spans="1:5">
      <c r="A469" s="1072" t="s">
        <v>1241</v>
      </c>
      <c r="B469" s="1072">
        <v>11063333</v>
      </c>
      <c r="C469" s="1072">
        <v>307</v>
      </c>
      <c r="D469" s="1072">
        <v>36</v>
      </c>
      <c r="E469" s="1072">
        <f t="shared" si="7"/>
        <v>343</v>
      </c>
    </row>
    <row r="470" spans="1:5">
      <c r="A470" s="1072" t="s">
        <v>1241</v>
      </c>
      <c r="B470" s="1072">
        <v>11064650</v>
      </c>
      <c r="C470" s="1072">
        <v>370</v>
      </c>
      <c r="D470" s="1072">
        <v>341</v>
      </c>
      <c r="E470" s="1072">
        <f t="shared" si="7"/>
        <v>711</v>
      </c>
    </row>
    <row r="471" spans="1:5">
      <c r="A471" s="1072" t="s">
        <v>1241</v>
      </c>
      <c r="B471" s="1072">
        <v>11073233</v>
      </c>
      <c r="C471" s="1072">
        <v>486</v>
      </c>
      <c r="D471" s="1072">
        <v>351</v>
      </c>
      <c r="E471" s="1072">
        <f t="shared" si="7"/>
        <v>837</v>
      </c>
    </row>
    <row r="472" spans="1:5">
      <c r="A472" s="1072" t="s">
        <v>1241</v>
      </c>
      <c r="B472" s="1072">
        <v>11074650</v>
      </c>
      <c r="C472" s="1072">
        <v>412</v>
      </c>
      <c r="D472" s="1072">
        <v>313</v>
      </c>
      <c r="E472" s="1072">
        <f t="shared" si="7"/>
        <v>725</v>
      </c>
    </row>
    <row r="473" spans="1:5">
      <c r="A473" s="1072" t="s">
        <v>1241</v>
      </c>
      <c r="B473" s="1072">
        <v>11083233</v>
      </c>
      <c r="C473" s="1072">
        <v>112</v>
      </c>
      <c r="D473" s="1072">
        <v>23</v>
      </c>
      <c r="E473" s="1072">
        <f t="shared" si="7"/>
        <v>135</v>
      </c>
    </row>
    <row r="474" spans="1:5">
      <c r="A474" s="1072" t="s">
        <v>1241</v>
      </c>
      <c r="B474" s="1072">
        <v>11084650</v>
      </c>
      <c r="C474" s="1072">
        <v>320</v>
      </c>
      <c r="D474" s="1072">
        <v>226</v>
      </c>
      <c r="E474" s="1072">
        <f t="shared" si="7"/>
        <v>546</v>
      </c>
    </row>
    <row r="475" spans="1:5">
      <c r="A475" s="1072" t="s">
        <v>1241</v>
      </c>
      <c r="B475" s="1072">
        <v>11093233</v>
      </c>
      <c r="C475" s="1072">
        <v>488</v>
      </c>
      <c r="D475" s="1072">
        <v>156</v>
      </c>
      <c r="E475" s="1072">
        <f t="shared" si="7"/>
        <v>644</v>
      </c>
    </row>
    <row r="476" spans="1:5">
      <c r="A476" s="1072" t="s">
        <v>1241</v>
      </c>
      <c r="B476" s="1072">
        <v>11094650</v>
      </c>
      <c r="C476" s="1072">
        <v>567</v>
      </c>
      <c r="D476" s="1072">
        <v>220</v>
      </c>
      <c r="E476" s="1072">
        <f t="shared" si="7"/>
        <v>787</v>
      </c>
    </row>
    <row r="477" spans="1:5">
      <c r="A477" s="1072" t="s">
        <v>1241</v>
      </c>
      <c r="B477" s="1072">
        <v>11103233</v>
      </c>
      <c r="C477" s="1072">
        <v>296</v>
      </c>
      <c r="D477" s="1072">
        <v>97</v>
      </c>
      <c r="E477" s="1072">
        <f t="shared" si="7"/>
        <v>393</v>
      </c>
    </row>
    <row r="478" spans="1:5">
      <c r="A478" s="1072" t="s">
        <v>1241</v>
      </c>
      <c r="B478" s="1072">
        <v>11104650</v>
      </c>
      <c r="C478" s="1072">
        <v>597</v>
      </c>
      <c r="D478" s="1072">
        <v>162</v>
      </c>
      <c r="E478" s="1072">
        <f t="shared" si="7"/>
        <v>759</v>
      </c>
    </row>
    <row r="479" spans="1:5">
      <c r="A479" s="1072" t="s">
        <v>1241</v>
      </c>
      <c r="B479" s="1072">
        <v>11113233</v>
      </c>
      <c r="C479" s="1072">
        <v>280</v>
      </c>
      <c r="D479" s="1072">
        <v>152</v>
      </c>
      <c r="E479" s="1072">
        <f t="shared" si="7"/>
        <v>432</v>
      </c>
    </row>
    <row r="480" spans="1:5">
      <c r="A480" s="1072" t="s">
        <v>1241</v>
      </c>
      <c r="B480" s="1072">
        <v>11114650</v>
      </c>
      <c r="C480" s="1072">
        <v>359</v>
      </c>
      <c r="D480" s="1072">
        <v>327</v>
      </c>
      <c r="E480" s="1072">
        <f t="shared" si="7"/>
        <v>686</v>
      </c>
    </row>
    <row r="481" spans="1:5">
      <c r="A481" s="1072" t="s">
        <v>1241</v>
      </c>
      <c r="B481" s="1072">
        <v>11123233</v>
      </c>
      <c r="C481" s="1072">
        <v>233</v>
      </c>
      <c r="D481" s="1072">
        <v>199</v>
      </c>
      <c r="E481" s="1072">
        <f t="shared" si="7"/>
        <v>432</v>
      </c>
    </row>
    <row r="482" spans="1:5">
      <c r="A482" s="1072" t="s">
        <v>1241</v>
      </c>
      <c r="B482" s="1072">
        <v>11124650</v>
      </c>
      <c r="C482" s="1072">
        <v>423</v>
      </c>
      <c r="D482" s="1072">
        <v>162</v>
      </c>
      <c r="E482" s="1072">
        <f t="shared" si="7"/>
        <v>585</v>
      </c>
    </row>
    <row r="483" spans="1:5">
      <c r="A483" s="1072" t="s">
        <v>1241</v>
      </c>
      <c r="B483" s="1072">
        <v>11133233</v>
      </c>
      <c r="C483" s="1072">
        <v>322</v>
      </c>
      <c r="D483" s="1072">
        <v>174</v>
      </c>
      <c r="E483" s="1072">
        <f t="shared" si="7"/>
        <v>496</v>
      </c>
    </row>
    <row r="484" spans="1:5">
      <c r="A484" s="1072" t="s">
        <v>1241</v>
      </c>
      <c r="B484" s="1072">
        <v>11134650</v>
      </c>
      <c r="C484" s="1072">
        <v>558</v>
      </c>
      <c r="D484" s="1072">
        <v>327</v>
      </c>
      <c r="E484" s="1072">
        <f t="shared" si="7"/>
        <v>885</v>
      </c>
    </row>
    <row r="485" spans="1:5">
      <c r="A485" s="1072" t="s">
        <v>1241</v>
      </c>
      <c r="B485" s="1072">
        <v>11143233</v>
      </c>
      <c r="C485" s="1072">
        <v>261</v>
      </c>
      <c r="D485" s="1072">
        <v>204</v>
      </c>
      <c r="E485" s="1072">
        <f t="shared" si="7"/>
        <v>465</v>
      </c>
    </row>
    <row r="486" spans="1:5">
      <c r="A486" s="1072" t="s">
        <v>1241</v>
      </c>
      <c r="B486" s="1072">
        <v>11144650</v>
      </c>
      <c r="C486" s="1072">
        <v>828</v>
      </c>
      <c r="D486" s="1072">
        <v>313</v>
      </c>
      <c r="E486" s="1072">
        <f t="shared" si="7"/>
        <v>1141</v>
      </c>
    </row>
    <row r="487" spans="1:5">
      <c r="A487" s="1072" t="s">
        <v>1241</v>
      </c>
      <c r="B487" s="1072">
        <v>11154650</v>
      </c>
      <c r="C487" s="1072">
        <v>642</v>
      </c>
      <c r="D487" s="1072">
        <v>539</v>
      </c>
      <c r="E487" s="1072">
        <f t="shared" si="7"/>
        <v>1181</v>
      </c>
    </row>
    <row r="488" spans="1:5">
      <c r="A488" s="1072" t="s">
        <v>1241</v>
      </c>
      <c r="B488" s="1072">
        <v>11164650</v>
      </c>
      <c r="C488" s="1072">
        <v>526</v>
      </c>
      <c r="D488" s="1072">
        <v>272</v>
      </c>
      <c r="E488" s="1072">
        <f t="shared" si="7"/>
        <v>798</v>
      </c>
    </row>
    <row r="489" spans="1:5">
      <c r="A489" s="1072" t="s">
        <v>1241</v>
      </c>
      <c r="B489" s="1072">
        <v>11174650</v>
      </c>
      <c r="C489" s="1072">
        <v>939</v>
      </c>
      <c r="D489" s="1072">
        <v>52</v>
      </c>
      <c r="E489" s="1072">
        <f t="shared" si="7"/>
        <v>991</v>
      </c>
    </row>
    <row r="490" spans="1:5">
      <c r="A490" s="1072" t="s">
        <v>1241</v>
      </c>
      <c r="B490" s="1072">
        <v>11184650</v>
      </c>
      <c r="C490" s="1072">
        <v>461</v>
      </c>
      <c r="D490" s="1072">
        <v>201</v>
      </c>
      <c r="E490" s="1072">
        <f t="shared" si="7"/>
        <v>662</v>
      </c>
    </row>
    <row r="491" spans="1:5">
      <c r="A491" s="1072" t="s">
        <v>1241</v>
      </c>
      <c r="B491" s="1072">
        <v>11194650</v>
      </c>
      <c r="C491" s="1072">
        <v>290</v>
      </c>
      <c r="D491" s="1072">
        <v>252</v>
      </c>
      <c r="E491" s="1072">
        <f t="shared" si="7"/>
        <v>542</v>
      </c>
    </row>
    <row r="492" spans="1:5">
      <c r="A492" s="1072" t="s">
        <v>1241</v>
      </c>
      <c r="B492" s="1072">
        <v>11204650</v>
      </c>
      <c r="C492" s="1072">
        <v>348</v>
      </c>
      <c r="D492" s="1072">
        <v>245</v>
      </c>
      <c r="E492" s="1072">
        <f t="shared" si="7"/>
        <v>593</v>
      </c>
    </row>
    <row r="493" spans="1:5">
      <c r="A493" s="1072" t="s">
        <v>1241</v>
      </c>
      <c r="B493" s="1072">
        <v>11214650</v>
      </c>
      <c r="C493" s="1072">
        <v>328</v>
      </c>
      <c r="D493" s="1072">
        <v>196</v>
      </c>
      <c r="E493" s="1072">
        <f t="shared" si="7"/>
        <v>524</v>
      </c>
    </row>
    <row r="494" spans="1:5">
      <c r="A494" s="1072" t="s">
        <v>1241</v>
      </c>
      <c r="B494" s="1072">
        <v>11224650</v>
      </c>
      <c r="C494" s="1072">
        <v>363</v>
      </c>
      <c r="D494" s="1072">
        <v>289</v>
      </c>
      <c r="E494" s="1072">
        <f t="shared" si="7"/>
        <v>652</v>
      </c>
    </row>
    <row r="495" spans="1:5">
      <c r="A495" s="1072" t="s">
        <v>1241</v>
      </c>
      <c r="B495" s="1072">
        <v>11234650</v>
      </c>
      <c r="C495" s="1072">
        <v>298</v>
      </c>
      <c r="D495" s="1072">
        <v>240</v>
      </c>
      <c r="E495" s="1072">
        <f t="shared" si="7"/>
        <v>538</v>
      </c>
    </row>
    <row r="496" spans="1:5">
      <c r="A496" s="1072" t="s">
        <v>1241</v>
      </c>
      <c r="B496" s="1072">
        <v>11244650</v>
      </c>
      <c r="C496" s="1072">
        <v>463</v>
      </c>
      <c r="D496" s="1072">
        <v>203</v>
      </c>
      <c r="E496" s="1072">
        <f t="shared" si="7"/>
        <v>666</v>
      </c>
    </row>
    <row r="497" spans="1:5">
      <c r="A497" s="1072" t="s">
        <v>1241</v>
      </c>
      <c r="B497" s="1072">
        <v>11254650</v>
      </c>
      <c r="C497" s="1072">
        <v>729</v>
      </c>
      <c r="D497" s="1072">
        <v>133</v>
      </c>
      <c r="E497" s="1072">
        <f t="shared" si="7"/>
        <v>862</v>
      </c>
    </row>
    <row r="498" spans="1:5">
      <c r="A498" s="1072" t="s">
        <v>1241</v>
      </c>
      <c r="B498" s="1072">
        <v>11264650</v>
      </c>
      <c r="C498" s="1072">
        <v>335</v>
      </c>
      <c r="D498" s="1072">
        <v>229</v>
      </c>
      <c r="E498" s="1072">
        <f t="shared" si="7"/>
        <v>564</v>
      </c>
    </row>
    <row r="499" spans="1:5">
      <c r="A499" s="1072" t="s">
        <v>1241</v>
      </c>
      <c r="B499" s="1072">
        <v>11274650</v>
      </c>
      <c r="C499" s="1072">
        <v>342</v>
      </c>
      <c r="D499" s="1072">
        <v>278</v>
      </c>
      <c r="E499" s="1072">
        <f t="shared" si="7"/>
        <v>620</v>
      </c>
    </row>
    <row r="500" spans="1:5">
      <c r="A500" s="1072" t="s">
        <v>1241</v>
      </c>
      <c r="B500" s="1072">
        <v>11284650</v>
      </c>
      <c r="C500" s="1072">
        <v>415</v>
      </c>
      <c r="D500" s="1072">
        <v>356</v>
      </c>
      <c r="E500" s="1072">
        <f t="shared" si="7"/>
        <v>771</v>
      </c>
    </row>
    <row r="501" spans="1:5">
      <c r="A501" s="1072" t="s">
        <v>1241</v>
      </c>
      <c r="B501" s="1072">
        <v>11294650</v>
      </c>
      <c r="C501" s="1072">
        <v>423</v>
      </c>
      <c r="D501" s="1072">
        <v>171</v>
      </c>
      <c r="E501" s="1072">
        <f t="shared" si="7"/>
        <v>594</v>
      </c>
    </row>
    <row r="502" spans="1:5">
      <c r="A502" s="1072" t="s">
        <v>1241</v>
      </c>
      <c r="B502" s="1072">
        <v>11302257</v>
      </c>
      <c r="C502" s="1072">
        <v>13</v>
      </c>
      <c r="D502" s="1072">
        <v>21</v>
      </c>
      <c r="E502" s="1072">
        <f t="shared" si="7"/>
        <v>34</v>
      </c>
    </row>
    <row r="503" spans="1:5">
      <c r="A503" s="1072" t="s">
        <v>1241</v>
      </c>
      <c r="B503" s="1072">
        <v>11304650</v>
      </c>
      <c r="C503" s="1072">
        <v>275</v>
      </c>
      <c r="D503" s="1072">
        <v>237</v>
      </c>
      <c r="E503" s="1072">
        <f t="shared" si="7"/>
        <v>512</v>
      </c>
    </row>
    <row r="504" spans="1:5">
      <c r="A504" s="1072" t="s">
        <v>1241</v>
      </c>
      <c r="B504" s="1072">
        <v>11314650</v>
      </c>
      <c r="C504" s="1072">
        <v>383</v>
      </c>
      <c r="D504" s="1072">
        <v>307</v>
      </c>
      <c r="E504" s="1072">
        <f t="shared" si="7"/>
        <v>690</v>
      </c>
    </row>
    <row r="505" spans="1:5">
      <c r="A505" s="1072" t="s">
        <v>1241</v>
      </c>
      <c r="B505" s="1072">
        <v>11324650</v>
      </c>
      <c r="C505" s="1072">
        <v>394</v>
      </c>
      <c r="D505" s="1072">
        <v>293</v>
      </c>
      <c r="E505" s="1072">
        <f t="shared" si="7"/>
        <v>687</v>
      </c>
    </row>
    <row r="506" spans="1:5">
      <c r="A506" s="1072" t="s">
        <v>1241</v>
      </c>
      <c r="B506" s="1072">
        <v>11334650</v>
      </c>
      <c r="C506" s="1072">
        <v>493</v>
      </c>
      <c r="D506" s="1072">
        <v>411</v>
      </c>
      <c r="E506" s="1072">
        <f t="shared" si="7"/>
        <v>904</v>
      </c>
    </row>
    <row r="507" spans="1:5">
      <c r="A507" s="1072" t="s">
        <v>1241</v>
      </c>
      <c r="B507" s="1072">
        <v>11344650</v>
      </c>
      <c r="C507" s="1072">
        <v>453</v>
      </c>
      <c r="D507" s="1072">
        <v>378</v>
      </c>
      <c r="E507" s="1072">
        <f t="shared" si="7"/>
        <v>831</v>
      </c>
    </row>
    <row r="508" spans="1:5">
      <c r="A508" s="1072" t="s">
        <v>1241</v>
      </c>
      <c r="B508" s="1072">
        <v>11354650</v>
      </c>
      <c r="C508" s="1072">
        <v>550</v>
      </c>
      <c r="D508" s="1072">
        <v>471</v>
      </c>
      <c r="E508" s="1072">
        <f t="shared" si="7"/>
        <v>1021</v>
      </c>
    </row>
    <row r="509" spans="1:5">
      <c r="A509" s="1072" t="s">
        <v>1241</v>
      </c>
      <c r="B509" s="1072">
        <v>11364650</v>
      </c>
      <c r="C509" s="1072">
        <v>614</v>
      </c>
      <c r="D509" s="1072">
        <v>406</v>
      </c>
      <c r="E509" s="1072">
        <f t="shared" si="7"/>
        <v>1020</v>
      </c>
    </row>
    <row r="510" spans="1:5">
      <c r="A510" s="1072" t="s">
        <v>1241</v>
      </c>
      <c r="B510" s="1072">
        <v>11374650</v>
      </c>
      <c r="C510" s="1072">
        <v>554</v>
      </c>
      <c r="D510" s="1072">
        <v>497</v>
      </c>
      <c r="E510" s="1072">
        <f t="shared" si="7"/>
        <v>1051</v>
      </c>
    </row>
    <row r="511" spans="1:5">
      <c r="A511" s="1072" t="s">
        <v>1241</v>
      </c>
      <c r="B511" s="1072">
        <v>11384650</v>
      </c>
      <c r="C511" s="1072">
        <v>508</v>
      </c>
      <c r="D511" s="1072">
        <v>378</v>
      </c>
      <c r="E511" s="1072">
        <f t="shared" si="7"/>
        <v>886</v>
      </c>
    </row>
    <row r="512" spans="1:5">
      <c r="A512" s="1072" t="s">
        <v>1241</v>
      </c>
      <c r="B512" s="1072">
        <v>11394650</v>
      </c>
      <c r="C512" s="1072">
        <v>634</v>
      </c>
      <c r="D512" s="1072">
        <v>166</v>
      </c>
      <c r="E512" s="1072">
        <f t="shared" si="7"/>
        <v>800</v>
      </c>
    </row>
    <row r="513" spans="1:5">
      <c r="A513" s="1072" t="s">
        <v>1241</v>
      </c>
      <c r="B513" s="1072">
        <v>12003333</v>
      </c>
      <c r="C513" s="1072">
        <v>395</v>
      </c>
      <c r="D513" s="1072">
        <v>101</v>
      </c>
      <c r="E513" s="1072">
        <f t="shared" si="7"/>
        <v>496</v>
      </c>
    </row>
    <row r="514" spans="1:5">
      <c r="A514" s="1072" t="s">
        <v>1241</v>
      </c>
      <c r="B514" s="1072">
        <v>12003415</v>
      </c>
      <c r="C514" s="1072">
        <v>2</v>
      </c>
      <c r="D514" s="1072">
        <v>1</v>
      </c>
      <c r="E514" s="1072">
        <f t="shared" ref="E514:E577" si="8">C514+D514</f>
        <v>3</v>
      </c>
    </row>
    <row r="515" spans="1:5">
      <c r="A515" s="1072" t="s">
        <v>1241</v>
      </c>
      <c r="B515" s="1072">
        <v>12004515</v>
      </c>
      <c r="C515" s="1072">
        <v>145</v>
      </c>
      <c r="D515" s="1072">
        <v>42</v>
      </c>
      <c r="E515" s="1072">
        <f t="shared" si="8"/>
        <v>187</v>
      </c>
    </row>
    <row r="516" spans="1:5">
      <c r="A516" s="1072" t="s">
        <v>1241</v>
      </c>
      <c r="B516" s="1072">
        <v>12013333</v>
      </c>
      <c r="C516" s="1072">
        <v>1237</v>
      </c>
      <c r="D516" s="1072">
        <v>6</v>
      </c>
      <c r="E516" s="1072">
        <f t="shared" si="8"/>
        <v>1243</v>
      </c>
    </row>
    <row r="517" spans="1:5">
      <c r="A517" s="1072" t="s">
        <v>1241</v>
      </c>
      <c r="B517" s="1072">
        <v>12014650</v>
      </c>
      <c r="C517" s="1072">
        <v>335</v>
      </c>
      <c r="D517" s="1072">
        <v>325</v>
      </c>
      <c r="E517" s="1072">
        <f t="shared" si="8"/>
        <v>660</v>
      </c>
    </row>
    <row r="518" spans="1:5">
      <c r="A518" s="1072" t="s">
        <v>1241</v>
      </c>
      <c r="B518" s="1072">
        <v>12015139</v>
      </c>
      <c r="C518" s="1072">
        <v>190</v>
      </c>
      <c r="D518" s="1072">
        <v>175</v>
      </c>
      <c r="E518" s="1072">
        <f t="shared" si="8"/>
        <v>365</v>
      </c>
    </row>
    <row r="519" spans="1:5">
      <c r="A519" s="1072" t="s">
        <v>1241</v>
      </c>
      <c r="B519" s="1072">
        <v>12023333</v>
      </c>
      <c r="C519" s="1072">
        <v>746</v>
      </c>
      <c r="D519" s="1072">
        <v>26</v>
      </c>
      <c r="E519" s="1072">
        <f t="shared" si="8"/>
        <v>772</v>
      </c>
    </row>
    <row r="520" spans="1:5">
      <c r="A520" s="1072" t="s">
        <v>1241</v>
      </c>
      <c r="B520" s="1072">
        <v>12024650</v>
      </c>
      <c r="C520" s="1072">
        <v>355</v>
      </c>
      <c r="D520" s="1072">
        <v>346</v>
      </c>
      <c r="E520" s="1072">
        <f t="shared" si="8"/>
        <v>701</v>
      </c>
    </row>
    <row r="521" spans="1:5">
      <c r="A521" s="1072" t="s">
        <v>1241</v>
      </c>
      <c r="B521" s="1072">
        <v>12033333</v>
      </c>
      <c r="C521" s="1072">
        <v>653</v>
      </c>
      <c r="D521" s="1072">
        <v>215</v>
      </c>
      <c r="E521" s="1072">
        <f t="shared" si="8"/>
        <v>868</v>
      </c>
    </row>
    <row r="522" spans="1:5">
      <c r="A522" s="1072" t="s">
        <v>1241</v>
      </c>
      <c r="B522" s="1072">
        <v>12034650</v>
      </c>
      <c r="C522" s="1072">
        <v>337</v>
      </c>
      <c r="D522" s="1072">
        <v>331</v>
      </c>
      <c r="E522" s="1072">
        <f t="shared" si="8"/>
        <v>668</v>
      </c>
    </row>
    <row r="523" spans="1:5">
      <c r="A523" s="1072" t="s">
        <v>1241</v>
      </c>
      <c r="B523" s="1072">
        <v>12043333</v>
      </c>
      <c r="C523" s="1072">
        <v>322</v>
      </c>
      <c r="D523" s="1072">
        <v>313</v>
      </c>
      <c r="E523" s="1072">
        <f t="shared" si="8"/>
        <v>635</v>
      </c>
    </row>
    <row r="524" spans="1:5">
      <c r="A524" s="1072" t="s">
        <v>1241</v>
      </c>
      <c r="B524" s="1072">
        <v>12044650</v>
      </c>
      <c r="C524" s="1072">
        <v>376</v>
      </c>
      <c r="D524" s="1072">
        <v>294</v>
      </c>
      <c r="E524" s="1072">
        <f t="shared" si="8"/>
        <v>670</v>
      </c>
    </row>
    <row r="525" spans="1:5">
      <c r="A525" s="1072" t="s">
        <v>1241</v>
      </c>
      <c r="B525" s="1072">
        <v>12053333</v>
      </c>
      <c r="C525" s="1072">
        <v>339</v>
      </c>
      <c r="D525" s="1072">
        <v>321</v>
      </c>
      <c r="E525" s="1072">
        <f t="shared" si="8"/>
        <v>660</v>
      </c>
    </row>
    <row r="526" spans="1:5">
      <c r="A526" s="1072" t="s">
        <v>1241</v>
      </c>
      <c r="B526" s="1072">
        <v>12054650</v>
      </c>
      <c r="C526" s="1072">
        <v>785</v>
      </c>
      <c r="D526" s="1072">
        <v>110</v>
      </c>
      <c r="E526" s="1072">
        <f t="shared" si="8"/>
        <v>895</v>
      </c>
    </row>
    <row r="527" spans="1:5">
      <c r="A527" s="1072" t="s">
        <v>1241</v>
      </c>
      <c r="B527" s="1072">
        <v>12063333</v>
      </c>
      <c r="C527" s="1072">
        <v>354</v>
      </c>
      <c r="D527" s="1072">
        <v>196</v>
      </c>
      <c r="E527" s="1072">
        <f t="shared" si="8"/>
        <v>550</v>
      </c>
    </row>
    <row r="528" spans="1:5">
      <c r="A528" s="1072" t="s">
        <v>1241</v>
      </c>
      <c r="B528" s="1072">
        <v>12064650</v>
      </c>
      <c r="C528" s="1072">
        <v>367</v>
      </c>
      <c r="D528" s="1072">
        <v>257</v>
      </c>
      <c r="E528" s="1072">
        <f t="shared" si="8"/>
        <v>624</v>
      </c>
    </row>
    <row r="529" spans="1:5">
      <c r="A529" s="1072" t="s">
        <v>1241</v>
      </c>
      <c r="B529" s="1072">
        <v>12073333</v>
      </c>
      <c r="C529" s="1072">
        <v>252</v>
      </c>
      <c r="D529" s="1072">
        <v>164</v>
      </c>
      <c r="E529" s="1072">
        <f t="shared" si="8"/>
        <v>416</v>
      </c>
    </row>
    <row r="530" spans="1:5">
      <c r="A530" s="1072" t="s">
        <v>1241</v>
      </c>
      <c r="B530" s="1072">
        <v>12074650</v>
      </c>
      <c r="C530" s="1072">
        <v>623</v>
      </c>
      <c r="D530" s="1072">
        <v>202</v>
      </c>
      <c r="E530" s="1072">
        <f t="shared" si="8"/>
        <v>825</v>
      </c>
    </row>
    <row r="531" spans="1:5">
      <c r="A531" s="1072" t="s">
        <v>1241</v>
      </c>
      <c r="B531" s="1072">
        <v>12083333</v>
      </c>
      <c r="C531" s="1072">
        <v>383</v>
      </c>
      <c r="D531" s="1072">
        <v>278</v>
      </c>
      <c r="E531" s="1072">
        <f t="shared" si="8"/>
        <v>661</v>
      </c>
    </row>
    <row r="532" spans="1:5">
      <c r="A532" s="1072" t="s">
        <v>1241</v>
      </c>
      <c r="B532" s="1072">
        <v>12084650</v>
      </c>
      <c r="C532" s="1072">
        <v>270</v>
      </c>
      <c r="D532" s="1072">
        <v>263</v>
      </c>
      <c r="E532" s="1072">
        <f t="shared" si="8"/>
        <v>533</v>
      </c>
    </row>
    <row r="533" spans="1:5">
      <c r="A533" s="1072" t="s">
        <v>1241</v>
      </c>
      <c r="B533" s="1072">
        <v>12093333</v>
      </c>
      <c r="C533" s="1072">
        <v>336</v>
      </c>
      <c r="D533" s="1072">
        <v>266</v>
      </c>
      <c r="E533" s="1072">
        <f t="shared" si="8"/>
        <v>602</v>
      </c>
    </row>
    <row r="534" spans="1:5">
      <c r="A534" s="1072" t="s">
        <v>1241</v>
      </c>
      <c r="B534" s="1072">
        <v>12094650</v>
      </c>
      <c r="C534" s="1072">
        <v>384</v>
      </c>
      <c r="D534" s="1072">
        <v>299</v>
      </c>
      <c r="E534" s="1072">
        <f t="shared" si="8"/>
        <v>683</v>
      </c>
    </row>
    <row r="535" spans="1:5">
      <c r="A535" s="1072" t="s">
        <v>1241</v>
      </c>
      <c r="B535" s="1072">
        <v>12103333</v>
      </c>
      <c r="C535" s="1072">
        <v>964</v>
      </c>
      <c r="D535" s="1072">
        <v>65</v>
      </c>
      <c r="E535" s="1072">
        <f t="shared" si="8"/>
        <v>1029</v>
      </c>
    </row>
    <row r="536" spans="1:5">
      <c r="A536" s="1072" t="s">
        <v>1241</v>
      </c>
      <c r="B536" s="1072">
        <v>12104650</v>
      </c>
      <c r="C536" s="1072">
        <v>313</v>
      </c>
      <c r="D536" s="1072">
        <v>292</v>
      </c>
      <c r="E536" s="1072">
        <f t="shared" si="8"/>
        <v>605</v>
      </c>
    </row>
    <row r="537" spans="1:5">
      <c r="A537" s="1072" t="s">
        <v>1241</v>
      </c>
      <c r="B537" s="1072">
        <v>12113333</v>
      </c>
      <c r="C537" s="1072">
        <v>494</v>
      </c>
      <c r="D537" s="1072">
        <v>235</v>
      </c>
      <c r="E537" s="1072">
        <f t="shared" si="8"/>
        <v>729</v>
      </c>
    </row>
    <row r="538" spans="1:5">
      <c r="A538" s="1072" t="s">
        <v>1241</v>
      </c>
      <c r="B538" s="1072">
        <v>12114650</v>
      </c>
      <c r="C538" s="1072">
        <v>298</v>
      </c>
      <c r="D538" s="1072">
        <v>271</v>
      </c>
      <c r="E538" s="1072">
        <f t="shared" si="8"/>
        <v>569</v>
      </c>
    </row>
    <row r="539" spans="1:5">
      <c r="A539" s="1072" t="s">
        <v>1241</v>
      </c>
      <c r="B539" s="1072">
        <v>12123333</v>
      </c>
      <c r="C539" s="1072">
        <v>312</v>
      </c>
      <c r="D539" s="1072">
        <v>305</v>
      </c>
      <c r="E539" s="1072">
        <f t="shared" si="8"/>
        <v>617</v>
      </c>
    </row>
    <row r="540" spans="1:5">
      <c r="A540" s="1072" t="s">
        <v>1241</v>
      </c>
      <c r="B540" s="1072">
        <v>12124650</v>
      </c>
      <c r="C540" s="1072">
        <v>379</v>
      </c>
      <c r="D540" s="1072">
        <v>345</v>
      </c>
      <c r="E540" s="1072">
        <f t="shared" si="8"/>
        <v>724</v>
      </c>
    </row>
    <row r="541" spans="1:5">
      <c r="A541" s="1072" t="s">
        <v>1241</v>
      </c>
      <c r="B541" s="1072">
        <v>12133333</v>
      </c>
      <c r="C541" s="1072">
        <v>293</v>
      </c>
      <c r="D541" s="1072">
        <v>263</v>
      </c>
      <c r="E541" s="1072">
        <f t="shared" si="8"/>
        <v>556</v>
      </c>
    </row>
    <row r="542" spans="1:5">
      <c r="A542" s="1072" t="s">
        <v>1241</v>
      </c>
      <c r="B542" s="1072">
        <v>12134650</v>
      </c>
      <c r="C542" s="1072">
        <v>411</v>
      </c>
      <c r="D542" s="1072">
        <v>382</v>
      </c>
      <c r="E542" s="1072">
        <f t="shared" si="8"/>
        <v>793</v>
      </c>
    </row>
    <row r="543" spans="1:5">
      <c r="A543" s="1072" t="s">
        <v>1241</v>
      </c>
      <c r="B543" s="1072">
        <v>12143333</v>
      </c>
      <c r="C543" s="1072">
        <v>310</v>
      </c>
      <c r="D543" s="1072">
        <v>243</v>
      </c>
      <c r="E543" s="1072">
        <f t="shared" si="8"/>
        <v>553</v>
      </c>
    </row>
    <row r="544" spans="1:5">
      <c r="A544" s="1072" t="s">
        <v>1241</v>
      </c>
      <c r="B544" s="1072">
        <v>12144650</v>
      </c>
      <c r="C544" s="1072">
        <v>433</v>
      </c>
      <c r="D544" s="1072">
        <v>399</v>
      </c>
      <c r="E544" s="1072">
        <f t="shared" si="8"/>
        <v>832</v>
      </c>
    </row>
    <row r="545" spans="1:5">
      <c r="A545" s="1072" t="s">
        <v>1241</v>
      </c>
      <c r="B545" s="1072">
        <v>12153333</v>
      </c>
      <c r="C545" s="1072">
        <v>306</v>
      </c>
      <c r="D545" s="1072">
        <v>298</v>
      </c>
      <c r="E545" s="1072">
        <f t="shared" si="8"/>
        <v>604</v>
      </c>
    </row>
    <row r="546" spans="1:5">
      <c r="A546" s="1072" t="s">
        <v>1241</v>
      </c>
      <c r="B546" s="1072">
        <v>12154650</v>
      </c>
      <c r="C546" s="1072">
        <v>389</v>
      </c>
      <c r="D546" s="1072">
        <v>255</v>
      </c>
      <c r="E546" s="1072">
        <f t="shared" si="8"/>
        <v>644</v>
      </c>
    </row>
    <row r="547" spans="1:5">
      <c r="A547" s="1072" t="s">
        <v>1241</v>
      </c>
      <c r="B547" s="1072">
        <v>12163333</v>
      </c>
      <c r="C547" s="1072">
        <v>286</v>
      </c>
      <c r="D547" s="1072">
        <v>276</v>
      </c>
      <c r="E547" s="1072">
        <f t="shared" si="8"/>
        <v>562</v>
      </c>
    </row>
    <row r="548" spans="1:5">
      <c r="A548" s="1072" t="s">
        <v>1241</v>
      </c>
      <c r="B548" s="1072">
        <v>12164650</v>
      </c>
      <c r="C548" s="1072">
        <v>558</v>
      </c>
      <c r="D548" s="1072">
        <v>167</v>
      </c>
      <c r="E548" s="1072">
        <f t="shared" si="8"/>
        <v>725</v>
      </c>
    </row>
    <row r="549" spans="1:5">
      <c r="A549" s="1072" t="s">
        <v>1241</v>
      </c>
      <c r="B549" s="1072">
        <v>12173333</v>
      </c>
      <c r="C549" s="1072">
        <v>929</v>
      </c>
      <c r="D549" s="1072">
        <v>91</v>
      </c>
      <c r="E549" s="1072">
        <f t="shared" si="8"/>
        <v>1020</v>
      </c>
    </row>
    <row r="550" spans="1:5">
      <c r="A550" s="1072" t="s">
        <v>1241</v>
      </c>
      <c r="B550" s="1072">
        <v>12174650</v>
      </c>
      <c r="C550" s="1072">
        <v>311</v>
      </c>
      <c r="D550" s="1072">
        <v>275</v>
      </c>
      <c r="E550" s="1072">
        <f t="shared" si="8"/>
        <v>586</v>
      </c>
    </row>
    <row r="551" spans="1:5">
      <c r="A551" s="1072" t="s">
        <v>1241</v>
      </c>
      <c r="B551" s="1072">
        <v>12183333</v>
      </c>
      <c r="C551" s="1072">
        <v>551</v>
      </c>
      <c r="D551" s="1072">
        <v>107</v>
      </c>
      <c r="E551" s="1072">
        <f t="shared" si="8"/>
        <v>658</v>
      </c>
    </row>
    <row r="552" spans="1:5">
      <c r="A552" s="1072" t="s">
        <v>1241</v>
      </c>
      <c r="B552" s="1072">
        <v>12184650</v>
      </c>
      <c r="C552" s="1072">
        <v>270</v>
      </c>
      <c r="D552" s="1072">
        <v>221</v>
      </c>
      <c r="E552" s="1072">
        <f t="shared" si="8"/>
        <v>491</v>
      </c>
    </row>
    <row r="553" spans="1:5">
      <c r="A553" s="1072" t="s">
        <v>1241</v>
      </c>
      <c r="B553" s="1072">
        <v>12193333</v>
      </c>
      <c r="C553" s="1072">
        <v>260</v>
      </c>
      <c r="D553" s="1072">
        <v>257</v>
      </c>
      <c r="E553" s="1072">
        <f t="shared" si="8"/>
        <v>517</v>
      </c>
    </row>
    <row r="554" spans="1:5">
      <c r="A554" s="1072" t="s">
        <v>1241</v>
      </c>
      <c r="B554" s="1072">
        <v>12194650</v>
      </c>
      <c r="C554" s="1072">
        <v>259</v>
      </c>
      <c r="D554" s="1072">
        <v>194</v>
      </c>
      <c r="E554" s="1072">
        <f t="shared" si="8"/>
        <v>453</v>
      </c>
    </row>
    <row r="555" spans="1:5">
      <c r="A555" s="1072" t="s">
        <v>1241</v>
      </c>
      <c r="B555" s="1072">
        <v>12204650</v>
      </c>
      <c r="C555" s="1072">
        <v>320</v>
      </c>
      <c r="D555" s="1072">
        <v>271</v>
      </c>
      <c r="E555" s="1072">
        <f t="shared" si="8"/>
        <v>591</v>
      </c>
    </row>
    <row r="556" spans="1:5">
      <c r="A556" s="1072" t="s">
        <v>1241</v>
      </c>
      <c r="B556" s="1072">
        <v>12214650</v>
      </c>
      <c r="C556" s="1072">
        <v>372</v>
      </c>
      <c r="D556" s="1072">
        <v>323</v>
      </c>
      <c r="E556" s="1072">
        <f t="shared" si="8"/>
        <v>695</v>
      </c>
    </row>
    <row r="557" spans="1:5">
      <c r="A557" s="1072" t="s">
        <v>1241</v>
      </c>
      <c r="B557" s="1072">
        <v>12224650</v>
      </c>
      <c r="C557" s="1072">
        <v>475</v>
      </c>
      <c r="D557" s="1072">
        <v>245</v>
      </c>
      <c r="E557" s="1072">
        <f t="shared" si="8"/>
        <v>720</v>
      </c>
    </row>
    <row r="558" spans="1:5">
      <c r="A558" s="1072" t="s">
        <v>1241</v>
      </c>
      <c r="B558" s="1072">
        <v>12235150</v>
      </c>
      <c r="C558" s="1072">
        <v>1485</v>
      </c>
      <c r="D558" s="1072">
        <v>126</v>
      </c>
      <c r="E558" s="1072">
        <f t="shared" si="8"/>
        <v>1611</v>
      </c>
    </row>
    <row r="559" spans="1:5">
      <c r="A559" s="1072" t="s">
        <v>1241</v>
      </c>
      <c r="B559" s="1072">
        <v>12245150</v>
      </c>
      <c r="C559" s="1072">
        <v>519</v>
      </c>
      <c r="D559" s="1072">
        <v>211</v>
      </c>
      <c r="E559" s="1072">
        <f t="shared" si="8"/>
        <v>730</v>
      </c>
    </row>
    <row r="560" spans="1:5">
      <c r="A560" s="1072" t="s">
        <v>1241</v>
      </c>
      <c r="B560" s="1072">
        <v>12255150</v>
      </c>
      <c r="C560" s="1072">
        <v>313</v>
      </c>
      <c r="D560" s="1072">
        <v>301</v>
      </c>
      <c r="E560" s="1072">
        <f t="shared" si="8"/>
        <v>614</v>
      </c>
    </row>
    <row r="561" spans="1:5">
      <c r="A561" s="1072" t="s">
        <v>1241</v>
      </c>
      <c r="B561" s="1072">
        <v>12265150</v>
      </c>
      <c r="C561" s="1072">
        <v>607</v>
      </c>
      <c r="D561" s="1072">
        <v>373</v>
      </c>
      <c r="E561" s="1072">
        <f t="shared" si="8"/>
        <v>980</v>
      </c>
    </row>
    <row r="562" spans="1:5">
      <c r="A562" s="1072" t="s">
        <v>1241</v>
      </c>
      <c r="B562" s="1072">
        <v>12275150</v>
      </c>
      <c r="C562" s="1072">
        <v>981</v>
      </c>
      <c r="D562" s="1072">
        <v>102</v>
      </c>
      <c r="E562" s="1072">
        <f t="shared" si="8"/>
        <v>1083</v>
      </c>
    </row>
    <row r="563" spans="1:5">
      <c r="A563" s="1072" t="s">
        <v>1241</v>
      </c>
      <c r="B563" s="1072">
        <v>12285150</v>
      </c>
      <c r="C563" s="1072">
        <v>691</v>
      </c>
      <c r="D563" s="1072">
        <v>180</v>
      </c>
      <c r="E563" s="1072">
        <f t="shared" si="8"/>
        <v>871</v>
      </c>
    </row>
    <row r="564" spans="1:5">
      <c r="A564" s="1072" t="s">
        <v>1241</v>
      </c>
      <c r="B564" s="1072">
        <v>12295150</v>
      </c>
      <c r="C564" s="1072">
        <v>476</v>
      </c>
      <c r="D564" s="1072">
        <v>258</v>
      </c>
      <c r="E564" s="1072">
        <f t="shared" si="8"/>
        <v>734</v>
      </c>
    </row>
    <row r="565" spans="1:5">
      <c r="A565" s="1072" t="s">
        <v>1241</v>
      </c>
      <c r="B565" s="1072">
        <v>12305150</v>
      </c>
      <c r="C565" s="1072">
        <v>537</v>
      </c>
      <c r="D565" s="1072">
        <v>376</v>
      </c>
      <c r="E565" s="1072">
        <f t="shared" si="8"/>
        <v>913</v>
      </c>
    </row>
    <row r="566" spans="1:5">
      <c r="A566" s="1072" t="s">
        <v>1241</v>
      </c>
      <c r="B566" s="1072">
        <v>12315150</v>
      </c>
      <c r="C566" s="1072">
        <v>374</v>
      </c>
      <c r="D566" s="1072">
        <v>278</v>
      </c>
      <c r="E566" s="1072">
        <f t="shared" si="8"/>
        <v>652</v>
      </c>
    </row>
    <row r="567" spans="1:5">
      <c r="A567" s="1072" t="s">
        <v>1241</v>
      </c>
      <c r="B567" s="1072">
        <v>12325150</v>
      </c>
      <c r="C567" s="1072">
        <v>1300</v>
      </c>
      <c r="D567" s="1072">
        <v>120</v>
      </c>
      <c r="E567" s="1072">
        <f t="shared" si="8"/>
        <v>1420</v>
      </c>
    </row>
    <row r="568" spans="1:5">
      <c r="A568" s="1072" t="s">
        <v>1241</v>
      </c>
      <c r="B568" s="1072">
        <v>12335150</v>
      </c>
      <c r="C568" s="1072">
        <v>471</v>
      </c>
      <c r="D568" s="1072">
        <v>173</v>
      </c>
      <c r="E568" s="1072">
        <f t="shared" si="8"/>
        <v>644</v>
      </c>
    </row>
    <row r="569" spans="1:5">
      <c r="A569" s="1072" t="s">
        <v>1241</v>
      </c>
      <c r="B569" s="1072">
        <v>12345150</v>
      </c>
      <c r="C569" s="1072">
        <v>812</v>
      </c>
      <c r="D569" s="1072">
        <v>88</v>
      </c>
      <c r="E569" s="1072">
        <f t="shared" si="8"/>
        <v>900</v>
      </c>
    </row>
    <row r="570" spans="1:5">
      <c r="A570" s="1072" t="s">
        <v>1241</v>
      </c>
      <c r="B570" s="1072">
        <v>12355150</v>
      </c>
      <c r="C570" s="1072">
        <v>889</v>
      </c>
      <c r="D570" s="1072">
        <v>25</v>
      </c>
      <c r="E570" s="1072">
        <f t="shared" si="8"/>
        <v>914</v>
      </c>
    </row>
    <row r="571" spans="1:5">
      <c r="A571" s="1072" t="s">
        <v>1241</v>
      </c>
      <c r="B571" s="1072">
        <v>13003333</v>
      </c>
      <c r="C571" s="1072">
        <v>274</v>
      </c>
      <c r="D571" s="1072">
        <v>261</v>
      </c>
      <c r="E571" s="1072">
        <f t="shared" si="8"/>
        <v>535</v>
      </c>
    </row>
    <row r="572" spans="1:5">
      <c r="A572" s="1072" t="s">
        <v>1241</v>
      </c>
      <c r="B572" s="1072">
        <v>13003334</v>
      </c>
      <c r="C572" s="1072">
        <v>226</v>
      </c>
      <c r="D572" s="1072">
        <v>199</v>
      </c>
      <c r="E572" s="1072">
        <f t="shared" si="8"/>
        <v>425</v>
      </c>
    </row>
    <row r="573" spans="1:5">
      <c r="A573" s="1072" t="s">
        <v>1241</v>
      </c>
      <c r="B573" s="1072">
        <v>13013333</v>
      </c>
      <c r="C573" s="1072">
        <v>381</v>
      </c>
      <c r="D573" s="1072">
        <v>335</v>
      </c>
      <c r="E573" s="1072">
        <f t="shared" si="8"/>
        <v>716</v>
      </c>
    </row>
    <row r="574" spans="1:5">
      <c r="A574" s="1072" t="s">
        <v>1241</v>
      </c>
      <c r="B574" s="1072">
        <v>13013334</v>
      </c>
      <c r="C574" s="1072">
        <v>219</v>
      </c>
      <c r="D574" s="1072">
        <v>174</v>
      </c>
      <c r="E574" s="1072">
        <f t="shared" si="8"/>
        <v>393</v>
      </c>
    </row>
    <row r="575" spans="1:5">
      <c r="A575" s="1072" t="s">
        <v>1241</v>
      </c>
      <c r="B575" s="1072">
        <v>13014551</v>
      </c>
      <c r="C575" s="1072">
        <v>277</v>
      </c>
      <c r="D575" s="1072">
        <v>71</v>
      </c>
      <c r="E575" s="1072">
        <f t="shared" si="8"/>
        <v>348</v>
      </c>
    </row>
    <row r="576" spans="1:5">
      <c r="A576" s="1072" t="s">
        <v>1241</v>
      </c>
      <c r="B576" s="1072">
        <v>13015139</v>
      </c>
      <c r="C576" s="1072">
        <v>178</v>
      </c>
      <c r="D576" s="1072">
        <v>146</v>
      </c>
      <c r="E576" s="1072">
        <f t="shared" si="8"/>
        <v>324</v>
      </c>
    </row>
    <row r="577" spans="1:5">
      <c r="A577" s="1072" t="s">
        <v>1241</v>
      </c>
      <c r="B577" s="1072">
        <v>13023333</v>
      </c>
      <c r="C577" s="1072">
        <v>462</v>
      </c>
      <c r="D577" s="1072">
        <v>262</v>
      </c>
      <c r="E577" s="1072">
        <f t="shared" si="8"/>
        <v>724</v>
      </c>
    </row>
    <row r="578" spans="1:5">
      <c r="A578" s="1072" t="s">
        <v>1241</v>
      </c>
      <c r="B578" s="1072">
        <v>13023334</v>
      </c>
      <c r="C578" s="1072">
        <v>627</v>
      </c>
      <c r="D578" s="1072">
        <v>152</v>
      </c>
      <c r="E578" s="1072">
        <f t="shared" ref="E578:E641" si="9">C578+D578</f>
        <v>779</v>
      </c>
    </row>
    <row r="579" spans="1:5">
      <c r="A579" s="1072" t="s">
        <v>1241</v>
      </c>
      <c r="B579" s="1072">
        <v>13024551</v>
      </c>
      <c r="C579" s="1072">
        <v>910</v>
      </c>
      <c r="D579" s="1072">
        <v>495</v>
      </c>
      <c r="E579" s="1072">
        <f t="shared" si="9"/>
        <v>1405</v>
      </c>
    </row>
    <row r="580" spans="1:5">
      <c r="A580" s="1072" t="s">
        <v>1241</v>
      </c>
      <c r="B580" s="1072">
        <v>13033333</v>
      </c>
      <c r="C580" s="1072">
        <v>323</v>
      </c>
      <c r="D580" s="1072">
        <v>268</v>
      </c>
      <c r="E580" s="1072">
        <f t="shared" si="9"/>
        <v>591</v>
      </c>
    </row>
    <row r="581" spans="1:5">
      <c r="A581" s="1072" t="s">
        <v>1241</v>
      </c>
      <c r="B581" s="1072">
        <v>13033334</v>
      </c>
      <c r="C581" s="1072">
        <v>273</v>
      </c>
      <c r="D581" s="1072">
        <v>247</v>
      </c>
      <c r="E581" s="1072">
        <f t="shared" si="9"/>
        <v>520</v>
      </c>
    </row>
    <row r="582" spans="1:5">
      <c r="A582" s="1072" t="s">
        <v>1241</v>
      </c>
      <c r="B582" s="1072">
        <v>13034551</v>
      </c>
      <c r="C582" s="1072">
        <v>971</v>
      </c>
      <c r="D582" s="1072">
        <v>103</v>
      </c>
      <c r="E582" s="1072">
        <f t="shared" si="9"/>
        <v>1074</v>
      </c>
    </row>
    <row r="583" spans="1:5">
      <c r="A583" s="1072" t="s">
        <v>1241</v>
      </c>
      <c r="B583" s="1072">
        <v>13043333</v>
      </c>
      <c r="C583" s="1072">
        <v>284</v>
      </c>
      <c r="D583" s="1072">
        <v>280</v>
      </c>
      <c r="E583" s="1072">
        <f t="shared" si="9"/>
        <v>564</v>
      </c>
    </row>
    <row r="584" spans="1:5">
      <c r="A584" s="1072" t="s">
        <v>1241</v>
      </c>
      <c r="B584" s="1072">
        <v>13043334</v>
      </c>
      <c r="C584" s="1072">
        <v>704</v>
      </c>
      <c r="D584" s="1072">
        <v>141</v>
      </c>
      <c r="E584" s="1072">
        <f t="shared" si="9"/>
        <v>845</v>
      </c>
    </row>
    <row r="585" spans="1:5">
      <c r="A585" s="1072" t="s">
        <v>1241</v>
      </c>
      <c r="B585" s="1072">
        <v>13044551</v>
      </c>
      <c r="C585" s="1072">
        <v>323</v>
      </c>
      <c r="D585" s="1072">
        <v>251</v>
      </c>
      <c r="E585" s="1072">
        <f t="shared" si="9"/>
        <v>574</v>
      </c>
    </row>
    <row r="586" spans="1:5">
      <c r="A586" s="1072" t="s">
        <v>1241</v>
      </c>
      <c r="B586" s="1072">
        <v>13053333</v>
      </c>
      <c r="C586" s="1072">
        <v>229</v>
      </c>
      <c r="D586" s="1072">
        <v>185</v>
      </c>
      <c r="E586" s="1072">
        <f t="shared" si="9"/>
        <v>414</v>
      </c>
    </row>
    <row r="587" spans="1:5">
      <c r="A587" s="1072" t="s">
        <v>1241</v>
      </c>
      <c r="B587" s="1072">
        <v>13053334</v>
      </c>
      <c r="C587" s="1072">
        <v>388</v>
      </c>
      <c r="D587" s="1072">
        <v>282</v>
      </c>
      <c r="E587" s="1072">
        <f t="shared" si="9"/>
        <v>670</v>
      </c>
    </row>
    <row r="588" spans="1:5">
      <c r="A588" s="1072" t="s">
        <v>1241</v>
      </c>
      <c r="B588" s="1072">
        <v>13054551</v>
      </c>
      <c r="C588" s="1072">
        <v>396</v>
      </c>
      <c r="D588" s="1072">
        <v>362</v>
      </c>
      <c r="E588" s="1072">
        <f t="shared" si="9"/>
        <v>758</v>
      </c>
    </row>
    <row r="589" spans="1:5">
      <c r="A589" s="1072" t="s">
        <v>1241</v>
      </c>
      <c r="B589" s="1072">
        <v>13063333</v>
      </c>
      <c r="C589" s="1072">
        <v>260</v>
      </c>
      <c r="D589" s="1072">
        <v>226</v>
      </c>
      <c r="E589" s="1072">
        <f t="shared" si="9"/>
        <v>486</v>
      </c>
    </row>
    <row r="590" spans="1:5">
      <c r="A590" s="1072" t="s">
        <v>1241</v>
      </c>
      <c r="B590" s="1072">
        <v>13063334</v>
      </c>
      <c r="C590" s="1072">
        <v>424</v>
      </c>
      <c r="D590" s="1072">
        <v>197</v>
      </c>
      <c r="E590" s="1072">
        <f t="shared" si="9"/>
        <v>621</v>
      </c>
    </row>
    <row r="591" spans="1:5">
      <c r="A591" s="1072" t="s">
        <v>1241</v>
      </c>
      <c r="B591" s="1072">
        <v>13064551</v>
      </c>
      <c r="C591" s="1072">
        <v>441</v>
      </c>
      <c r="D591" s="1072">
        <v>417</v>
      </c>
      <c r="E591" s="1072">
        <f t="shared" si="9"/>
        <v>858</v>
      </c>
    </row>
    <row r="592" spans="1:5">
      <c r="A592" s="1072" t="s">
        <v>1241</v>
      </c>
      <c r="B592" s="1072">
        <v>13073333</v>
      </c>
      <c r="C592" s="1072">
        <v>251</v>
      </c>
      <c r="D592" s="1072">
        <v>249</v>
      </c>
      <c r="E592" s="1072">
        <f t="shared" si="9"/>
        <v>500</v>
      </c>
    </row>
    <row r="593" spans="1:5">
      <c r="A593" s="1072" t="s">
        <v>1241</v>
      </c>
      <c r="B593" s="1072">
        <v>13073334</v>
      </c>
      <c r="C593" s="1072">
        <v>267</v>
      </c>
      <c r="D593" s="1072">
        <v>255</v>
      </c>
      <c r="E593" s="1072">
        <f t="shared" si="9"/>
        <v>522</v>
      </c>
    </row>
    <row r="594" spans="1:5">
      <c r="A594" s="1072" t="s">
        <v>1241</v>
      </c>
      <c r="B594" s="1072">
        <v>13074551</v>
      </c>
      <c r="C594" s="1072">
        <v>345</v>
      </c>
      <c r="D594" s="1072">
        <v>297</v>
      </c>
      <c r="E594" s="1072">
        <f t="shared" si="9"/>
        <v>642</v>
      </c>
    </row>
    <row r="595" spans="1:5">
      <c r="A595" s="1072" t="s">
        <v>1241</v>
      </c>
      <c r="B595" s="1072">
        <v>13083333</v>
      </c>
      <c r="C595" s="1072">
        <v>258</v>
      </c>
      <c r="D595" s="1072">
        <v>243</v>
      </c>
      <c r="E595" s="1072">
        <f t="shared" si="9"/>
        <v>501</v>
      </c>
    </row>
    <row r="596" spans="1:5">
      <c r="A596" s="1072" t="s">
        <v>1241</v>
      </c>
      <c r="B596" s="1072">
        <v>13083334</v>
      </c>
      <c r="C596" s="1072">
        <v>232</v>
      </c>
      <c r="D596" s="1072">
        <v>148</v>
      </c>
      <c r="E596" s="1072">
        <f t="shared" si="9"/>
        <v>380</v>
      </c>
    </row>
    <row r="597" spans="1:5">
      <c r="A597" s="1072" t="s">
        <v>1241</v>
      </c>
      <c r="B597" s="1072">
        <v>13084551</v>
      </c>
      <c r="C597" s="1072">
        <v>380</v>
      </c>
      <c r="D597" s="1072">
        <v>316</v>
      </c>
      <c r="E597" s="1072">
        <f t="shared" si="9"/>
        <v>696</v>
      </c>
    </row>
    <row r="598" spans="1:5">
      <c r="A598" s="1072" t="s">
        <v>1241</v>
      </c>
      <c r="B598" s="1072">
        <v>13093333</v>
      </c>
      <c r="C598" s="1072">
        <v>241</v>
      </c>
      <c r="D598" s="1072">
        <v>234</v>
      </c>
      <c r="E598" s="1072">
        <f t="shared" si="9"/>
        <v>475</v>
      </c>
    </row>
    <row r="599" spans="1:5">
      <c r="A599" s="1072" t="s">
        <v>1241</v>
      </c>
      <c r="B599" s="1072">
        <v>13093334</v>
      </c>
      <c r="C599" s="1072">
        <v>272</v>
      </c>
      <c r="D599" s="1072">
        <v>227</v>
      </c>
      <c r="E599" s="1072">
        <f t="shared" si="9"/>
        <v>499</v>
      </c>
    </row>
    <row r="600" spans="1:5">
      <c r="A600" s="1072" t="s">
        <v>1241</v>
      </c>
      <c r="B600" s="1072">
        <v>13094551</v>
      </c>
      <c r="C600" s="1072">
        <v>917</v>
      </c>
      <c r="D600" s="1072">
        <v>848</v>
      </c>
      <c r="E600" s="1072">
        <f t="shared" si="9"/>
        <v>1765</v>
      </c>
    </row>
    <row r="601" spans="1:5">
      <c r="A601" s="1072" t="s">
        <v>1241</v>
      </c>
      <c r="B601" s="1072">
        <v>13103333</v>
      </c>
      <c r="C601" s="1072">
        <v>320</v>
      </c>
      <c r="D601" s="1072">
        <v>177</v>
      </c>
      <c r="E601" s="1072">
        <f t="shared" si="9"/>
        <v>497</v>
      </c>
    </row>
    <row r="602" spans="1:5">
      <c r="A602" s="1072" t="s">
        <v>1241</v>
      </c>
      <c r="B602" s="1072">
        <v>13103334</v>
      </c>
      <c r="C602" s="1072">
        <v>584</v>
      </c>
      <c r="D602" s="1072">
        <v>221</v>
      </c>
      <c r="E602" s="1072">
        <f t="shared" si="9"/>
        <v>805</v>
      </c>
    </row>
    <row r="603" spans="1:5">
      <c r="A603" s="1072" t="s">
        <v>1241</v>
      </c>
      <c r="B603" s="1072">
        <v>13104551</v>
      </c>
      <c r="C603" s="1072">
        <v>368</v>
      </c>
      <c r="D603" s="1072">
        <v>336</v>
      </c>
      <c r="E603" s="1072">
        <f t="shared" si="9"/>
        <v>704</v>
      </c>
    </row>
    <row r="604" spans="1:5">
      <c r="A604" s="1072" t="s">
        <v>1241</v>
      </c>
      <c r="B604" s="1072">
        <v>13113333</v>
      </c>
      <c r="C604" s="1072">
        <v>267</v>
      </c>
      <c r="D604" s="1072">
        <v>261</v>
      </c>
      <c r="E604" s="1072">
        <f t="shared" si="9"/>
        <v>528</v>
      </c>
    </row>
    <row r="605" spans="1:5">
      <c r="A605" s="1072" t="s">
        <v>1241</v>
      </c>
      <c r="B605" s="1072">
        <v>13113334</v>
      </c>
      <c r="C605" s="1072">
        <v>213</v>
      </c>
      <c r="D605" s="1072">
        <v>134</v>
      </c>
      <c r="E605" s="1072">
        <f t="shared" si="9"/>
        <v>347</v>
      </c>
    </row>
    <row r="606" spans="1:5">
      <c r="A606" s="1072" t="s">
        <v>1241</v>
      </c>
      <c r="B606" s="1072">
        <v>13114551</v>
      </c>
      <c r="C606" s="1072">
        <v>294</v>
      </c>
      <c r="D606" s="1072">
        <v>234</v>
      </c>
      <c r="E606" s="1072">
        <f t="shared" si="9"/>
        <v>528</v>
      </c>
    </row>
    <row r="607" spans="1:5">
      <c r="A607" s="1072" t="s">
        <v>1241</v>
      </c>
      <c r="B607" s="1072">
        <v>13123333</v>
      </c>
      <c r="C607" s="1072">
        <v>273</v>
      </c>
      <c r="D607" s="1072">
        <v>263</v>
      </c>
      <c r="E607" s="1072">
        <f t="shared" si="9"/>
        <v>536</v>
      </c>
    </row>
    <row r="608" spans="1:5">
      <c r="A608" s="1072" t="s">
        <v>1241</v>
      </c>
      <c r="B608" s="1072">
        <v>13124551</v>
      </c>
      <c r="C608" s="1072">
        <v>774</v>
      </c>
      <c r="D608" s="1072">
        <v>393</v>
      </c>
      <c r="E608" s="1072">
        <f t="shared" si="9"/>
        <v>1167</v>
      </c>
    </row>
    <row r="609" spans="1:5">
      <c r="A609" s="1072" t="s">
        <v>1241</v>
      </c>
      <c r="B609" s="1072">
        <v>13133333</v>
      </c>
      <c r="C609" s="1072">
        <v>284</v>
      </c>
      <c r="D609" s="1072">
        <v>276</v>
      </c>
      <c r="E609" s="1072">
        <f t="shared" si="9"/>
        <v>560</v>
      </c>
    </row>
    <row r="610" spans="1:5">
      <c r="A610" s="1072" t="s">
        <v>1241</v>
      </c>
      <c r="B610" s="1072">
        <v>13134551</v>
      </c>
      <c r="C610" s="1072">
        <v>357</v>
      </c>
      <c r="D610" s="1072">
        <v>345</v>
      </c>
      <c r="E610" s="1072">
        <f t="shared" si="9"/>
        <v>702</v>
      </c>
    </row>
    <row r="611" spans="1:5">
      <c r="A611" s="1072" t="s">
        <v>1241</v>
      </c>
      <c r="B611" s="1072">
        <v>13143333</v>
      </c>
      <c r="C611" s="1072">
        <v>595</v>
      </c>
      <c r="D611" s="1072">
        <v>148</v>
      </c>
      <c r="E611" s="1072">
        <f t="shared" si="9"/>
        <v>743</v>
      </c>
    </row>
    <row r="612" spans="1:5">
      <c r="A612" s="1072" t="s">
        <v>1241</v>
      </c>
      <c r="B612" s="1072">
        <v>13144551</v>
      </c>
      <c r="C612" s="1072">
        <v>1290</v>
      </c>
      <c r="D612" s="1072">
        <v>376</v>
      </c>
      <c r="E612" s="1072">
        <f t="shared" si="9"/>
        <v>1666</v>
      </c>
    </row>
    <row r="613" spans="1:5">
      <c r="A613" s="1072" t="s">
        <v>1241</v>
      </c>
      <c r="B613" s="1072">
        <v>13153333</v>
      </c>
      <c r="C613" s="1072">
        <v>721</v>
      </c>
      <c r="D613" s="1072">
        <v>244</v>
      </c>
      <c r="E613" s="1072">
        <f t="shared" si="9"/>
        <v>965</v>
      </c>
    </row>
    <row r="614" spans="1:5">
      <c r="A614" s="1072" t="s">
        <v>1241</v>
      </c>
      <c r="B614" s="1072">
        <v>13154551</v>
      </c>
      <c r="C614" s="1072">
        <v>948</v>
      </c>
      <c r="D614" s="1072">
        <v>143</v>
      </c>
      <c r="E614" s="1072">
        <f t="shared" si="9"/>
        <v>1091</v>
      </c>
    </row>
    <row r="615" spans="1:5">
      <c r="A615" s="1072" t="s">
        <v>1241</v>
      </c>
      <c r="B615" s="1072">
        <v>13163333</v>
      </c>
      <c r="C615" s="1072">
        <v>294</v>
      </c>
      <c r="D615" s="1072">
        <v>299</v>
      </c>
      <c r="E615" s="1072">
        <f t="shared" si="9"/>
        <v>593</v>
      </c>
    </row>
    <row r="616" spans="1:5">
      <c r="A616" s="1072" t="s">
        <v>1241</v>
      </c>
      <c r="B616" s="1072">
        <v>13164551</v>
      </c>
      <c r="C616" s="1072">
        <v>468</v>
      </c>
      <c r="D616" s="1072">
        <v>166</v>
      </c>
      <c r="E616" s="1072">
        <f t="shared" si="9"/>
        <v>634</v>
      </c>
    </row>
    <row r="617" spans="1:5">
      <c r="A617" s="1072" t="s">
        <v>1241</v>
      </c>
      <c r="B617" s="1072">
        <v>13174551</v>
      </c>
      <c r="C617" s="1072">
        <v>726</v>
      </c>
      <c r="D617" s="1072">
        <v>180</v>
      </c>
      <c r="E617" s="1072">
        <f t="shared" si="9"/>
        <v>906</v>
      </c>
    </row>
    <row r="618" spans="1:5">
      <c r="A618" s="1072" t="s">
        <v>1241</v>
      </c>
      <c r="B618" s="1072">
        <v>13184551</v>
      </c>
      <c r="C618" s="1072">
        <v>1996</v>
      </c>
      <c r="D618" s="1072">
        <v>177</v>
      </c>
      <c r="E618" s="1072">
        <f t="shared" si="9"/>
        <v>2173</v>
      </c>
    </row>
    <row r="619" spans="1:5">
      <c r="A619" s="1072" t="s">
        <v>1241</v>
      </c>
      <c r="B619" s="1072">
        <v>13194551</v>
      </c>
      <c r="C619" s="1072">
        <v>823</v>
      </c>
      <c r="D619" s="1072">
        <v>164</v>
      </c>
      <c r="E619" s="1072">
        <f t="shared" si="9"/>
        <v>987</v>
      </c>
    </row>
    <row r="620" spans="1:5">
      <c r="A620" s="1072" t="s">
        <v>1241</v>
      </c>
      <c r="B620" s="1072">
        <v>13204551</v>
      </c>
      <c r="C620" s="1072">
        <v>433</v>
      </c>
      <c r="D620" s="1072">
        <v>298</v>
      </c>
      <c r="E620" s="1072">
        <f t="shared" si="9"/>
        <v>731</v>
      </c>
    </row>
    <row r="621" spans="1:5">
      <c r="A621" s="1072" t="s">
        <v>1241</v>
      </c>
      <c r="B621" s="1072">
        <v>13214551</v>
      </c>
      <c r="C621" s="1072">
        <v>1100</v>
      </c>
      <c r="D621" s="1072">
        <v>196</v>
      </c>
      <c r="E621" s="1072">
        <f t="shared" si="9"/>
        <v>1296</v>
      </c>
    </row>
    <row r="622" spans="1:5">
      <c r="A622" s="1072" t="s">
        <v>1241</v>
      </c>
      <c r="B622" s="1072">
        <v>13224551</v>
      </c>
      <c r="C622" s="1072">
        <v>622</v>
      </c>
      <c r="D622" s="1072">
        <v>190</v>
      </c>
      <c r="E622" s="1072">
        <f t="shared" si="9"/>
        <v>812</v>
      </c>
    </row>
    <row r="623" spans="1:5">
      <c r="A623" s="1072" t="s">
        <v>1241</v>
      </c>
      <c r="B623" s="1072">
        <v>13235151</v>
      </c>
      <c r="C623" s="1072">
        <v>204</v>
      </c>
      <c r="D623" s="1072">
        <v>143</v>
      </c>
      <c r="E623" s="1072">
        <f t="shared" si="9"/>
        <v>347</v>
      </c>
    </row>
    <row r="624" spans="1:5">
      <c r="A624" s="1072" t="s">
        <v>1241</v>
      </c>
      <c r="B624" s="1072">
        <v>13245151</v>
      </c>
      <c r="C624" s="1072">
        <v>441</v>
      </c>
      <c r="D624" s="1072">
        <v>401</v>
      </c>
      <c r="E624" s="1072">
        <f t="shared" si="9"/>
        <v>842</v>
      </c>
    </row>
    <row r="625" spans="1:5">
      <c r="A625" s="1072" t="s">
        <v>1241</v>
      </c>
      <c r="B625" s="1072">
        <v>13255151</v>
      </c>
      <c r="C625" s="1072">
        <v>367</v>
      </c>
      <c r="D625" s="1072">
        <v>329</v>
      </c>
      <c r="E625" s="1072">
        <f t="shared" si="9"/>
        <v>696</v>
      </c>
    </row>
    <row r="626" spans="1:5">
      <c r="A626" s="1072" t="s">
        <v>1241</v>
      </c>
      <c r="B626" s="1072">
        <v>13265151</v>
      </c>
      <c r="C626" s="1072">
        <v>308</v>
      </c>
      <c r="D626" s="1072">
        <v>287</v>
      </c>
      <c r="E626" s="1072">
        <f t="shared" si="9"/>
        <v>595</v>
      </c>
    </row>
    <row r="627" spans="1:5">
      <c r="A627" s="1072" t="s">
        <v>1241</v>
      </c>
      <c r="B627" s="1072">
        <v>13275151</v>
      </c>
      <c r="C627" s="1072">
        <v>732</v>
      </c>
      <c r="D627" s="1072">
        <v>302</v>
      </c>
      <c r="E627" s="1072">
        <f t="shared" si="9"/>
        <v>1034</v>
      </c>
    </row>
    <row r="628" spans="1:5">
      <c r="A628" s="1072" t="s">
        <v>1241</v>
      </c>
      <c r="B628" s="1072">
        <v>13285151</v>
      </c>
      <c r="C628" s="1072">
        <v>639</v>
      </c>
      <c r="D628" s="1072">
        <v>604</v>
      </c>
      <c r="E628" s="1072">
        <f t="shared" si="9"/>
        <v>1243</v>
      </c>
    </row>
    <row r="629" spans="1:5">
      <c r="A629" s="1072" t="s">
        <v>1241</v>
      </c>
      <c r="B629" s="1072">
        <v>13295151</v>
      </c>
      <c r="C629" s="1072">
        <v>636</v>
      </c>
      <c r="D629" s="1072">
        <v>442</v>
      </c>
      <c r="E629" s="1072">
        <f t="shared" si="9"/>
        <v>1078</v>
      </c>
    </row>
    <row r="630" spans="1:5">
      <c r="A630" s="1072" t="s">
        <v>1241</v>
      </c>
      <c r="B630" s="1072">
        <v>13305151</v>
      </c>
      <c r="C630" s="1072">
        <v>459</v>
      </c>
      <c r="D630" s="1072">
        <v>351</v>
      </c>
      <c r="E630" s="1072">
        <f t="shared" si="9"/>
        <v>810</v>
      </c>
    </row>
    <row r="631" spans="1:5">
      <c r="A631" s="1072" t="s">
        <v>1241</v>
      </c>
      <c r="B631" s="1072">
        <v>13315151</v>
      </c>
      <c r="C631" s="1072">
        <v>379</v>
      </c>
      <c r="D631" s="1072">
        <v>319</v>
      </c>
      <c r="E631" s="1072">
        <f t="shared" si="9"/>
        <v>698</v>
      </c>
    </row>
    <row r="632" spans="1:5">
      <c r="A632" s="1072" t="s">
        <v>1241</v>
      </c>
      <c r="B632" s="1072">
        <v>13325151</v>
      </c>
      <c r="C632" s="1072">
        <v>348</v>
      </c>
      <c r="D632" s="1072">
        <v>315</v>
      </c>
      <c r="E632" s="1072">
        <f t="shared" si="9"/>
        <v>663</v>
      </c>
    </row>
    <row r="633" spans="1:5">
      <c r="A633" s="1072" t="s">
        <v>1241</v>
      </c>
      <c r="B633" s="1072">
        <v>13335151</v>
      </c>
      <c r="C633" s="1072">
        <v>750</v>
      </c>
      <c r="D633" s="1072">
        <v>206</v>
      </c>
      <c r="E633" s="1072">
        <f t="shared" si="9"/>
        <v>956</v>
      </c>
    </row>
    <row r="634" spans="1:5">
      <c r="A634" s="1072" t="s">
        <v>1241</v>
      </c>
      <c r="B634" s="1072">
        <v>13345151</v>
      </c>
      <c r="C634" s="1072">
        <v>310</v>
      </c>
      <c r="D634" s="1072">
        <v>278</v>
      </c>
      <c r="E634" s="1072">
        <f t="shared" si="9"/>
        <v>588</v>
      </c>
    </row>
    <row r="635" spans="1:5">
      <c r="A635" s="1072" t="s">
        <v>1241</v>
      </c>
      <c r="B635" s="1072">
        <v>13355151</v>
      </c>
      <c r="C635" s="1072">
        <v>272</v>
      </c>
      <c r="D635" s="1072">
        <v>243</v>
      </c>
      <c r="E635" s="1072">
        <f t="shared" si="9"/>
        <v>515</v>
      </c>
    </row>
    <row r="636" spans="1:5">
      <c r="A636" s="1072" t="s">
        <v>1241</v>
      </c>
      <c r="B636" s="1072">
        <v>13365151</v>
      </c>
      <c r="C636" s="1072">
        <v>403</v>
      </c>
      <c r="D636" s="1072">
        <v>337</v>
      </c>
      <c r="E636" s="1072">
        <f t="shared" si="9"/>
        <v>740</v>
      </c>
    </row>
    <row r="637" spans="1:5">
      <c r="A637" s="1072" t="s">
        <v>1241</v>
      </c>
      <c r="B637" s="1072">
        <v>13375151</v>
      </c>
      <c r="C637" s="1072">
        <v>269</v>
      </c>
      <c r="D637" s="1072">
        <v>208</v>
      </c>
      <c r="E637" s="1072">
        <f t="shared" si="9"/>
        <v>477</v>
      </c>
    </row>
    <row r="638" spans="1:5">
      <c r="A638" s="1072" t="s">
        <v>1241</v>
      </c>
      <c r="B638" s="1072">
        <v>13385151</v>
      </c>
      <c r="C638" s="1072">
        <v>307</v>
      </c>
      <c r="D638" s="1072">
        <v>260</v>
      </c>
      <c r="E638" s="1072">
        <f t="shared" si="9"/>
        <v>567</v>
      </c>
    </row>
    <row r="639" spans="1:5">
      <c r="A639" s="1072" t="s">
        <v>1241</v>
      </c>
      <c r="B639" s="1072">
        <v>13395151</v>
      </c>
      <c r="C639" s="1072">
        <v>305</v>
      </c>
      <c r="D639" s="1072">
        <v>176</v>
      </c>
      <c r="E639" s="1072">
        <f t="shared" si="9"/>
        <v>481</v>
      </c>
    </row>
    <row r="640" spans="1:5">
      <c r="A640" s="1072" t="s">
        <v>1241</v>
      </c>
      <c r="B640" s="1072">
        <v>13405151</v>
      </c>
      <c r="C640" s="1072">
        <v>341</v>
      </c>
      <c r="D640" s="1072">
        <v>212</v>
      </c>
      <c r="E640" s="1072">
        <f t="shared" si="9"/>
        <v>553</v>
      </c>
    </row>
    <row r="641" spans="1:5">
      <c r="A641" s="1072" t="s">
        <v>1241</v>
      </c>
      <c r="B641" s="1072">
        <v>13415151</v>
      </c>
      <c r="C641" s="1072">
        <v>1008</v>
      </c>
      <c r="D641" s="1072">
        <v>287</v>
      </c>
      <c r="E641" s="1072">
        <f t="shared" si="9"/>
        <v>1295</v>
      </c>
    </row>
    <row r="642" spans="1:5">
      <c r="A642" s="1072" t="s">
        <v>1241</v>
      </c>
      <c r="B642" s="1072">
        <v>13425151</v>
      </c>
      <c r="C642" s="1072">
        <v>378</v>
      </c>
      <c r="D642" s="1072">
        <v>319</v>
      </c>
      <c r="E642" s="1072">
        <f t="shared" ref="E642:E705" si="10">C642+D642</f>
        <v>697</v>
      </c>
    </row>
    <row r="643" spans="1:5">
      <c r="A643" s="1072" t="s">
        <v>1241</v>
      </c>
      <c r="B643" s="1072">
        <v>14003334</v>
      </c>
      <c r="C643" s="1072">
        <v>261</v>
      </c>
      <c r="D643" s="1072">
        <v>179</v>
      </c>
      <c r="E643" s="1072">
        <f t="shared" si="10"/>
        <v>440</v>
      </c>
    </row>
    <row r="644" spans="1:5">
      <c r="A644" s="1072" t="s">
        <v>1241</v>
      </c>
      <c r="B644" s="1072">
        <v>14003335</v>
      </c>
      <c r="C644" s="1072">
        <v>282</v>
      </c>
      <c r="D644" s="1072">
        <v>206</v>
      </c>
      <c r="E644" s="1072">
        <f t="shared" si="10"/>
        <v>488</v>
      </c>
    </row>
    <row r="645" spans="1:5">
      <c r="A645" s="1072" t="s">
        <v>1241</v>
      </c>
      <c r="B645" s="1072">
        <v>14013334</v>
      </c>
      <c r="C645" s="1072">
        <v>283</v>
      </c>
      <c r="D645" s="1072">
        <v>270</v>
      </c>
      <c r="E645" s="1072">
        <f t="shared" si="10"/>
        <v>553</v>
      </c>
    </row>
    <row r="646" spans="1:5">
      <c r="A646" s="1072" t="s">
        <v>1241</v>
      </c>
      <c r="B646" s="1072">
        <v>14013335</v>
      </c>
      <c r="C646" s="1072">
        <v>336</v>
      </c>
      <c r="D646" s="1072">
        <v>187</v>
      </c>
      <c r="E646" s="1072">
        <f t="shared" si="10"/>
        <v>523</v>
      </c>
    </row>
    <row r="647" spans="1:5">
      <c r="A647" s="1072" t="s">
        <v>1241</v>
      </c>
      <c r="B647" s="1072">
        <v>14014552</v>
      </c>
      <c r="C647" s="1072">
        <v>307</v>
      </c>
      <c r="D647" s="1072">
        <v>277</v>
      </c>
      <c r="E647" s="1072">
        <f t="shared" si="10"/>
        <v>584</v>
      </c>
    </row>
    <row r="648" spans="1:5">
      <c r="A648" s="1072" t="s">
        <v>1241</v>
      </c>
      <c r="B648" s="1072">
        <v>14015004</v>
      </c>
      <c r="C648" s="1072">
        <v>1</v>
      </c>
      <c r="D648" s="1072">
        <v>2</v>
      </c>
      <c r="E648" s="1072">
        <f t="shared" si="10"/>
        <v>3</v>
      </c>
    </row>
    <row r="649" spans="1:5">
      <c r="A649" s="1072" t="s">
        <v>1241</v>
      </c>
      <c r="B649" s="1072">
        <v>14015139</v>
      </c>
      <c r="C649" s="1072">
        <v>115</v>
      </c>
      <c r="D649" s="1072">
        <v>99</v>
      </c>
      <c r="E649" s="1072">
        <f t="shared" si="10"/>
        <v>214</v>
      </c>
    </row>
    <row r="650" spans="1:5">
      <c r="A650" s="1072" t="s">
        <v>1241</v>
      </c>
      <c r="B650" s="1072">
        <v>14023334</v>
      </c>
      <c r="C650" s="1072">
        <v>280</v>
      </c>
      <c r="D650" s="1072">
        <v>227</v>
      </c>
      <c r="E650" s="1072">
        <f t="shared" si="10"/>
        <v>507</v>
      </c>
    </row>
    <row r="651" spans="1:5">
      <c r="A651" s="1072" t="s">
        <v>1241</v>
      </c>
      <c r="B651" s="1072">
        <v>14023335</v>
      </c>
      <c r="C651" s="1072">
        <v>284</v>
      </c>
      <c r="D651" s="1072">
        <v>249</v>
      </c>
      <c r="E651" s="1072">
        <f t="shared" si="10"/>
        <v>533</v>
      </c>
    </row>
    <row r="652" spans="1:5">
      <c r="A652" s="1072" t="s">
        <v>1241</v>
      </c>
      <c r="B652" s="1072">
        <v>14024552</v>
      </c>
      <c r="C652" s="1072">
        <v>289</v>
      </c>
      <c r="D652" s="1072">
        <v>266</v>
      </c>
      <c r="E652" s="1072">
        <f t="shared" si="10"/>
        <v>555</v>
      </c>
    </row>
    <row r="653" spans="1:5">
      <c r="A653" s="1072" t="s">
        <v>1241</v>
      </c>
      <c r="B653" s="1072">
        <v>14025139</v>
      </c>
      <c r="C653" s="1072">
        <v>203</v>
      </c>
      <c r="D653" s="1072">
        <v>180</v>
      </c>
      <c r="E653" s="1072">
        <f t="shared" si="10"/>
        <v>383</v>
      </c>
    </row>
    <row r="654" spans="1:5">
      <c r="A654" s="1072" t="s">
        <v>1241</v>
      </c>
      <c r="B654" s="1072">
        <v>14033334</v>
      </c>
      <c r="C654" s="1072">
        <v>282</v>
      </c>
      <c r="D654" s="1072">
        <v>275</v>
      </c>
      <c r="E654" s="1072">
        <f t="shared" si="10"/>
        <v>557</v>
      </c>
    </row>
    <row r="655" spans="1:5">
      <c r="A655" s="1072" t="s">
        <v>1241</v>
      </c>
      <c r="B655" s="1072">
        <v>14033335</v>
      </c>
      <c r="C655" s="1072">
        <v>268</v>
      </c>
      <c r="D655" s="1072">
        <v>261</v>
      </c>
      <c r="E655" s="1072">
        <f t="shared" si="10"/>
        <v>529</v>
      </c>
    </row>
    <row r="656" spans="1:5">
      <c r="A656" s="1072" t="s">
        <v>1241</v>
      </c>
      <c r="B656" s="1072">
        <v>14034552</v>
      </c>
      <c r="C656" s="1072">
        <v>845</v>
      </c>
      <c r="D656" s="1072">
        <v>11</v>
      </c>
      <c r="E656" s="1072">
        <f t="shared" si="10"/>
        <v>856</v>
      </c>
    </row>
    <row r="657" spans="1:5">
      <c r="A657" s="1072" t="s">
        <v>1241</v>
      </c>
      <c r="B657" s="1072">
        <v>14043334</v>
      </c>
      <c r="C657" s="1072">
        <v>378</v>
      </c>
      <c r="D657" s="1072">
        <v>231</v>
      </c>
      <c r="E657" s="1072">
        <f t="shared" si="10"/>
        <v>609</v>
      </c>
    </row>
    <row r="658" spans="1:5">
      <c r="A658" s="1072" t="s">
        <v>1241</v>
      </c>
      <c r="B658" s="1072">
        <v>14043335</v>
      </c>
      <c r="C658" s="1072">
        <v>281</v>
      </c>
      <c r="D658" s="1072">
        <v>218</v>
      </c>
      <c r="E658" s="1072">
        <f t="shared" si="10"/>
        <v>499</v>
      </c>
    </row>
    <row r="659" spans="1:5">
      <c r="A659" s="1072" t="s">
        <v>1241</v>
      </c>
      <c r="B659" s="1072">
        <v>14044552</v>
      </c>
      <c r="C659" s="1072">
        <v>333</v>
      </c>
      <c r="D659" s="1072">
        <v>330</v>
      </c>
      <c r="E659" s="1072">
        <f t="shared" si="10"/>
        <v>663</v>
      </c>
    </row>
    <row r="660" spans="1:5">
      <c r="A660" s="1072" t="s">
        <v>1241</v>
      </c>
      <c r="B660" s="1072">
        <v>14053334</v>
      </c>
      <c r="C660" s="1072">
        <v>621</v>
      </c>
      <c r="D660" s="1072">
        <v>129</v>
      </c>
      <c r="E660" s="1072">
        <f t="shared" si="10"/>
        <v>750</v>
      </c>
    </row>
    <row r="661" spans="1:5">
      <c r="A661" s="1072" t="s">
        <v>1241</v>
      </c>
      <c r="B661" s="1072">
        <v>14053335</v>
      </c>
      <c r="C661" s="1072">
        <v>575</v>
      </c>
      <c r="D661" s="1072">
        <v>490</v>
      </c>
      <c r="E661" s="1072">
        <f t="shared" si="10"/>
        <v>1065</v>
      </c>
    </row>
    <row r="662" spans="1:5">
      <c r="A662" s="1072" t="s">
        <v>1241</v>
      </c>
      <c r="B662" s="1072">
        <v>14054552</v>
      </c>
      <c r="C662" s="1072">
        <v>314</v>
      </c>
      <c r="D662" s="1072">
        <v>291</v>
      </c>
      <c r="E662" s="1072">
        <f t="shared" si="10"/>
        <v>605</v>
      </c>
    </row>
    <row r="663" spans="1:5">
      <c r="A663" s="1072" t="s">
        <v>1241</v>
      </c>
      <c r="B663" s="1072">
        <v>14063334</v>
      </c>
      <c r="C663" s="1072">
        <v>287</v>
      </c>
      <c r="D663" s="1072">
        <v>246</v>
      </c>
      <c r="E663" s="1072">
        <f t="shared" si="10"/>
        <v>533</v>
      </c>
    </row>
    <row r="664" spans="1:5">
      <c r="A664" s="1072" t="s">
        <v>1241</v>
      </c>
      <c r="B664" s="1072">
        <v>14063335</v>
      </c>
      <c r="C664" s="1072">
        <v>460</v>
      </c>
      <c r="D664" s="1072">
        <v>312</v>
      </c>
      <c r="E664" s="1072">
        <f t="shared" si="10"/>
        <v>772</v>
      </c>
    </row>
    <row r="665" spans="1:5">
      <c r="A665" s="1072" t="s">
        <v>1241</v>
      </c>
      <c r="B665" s="1072">
        <v>14064552</v>
      </c>
      <c r="C665" s="1072">
        <v>468</v>
      </c>
      <c r="D665" s="1072">
        <v>371</v>
      </c>
      <c r="E665" s="1072">
        <f t="shared" si="10"/>
        <v>839</v>
      </c>
    </row>
    <row r="666" spans="1:5">
      <c r="A666" s="1072" t="s">
        <v>1241</v>
      </c>
      <c r="B666" s="1072">
        <v>14073334</v>
      </c>
      <c r="C666" s="1072">
        <v>268</v>
      </c>
      <c r="D666" s="1072">
        <v>224</v>
      </c>
      <c r="E666" s="1072">
        <f t="shared" si="10"/>
        <v>492</v>
      </c>
    </row>
    <row r="667" spans="1:5">
      <c r="A667" s="1072" t="s">
        <v>1241</v>
      </c>
      <c r="B667" s="1072">
        <v>14073335</v>
      </c>
      <c r="C667" s="1072">
        <v>431</v>
      </c>
      <c r="D667" s="1072">
        <v>143</v>
      </c>
      <c r="E667" s="1072">
        <f t="shared" si="10"/>
        <v>574</v>
      </c>
    </row>
    <row r="668" spans="1:5">
      <c r="A668" s="1072" t="s">
        <v>1241</v>
      </c>
      <c r="B668" s="1072">
        <v>14074552</v>
      </c>
      <c r="C668" s="1072">
        <v>394</v>
      </c>
      <c r="D668" s="1072">
        <v>345</v>
      </c>
      <c r="E668" s="1072">
        <f t="shared" si="10"/>
        <v>739</v>
      </c>
    </row>
    <row r="669" spans="1:5">
      <c r="A669" s="1072" t="s">
        <v>1241</v>
      </c>
      <c r="B669" s="1072">
        <v>14083334</v>
      </c>
      <c r="C669" s="1072">
        <v>848</v>
      </c>
      <c r="D669" s="1072">
        <v>82</v>
      </c>
      <c r="E669" s="1072">
        <f t="shared" si="10"/>
        <v>930</v>
      </c>
    </row>
    <row r="670" spans="1:5">
      <c r="A670" s="1072" t="s">
        <v>1241</v>
      </c>
      <c r="B670" s="1072">
        <v>14083335</v>
      </c>
      <c r="C670" s="1072">
        <v>311</v>
      </c>
      <c r="D670" s="1072">
        <v>225</v>
      </c>
      <c r="E670" s="1072">
        <f t="shared" si="10"/>
        <v>536</v>
      </c>
    </row>
    <row r="671" spans="1:5">
      <c r="A671" s="1072" t="s">
        <v>1241</v>
      </c>
      <c r="B671" s="1072">
        <v>14084552</v>
      </c>
      <c r="C671" s="1072">
        <v>310</v>
      </c>
      <c r="D671" s="1072">
        <v>300</v>
      </c>
      <c r="E671" s="1072">
        <f t="shared" si="10"/>
        <v>610</v>
      </c>
    </row>
    <row r="672" spans="1:5">
      <c r="A672" s="1072" t="s">
        <v>1241</v>
      </c>
      <c r="B672" s="1072">
        <v>14093334</v>
      </c>
      <c r="C672" s="1072">
        <v>258</v>
      </c>
      <c r="D672" s="1072">
        <v>239</v>
      </c>
      <c r="E672" s="1072">
        <f t="shared" si="10"/>
        <v>497</v>
      </c>
    </row>
    <row r="673" spans="1:5">
      <c r="A673" s="1072" t="s">
        <v>1241</v>
      </c>
      <c r="B673" s="1072">
        <v>14093335</v>
      </c>
      <c r="C673" s="1072">
        <v>306</v>
      </c>
      <c r="D673" s="1072">
        <v>239</v>
      </c>
      <c r="E673" s="1072">
        <f t="shared" si="10"/>
        <v>545</v>
      </c>
    </row>
    <row r="674" spans="1:5">
      <c r="A674" s="1072" t="s">
        <v>1241</v>
      </c>
      <c r="B674" s="1072">
        <v>14094552</v>
      </c>
      <c r="C674" s="1072">
        <v>321</v>
      </c>
      <c r="D674" s="1072">
        <v>308</v>
      </c>
      <c r="E674" s="1072">
        <f t="shared" si="10"/>
        <v>629</v>
      </c>
    </row>
    <row r="675" spans="1:5">
      <c r="A675" s="1072" t="s">
        <v>1241</v>
      </c>
      <c r="B675" s="1072">
        <v>14103334</v>
      </c>
      <c r="C675" s="1072">
        <v>259</v>
      </c>
      <c r="D675" s="1072">
        <v>219</v>
      </c>
      <c r="E675" s="1072">
        <f t="shared" si="10"/>
        <v>478</v>
      </c>
    </row>
    <row r="676" spans="1:5">
      <c r="A676" s="1072" t="s">
        <v>1241</v>
      </c>
      <c r="B676" s="1072">
        <v>14103335</v>
      </c>
      <c r="C676" s="1072">
        <v>360</v>
      </c>
      <c r="D676" s="1072">
        <v>262</v>
      </c>
      <c r="E676" s="1072">
        <f t="shared" si="10"/>
        <v>622</v>
      </c>
    </row>
    <row r="677" spans="1:5">
      <c r="A677" s="1072" t="s">
        <v>1241</v>
      </c>
      <c r="B677" s="1072">
        <v>14104552</v>
      </c>
      <c r="C677" s="1072">
        <v>631</v>
      </c>
      <c r="D677" s="1072">
        <v>180</v>
      </c>
      <c r="E677" s="1072">
        <f t="shared" si="10"/>
        <v>811</v>
      </c>
    </row>
    <row r="678" spans="1:5">
      <c r="A678" s="1072" t="s">
        <v>1241</v>
      </c>
      <c r="B678" s="1072">
        <v>14113334</v>
      </c>
      <c r="C678" s="1072">
        <v>379</v>
      </c>
      <c r="D678" s="1072">
        <v>166</v>
      </c>
      <c r="E678" s="1072">
        <f t="shared" si="10"/>
        <v>545</v>
      </c>
    </row>
    <row r="679" spans="1:5">
      <c r="A679" s="1072" t="s">
        <v>1241</v>
      </c>
      <c r="B679" s="1072">
        <v>14113335</v>
      </c>
      <c r="C679" s="1072">
        <v>258</v>
      </c>
      <c r="D679" s="1072">
        <v>190</v>
      </c>
      <c r="E679" s="1072">
        <f t="shared" si="10"/>
        <v>448</v>
      </c>
    </row>
    <row r="680" spans="1:5">
      <c r="A680" s="1072" t="s">
        <v>1241</v>
      </c>
      <c r="B680" s="1072">
        <v>14114552</v>
      </c>
      <c r="C680" s="1072">
        <v>571</v>
      </c>
      <c r="D680" s="1072">
        <v>66</v>
      </c>
      <c r="E680" s="1072">
        <f t="shared" si="10"/>
        <v>637</v>
      </c>
    </row>
    <row r="681" spans="1:5">
      <c r="A681" s="1072" t="s">
        <v>1241</v>
      </c>
      <c r="B681" s="1072">
        <v>14123334</v>
      </c>
      <c r="C681" s="1072">
        <v>233</v>
      </c>
      <c r="D681" s="1072">
        <v>207</v>
      </c>
      <c r="E681" s="1072">
        <f t="shared" si="10"/>
        <v>440</v>
      </c>
    </row>
    <row r="682" spans="1:5">
      <c r="A682" s="1072" t="s">
        <v>1241</v>
      </c>
      <c r="B682" s="1072">
        <v>14123335</v>
      </c>
      <c r="C682" s="1072">
        <v>451</v>
      </c>
      <c r="D682" s="1072">
        <v>183</v>
      </c>
      <c r="E682" s="1072">
        <f t="shared" si="10"/>
        <v>634</v>
      </c>
    </row>
    <row r="683" spans="1:5">
      <c r="A683" s="1072" t="s">
        <v>1241</v>
      </c>
      <c r="B683" s="1072">
        <v>14124552</v>
      </c>
      <c r="C683" s="1072">
        <v>310</v>
      </c>
      <c r="D683" s="1072">
        <v>296</v>
      </c>
      <c r="E683" s="1072">
        <f t="shared" si="10"/>
        <v>606</v>
      </c>
    </row>
    <row r="684" spans="1:5">
      <c r="A684" s="1072" t="s">
        <v>1241</v>
      </c>
      <c r="B684" s="1072">
        <v>14133334</v>
      </c>
      <c r="C684" s="1072">
        <v>234</v>
      </c>
      <c r="D684" s="1072">
        <v>222</v>
      </c>
      <c r="E684" s="1072">
        <f t="shared" si="10"/>
        <v>456</v>
      </c>
    </row>
    <row r="685" spans="1:5">
      <c r="A685" s="1072" t="s">
        <v>1241</v>
      </c>
      <c r="B685" s="1072">
        <v>14133335</v>
      </c>
      <c r="C685" s="1072">
        <v>646</v>
      </c>
      <c r="D685" s="1072">
        <v>147</v>
      </c>
      <c r="E685" s="1072">
        <f t="shared" si="10"/>
        <v>793</v>
      </c>
    </row>
    <row r="686" spans="1:5">
      <c r="A686" s="1072" t="s">
        <v>1241</v>
      </c>
      <c r="B686" s="1072">
        <v>14134552</v>
      </c>
      <c r="C686" s="1072">
        <v>1139</v>
      </c>
      <c r="D686" s="1072">
        <v>88</v>
      </c>
      <c r="E686" s="1072">
        <f t="shared" si="10"/>
        <v>1227</v>
      </c>
    </row>
    <row r="687" spans="1:5">
      <c r="A687" s="1072" t="s">
        <v>1241</v>
      </c>
      <c r="B687" s="1072">
        <v>14143334</v>
      </c>
      <c r="C687" s="1072">
        <v>249</v>
      </c>
      <c r="D687" s="1072">
        <v>209</v>
      </c>
      <c r="E687" s="1072">
        <f t="shared" si="10"/>
        <v>458</v>
      </c>
    </row>
    <row r="688" spans="1:5">
      <c r="A688" s="1072" t="s">
        <v>1241</v>
      </c>
      <c r="B688" s="1072">
        <v>14143335</v>
      </c>
      <c r="C688" s="1072">
        <v>485</v>
      </c>
      <c r="D688" s="1072">
        <v>191</v>
      </c>
      <c r="E688" s="1072">
        <f t="shared" si="10"/>
        <v>676</v>
      </c>
    </row>
    <row r="689" spans="1:5">
      <c r="A689" s="1072" t="s">
        <v>1241</v>
      </c>
      <c r="B689" s="1072">
        <v>14144552</v>
      </c>
      <c r="C689" s="1072">
        <v>924</v>
      </c>
      <c r="D689" s="1072">
        <v>124</v>
      </c>
      <c r="E689" s="1072">
        <f t="shared" si="10"/>
        <v>1048</v>
      </c>
    </row>
    <row r="690" spans="1:5">
      <c r="A690" s="1072" t="s">
        <v>1241</v>
      </c>
      <c r="B690" s="1072">
        <v>14153334</v>
      </c>
      <c r="C690" s="1072">
        <v>262</v>
      </c>
      <c r="D690" s="1072">
        <v>249</v>
      </c>
      <c r="E690" s="1072">
        <f t="shared" si="10"/>
        <v>511</v>
      </c>
    </row>
    <row r="691" spans="1:5">
      <c r="A691" s="1072" t="s">
        <v>1241</v>
      </c>
      <c r="B691" s="1072">
        <v>14153335</v>
      </c>
      <c r="C691" s="1072">
        <v>495</v>
      </c>
      <c r="D691" s="1072">
        <v>138</v>
      </c>
      <c r="E691" s="1072">
        <f t="shared" si="10"/>
        <v>633</v>
      </c>
    </row>
    <row r="692" spans="1:5">
      <c r="A692" s="1072" t="s">
        <v>1241</v>
      </c>
      <c r="B692" s="1072">
        <v>14154552</v>
      </c>
      <c r="C692" s="1072">
        <v>348</v>
      </c>
      <c r="D692" s="1072">
        <v>317</v>
      </c>
      <c r="E692" s="1072">
        <f t="shared" si="10"/>
        <v>665</v>
      </c>
    </row>
    <row r="693" spans="1:5">
      <c r="A693" s="1072" t="s">
        <v>1241</v>
      </c>
      <c r="B693" s="1072">
        <v>14163334</v>
      </c>
      <c r="C693" s="1072">
        <v>225</v>
      </c>
      <c r="D693" s="1072">
        <v>214</v>
      </c>
      <c r="E693" s="1072">
        <f t="shared" si="10"/>
        <v>439</v>
      </c>
    </row>
    <row r="694" spans="1:5">
      <c r="A694" s="1072" t="s">
        <v>1241</v>
      </c>
      <c r="B694" s="1072">
        <v>14163335</v>
      </c>
      <c r="C694" s="1072">
        <v>842</v>
      </c>
      <c r="D694" s="1072">
        <v>89</v>
      </c>
      <c r="E694" s="1072">
        <f t="shared" si="10"/>
        <v>931</v>
      </c>
    </row>
    <row r="695" spans="1:5">
      <c r="A695" s="1072" t="s">
        <v>1241</v>
      </c>
      <c r="B695" s="1072">
        <v>14164552</v>
      </c>
      <c r="C695" s="1072">
        <v>355</v>
      </c>
      <c r="D695" s="1072">
        <v>320</v>
      </c>
      <c r="E695" s="1072">
        <f t="shared" si="10"/>
        <v>675</v>
      </c>
    </row>
    <row r="696" spans="1:5">
      <c r="A696" s="1072" t="s">
        <v>1241</v>
      </c>
      <c r="B696" s="1072">
        <v>14173334</v>
      </c>
      <c r="C696" s="1072">
        <v>253</v>
      </c>
      <c r="D696" s="1072">
        <v>244</v>
      </c>
      <c r="E696" s="1072">
        <f t="shared" si="10"/>
        <v>497</v>
      </c>
    </row>
    <row r="697" spans="1:5">
      <c r="A697" s="1072" t="s">
        <v>1241</v>
      </c>
      <c r="B697" s="1072">
        <v>14173335</v>
      </c>
      <c r="C697" s="1072">
        <v>760</v>
      </c>
      <c r="D697" s="1072">
        <v>208</v>
      </c>
      <c r="E697" s="1072">
        <f t="shared" si="10"/>
        <v>968</v>
      </c>
    </row>
    <row r="698" spans="1:5">
      <c r="A698" s="1072" t="s">
        <v>1241</v>
      </c>
      <c r="B698" s="1072">
        <v>14174552</v>
      </c>
      <c r="C698" s="1072">
        <v>334</v>
      </c>
      <c r="D698" s="1072">
        <v>321</v>
      </c>
      <c r="E698" s="1072">
        <f t="shared" si="10"/>
        <v>655</v>
      </c>
    </row>
    <row r="699" spans="1:5">
      <c r="A699" s="1072" t="s">
        <v>1241</v>
      </c>
      <c r="B699" s="1072">
        <v>14183334</v>
      </c>
      <c r="C699" s="1072">
        <v>248</v>
      </c>
      <c r="D699" s="1072">
        <v>240</v>
      </c>
      <c r="E699" s="1072">
        <f t="shared" si="10"/>
        <v>488</v>
      </c>
    </row>
    <row r="700" spans="1:5">
      <c r="A700" s="1072" t="s">
        <v>1241</v>
      </c>
      <c r="B700" s="1072">
        <v>14183335</v>
      </c>
      <c r="C700" s="1072">
        <v>260</v>
      </c>
      <c r="D700" s="1072">
        <v>189</v>
      </c>
      <c r="E700" s="1072">
        <f t="shared" si="10"/>
        <v>449</v>
      </c>
    </row>
    <row r="701" spans="1:5">
      <c r="A701" s="1072" t="s">
        <v>1241</v>
      </c>
      <c r="B701" s="1072">
        <v>14184552</v>
      </c>
      <c r="C701" s="1072">
        <v>431</v>
      </c>
      <c r="D701" s="1072">
        <v>348</v>
      </c>
      <c r="E701" s="1072">
        <f t="shared" si="10"/>
        <v>779</v>
      </c>
    </row>
    <row r="702" spans="1:5">
      <c r="A702" s="1072" t="s">
        <v>1241</v>
      </c>
      <c r="B702" s="1072">
        <v>14193334</v>
      </c>
      <c r="C702" s="1072">
        <v>433</v>
      </c>
      <c r="D702" s="1072">
        <v>160</v>
      </c>
      <c r="E702" s="1072">
        <f t="shared" si="10"/>
        <v>593</v>
      </c>
    </row>
    <row r="703" spans="1:5">
      <c r="A703" s="1072" t="s">
        <v>1241</v>
      </c>
      <c r="B703" s="1072">
        <v>14193335</v>
      </c>
      <c r="C703" s="1072">
        <v>228</v>
      </c>
      <c r="D703" s="1072">
        <v>224</v>
      </c>
      <c r="E703" s="1072">
        <f t="shared" si="10"/>
        <v>452</v>
      </c>
    </row>
    <row r="704" spans="1:5">
      <c r="A704" s="1072" t="s">
        <v>1241</v>
      </c>
      <c r="B704" s="1072">
        <v>14194552</v>
      </c>
      <c r="C704" s="1072">
        <v>255</v>
      </c>
      <c r="D704" s="1072">
        <v>255</v>
      </c>
      <c r="E704" s="1072">
        <f t="shared" si="10"/>
        <v>510</v>
      </c>
    </row>
    <row r="705" spans="1:5">
      <c r="A705" s="1072" t="s">
        <v>1241</v>
      </c>
      <c r="B705" s="1072">
        <v>14203334</v>
      </c>
      <c r="C705" s="1072">
        <v>391</v>
      </c>
      <c r="D705" s="1072">
        <v>215</v>
      </c>
      <c r="E705" s="1072">
        <f t="shared" si="10"/>
        <v>606</v>
      </c>
    </row>
    <row r="706" spans="1:5">
      <c r="A706" s="1072" t="s">
        <v>1241</v>
      </c>
      <c r="B706" s="1072">
        <v>14203335</v>
      </c>
      <c r="C706" s="1072">
        <v>273</v>
      </c>
      <c r="D706" s="1072">
        <v>234</v>
      </c>
      <c r="E706" s="1072">
        <f t="shared" ref="E706:E769" si="11">C706+D706</f>
        <v>507</v>
      </c>
    </row>
    <row r="707" spans="1:5">
      <c r="A707" s="1072" t="s">
        <v>1241</v>
      </c>
      <c r="B707" s="1072">
        <v>14204552</v>
      </c>
      <c r="C707" s="1072">
        <v>323</v>
      </c>
      <c r="D707" s="1072">
        <v>319</v>
      </c>
      <c r="E707" s="1072">
        <f t="shared" si="11"/>
        <v>642</v>
      </c>
    </row>
    <row r="708" spans="1:5">
      <c r="A708" s="1072" t="s">
        <v>1241</v>
      </c>
      <c r="B708" s="1072">
        <v>14213334</v>
      </c>
      <c r="C708" s="1072">
        <v>266</v>
      </c>
      <c r="D708" s="1072">
        <v>188</v>
      </c>
      <c r="E708" s="1072">
        <f t="shared" si="11"/>
        <v>454</v>
      </c>
    </row>
    <row r="709" spans="1:5">
      <c r="A709" s="1072" t="s">
        <v>1241</v>
      </c>
      <c r="B709" s="1072">
        <v>14213335</v>
      </c>
      <c r="C709" s="1072">
        <v>496</v>
      </c>
      <c r="D709" s="1072">
        <v>209</v>
      </c>
      <c r="E709" s="1072">
        <f t="shared" si="11"/>
        <v>705</v>
      </c>
    </row>
    <row r="710" spans="1:5">
      <c r="A710" s="1072" t="s">
        <v>1241</v>
      </c>
      <c r="B710" s="1072">
        <v>14214552</v>
      </c>
      <c r="C710" s="1072">
        <v>245</v>
      </c>
      <c r="D710" s="1072">
        <v>233</v>
      </c>
      <c r="E710" s="1072">
        <f t="shared" si="11"/>
        <v>478</v>
      </c>
    </row>
    <row r="711" spans="1:5">
      <c r="A711" s="1072" t="s">
        <v>1241</v>
      </c>
      <c r="B711" s="1072">
        <v>14223335</v>
      </c>
      <c r="C711" s="1072">
        <v>290</v>
      </c>
      <c r="D711" s="1072">
        <v>265</v>
      </c>
      <c r="E711" s="1072">
        <f t="shared" si="11"/>
        <v>555</v>
      </c>
    </row>
    <row r="712" spans="1:5">
      <c r="A712" s="1072" t="s">
        <v>1241</v>
      </c>
      <c r="B712" s="1072">
        <v>14224552</v>
      </c>
      <c r="C712" s="1072">
        <v>209</v>
      </c>
      <c r="D712" s="1072">
        <v>165</v>
      </c>
      <c r="E712" s="1072">
        <f t="shared" si="11"/>
        <v>374</v>
      </c>
    </row>
    <row r="713" spans="1:5">
      <c r="A713" s="1072" t="s">
        <v>1241</v>
      </c>
      <c r="B713" s="1072">
        <v>14233335</v>
      </c>
      <c r="C713" s="1072">
        <v>1409</v>
      </c>
      <c r="D713" s="1072">
        <v>847</v>
      </c>
      <c r="E713" s="1072">
        <f t="shared" si="11"/>
        <v>2256</v>
      </c>
    </row>
    <row r="714" spans="1:5">
      <c r="A714" s="1072" t="s">
        <v>1241</v>
      </c>
      <c r="B714" s="1072">
        <v>14234552</v>
      </c>
      <c r="C714" s="1072">
        <v>618</v>
      </c>
      <c r="D714" s="1072">
        <v>149</v>
      </c>
      <c r="E714" s="1072">
        <f t="shared" si="11"/>
        <v>767</v>
      </c>
    </row>
    <row r="715" spans="1:5">
      <c r="A715" s="1072" t="s">
        <v>1241</v>
      </c>
      <c r="B715" s="1072">
        <v>14243335</v>
      </c>
      <c r="C715" s="1072">
        <v>271</v>
      </c>
      <c r="D715" s="1072">
        <v>266</v>
      </c>
      <c r="E715" s="1072">
        <f t="shared" si="11"/>
        <v>537</v>
      </c>
    </row>
    <row r="716" spans="1:5">
      <c r="A716" s="1072" t="s">
        <v>1241</v>
      </c>
      <c r="B716" s="1072">
        <v>14244552</v>
      </c>
      <c r="C716" s="1072">
        <v>1230</v>
      </c>
      <c r="D716" s="1072">
        <v>11</v>
      </c>
      <c r="E716" s="1072">
        <f t="shared" si="11"/>
        <v>1241</v>
      </c>
    </row>
    <row r="717" spans="1:5">
      <c r="A717" s="1072" t="s">
        <v>1241</v>
      </c>
      <c r="B717" s="1072">
        <v>14253335</v>
      </c>
      <c r="C717" s="1072">
        <v>287</v>
      </c>
      <c r="D717" s="1072">
        <v>268</v>
      </c>
      <c r="E717" s="1072">
        <f t="shared" si="11"/>
        <v>555</v>
      </c>
    </row>
    <row r="718" spans="1:5">
      <c r="A718" s="1072" t="s">
        <v>1241</v>
      </c>
      <c r="B718" s="1072">
        <v>14254552</v>
      </c>
      <c r="C718" s="1072">
        <v>1406</v>
      </c>
      <c r="D718" s="1072">
        <v>8</v>
      </c>
      <c r="E718" s="1072">
        <f t="shared" si="11"/>
        <v>1414</v>
      </c>
    </row>
    <row r="719" spans="1:5">
      <c r="A719" s="1072" t="s">
        <v>1241</v>
      </c>
      <c r="B719" s="1072">
        <v>14263335</v>
      </c>
      <c r="C719" s="1072">
        <v>228</v>
      </c>
      <c r="D719" s="1072">
        <v>197</v>
      </c>
      <c r="E719" s="1072">
        <f t="shared" si="11"/>
        <v>425</v>
      </c>
    </row>
    <row r="720" spans="1:5">
      <c r="A720" s="1072" t="s">
        <v>1241</v>
      </c>
      <c r="B720" s="1072">
        <v>14264552</v>
      </c>
      <c r="C720" s="1072">
        <v>288</v>
      </c>
      <c r="D720" s="1072">
        <v>202</v>
      </c>
      <c r="E720" s="1072">
        <f t="shared" si="11"/>
        <v>490</v>
      </c>
    </row>
    <row r="721" spans="1:5">
      <c r="A721" s="1072" t="s">
        <v>1241</v>
      </c>
      <c r="B721" s="1072">
        <v>14273335</v>
      </c>
      <c r="C721" s="1072">
        <v>555</v>
      </c>
      <c r="D721" s="1072">
        <v>400</v>
      </c>
      <c r="E721" s="1072">
        <f t="shared" si="11"/>
        <v>955</v>
      </c>
    </row>
    <row r="722" spans="1:5">
      <c r="A722" s="1072" t="s">
        <v>1241</v>
      </c>
      <c r="B722" s="1072">
        <v>14274552</v>
      </c>
      <c r="C722" s="1072">
        <v>397</v>
      </c>
      <c r="D722" s="1072">
        <v>173</v>
      </c>
      <c r="E722" s="1072">
        <f t="shared" si="11"/>
        <v>570</v>
      </c>
    </row>
    <row r="723" spans="1:5">
      <c r="A723" s="1072" t="s">
        <v>1241</v>
      </c>
      <c r="B723" s="1072">
        <v>14284552</v>
      </c>
      <c r="C723" s="1072">
        <v>211</v>
      </c>
      <c r="D723" s="1072">
        <v>182</v>
      </c>
      <c r="E723" s="1072">
        <f t="shared" si="11"/>
        <v>393</v>
      </c>
    </row>
    <row r="724" spans="1:5">
      <c r="A724" s="1072" t="s">
        <v>1241</v>
      </c>
      <c r="B724" s="1072">
        <v>14295152</v>
      </c>
      <c r="C724" s="1072">
        <v>180</v>
      </c>
      <c r="D724" s="1072">
        <v>158</v>
      </c>
      <c r="E724" s="1072">
        <f t="shared" si="11"/>
        <v>338</v>
      </c>
    </row>
    <row r="725" spans="1:5">
      <c r="A725" s="1072" t="s">
        <v>1241</v>
      </c>
      <c r="B725" s="1072">
        <v>14305152</v>
      </c>
      <c r="C725" s="1072">
        <v>207</v>
      </c>
      <c r="D725" s="1072">
        <v>201</v>
      </c>
      <c r="E725" s="1072">
        <f t="shared" si="11"/>
        <v>408</v>
      </c>
    </row>
    <row r="726" spans="1:5">
      <c r="A726" s="1072" t="s">
        <v>1241</v>
      </c>
      <c r="B726" s="1072">
        <v>14315152</v>
      </c>
      <c r="C726" s="1072">
        <v>429</v>
      </c>
      <c r="D726" s="1072">
        <v>259</v>
      </c>
      <c r="E726" s="1072">
        <f t="shared" si="11"/>
        <v>688</v>
      </c>
    </row>
    <row r="727" spans="1:5">
      <c r="A727" s="1072" t="s">
        <v>1241</v>
      </c>
      <c r="B727" s="1072">
        <v>14325152</v>
      </c>
      <c r="C727" s="1072">
        <v>281</v>
      </c>
      <c r="D727" s="1072">
        <v>280</v>
      </c>
      <c r="E727" s="1072">
        <f t="shared" si="11"/>
        <v>561</v>
      </c>
    </row>
    <row r="728" spans="1:5">
      <c r="A728" s="1072" t="s">
        <v>1241</v>
      </c>
      <c r="B728" s="1072">
        <v>14335152</v>
      </c>
      <c r="C728" s="1072">
        <v>310</v>
      </c>
      <c r="D728" s="1072">
        <v>291</v>
      </c>
      <c r="E728" s="1072">
        <f t="shared" si="11"/>
        <v>601</v>
      </c>
    </row>
    <row r="729" spans="1:5">
      <c r="A729" s="1072" t="s">
        <v>1241</v>
      </c>
      <c r="B729" s="1072">
        <v>14345152</v>
      </c>
      <c r="C729" s="1072">
        <v>232</v>
      </c>
      <c r="D729" s="1072">
        <v>122</v>
      </c>
      <c r="E729" s="1072">
        <f t="shared" si="11"/>
        <v>354</v>
      </c>
    </row>
    <row r="730" spans="1:5">
      <c r="A730" s="1072" t="s">
        <v>1241</v>
      </c>
      <c r="B730" s="1072">
        <v>14355152</v>
      </c>
      <c r="C730" s="1072">
        <v>253</v>
      </c>
      <c r="D730" s="1072">
        <v>208</v>
      </c>
      <c r="E730" s="1072">
        <f t="shared" si="11"/>
        <v>461</v>
      </c>
    </row>
    <row r="731" spans="1:5">
      <c r="A731" s="1072" t="s">
        <v>1241</v>
      </c>
      <c r="B731" s="1072">
        <v>14365152</v>
      </c>
      <c r="C731" s="1072">
        <v>322</v>
      </c>
      <c r="D731" s="1072">
        <v>300</v>
      </c>
      <c r="E731" s="1072">
        <f t="shared" si="11"/>
        <v>622</v>
      </c>
    </row>
    <row r="732" spans="1:5">
      <c r="A732" s="1072" t="s">
        <v>1241</v>
      </c>
      <c r="B732" s="1072">
        <v>14375152</v>
      </c>
      <c r="C732" s="1072">
        <v>313</v>
      </c>
      <c r="D732" s="1072">
        <v>261</v>
      </c>
      <c r="E732" s="1072">
        <f t="shared" si="11"/>
        <v>574</v>
      </c>
    </row>
    <row r="733" spans="1:5">
      <c r="A733" s="1072" t="s">
        <v>1241</v>
      </c>
      <c r="B733" s="1072">
        <v>14385152</v>
      </c>
      <c r="C733" s="1072">
        <v>357</v>
      </c>
      <c r="D733" s="1072">
        <v>289</v>
      </c>
      <c r="E733" s="1072">
        <f t="shared" si="11"/>
        <v>646</v>
      </c>
    </row>
    <row r="734" spans="1:5">
      <c r="A734" s="1072" t="s">
        <v>1241</v>
      </c>
      <c r="B734" s="1072">
        <v>14395152</v>
      </c>
      <c r="C734" s="1072">
        <v>399</v>
      </c>
      <c r="D734" s="1072">
        <v>243</v>
      </c>
      <c r="E734" s="1072">
        <f t="shared" si="11"/>
        <v>642</v>
      </c>
    </row>
    <row r="735" spans="1:5">
      <c r="A735" s="1072" t="s">
        <v>1241</v>
      </c>
      <c r="B735" s="1072">
        <v>14405152</v>
      </c>
      <c r="C735" s="1072">
        <v>326</v>
      </c>
      <c r="D735" s="1072">
        <v>247</v>
      </c>
      <c r="E735" s="1072">
        <f t="shared" si="11"/>
        <v>573</v>
      </c>
    </row>
    <row r="736" spans="1:5">
      <c r="A736" s="1072" t="s">
        <v>1241</v>
      </c>
      <c r="B736" s="1072">
        <v>14415152</v>
      </c>
      <c r="C736" s="1072">
        <v>469</v>
      </c>
      <c r="D736" s="1072">
        <v>292</v>
      </c>
      <c r="E736" s="1072">
        <f t="shared" si="11"/>
        <v>761</v>
      </c>
    </row>
    <row r="737" spans="1:5">
      <c r="A737" s="1072" t="s">
        <v>1241</v>
      </c>
      <c r="B737" s="1072">
        <v>14425152</v>
      </c>
      <c r="C737" s="1072">
        <v>359</v>
      </c>
      <c r="D737" s="1072">
        <v>279</v>
      </c>
      <c r="E737" s="1072">
        <f t="shared" si="11"/>
        <v>638</v>
      </c>
    </row>
    <row r="738" spans="1:5">
      <c r="A738" s="1072" t="s">
        <v>1241</v>
      </c>
      <c r="B738" s="1072">
        <v>15003437</v>
      </c>
      <c r="C738" s="1072">
        <v>794</v>
      </c>
      <c r="D738" s="1072">
        <v>337</v>
      </c>
      <c r="E738" s="1072">
        <f t="shared" si="11"/>
        <v>1131</v>
      </c>
    </row>
    <row r="739" spans="1:5">
      <c r="A739" s="1072" t="s">
        <v>1241</v>
      </c>
      <c r="B739" s="1072">
        <v>15003535</v>
      </c>
      <c r="C739" s="1072">
        <v>747</v>
      </c>
      <c r="D739" s="1072">
        <v>136</v>
      </c>
      <c r="E739" s="1072">
        <f t="shared" si="11"/>
        <v>883</v>
      </c>
    </row>
    <row r="740" spans="1:5">
      <c r="A740" s="1072" t="s">
        <v>1241</v>
      </c>
      <c r="B740" s="1072">
        <v>15012256</v>
      </c>
      <c r="C740" s="1072">
        <v>13</v>
      </c>
      <c r="D740" s="1072">
        <v>105</v>
      </c>
      <c r="E740" s="1072">
        <f t="shared" si="11"/>
        <v>118</v>
      </c>
    </row>
    <row r="741" spans="1:5">
      <c r="A741" s="1072" t="s">
        <v>1241</v>
      </c>
      <c r="B741" s="1072">
        <v>15013437</v>
      </c>
      <c r="C741" s="1072">
        <v>1670</v>
      </c>
      <c r="D741" s="1072">
        <v>257</v>
      </c>
      <c r="E741" s="1072">
        <f t="shared" si="11"/>
        <v>1927</v>
      </c>
    </row>
    <row r="742" spans="1:5">
      <c r="A742" s="1072" t="s">
        <v>1241</v>
      </c>
      <c r="B742" s="1072">
        <v>15013535</v>
      </c>
      <c r="C742" s="1072">
        <v>750</v>
      </c>
      <c r="D742" s="1072">
        <v>65</v>
      </c>
      <c r="E742" s="1072">
        <f t="shared" si="11"/>
        <v>815</v>
      </c>
    </row>
    <row r="743" spans="1:5">
      <c r="A743" s="1072" t="s">
        <v>1241</v>
      </c>
      <c r="B743" s="1072">
        <v>15015139</v>
      </c>
      <c r="C743" s="1072">
        <v>142</v>
      </c>
      <c r="D743" s="1072">
        <v>131</v>
      </c>
      <c r="E743" s="1072">
        <f t="shared" si="11"/>
        <v>273</v>
      </c>
    </row>
    <row r="744" spans="1:5">
      <c r="A744" s="1072" t="s">
        <v>1241</v>
      </c>
      <c r="B744" s="1072">
        <v>15015153</v>
      </c>
      <c r="C744" s="1072">
        <v>780</v>
      </c>
      <c r="D744" s="1072">
        <v>130</v>
      </c>
      <c r="E744" s="1072">
        <f t="shared" si="11"/>
        <v>910</v>
      </c>
    </row>
    <row r="745" spans="1:5">
      <c r="A745" s="1072" t="s">
        <v>1241</v>
      </c>
      <c r="B745" s="1072">
        <v>15023437</v>
      </c>
      <c r="C745" s="1072">
        <v>902</v>
      </c>
      <c r="D745" s="1072">
        <v>46</v>
      </c>
      <c r="E745" s="1072">
        <f t="shared" si="11"/>
        <v>948</v>
      </c>
    </row>
    <row r="746" spans="1:5">
      <c r="A746" s="1072" t="s">
        <v>1241</v>
      </c>
      <c r="B746" s="1072">
        <v>15023535</v>
      </c>
      <c r="C746" s="1072">
        <v>308</v>
      </c>
      <c r="D746" s="1072">
        <v>101</v>
      </c>
      <c r="E746" s="1072">
        <f t="shared" si="11"/>
        <v>409</v>
      </c>
    </row>
    <row r="747" spans="1:5">
      <c r="A747" s="1072" t="s">
        <v>1241</v>
      </c>
      <c r="B747" s="1072">
        <v>15025139</v>
      </c>
      <c r="C747" s="1072">
        <v>134</v>
      </c>
      <c r="D747" s="1072">
        <v>115</v>
      </c>
      <c r="E747" s="1072">
        <f t="shared" si="11"/>
        <v>249</v>
      </c>
    </row>
    <row r="748" spans="1:5">
      <c r="A748" s="1072" t="s">
        <v>1241</v>
      </c>
      <c r="B748" s="1072">
        <v>15025153</v>
      </c>
      <c r="C748" s="1072">
        <v>293</v>
      </c>
      <c r="D748" s="1072">
        <v>239</v>
      </c>
      <c r="E748" s="1072">
        <f t="shared" si="11"/>
        <v>532</v>
      </c>
    </row>
    <row r="749" spans="1:5">
      <c r="A749" s="1072" t="s">
        <v>1241</v>
      </c>
      <c r="B749" s="1072">
        <v>15033437</v>
      </c>
      <c r="C749" s="1072">
        <v>1134</v>
      </c>
      <c r="D749" s="1072">
        <v>51</v>
      </c>
      <c r="E749" s="1072">
        <f t="shared" si="11"/>
        <v>1185</v>
      </c>
    </row>
    <row r="750" spans="1:5">
      <c r="A750" s="1072" t="s">
        <v>1241</v>
      </c>
      <c r="B750" s="1072">
        <v>15033535</v>
      </c>
      <c r="C750" s="1072">
        <v>1015</v>
      </c>
      <c r="D750" s="1072">
        <v>76</v>
      </c>
      <c r="E750" s="1072">
        <f t="shared" si="11"/>
        <v>1091</v>
      </c>
    </row>
    <row r="751" spans="1:5">
      <c r="A751" s="1072" t="s">
        <v>1241</v>
      </c>
      <c r="B751" s="1072">
        <v>15035153</v>
      </c>
      <c r="C751" s="1072">
        <v>402</v>
      </c>
      <c r="D751" s="1072">
        <v>268</v>
      </c>
      <c r="E751" s="1072">
        <f t="shared" si="11"/>
        <v>670</v>
      </c>
    </row>
    <row r="752" spans="1:5">
      <c r="A752" s="1072" t="s">
        <v>1241</v>
      </c>
      <c r="B752" s="1072">
        <v>15043437</v>
      </c>
      <c r="C752" s="1072">
        <v>1039</v>
      </c>
      <c r="D752" s="1072">
        <v>57</v>
      </c>
      <c r="E752" s="1072">
        <f t="shared" si="11"/>
        <v>1096</v>
      </c>
    </row>
    <row r="753" spans="1:5">
      <c r="A753" s="1072" t="s">
        <v>1241</v>
      </c>
      <c r="B753" s="1072">
        <v>15043535</v>
      </c>
      <c r="C753" s="1072">
        <v>215</v>
      </c>
      <c r="D753" s="1072">
        <v>133</v>
      </c>
      <c r="E753" s="1072">
        <f t="shared" si="11"/>
        <v>348</v>
      </c>
    </row>
    <row r="754" spans="1:5">
      <c r="A754" s="1072" t="s">
        <v>1241</v>
      </c>
      <c r="B754" s="1072">
        <v>15045153</v>
      </c>
      <c r="C754" s="1072">
        <v>362</v>
      </c>
      <c r="D754" s="1072">
        <v>314</v>
      </c>
      <c r="E754" s="1072">
        <f t="shared" si="11"/>
        <v>676</v>
      </c>
    </row>
    <row r="755" spans="1:5">
      <c r="A755" s="1072" t="s">
        <v>1241</v>
      </c>
      <c r="B755" s="1072">
        <v>15053437</v>
      </c>
      <c r="C755" s="1072">
        <v>784</v>
      </c>
      <c r="D755" s="1072">
        <v>46</v>
      </c>
      <c r="E755" s="1072">
        <f t="shared" si="11"/>
        <v>830</v>
      </c>
    </row>
    <row r="756" spans="1:5">
      <c r="A756" s="1072" t="s">
        <v>1241</v>
      </c>
      <c r="B756" s="1072">
        <v>15053535</v>
      </c>
      <c r="C756" s="1072">
        <v>52</v>
      </c>
      <c r="D756" s="1072">
        <v>29</v>
      </c>
      <c r="E756" s="1072">
        <f t="shared" si="11"/>
        <v>81</v>
      </c>
    </row>
    <row r="757" spans="1:5">
      <c r="A757" s="1072" t="s">
        <v>1241</v>
      </c>
      <c r="B757" s="1072">
        <v>15055153</v>
      </c>
      <c r="C757" s="1072">
        <v>438</v>
      </c>
      <c r="D757" s="1072">
        <v>298</v>
      </c>
      <c r="E757" s="1072">
        <f t="shared" si="11"/>
        <v>736</v>
      </c>
    </row>
    <row r="758" spans="1:5">
      <c r="A758" s="1072" t="s">
        <v>1241</v>
      </c>
      <c r="B758" s="1072">
        <v>15063437</v>
      </c>
      <c r="C758" s="1072">
        <v>439</v>
      </c>
      <c r="D758" s="1072">
        <v>76</v>
      </c>
      <c r="E758" s="1072">
        <f t="shared" si="11"/>
        <v>515</v>
      </c>
    </row>
    <row r="759" spans="1:5">
      <c r="A759" s="1072" t="s">
        <v>1241</v>
      </c>
      <c r="B759" s="1072">
        <v>15063535</v>
      </c>
      <c r="C759" s="1072">
        <v>759</v>
      </c>
      <c r="D759" s="1072">
        <v>79</v>
      </c>
      <c r="E759" s="1072">
        <f t="shared" si="11"/>
        <v>838</v>
      </c>
    </row>
    <row r="760" spans="1:5">
      <c r="A760" s="1072" t="s">
        <v>1241</v>
      </c>
      <c r="B760" s="1072">
        <v>15065153</v>
      </c>
      <c r="C760" s="1072">
        <v>622</v>
      </c>
      <c r="D760" s="1072">
        <v>172</v>
      </c>
      <c r="E760" s="1072">
        <f t="shared" si="11"/>
        <v>794</v>
      </c>
    </row>
    <row r="761" spans="1:5">
      <c r="A761" s="1072" t="s">
        <v>1241</v>
      </c>
      <c r="B761" s="1072">
        <v>15073535</v>
      </c>
      <c r="C761" s="1072">
        <v>786</v>
      </c>
      <c r="D761" s="1072">
        <v>99</v>
      </c>
      <c r="E761" s="1072">
        <f t="shared" si="11"/>
        <v>885</v>
      </c>
    </row>
    <row r="762" spans="1:5">
      <c r="A762" s="1072" t="s">
        <v>1241</v>
      </c>
      <c r="B762" s="1072">
        <v>15075153</v>
      </c>
      <c r="C762" s="1072">
        <v>362</v>
      </c>
      <c r="D762" s="1072">
        <v>232</v>
      </c>
      <c r="E762" s="1072">
        <f t="shared" si="11"/>
        <v>594</v>
      </c>
    </row>
    <row r="763" spans="1:5">
      <c r="A763" s="1072" t="s">
        <v>1241</v>
      </c>
      <c r="B763" s="1072">
        <v>15083535</v>
      </c>
      <c r="C763" s="1072">
        <v>436</v>
      </c>
      <c r="D763" s="1072">
        <v>145</v>
      </c>
      <c r="E763" s="1072">
        <f t="shared" si="11"/>
        <v>581</v>
      </c>
    </row>
    <row r="764" spans="1:5">
      <c r="A764" s="1072" t="s">
        <v>1241</v>
      </c>
      <c r="B764" s="1072">
        <v>15085153</v>
      </c>
      <c r="C764" s="1072">
        <v>798</v>
      </c>
      <c r="D764" s="1072">
        <v>141</v>
      </c>
      <c r="E764" s="1072">
        <f t="shared" si="11"/>
        <v>939</v>
      </c>
    </row>
    <row r="765" spans="1:5">
      <c r="A765" s="1072" t="s">
        <v>1241</v>
      </c>
      <c r="B765" s="1072">
        <v>15093535</v>
      </c>
      <c r="C765" s="1072">
        <v>229</v>
      </c>
      <c r="D765" s="1072">
        <v>209</v>
      </c>
      <c r="E765" s="1072">
        <f t="shared" si="11"/>
        <v>438</v>
      </c>
    </row>
    <row r="766" spans="1:5">
      <c r="A766" s="1072" t="s">
        <v>1241</v>
      </c>
      <c r="B766" s="1072">
        <v>15095153</v>
      </c>
      <c r="C766" s="1072">
        <v>978</v>
      </c>
      <c r="D766" s="1072">
        <v>257</v>
      </c>
      <c r="E766" s="1072">
        <f t="shared" si="11"/>
        <v>1235</v>
      </c>
    </row>
    <row r="767" spans="1:5">
      <c r="A767" s="1072" t="s">
        <v>1241</v>
      </c>
      <c r="B767" s="1072">
        <v>15099999</v>
      </c>
      <c r="C767" s="1072">
        <v>144</v>
      </c>
      <c r="D767" s="1072">
        <v>2</v>
      </c>
      <c r="E767" s="1072">
        <f t="shared" si="11"/>
        <v>146</v>
      </c>
    </row>
    <row r="768" spans="1:5">
      <c r="A768" s="1072" t="s">
        <v>1241</v>
      </c>
      <c r="B768" s="1072">
        <v>15103535</v>
      </c>
      <c r="C768" s="1072">
        <v>286</v>
      </c>
      <c r="D768" s="1072">
        <v>174</v>
      </c>
      <c r="E768" s="1072">
        <f t="shared" si="11"/>
        <v>460</v>
      </c>
    </row>
    <row r="769" spans="1:5">
      <c r="A769" s="1072" t="s">
        <v>1241</v>
      </c>
      <c r="B769" s="1072">
        <v>15105153</v>
      </c>
      <c r="C769" s="1072">
        <v>990</v>
      </c>
      <c r="D769" s="1072">
        <v>294</v>
      </c>
      <c r="E769" s="1072">
        <f t="shared" si="11"/>
        <v>1284</v>
      </c>
    </row>
    <row r="770" spans="1:5">
      <c r="A770" s="1072" t="s">
        <v>1241</v>
      </c>
      <c r="B770" s="1072">
        <v>15113535</v>
      </c>
      <c r="C770" s="1072">
        <v>300</v>
      </c>
      <c r="D770" s="1072">
        <v>158</v>
      </c>
      <c r="E770" s="1072">
        <f t="shared" ref="E770:E833" si="12">C770+D770</f>
        <v>458</v>
      </c>
    </row>
    <row r="771" spans="1:5">
      <c r="A771" s="1072" t="s">
        <v>1241</v>
      </c>
      <c r="B771" s="1072">
        <v>15115153</v>
      </c>
      <c r="C771" s="1072">
        <v>675</v>
      </c>
      <c r="D771" s="1072">
        <v>136</v>
      </c>
      <c r="E771" s="1072">
        <f t="shared" si="12"/>
        <v>811</v>
      </c>
    </row>
    <row r="772" spans="1:5">
      <c r="A772" s="1072" t="s">
        <v>1241</v>
      </c>
      <c r="B772" s="1072">
        <v>15123535</v>
      </c>
      <c r="C772" s="1072">
        <v>472</v>
      </c>
      <c r="D772" s="1072">
        <v>99</v>
      </c>
      <c r="E772" s="1072">
        <f t="shared" si="12"/>
        <v>571</v>
      </c>
    </row>
    <row r="773" spans="1:5">
      <c r="A773" s="1072" t="s">
        <v>1241</v>
      </c>
      <c r="B773" s="1072">
        <v>15125153</v>
      </c>
      <c r="C773" s="1072">
        <v>550</v>
      </c>
      <c r="D773" s="1072">
        <v>331</v>
      </c>
      <c r="E773" s="1072">
        <f t="shared" si="12"/>
        <v>881</v>
      </c>
    </row>
    <row r="774" spans="1:5">
      <c r="A774" s="1072" t="s">
        <v>1241</v>
      </c>
      <c r="B774" s="1072">
        <v>15133535</v>
      </c>
      <c r="C774" s="1072">
        <v>296</v>
      </c>
      <c r="D774" s="1072">
        <v>120</v>
      </c>
      <c r="E774" s="1072">
        <f t="shared" si="12"/>
        <v>416</v>
      </c>
    </row>
    <row r="775" spans="1:5">
      <c r="A775" s="1072" t="s">
        <v>1241</v>
      </c>
      <c r="B775" s="1072">
        <v>15135153</v>
      </c>
      <c r="C775" s="1072">
        <v>676</v>
      </c>
      <c r="D775" s="1072">
        <v>159</v>
      </c>
      <c r="E775" s="1072">
        <f t="shared" si="12"/>
        <v>835</v>
      </c>
    </row>
    <row r="776" spans="1:5">
      <c r="A776" s="1072" t="s">
        <v>1241</v>
      </c>
      <c r="B776" s="1072">
        <v>15145153</v>
      </c>
      <c r="C776" s="1072">
        <v>561</v>
      </c>
      <c r="D776" s="1072">
        <v>189</v>
      </c>
      <c r="E776" s="1072">
        <f t="shared" si="12"/>
        <v>750</v>
      </c>
    </row>
    <row r="777" spans="1:5">
      <c r="A777" s="1072" t="s">
        <v>1241</v>
      </c>
      <c r="B777" s="1072">
        <v>15155153</v>
      </c>
      <c r="C777" s="1072">
        <v>271</v>
      </c>
      <c r="D777" s="1072">
        <v>233</v>
      </c>
      <c r="E777" s="1072">
        <f t="shared" si="12"/>
        <v>504</v>
      </c>
    </row>
    <row r="778" spans="1:5">
      <c r="A778" s="1072" t="s">
        <v>1241</v>
      </c>
      <c r="B778" s="1072">
        <v>15165153</v>
      </c>
      <c r="C778" s="1072">
        <v>251</v>
      </c>
      <c r="D778" s="1072">
        <v>237</v>
      </c>
      <c r="E778" s="1072">
        <f t="shared" si="12"/>
        <v>488</v>
      </c>
    </row>
    <row r="779" spans="1:5">
      <c r="A779" s="1072" t="s">
        <v>1241</v>
      </c>
      <c r="B779" s="1072">
        <v>15175153</v>
      </c>
      <c r="C779" s="1072">
        <v>344</v>
      </c>
      <c r="D779" s="1072">
        <v>307</v>
      </c>
      <c r="E779" s="1072">
        <f t="shared" si="12"/>
        <v>651</v>
      </c>
    </row>
    <row r="780" spans="1:5">
      <c r="A780" s="1072" t="s">
        <v>1241</v>
      </c>
      <c r="B780" s="1072">
        <v>15185153</v>
      </c>
      <c r="C780" s="1072">
        <v>278</v>
      </c>
      <c r="D780" s="1072">
        <v>243</v>
      </c>
      <c r="E780" s="1072">
        <f t="shared" si="12"/>
        <v>521</v>
      </c>
    </row>
    <row r="781" spans="1:5">
      <c r="A781" s="1072" t="s">
        <v>1241</v>
      </c>
      <c r="B781" s="1072">
        <v>15195153</v>
      </c>
      <c r="C781" s="1072">
        <v>194</v>
      </c>
      <c r="D781" s="1072">
        <v>159</v>
      </c>
      <c r="E781" s="1072">
        <f t="shared" si="12"/>
        <v>353</v>
      </c>
    </row>
    <row r="782" spans="1:5">
      <c r="A782" s="1072" t="s">
        <v>1241</v>
      </c>
      <c r="B782" s="1072">
        <v>15205153</v>
      </c>
      <c r="C782" s="1072">
        <v>16</v>
      </c>
      <c r="D782" s="1072">
        <v>11</v>
      </c>
      <c r="E782" s="1072">
        <f t="shared" si="12"/>
        <v>27</v>
      </c>
    </row>
    <row r="783" spans="1:5">
      <c r="A783" s="1072" t="s">
        <v>1241</v>
      </c>
      <c r="B783" s="1072">
        <v>15215153</v>
      </c>
      <c r="C783" s="1072">
        <v>240</v>
      </c>
      <c r="D783" s="1072">
        <v>229</v>
      </c>
      <c r="E783" s="1072">
        <f t="shared" si="12"/>
        <v>469</v>
      </c>
    </row>
    <row r="784" spans="1:5">
      <c r="A784" s="1072" t="s">
        <v>1241</v>
      </c>
      <c r="B784" s="1072">
        <v>15225153</v>
      </c>
      <c r="C784" s="1072">
        <v>225</v>
      </c>
      <c r="D784" s="1072">
        <v>221</v>
      </c>
      <c r="E784" s="1072">
        <f t="shared" si="12"/>
        <v>446</v>
      </c>
    </row>
    <row r="785" spans="1:5">
      <c r="A785" s="1072" t="s">
        <v>1241</v>
      </c>
      <c r="B785" s="1072">
        <v>15235153</v>
      </c>
      <c r="C785" s="1072">
        <v>215</v>
      </c>
      <c r="D785" s="1072">
        <v>190</v>
      </c>
      <c r="E785" s="1072">
        <f t="shared" si="12"/>
        <v>405</v>
      </c>
    </row>
    <row r="786" spans="1:5">
      <c r="A786" s="1072" t="s">
        <v>1241</v>
      </c>
      <c r="B786" s="1072">
        <v>15245153</v>
      </c>
      <c r="C786" s="1072">
        <v>323</v>
      </c>
      <c r="D786" s="1072">
        <v>278</v>
      </c>
      <c r="E786" s="1072">
        <f t="shared" si="12"/>
        <v>601</v>
      </c>
    </row>
    <row r="787" spans="1:5">
      <c r="A787" s="1072" t="s">
        <v>1241</v>
      </c>
      <c r="B787" s="1072">
        <v>15255153</v>
      </c>
      <c r="C787" s="1072">
        <v>603</v>
      </c>
      <c r="D787" s="1072">
        <v>265</v>
      </c>
      <c r="E787" s="1072">
        <f t="shared" si="12"/>
        <v>868</v>
      </c>
    </row>
    <row r="788" spans="1:5">
      <c r="A788" s="1072" t="s">
        <v>1241</v>
      </c>
      <c r="B788" s="1072">
        <v>15265153</v>
      </c>
      <c r="C788" s="1072">
        <v>443</v>
      </c>
      <c r="D788" s="1072">
        <v>232</v>
      </c>
      <c r="E788" s="1072">
        <f t="shared" si="12"/>
        <v>675</v>
      </c>
    </row>
    <row r="789" spans="1:5">
      <c r="A789" s="1072" t="s">
        <v>1241</v>
      </c>
      <c r="B789" s="1072">
        <v>15275153</v>
      </c>
      <c r="C789" s="1072">
        <v>303</v>
      </c>
      <c r="D789" s="1072">
        <v>220</v>
      </c>
      <c r="E789" s="1072">
        <f t="shared" si="12"/>
        <v>523</v>
      </c>
    </row>
    <row r="790" spans="1:5">
      <c r="A790" s="1072" t="s">
        <v>1241</v>
      </c>
      <c r="B790" s="1072">
        <v>16003535</v>
      </c>
      <c r="C790" s="1072">
        <v>395</v>
      </c>
      <c r="D790" s="1072">
        <v>135</v>
      </c>
      <c r="E790" s="1072">
        <f t="shared" si="12"/>
        <v>530</v>
      </c>
    </row>
    <row r="791" spans="1:5">
      <c r="A791" s="1072" t="s">
        <v>1241</v>
      </c>
      <c r="B791" s="1072">
        <v>16003536</v>
      </c>
      <c r="C791" s="1072">
        <v>267</v>
      </c>
      <c r="D791" s="1072">
        <v>161</v>
      </c>
      <c r="E791" s="1072">
        <f t="shared" si="12"/>
        <v>428</v>
      </c>
    </row>
    <row r="792" spans="1:5">
      <c r="A792" s="1072" t="s">
        <v>1241</v>
      </c>
      <c r="B792" s="1072">
        <v>16013535</v>
      </c>
      <c r="C792" s="1072">
        <v>604</v>
      </c>
      <c r="D792" s="1072">
        <v>174</v>
      </c>
      <c r="E792" s="1072">
        <f t="shared" si="12"/>
        <v>778</v>
      </c>
    </row>
    <row r="793" spans="1:5">
      <c r="A793" s="1072" t="s">
        <v>1241</v>
      </c>
      <c r="B793" s="1072">
        <v>16013536</v>
      </c>
      <c r="C793" s="1072">
        <v>355</v>
      </c>
      <c r="D793" s="1072">
        <v>249</v>
      </c>
      <c r="E793" s="1072">
        <f t="shared" si="12"/>
        <v>604</v>
      </c>
    </row>
    <row r="794" spans="1:5">
      <c r="A794" s="1072" t="s">
        <v>1241</v>
      </c>
      <c r="B794" s="1072">
        <v>16015139</v>
      </c>
      <c r="C794" s="1072">
        <v>152</v>
      </c>
      <c r="D794" s="1072">
        <v>135</v>
      </c>
      <c r="E794" s="1072">
        <f t="shared" si="12"/>
        <v>287</v>
      </c>
    </row>
    <row r="795" spans="1:5">
      <c r="A795" s="1072" t="s">
        <v>1241</v>
      </c>
      <c r="B795" s="1072">
        <v>16015153</v>
      </c>
      <c r="C795" s="1072">
        <v>2022</v>
      </c>
      <c r="D795" s="1072">
        <v>66</v>
      </c>
      <c r="E795" s="1072">
        <f t="shared" si="12"/>
        <v>2088</v>
      </c>
    </row>
    <row r="796" spans="1:5">
      <c r="A796" s="1072" t="s">
        <v>1241</v>
      </c>
      <c r="B796" s="1072">
        <v>16023535</v>
      </c>
      <c r="C796" s="1072">
        <v>216</v>
      </c>
      <c r="D796" s="1072">
        <v>130</v>
      </c>
      <c r="E796" s="1072">
        <f t="shared" si="12"/>
        <v>346</v>
      </c>
    </row>
    <row r="797" spans="1:5">
      <c r="A797" s="1072" t="s">
        <v>1241</v>
      </c>
      <c r="B797" s="1072">
        <v>16023536</v>
      </c>
      <c r="C797" s="1072">
        <v>310</v>
      </c>
      <c r="D797" s="1072">
        <v>191</v>
      </c>
      <c r="E797" s="1072">
        <f t="shared" si="12"/>
        <v>501</v>
      </c>
    </row>
    <row r="798" spans="1:5">
      <c r="A798" s="1072" t="s">
        <v>1241</v>
      </c>
      <c r="B798" s="1072">
        <v>16025139</v>
      </c>
      <c r="C798" s="1072">
        <v>161</v>
      </c>
      <c r="D798" s="1072">
        <v>128</v>
      </c>
      <c r="E798" s="1072">
        <f t="shared" si="12"/>
        <v>289</v>
      </c>
    </row>
    <row r="799" spans="1:5">
      <c r="A799" s="1072" t="s">
        <v>1241</v>
      </c>
      <c r="B799" s="1072">
        <v>16025153</v>
      </c>
      <c r="C799" s="1072">
        <v>830</v>
      </c>
      <c r="D799" s="1072">
        <v>125</v>
      </c>
      <c r="E799" s="1072">
        <f t="shared" si="12"/>
        <v>955</v>
      </c>
    </row>
    <row r="800" spans="1:5">
      <c r="A800" s="1072" t="s">
        <v>1241</v>
      </c>
      <c r="B800" s="1072">
        <v>16033535</v>
      </c>
      <c r="C800" s="1072">
        <v>238</v>
      </c>
      <c r="D800" s="1072">
        <v>143</v>
      </c>
      <c r="E800" s="1072">
        <f t="shared" si="12"/>
        <v>381</v>
      </c>
    </row>
    <row r="801" spans="1:5">
      <c r="A801" s="1072" t="s">
        <v>1241</v>
      </c>
      <c r="B801" s="1072">
        <v>16033536</v>
      </c>
      <c r="C801" s="1072">
        <v>231</v>
      </c>
      <c r="D801" s="1072">
        <v>202</v>
      </c>
      <c r="E801" s="1072">
        <f t="shared" si="12"/>
        <v>433</v>
      </c>
    </row>
    <row r="802" spans="1:5">
      <c r="A802" s="1072" t="s">
        <v>1241</v>
      </c>
      <c r="B802" s="1072">
        <v>16035153</v>
      </c>
      <c r="C802" s="1072">
        <v>266</v>
      </c>
      <c r="D802" s="1072">
        <v>242</v>
      </c>
      <c r="E802" s="1072">
        <f t="shared" si="12"/>
        <v>508</v>
      </c>
    </row>
    <row r="803" spans="1:5">
      <c r="A803" s="1072" t="s">
        <v>1241</v>
      </c>
      <c r="B803" s="1072">
        <v>16043535</v>
      </c>
      <c r="C803" s="1072">
        <v>247</v>
      </c>
      <c r="D803" s="1072">
        <v>193</v>
      </c>
      <c r="E803" s="1072">
        <f t="shared" si="12"/>
        <v>440</v>
      </c>
    </row>
    <row r="804" spans="1:5">
      <c r="A804" s="1072" t="s">
        <v>1241</v>
      </c>
      <c r="B804" s="1072">
        <v>16043536</v>
      </c>
      <c r="C804" s="1072">
        <v>208</v>
      </c>
      <c r="D804" s="1072">
        <v>155</v>
      </c>
      <c r="E804" s="1072">
        <f t="shared" si="12"/>
        <v>363</v>
      </c>
    </row>
    <row r="805" spans="1:5">
      <c r="A805" s="1072" t="s">
        <v>1241</v>
      </c>
      <c r="B805" s="1072">
        <v>16045153</v>
      </c>
      <c r="C805" s="1072">
        <v>160</v>
      </c>
      <c r="D805" s="1072">
        <v>138</v>
      </c>
      <c r="E805" s="1072">
        <f t="shared" si="12"/>
        <v>298</v>
      </c>
    </row>
    <row r="806" spans="1:5">
      <c r="A806" s="1072" t="s">
        <v>1241</v>
      </c>
      <c r="B806" s="1072">
        <v>16053535</v>
      </c>
      <c r="C806" s="1072">
        <v>275</v>
      </c>
      <c r="D806" s="1072">
        <v>182</v>
      </c>
      <c r="E806" s="1072">
        <f t="shared" si="12"/>
        <v>457</v>
      </c>
    </row>
    <row r="807" spans="1:5">
      <c r="A807" s="1072" t="s">
        <v>1241</v>
      </c>
      <c r="B807" s="1072">
        <v>16053536</v>
      </c>
      <c r="C807" s="1072">
        <v>235</v>
      </c>
      <c r="D807" s="1072">
        <v>184</v>
      </c>
      <c r="E807" s="1072">
        <f t="shared" si="12"/>
        <v>419</v>
      </c>
    </row>
    <row r="808" spans="1:5">
      <c r="A808" s="1072" t="s">
        <v>1241</v>
      </c>
      <c r="B808" s="1072">
        <v>16055153</v>
      </c>
      <c r="C808" s="1072">
        <v>456</v>
      </c>
      <c r="D808" s="1072">
        <v>207</v>
      </c>
      <c r="E808" s="1072">
        <f t="shared" si="12"/>
        <v>663</v>
      </c>
    </row>
    <row r="809" spans="1:5">
      <c r="A809" s="1072" t="s">
        <v>1241</v>
      </c>
      <c r="B809" s="1072">
        <v>16063535</v>
      </c>
      <c r="C809" s="1072">
        <v>330</v>
      </c>
      <c r="D809" s="1072">
        <v>167</v>
      </c>
      <c r="E809" s="1072">
        <f t="shared" si="12"/>
        <v>497</v>
      </c>
    </row>
    <row r="810" spans="1:5">
      <c r="A810" s="1072" t="s">
        <v>1241</v>
      </c>
      <c r="B810" s="1072">
        <v>16063536</v>
      </c>
      <c r="C810" s="1072">
        <v>469</v>
      </c>
      <c r="D810" s="1072">
        <v>175</v>
      </c>
      <c r="E810" s="1072">
        <f t="shared" si="12"/>
        <v>644</v>
      </c>
    </row>
    <row r="811" spans="1:5">
      <c r="A811" s="1072" t="s">
        <v>1241</v>
      </c>
      <c r="B811" s="1072">
        <v>16065153</v>
      </c>
      <c r="C811" s="1072">
        <v>806</v>
      </c>
      <c r="D811" s="1072">
        <v>146</v>
      </c>
      <c r="E811" s="1072">
        <f t="shared" si="12"/>
        <v>952</v>
      </c>
    </row>
    <row r="812" spans="1:5">
      <c r="A812" s="1072" t="s">
        <v>1241</v>
      </c>
      <c r="B812" s="1072">
        <v>16073535</v>
      </c>
      <c r="C812" s="1072">
        <v>304</v>
      </c>
      <c r="D812" s="1072">
        <v>170</v>
      </c>
      <c r="E812" s="1072">
        <f t="shared" si="12"/>
        <v>474</v>
      </c>
    </row>
    <row r="813" spans="1:5">
      <c r="A813" s="1072" t="s">
        <v>1241</v>
      </c>
      <c r="B813" s="1072">
        <v>16073536</v>
      </c>
      <c r="C813" s="1072">
        <v>286</v>
      </c>
      <c r="D813" s="1072">
        <v>175</v>
      </c>
      <c r="E813" s="1072">
        <f t="shared" si="12"/>
        <v>461</v>
      </c>
    </row>
    <row r="814" spans="1:5">
      <c r="A814" s="1072" t="s">
        <v>1241</v>
      </c>
      <c r="B814" s="1072">
        <v>16075153</v>
      </c>
      <c r="C814" s="1072">
        <v>1194</v>
      </c>
      <c r="D814" s="1072">
        <v>101</v>
      </c>
      <c r="E814" s="1072">
        <f t="shared" si="12"/>
        <v>1295</v>
      </c>
    </row>
    <row r="815" spans="1:5">
      <c r="A815" s="1072" t="s">
        <v>1241</v>
      </c>
      <c r="B815" s="1072">
        <v>16083535</v>
      </c>
      <c r="C815" s="1072">
        <v>312</v>
      </c>
      <c r="D815" s="1072">
        <v>117</v>
      </c>
      <c r="E815" s="1072">
        <f t="shared" si="12"/>
        <v>429</v>
      </c>
    </row>
    <row r="816" spans="1:5">
      <c r="A816" s="1072" t="s">
        <v>1241</v>
      </c>
      <c r="B816" s="1072">
        <v>16083536</v>
      </c>
      <c r="C816" s="1072">
        <v>315</v>
      </c>
      <c r="D816" s="1072">
        <v>248</v>
      </c>
      <c r="E816" s="1072">
        <f t="shared" si="12"/>
        <v>563</v>
      </c>
    </row>
    <row r="817" spans="1:5">
      <c r="A817" s="1072" t="s">
        <v>1241</v>
      </c>
      <c r="B817" s="1072">
        <v>16085153</v>
      </c>
      <c r="C817" s="1072">
        <v>1130</v>
      </c>
      <c r="D817" s="1072">
        <v>98</v>
      </c>
      <c r="E817" s="1072">
        <f t="shared" si="12"/>
        <v>1228</v>
      </c>
    </row>
    <row r="818" spans="1:5">
      <c r="A818" s="1072" t="s">
        <v>1241</v>
      </c>
      <c r="B818" s="1072">
        <v>16093536</v>
      </c>
      <c r="C818" s="1072">
        <v>186</v>
      </c>
      <c r="D818" s="1072">
        <v>124</v>
      </c>
      <c r="E818" s="1072">
        <f t="shared" si="12"/>
        <v>310</v>
      </c>
    </row>
    <row r="819" spans="1:5">
      <c r="A819" s="1072" t="s">
        <v>1241</v>
      </c>
      <c r="B819" s="1072">
        <v>16095153</v>
      </c>
      <c r="C819" s="1072">
        <v>1314</v>
      </c>
      <c r="D819" s="1072">
        <v>161</v>
      </c>
      <c r="E819" s="1072">
        <f t="shared" si="12"/>
        <v>1475</v>
      </c>
    </row>
    <row r="820" spans="1:5">
      <c r="A820" s="1072" t="s">
        <v>1241</v>
      </c>
      <c r="B820" s="1072">
        <v>16102255</v>
      </c>
      <c r="C820" s="1072">
        <v>1</v>
      </c>
      <c r="D820" s="1072">
        <v>1</v>
      </c>
      <c r="E820" s="1072">
        <f t="shared" si="12"/>
        <v>2</v>
      </c>
    </row>
    <row r="821" spans="1:5">
      <c r="A821" s="1072" t="s">
        <v>1241</v>
      </c>
      <c r="B821" s="1072">
        <v>16103536</v>
      </c>
      <c r="C821" s="1072">
        <v>72</v>
      </c>
      <c r="D821" s="1072">
        <v>24</v>
      </c>
      <c r="E821" s="1072">
        <f t="shared" si="12"/>
        <v>96</v>
      </c>
    </row>
    <row r="822" spans="1:5">
      <c r="A822" s="1072" t="s">
        <v>1241</v>
      </c>
      <c r="B822" s="1072">
        <v>16105153</v>
      </c>
      <c r="C822" s="1072">
        <v>1113</v>
      </c>
      <c r="D822" s="1072">
        <v>270</v>
      </c>
      <c r="E822" s="1072">
        <f t="shared" si="12"/>
        <v>1383</v>
      </c>
    </row>
    <row r="823" spans="1:5">
      <c r="A823" s="1072" t="s">
        <v>1241</v>
      </c>
      <c r="B823" s="1072">
        <v>16113536</v>
      </c>
      <c r="C823" s="1072">
        <v>365</v>
      </c>
      <c r="D823" s="1072">
        <v>259</v>
      </c>
      <c r="E823" s="1072">
        <f t="shared" si="12"/>
        <v>624</v>
      </c>
    </row>
    <row r="824" spans="1:5">
      <c r="A824" s="1072" t="s">
        <v>1241</v>
      </c>
      <c r="B824" s="1072">
        <v>16115153</v>
      </c>
      <c r="C824" s="1072">
        <v>982</v>
      </c>
      <c r="D824" s="1072">
        <v>153</v>
      </c>
      <c r="E824" s="1072">
        <f t="shared" si="12"/>
        <v>1135</v>
      </c>
    </row>
    <row r="825" spans="1:5">
      <c r="A825" s="1072" t="s">
        <v>1241</v>
      </c>
      <c r="B825" s="1072">
        <v>16123536</v>
      </c>
      <c r="C825" s="1072">
        <v>920</v>
      </c>
      <c r="D825" s="1072">
        <v>114</v>
      </c>
      <c r="E825" s="1072">
        <f t="shared" si="12"/>
        <v>1034</v>
      </c>
    </row>
    <row r="826" spans="1:5">
      <c r="A826" s="1072" t="s">
        <v>1241</v>
      </c>
      <c r="B826" s="1072">
        <v>16125153</v>
      </c>
      <c r="C826" s="1072">
        <v>297</v>
      </c>
      <c r="D826" s="1072">
        <v>177</v>
      </c>
      <c r="E826" s="1072">
        <f t="shared" si="12"/>
        <v>474</v>
      </c>
    </row>
    <row r="827" spans="1:5">
      <c r="A827" s="1072" t="s">
        <v>1241</v>
      </c>
      <c r="B827" s="1072">
        <v>16133536</v>
      </c>
      <c r="C827" s="1072">
        <v>360</v>
      </c>
      <c r="D827" s="1072">
        <v>164</v>
      </c>
      <c r="E827" s="1072">
        <f t="shared" si="12"/>
        <v>524</v>
      </c>
    </row>
    <row r="828" spans="1:5">
      <c r="A828" s="1072" t="s">
        <v>1241</v>
      </c>
      <c r="B828" s="1072">
        <v>16135153</v>
      </c>
      <c r="C828" s="1072">
        <v>312</v>
      </c>
      <c r="D828" s="1072">
        <v>200</v>
      </c>
      <c r="E828" s="1072">
        <f t="shared" si="12"/>
        <v>512</v>
      </c>
    </row>
    <row r="829" spans="1:5">
      <c r="A829" s="1072" t="s">
        <v>1241</v>
      </c>
      <c r="B829" s="1072">
        <v>16143536</v>
      </c>
      <c r="C829" s="1072">
        <v>255</v>
      </c>
      <c r="D829" s="1072">
        <v>205</v>
      </c>
      <c r="E829" s="1072">
        <f t="shared" si="12"/>
        <v>460</v>
      </c>
    </row>
    <row r="830" spans="1:5">
      <c r="A830" s="1072" t="s">
        <v>1241</v>
      </c>
      <c r="B830" s="1072">
        <v>16145153</v>
      </c>
      <c r="C830" s="1072">
        <v>670</v>
      </c>
      <c r="D830" s="1072">
        <v>261</v>
      </c>
      <c r="E830" s="1072">
        <f t="shared" si="12"/>
        <v>931</v>
      </c>
    </row>
    <row r="831" spans="1:5">
      <c r="A831" s="1072" t="s">
        <v>1241</v>
      </c>
      <c r="B831" s="1072">
        <v>16153536</v>
      </c>
      <c r="C831" s="1072">
        <v>257</v>
      </c>
      <c r="D831" s="1072">
        <v>188</v>
      </c>
      <c r="E831" s="1072">
        <f t="shared" si="12"/>
        <v>445</v>
      </c>
    </row>
    <row r="832" spans="1:5">
      <c r="A832" s="1072" t="s">
        <v>1241</v>
      </c>
      <c r="B832" s="1072">
        <v>16155153</v>
      </c>
      <c r="C832" s="1072">
        <v>261</v>
      </c>
      <c r="D832" s="1072">
        <v>221</v>
      </c>
      <c r="E832" s="1072">
        <f t="shared" si="12"/>
        <v>482</v>
      </c>
    </row>
    <row r="833" spans="1:5">
      <c r="A833" s="1072" t="s">
        <v>1241</v>
      </c>
      <c r="B833" s="1072">
        <v>16163536</v>
      </c>
      <c r="C833" s="1072">
        <v>206</v>
      </c>
      <c r="D833" s="1072">
        <v>174</v>
      </c>
      <c r="E833" s="1072">
        <f t="shared" si="12"/>
        <v>380</v>
      </c>
    </row>
    <row r="834" spans="1:5">
      <c r="A834" s="1072" t="s">
        <v>1241</v>
      </c>
      <c r="B834" s="1072">
        <v>16165153</v>
      </c>
      <c r="C834" s="1072">
        <v>291</v>
      </c>
      <c r="D834" s="1072">
        <v>244</v>
      </c>
      <c r="E834" s="1072">
        <f t="shared" ref="E834:E897" si="13">C834+D834</f>
        <v>535</v>
      </c>
    </row>
    <row r="835" spans="1:5">
      <c r="A835" s="1072" t="s">
        <v>1241</v>
      </c>
      <c r="B835" s="1072">
        <v>16173536</v>
      </c>
      <c r="C835" s="1072">
        <v>466</v>
      </c>
      <c r="D835" s="1072">
        <v>32</v>
      </c>
      <c r="E835" s="1072">
        <f t="shared" si="13"/>
        <v>498</v>
      </c>
    </row>
    <row r="836" spans="1:5">
      <c r="A836" s="1072" t="s">
        <v>1241</v>
      </c>
      <c r="B836" s="1072">
        <v>16175153</v>
      </c>
      <c r="C836" s="1072">
        <v>251</v>
      </c>
      <c r="D836" s="1072">
        <v>205</v>
      </c>
      <c r="E836" s="1072">
        <f t="shared" si="13"/>
        <v>456</v>
      </c>
    </row>
    <row r="837" spans="1:5">
      <c r="A837" s="1072" t="s">
        <v>1241</v>
      </c>
      <c r="B837" s="1072">
        <v>16183536</v>
      </c>
      <c r="C837" s="1072">
        <v>562</v>
      </c>
      <c r="D837" s="1072">
        <v>85</v>
      </c>
      <c r="E837" s="1072">
        <f t="shared" si="13"/>
        <v>647</v>
      </c>
    </row>
    <row r="838" spans="1:5">
      <c r="A838" s="1072" t="s">
        <v>1241</v>
      </c>
      <c r="B838" s="1072">
        <v>16185153</v>
      </c>
      <c r="C838" s="1072">
        <v>370</v>
      </c>
      <c r="D838" s="1072">
        <v>312</v>
      </c>
      <c r="E838" s="1072">
        <f t="shared" si="13"/>
        <v>682</v>
      </c>
    </row>
    <row r="839" spans="1:5">
      <c r="A839" s="1072" t="s">
        <v>1241</v>
      </c>
      <c r="B839" s="1072">
        <v>16193536</v>
      </c>
      <c r="C839" s="1072">
        <v>275</v>
      </c>
      <c r="D839" s="1072">
        <v>139</v>
      </c>
      <c r="E839" s="1072">
        <f t="shared" si="13"/>
        <v>414</v>
      </c>
    </row>
    <row r="840" spans="1:5">
      <c r="A840" s="1072" t="s">
        <v>1241</v>
      </c>
      <c r="B840" s="1072">
        <v>16195153</v>
      </c>
      <c r="C840" s="1072">
        <v>979</v>
      </c>
      <c r="D840" s="1072">
        <v>40</v>
      </c>
      <c r="E840" s="1072">
        <f t="shared" si="13"/>
        <v>1019</v>
      </c>
    </row>
    <row r="841" spans="1:5">
      <c r="A841" s="1072" t="s">
        <v>1241</v>
      </c>
      <c r="B841" s="1072">
        <v>16203536</v>
      </c>
      <c r="C841" s="1072">
        <v>537</v>
      </c>
      <c r="D841" s="1072">
        <v>141</v>
      </c>
      <c r="E841" s="1072">
        <f t="shared" si="13"/>
        <v>678</v>
      </c>
    </row>
    <row r="842" spans="1:5">
      <c r="A842" s="1072" t="s">
        <v>1241</v>
      </c>
      <c r="B842" s="1072">
        <v>16205153</v>
      </c>
      <c r="C842" s="1072">
        <v>330</v>
      </c>
      <c r="D842" s="1072">
        <v>297</v>
      </c>
      <c r="E842" s="1072">
        <f t="shared" si="13"/>
        <v>627</v>
      </c>
    </row>
    <row r="843" spans="1:5">
      <c r="A843" s="1072" t="s">
        <v>1241</v>
      </c>
      <c r="B843" s="1072">
        <v>16213536</v>
      </c>
      <c r="C843" s="1072">
        <v>305</v>
      </c>
      <c r="D843" s="1072">
        <v>194</v>
      </c>
      <c r="E843" s="1072">
        <f t="shared" si="13"/>
        <v>499</v>
      </c>
    </row>
    <row r="844" spans="1:5">
      <c r="A844" s="1072" t="s">
        <v>1241</v>
      </c>
      <c r="B844" s="1072">
        <v>16215153</v>
      </c>
      <c r="C844" s="1072">
        <v>208</v>
      </c>
      <c r="D844" s="1072">
        <v>200</v>
      </c>
      <c r="E844" s="1072">
        <f t="shared" si="13"/>
        <v>408</v>
      </c>
    </row>
    <row r="845" spans="1:5">
      <c r="A845" s="1072" t="s">
        <v>1241</v>
      </c>
      <c r="B845" s="1072">
        <v>16223536</v>
      </c>
      <c r="C845" s="1072">
        <v>284</v>
      </c>
      <c r="D845" s="1072">
        <v>182</v>
      </c>
      <c r="E845" s="1072">
        <f t="shared" si="13"/>
        <v>466</v>
      </c>
    </row>
    <row r="846" spans="1:5">
      <c r="A846" s="1072" t="s">
        <v>1241</v>
      </c>
      <c r="B846" s="1072">
        <v>16233536</v>
      </c>
      <c r="C846" s="1072">
        <v>277</v>
      </c>
      <c r="D846" s="1072">
        <v>183</v>
      </c>
      <c r="E846" s="1072">
        <f t="shared" si="13"/>
        <v>460</v>
      </c>
    </row>
    <row r="847" spans="1:5">
      <c r="A847" s="1072" t="s">
        <v>1241</v>
      </c>
      <c r="B847" s="1072">
        <v>16243536</v>
      </c>
      <c r="C847" s="1072">
        <v>289</v>
      </c>
      <c r="D847" s="1072">
        <v>160</v>
      </c>
      <c r="E847" s="1072">
        <f t="shared" si="13"/>
        <v>449</v>
      </c>
    </row>
    <row r="848" spans="1:5">
      <c r="A848" s="1072" t="s">
        <v>1241</v>
      </c>
      <c r="B848" s="1072">
        <v>16253536</v>
      </c>
      <c r="C848" s="1072">
        <v>257</v>
      </c>
      <c r="D848" s="1072">
        <v>211</v>
      </c>
      <c r="E848" s="1072">
        <f t="shared" si="13"/>
        <v>468</v>
      </c>
    </row>
    <row r="849" spans="1:5">
      <c r="A849" s="1072" t="s">
        <v>1241</v>
      </c>
      <c r="B849" s="1072">
        <v>16482256</v>
      </c>
      <c r="C849" s="1072">
        <v>3</v>
      </c>
      <c r="D849" s="1072">
        <v>1</v>
      </c>
      <c r="E849" s="1072">
        <f t="shared" si="13"/>
        <v>4</v>
      </c>
    </row>
    <row r="850" spans="1:5">
      <c r="A850" s="1072" t="s">
        <v>1241</v>
      </c>
      <c r="B850" s="1072">
        <v>17003536</v>
      </c>
      <c r="C850" s="1072">
        <v>333</v>
      </c>
      <c r="D850" s="1072">
        <v>216</v>
      </c>
      <c r="E850" s="1072">
        <f t="shared" si="13"/>
        <v>549</v>
      </c>
    </row>
    <row r="851" spans="1:5">
      <c r="A851" s="1072" t="s">
        <v>1241</v>
      </c>
      <c r="B851" s="1072">
        <v>17003537</v>
      </c>
      <c r="C851" s="1072">
        <v>317</v>
      </c>
      <c r="D851" s="1072">
        <v>220</v>
      </c>
      <c r="E851" s="1072">
        <f t="shared" si="13"/>
        <v>537</v>
      </c>
    </row>
    <row r="852" spans="1:5">
      <c r="A852" s="1072" t="s">
        <v>1241</v>
      </c>
      <c r="B852" s="1072">
        <v>17005723</v>
      </c>
      <c r="C852" s="1072">
        <v>1</v>
      </c>
      <c r="D852" s="1072">
        <v>584</v>
      </c>
      <c r="E852" s="1072">
        <f t="shared" si="13"/>
        <v>585</v>
      </c>
    </row>
    <row r="853" spans="1:5">
      <c r="A853" s="1072" t="s">
        <v>1241</v>
      </c>
      <c r="B853" s="1072">
        <v>17005725</v>
      </c>
      <c r="C853" s="1072">
        <v>3</v>
      </c>
      <c r="D853" s="1072">
        <v>666</v>
      </c>
      <c r="E853" s="1072">
        <f t="shared" si="13"/>
        <v>669</v>
      </c>
    </row>
    <row r="854" spans="1:5">
      <c r="A854" s="1072" t="s">
        <v>1241</v>
      </c>
      <c r="B854" s="1072">
        <v>17013536</v>
      </c>
      <c r="C854" s="1072">
        <v>385</v>
      </c>
      <c r="D854" s="1072">
        <v>169</v>
      </c>
      <c r="E854" s="1072">
        <f t="shared" si="13"/>
        <v>554</v>
      </c>
    </row>
    <row r="855" spans="1:5">
      <c r="A855" s="1072" t="s">
        <v>1241</v>
      </c>
      <c r="B855" s="1072">
        <v>17013537</v>
      </c>
      <c r="C855" s="1072">
        <v>263</v>
      </c>
      <c r="D855" s="1072">
        <v>198</v>
      </c>
      <c r="E855" s="1072">
        <f t="shared" si="13"/>
        <v>461</v>
      </c>
    </row>
    <row r="856" spans="1:5">
      <c r="A856" s="1072" t="s">
        <v>1241</v>
      </c>
      <c r="B856" s="1072">
        <v>17015154</v>
      </c>
      <c r="C856" s="1072">
        <v>487</v>
      </c>
      <c r="D856" s="1072">
        <v>196</v>
      </c>
      <c r="E856" s="1072">
        <f t="shared" si="13"/>
        <v>683</v>
      </c>
    </row>
    <row r="857" spans="1:5">
      <c r="A857" s="1072" t="s">
        <v>1241</v>
      </c>
      <c r="B857" s="1072">
        <v>17023536</v>
      </c>
      <c r="C857" s="1072">
        <v>489</v>
      </c>
      <c r="D857" s="1072">
        <v>177</v>
      </c>
      <c r="E857" s="1072">
        <f t="shared" si="13"/>
        <v>666</v>
      </c>
    </row>
    <row r="858" spans="1:5">
      <c r="A858" s="1072" t="s">
        <v>1241</v>
      </c>
      <c r="B858" s="1072">
        <v>17023537</v>
      </c>
      <c r="C858" s="1072">
        <v>267</v>
      </c>
      <c r="D858" s="1072">
        <v>217</v>
      </c>
      <c r="E858" s="1072">
        <f t="shared" si="13"/>
        <v>484</v>
      </c>
    </row>
    <row r="859" spans="1:5">
      <c r="A859" s="1072" t="s">
        <v>1241</v>
      </c>
      <c r="B859" s="1072">
        <v>17025154</v>
      </c>
      <c r="C859" s="1072">
        <v>288</v>
      </c>
      <c r="D859" s="1072">
        <v>239</v>
      </c>
      <c r="E859" s="1072">
        <f t="shared" si="13"/>
        <v>527</v>
      </c>
    </row>
    <row r="860" spans="1:5">
      <c r="A860" s="1072" t="s">
        <v>1241</v>
      </c>
      <c r="B860" s="1072">
        <v>17033536</v>
      </c>
      <c r="C860" s="1072">
        <v>366</v>
      </c>
      <c r="D860" s="1072">
        <v>205</v>
      </c>
      <c r="E860" s="1072">
        <f t="shared" si="13"/>
        <v>571</v>
      </c>
    </row>
    <row r="861" spans="1:5">
      <c r="A861" s="1072" t="s">
        <v>1241</v>
      </c>
      <c r="B861" s="1072">
        <v>17033537</v>
      </c>
      <c r="C861" s="1072">
        <v>495</v>
      </c>
      <c r="D861" s="1072">
        <v>131</v>
      </c>
      <c r="E861" s="1072">
        <f t="shared" si="13"/>
        <v>626</v>
      </c>
    </row>
    <row r="862" spans="1:5">
      <c r="A862" s="1072" t="s">
        <v>1241</v>
      </c>
      <c r="B862" s="1072">
        <v>17035154</v>
      </c>
      <c r="C862" s="1072">
        <v>1453</v>
      </c>
      <c r="D862" s="1072">
        <v>151</v>
      </c>
      <c r="E862" s="1072">
        <f t="shared" si="13"/>
        <v>1604</v>
      </c>
    </row>
    <row r="863" spans="1:5">
      <c r="A863" s="1072" t="s">
        <v>1241</v>
      </c>
      <c r="B863" s="1072">
        <v>17043536</v>
      </c>
      <c r="C863" s="1072">
        <v>1280</v>
      </c>
      <c r="D863" s="1072">
        <v>134</v>
      </c>
      <c r="E863" s="1072">
        <f t="shared" si="13"/>
        <v>1414</v>
      </c>
    </row>
    <row r="864" spans="1:5">
      <c r="A864" s="1072" t="s">
        <v>1241</v>
      </c>
      <c r="B864" s="1072">
        <v>17043537</v>
      </c>
      <c r="C864" s="1072">
        <v>243</v>
      </c>
      <c r="D864" s="1072">
        <v>183</v>
      </c>
      <c r="E864" s="1072">
        <f t="shared" si="13"/>
        <v>426</v>
      </c>
    </row>
    <row r="865" spans="1:5">
      <c r="A865" s="1072" t="s">
        <v>1241</v>
      </c>
      <c r="B865" s="1072">
        <v>17045154</v>
      </c>
      <c r="C865" s="1072">
        <v>1178</v>
      </c>
      <c r="D865" s="1072">
        <v>926</v>
      </c>
      <c r="E865" s="1072">
        <f t="shared" si="13"/>
        <v>2104</v>
      </c>
    </row>
    <row r="866" spans="1:5">
      <c r="A866" s="1072" t="s">
        <v>1241</v>
      </c>
      <c r="B866" s="1072">
        <v>17053536</v>
      </c>
      <c r="C866" s="1072">
        <v>483</v>
      </c>
      <c r="D866" s="1072">
        <v>219</v>
      </c>
      <c r="E866" s="1072">
        <f t="shared" si="13"/>
        <v>702</v>
      </c>
    </row>
    <row r="867" spans="1:5">
      <c r="A867" s="1072" t="s">
        <v>1241</v>
      </c>
      <c r="B867" s="1072">
        <v>17055154</v>
      </c>
      <c r="C867" s="1072">
        <v>893</v>
      </c>
      <c r="D867" s="1072">
        <v>802</v>
      </c>
      <c r="E867" s="1072">
        <f t="shared" si="13"/>
        <v>1695</v>
      </c>
    </row>
    <row r="868" spans="1:5">
      <c r="A868" s="1072" t="s">
        <v>1241</v>
      </c>
      <c r="B868" s="1072">
        <v>17063536</v>
      </c>
      <c r="C868" s="1072">
        <v>398</v>
      </c>
      <c r="D868" s="1072">
        <v>76</v>
      </c>
      <c r="E868" s="1072">
        <f t="shared" si="13"/>
        <v>474</v>
      </c>
    </row>
    <row r="869" spans="1:5">
      <c r="A869" s="1072" t="s">
        <v>1241</v>
      </c>
      <c r="B869" s="1072">
        <v>17065154</v>
      </c>
      <c r="C869" s="1072">
        <v>965</v>
      </c>
      <c r="D869" s="1072">
        <v>834</v>
      </c>
      <c r="E869" s="1072">
        <f t="shared" si="13"/>
        <v>1799</v>
      </c>
    </row>
    <row r="870" spans="1:5">
      <c r="A870" s="1072" t="s">
        <v>1241</v>
      </c>
      <c r="B870" s="1072">
        <v>17073536</v>
      </c>
      <c r="C870" s="1072">
        <v>285</v>
      </c>
      <c r="D870" s="1072">
        <v>145</v>
      </c>
      <c r="E870" s="1072">
        <f t="shared" si="13"/>
        <v>430</v>
      </c>
    </row>
    <row r="871" spans="1:5">
      <c r="A871" s="1072" t="s">
        <v>1241</v>
      </c>
      <c r="B871" s="1072">
        <v>17075154</v>
      </c>
      <c r="C871" s="1072">
        <v>978</v>
      </c>
      <c r="D871" s="1072">
        <v>921</v>
      </c>
      <c r="E871" s="1072">
        <f t="shared" si="13"/>
        <v>1899</v>
      </c>
    </row>
    <row r="872" spans="1:5">
      <c r="A872" s="1072" t="s">
        <v>1241</v>
      </c>
      <c r="B872" s="1072">
        <v>17085154</v>
      </c>
      <c r="C872" s="1072">
        <v>595</v>
      </c>
      <c r="D872" s="1072">
        <v>559</v>
      </c>
      <c r="E872" s="1072">
        <f t="shared" si="13"/>
        <v>1154</v>
      </c>
    </row>
    <row r="873" spans="1:5">
      <c r="A873" s="1072" t="s">
        <v>1241</v>
      </c>
      <c r="B873" s="1072">
        <v>17095154</v>
      </c>
      <c r="C873" s="1072">
        <v>651</v>
      </c>
      <c r="D873" s="1072">
        <v>581</v>
      </c>
      <c r="E873" s="1072">
        <f t="shared" si="13"/>
        <v>1232</v>
      </c>
    </row>
    <row r="874" spans="1:5">
      <c r="A874" s="1072" t="s">
        <v>1241</v>
      </c>
      <c r="B874" s="1072">
        <v>17105154</v>
      </c>
      <c r="C874" s="1072">
        <v>1361</v>
      </c>
      <c r="D874" s="1072">
        <v>409</v>
      </c>
      <c r="E874" s="1072">
        <f t="shared" si="13"/>
        <v>1770</v>
      </c>
    </row>
    <row r="875" spans="1:5">
      <c r="A875" s="1072" t="s">
        <v>1241</v>
      </c>
      <c r="B875" s="1072">
        <v>17115154</v>
      </c>
      <c r="C875" s="1072">
        <v>618</v>
      </c>
      <c r="D875" s="1072">
        <v>523</v>
      </c>
      <c r="E875" s="1072">
        <f t="shared" si="13"/>
        <v>1141</v>
      </c>
    </row>
    <row r="876" spans="1:5">
      <c r="A876" s="1072" t="s">
        <v>1241</v>
      </c>
      <c r="B876" s="1072">
        <v>17125154</v>
      </c>
      <c r="C876" s="1072">
        <v>732</v>
      </c>
      <c r="D876" s="1072">
        <v>646</v>
      </c>
      <c r="E876" s="1072">
        <f t="shared" si="13"/>
        <v>1378</v>
      </c>
    </row>
    <row r="877" spans="1:5">
      <c r="A877" s="1072" t="s">
        <v>1241</v>
      </c>
      <c r="B877" s="1072">
        <v>18003537</v>
      </c>
      <c r="C877" s="1072">
        <v>269</v>
      </c>
      <c r="D877" s="1072">
        <v>198</v>
      </c>
      <c r="E877" s="1072">
        <f t="shared" si="13"/>
        <v>467</v>
      </c>
    </row>
    <row r="878" spans="1:5">
      <c r="A878" s="1072" t="s">
        <v>1241</v>
      </c>
      <c r="B878" s="1072">
        <v>18005723</v>
      </c>
      <c r="C878" s="1072">
        <v>1</v>
      </c>
      <c r="D878" s="1072">
        <v>901</v>
      </c>
      <c r="E878" s="1072">
        <f t="shared" si="13"/>
        <v>902</v>
      </c>
    </row>
    <row r="879" spans="1:5">
      <c r="A879" s="1072" t="s">
        <v>1241</v>
      </c>
      <c r="B879" s="1072">
        <v>18013537</v>
      </c>
      <c r="C879" s="1072">
        <v>360</v>
      </c>
      <c r="D879" s="1072">
        <v>129</v>
      </c>
      <c r="E879" s="1072">
        <f t="shared" si="13"/>
        <v>489</v>
      </c>
    </row>
    <row r="880" spans="1:5">
      <c r="A880" s="1072" t="s">
        <v>1241</v>
      </c>
      <c r="B880" s="1072">
        <v>18015155</v>
      </c>
      <c r="C880" s="1072">
        <v>1214</v>
      </c>
      <c r="D880" s="1072">
        <v>309</v>
      </c>
      <c r="E880" s="1072">
        <f t="shared" si="13"/>
        <v>1523</v>
      </c>
    </row>
    <row r="881" spans="1:5">
      <c r="A881" s="1072" t="s">
        <v>1241</v>
      </c>
      <c r="B881" s="1072">
        <v>18023537</v>
      </c>
      <c r="C881" s="1072">
        <v>572</v>
      </c>
      <c r="D881" s="1072">
        <v>82</v>
      </c>
      <c r="E881" s="1072">
        <f t="shared" si="13"/>
        <v>654</v>
      </c>
    </row>
    <row r="882" spans="1:5">
      <c r="A882" s="1072" t="s">
        <v>1241</v>
      </c>
      <c r="B882" s="1072">
        <v>18025155</v>
      </c>
      <c r="C882" s="1072">
        <v>391</v>
      </c>
      <c r="D882" s="1072">
        <v>293</v>
      </c>
      <c r="E882" s="1072">
        <f t="shared" si="13"/>
        <v>684</v>
      </c>
    </row>
    <row r="883" spans="1:5">
      <c r="A883" s="1072" t="s">
        <v>1241</v>
      </c>
      <c r="B883" s="1072">
        <v>18033537</v>
      </c>
      <c r="C883" s="1072">
        <v>1073</v>
      </c>
      <c r="D883" s="1072">
        <v>11</v>
      </c>
      <c r="E883" s="1072">
        <f t="shared" si="13"/>
        <v>1084</v>
      </c>
    </row>
    <row r="884" spans="1:5">
      <c r="A884" s="1072" t="s">
        <v>1241</v>
      </c>
      <c r="B884" s="1072">
        <v>18035155</v>
      </c>
      <c r="C884" s="1072">
        <v>336</v>
      </c>
      <c r="D884" s="1072">
        <v>259</v>
      </c>
      <c r="E884" s="1072">
        <f t="shared" si="13"/>
        <v>595</v>
      </c>
    </row>
    <row r="885" spans="1:5">
      <c r="A885" s="1072" t="s">
        <v>1241</v>
      </c>
      <c r="B885" s="1072">
        <v>18043537</v>
      </c>
      <c r="C885" s="1072">
        <v>267</v>
      </c>
      <c r="D885" s="1072">
        <v>141</v>
      </c>
      <c r="E885" s="1072">
        <f t="shared" si="13"/>
        <v>408</v>
      </c>
    </row>
    <row r="886" spans="1:5">
      <c r="A886" s="1072" t="s">
        <v>1241</v>
      </c>
      <c r="B886" s="1072">
        <v>18045155</v>
      </c>
      <c r="C886" s="1072">
        <v>1379</v>
      </c>
      <c r="D886" s="1072">
        <v>45</v>
      </c>
      <c r="E886" s="1072">
        <f t="shared" si="13"/>
        <v>1424</v>
      </c>
    </row>
    <row r="887" spans="1:5">
      <c r="A887" s="1072" t="s">
        <v>1241</v>
      </c>
      <c r="B887" s="1072">
        <v>18053537</v>
      </c>
      <c r="C887" s="1072">
        <v>457</v>
      </c>
      <c r="D887" s="1072">
        <v>302</v>
      </c>
      <c r="E887" s="1072">
        <f t="shared" si="13"/>
        <v>759</v>
      </c>
    </row>
    <row r="888" spans="1:5">
      <c r="A888" s="1072" t="s">
        <v>1241</v>
      </c>
      <c r="B888" s="1072">
        <v>18055155</v>
      </c>
      <c r="C888" s="1072">
        <v>750</v>
      </c>
      <c r="D888" s="1072">
        <v>134</v>
      </c>
      <c r="E888" s="1072">
        <f t="shared" si="13"/>
        <v>884</v>
      </c>
    </row>
    <row r="889" spans="1:5">
      <c r="A889" s="1072" t="s">
        <v>1241</v>
      </c>
      <c r="B889" s="1072">
        <v>18063537</v>
      </c>
      <c r="C889" s="1072">
        <v>293</v>
      </c>
      <c r="D889" s="1072">
        <v>217</v>
      </c>
      <c r="E889" s="1072">
        <f t="shared" si="13"/>
        <v>510</v>
      </c>
    </row>
    <row r="890" spans="1:5">
      <c r="A890" s="1072" t="s">
        <v>1241</v>
      </c>
      <c r="B890" s="1072">
        <v>18065155</v>
      </c>
      <c r="C890" s="1072">
        <v>136</v>
      </c>
      <c r="D890" s="1072">
        <v>64</v>
      </c>
      <c r="E890" s="1072">
        <f t="shared" si="13"/>
        <v>200</v>
      </c>
    </row>
    <row r="891" spans="1:5">
      <c r="A891" s="1072" t="s">
        <v>1241</v>
      </c>
      <c r="B891" s="1072">
        <v>18075155</v>
      </c>
      <c r="C891" s="1072">
        <v>442</v>
      </c>
      <c r="D891" s="1072">
        <v>287</v>
      </c>
      <c r="E891" s="1072">
        <f t="shared" si="13"/>
        <v>729</v>
      </c>
    </row>
    <row r="892" spans="1:5">
      <c r="A892" s="1072" t="s">
        <v>1241</v>
      </c>
      <c r="B892" s="1072">
        <v>18085155</v>
      </c>
      <c r="C892" s="1072">
        <v>459</v>
      </c>
      <c r="D892" s="1072">
        <v>254</v>
      </c>
      <c r="E892" s="1072">
        <f t="shared" si="13"/>
        <v>713</v>
      </c>
    </row>
    <row r="893" spans="1:5">
      <c r="A893" s="1072" t="s">
        <v>1241</v>
      </c>
      <c r="B893" s="1072">
        <v>18095155</v>
      </c>
      <c r="C893" s="1072">
        <v>270</v>
      </c>
      <c r="D893" s="1072">
        <v>122</v>
      </c>
      <c r="E893" s="1072">
        <f t="shared" si="13"/>
        <v>392</v>
      </c>
    </row>
    <row r="894" spans="1:5">
      <c r="A894" s="1072" t="s">
        <v>1241</v>
      </c>
      <c r="B894" s="1072">
        <v>18105155</v>
      </c>
      <c r="C894" s="1072">
        <v>918</v>
      </c>
      <c r="D894" s="1072">
        <v>175</v>
      </c>
      <c r="E894" s="1072">
        <f t="shared" si="13"/>
        <v>1093</v>
      </c>
    </row>
    <row r="895" spans="1:5">
      <c r="A895" s="1072" t="s">
        <v>1241</v>
      </c>
      <c r="B895" s="1072">
        <v>18115155</v>
      </c>
      <c r="C895" s="1072">
        <v>295</v>
      </c>
      <c r="D895" s="1072">
        <v>157</v>
      </c>
      <c r="E895" s="1072">
        <f t="shared" si="13"/>
        <v>452</v>
      </c>
    </row>
    <row r="896" spans="1:5">
      <c r="A896" s="1072" t="s">
        <v>1241</v>
      </c>
      <c r="B896" s="1072">
        <v>18125155</v>
      </c>
      <c r="C896" s="1072">
        <v>674</v>
      </c>
      <c r="D896" s="1072">
        <v>117</v>
      </c>
      <c r="E896" s="1072">
        <f t="shared" si="13"/>
        <v>791</v>
      </c>
    </row>
    <row r="897" spans="1:5">
      <c r="A897" s="1072" t="s">
        <v>1241</v>
      </c>
      <c r="B897" s="1072">
        <v>18135155</v>
      </c>
      <c r="C897" s="1072">
        <v>884</v>
      </c>
      <c r="D897" s="1072">
        <v>167</v>
      </c>
      <c r="E897" s="1072">
        <f t="shared" si="13"/>
        <v>1051</v>
      </c>
    </row>
    <row r="898" spans="1:5">
      <c r="A898" s="1072" t="s">
        <v>1241</v>
      </c>
      <c r="B898" s="1072">
        <v>18145155</v>
      </c>
      <c r="C898" s="1072">
        <v>327</v>
      </c>
      <c r="D898" s="1072">
        <v>309</v>
      </c>
      <c r="E898" s="1072">
        <f t="shared" ref="E898:E961" si="14">C898+D898</f>
        <v>636</v>
      </c>
    </row>
    <row r="899" spans="1:5">
      <c r="A899" s="1072" t="s">
        <v>1241</v>
      </c>
      <c r="B899" s="1072">
        <v>18165155</v>
      </c>
      <c r="C899" s="1072">
        <v>328</v>
      </c>
      <c r="D899" s="1072">
        <v>282</v>
      </c>
      <c r="E899" s="1072">
        <f t="shared" si="14"/>
        <v>610</v>
      </c>
    </row>
    <row r="900" spans="1:5">
      <c r="A900" s="1072" t="s">
        <v>1241</v>
      </c>
      <c r="B900" s="1072">
        <v>18175155</v>
      </c>
      <c r="C900" s="1072">
        <v>280</v>
      </c>
      <c r="D900" s="1072">
        <v>273</v>
      </c>
      <c r="E900" s="1072">
        <f t="shared" si="14"/>
        <v>553</v>
      </c>
    </row>
    <row r="901" spans="1:5">
      <c r="A901" s="1072" t="s">
        <v>1241</v>
      </c>
      <c r="B901" s="1072">
        <v>18185155</v>
      </c>
      <c r="C901" s="1072">
        <v>294</v>
      </c>
      <c r="D901" s="1072">
        <v>286</v>
      </c>
      <c r="E901" s="1072">
        <f t="shared" si="14"/>
        <v>580</v>
      </c>
    </row>
    <row r="902" spans="1:5">
      <c r="A902" s="1072" t="s">
        <v>1241</v>
      </c>
      <c r="B902" s="1072">
        <v>18195155</v>
      </c>
      <c r="C902" s="1072">
        <v>247</v>
      </c>
      <c r="D902" s="1072">
        <v>242</v>
      </c>
      <c r="E902" s="1072">
        <f t="shared" si="14"/>
        <v>489</v>
      </c>
    </row>
    <row r="903" spans="1:5">
      <c r="A903" s="1072" t="s">
        <v>1241</v>
      </c>
      <c r="B903" s="1072">
        <v>18205155</v>
      </c>
      <c r="C903" s="1072">
        <v>298</v>
      </c>
      <c r="D903" s="1072">
        <v>296</v>
      </c>
      <c r="E903" s="1072">
        <f t="shared" si="14"/>
        <v>594</v>
      </c>
    </row>
    <row r="904" spans="1:5">
      <c r="A904" s="1072" t="s">
        <v>1241</v>
      </c>
      <c r="B904" s="1072">
        <v>18215155</v>
      </c>
      <c r="C904" s="1072">
        <v>317</v>
      </c>
      <c r="D904" s="1072">
        <v>311</v>
      </c>
      <c r="E904" s="1072">
        <f t="shared" si="14"/>
        <v>628</v>
      </c>
    </row>
    <row r="905" spans="1:5">
      <c r="A905" s="1072" t="s">
        <v>1241</v>
      </c>
      <c r="B905" s="1072">
        <v>18225155</v>
      </c>
      <c r="C905" s="1072">
        <v>120</v>
      </c>
      <c r="D905" s="1072">
        <v>107</v>
      </c>
      <c r="E905" s="1072">
        <f t="shared" si="14"/>
        <v>227</v>
      </c>
    </row>
    <row r="906" spans="1:5">
      <c r="A906" s="1072" t="s">
        <v>1241</v>
      </c>
      <c r="B906" s="1072">
        <v>18235155</v>
      </c>
      <c r="C906" s="1072">
        <v>254</v>
      </c>
      <c r="D906" s="1072">
        <v>246</v>
      </c>
      <c r="E906" s="1072">
        <f t="shared" si="14"/>
        <v>500</v>
      </c>
    </row>
    <row r="907" spans="1:5">
      <c r="A907" s="1072" t="s">
        <v>1241</v>
      </c>
      <c r="B907" s="1072">
        <v>18245155</v>
      </c>
      <c r="C907" s="1072">
        <v>427</v>
      </c>
      <c r="D907" s="1072">
        <v>322</v>
      </c>
      <c r="E907" s="1072">
        <f t="shared" si="14"/>
        <v>749</v>
      </c>
    </row>
    <row r="908" spans="1:5">
      <c r="A908" s="1072" t="s">
        <v>1241</v>
      </c>
      <c r="B908" s="1072">
        <v>18255155</v>
      </c>
      <c r="C908" s="1072">
        <v>254</v>
      </c>
      <c r="D908" s="1072">
        <v>250</v>
      </c>
      <c r="E908" s="1072">
        <f t="shared" si="14"/>
        <v>504</v>
      </c>
    </row>
    <row r="909" spans="1:5">
      <c r="A909" s="1072" t="s">
        <v>1241</v>
      </c>
      <c r="B909" s="1072">
        <v>18265155</v>
      </c>
      <c r="C909" s="1072">
        <v>242</v>
      </c>
      <c r="D909" s="1072">
        <v>202</v>
      </c>
      <c r="E909" s="1072">
        <f t="shared" si="14"/>
        <v>444</v>
      </c>
    </row>
    <row r="910" spans="1:5">
      <c r="A910" s="1072" t="s">
        <v>1241</v>
      </c>
      <c r="B910" s="1072">
        <v>18275155</v>
      </c>
      <c r="C910" s="1072">
        <v>244</v>
      </c>
      <c r="D910" s="1072">
        <v>228</v>
      </c>
      <c r="E910" s="1072">
        <f t="shared" si="14"/>
        <v>472</v>
      </c>
    </row>
    <row r="911" spans="1:5">
      <c r="A911" s="1072" t="s">
        <v>1241</v>
      </c>
      <c r="B911" s="1072">
        <v>18285155</v>
      </c>
      <c r="C911" s="1072">
        <v>250</v>
      </c>
      <c r="D911" s="1072">
        <v>243</v>
      </c>
      <c r="E911" s="1072">
        <f t="shared" si="14"/>
        <v>493</v>
      </c>
    </row>
    <row r="912" spans="1:5">
      <c r="A912" s="1072" t="s">
        <v>1241</v>
      </c>
      <c r="B912" s="1072">
        <v>18295155</v>
      </c>
      <c r="C912" s="1072">
        <v>280</v>
      </c>
      <c r="D912" s="1072">
        <v>275</v>
      </c>
      <c r="E912" s="1072">
        <f t="shared" si="14"/>
        <v>555</v>
      </c>
    </row>
    <row r="913" spans="1:5">
      <c r="A913" s="1072" t="s">
        <v>1241</v>
      </c>
      <c r="B913" s="1072">
        <v>18305155</v>
      </c>
      <c r="C913" s="1072">
        <v>212</v>
      </c>
      <c r="D913" s="1072">
        <v>211</v>
      </c>
      <c r="E913" s="1072">
        <f t="shared" si="14"/>
        <v>423</v>
      </c>
    </row>
    <row r="914" spans="1:5">
      <c r="A914" s="1072" t="s">
        <v>1241</v>
      </c>
      <c r="B914" s="1072">
        <v>18315155</v>
      </c>
      <c r="C914" s="1072">
        <v>355</v>
      </c>
      <c r="D914" s="1072">
        <v>228</v>
      </c>
      <c r="E914" s="1072">
        <f t="shared" si="14"/>
        <v>583</v>
      </c>
    </row>
    <row r="915" spans="1:5">
      <c r="A915" s="1072" t="s">
        <v>1241</v>
      </c>
      <c r="B915" s="1072">
        <v>18325155</v>
      </c>
      <c r="C915" s="1072">
        <v>294</v>
      </c>
      <c r="D915" s="1072">
        <v>295</v>
      </c>
      <c r="E915" s="1072">
        <f t="shared" si="14"/>
        <v>589</v>
      </c>
    </row>
    <row r="916" spans="1:5">
      <c r="A916" s="1072" t="s">
        <v>1241</v>
      </c>
      <c r="B916" s="1072">
        <v>18335155</v>
      </c>
      <c r="C916" s="1072">
        <v>316</v>
      </c>
      <c r="D916" s="1072">
        <v>291</v>
      </c>
      <c r="E916" s="1072">
        <f t="shared" si="14"/>
        <v>607</v>
      </c>
    </row>
    <row r="917" spans="1:5">
      <c r="A917" s="1072" t="s">
        <v>1241</v>
      </c>
      <c r="B917" s="1072">
        <v>18345155</v>
      </c>
      <c r="C917" s="1072">
        <v>294</v>
      </c>
      <c r="D917" s="1072">
        <v>249</v>
      </c>
      <c r="E917" s="1072">
        <f t="shared" si="14"/>
        <v>543</v>
      </c>
    </row>
    <row r="918" spans="1:5">
      <c r="A918" s="1072" t="s">
        <v>1241</v>
      </c>
      <c r="B918" s="1072">
        <v>18355155</v>
      </c>
      <c r="C918" s="1072">
        <v>243</v>
      </c>
      <c r="D918" s="1072">
        <v>241</v>
      </c>
      <c r="E918" s="1072">
        <f t="shared" si="14"/>
        <v>484</v>
      </c>
    </row>
    <row r="919" spans="1:5">
      <c r="A919" s="1072" t="s">
        <v>1241</v>
      </c>
      <c r="B919" s="1072">
        <v>18365155</v>
      </c>
      <c r="C919" s="1072">
        <v>272</v>
      </c>
      <c r="D919" s="1072">
        <v>267</v>
      </c>
      <c r="E919" s="1072">
        <f t="shared" si="14"/>
        <v>539</v>
      </c>
    </row>
    <row r="920" spans="1:5">
      <c r="A920" s="1072" t="s">
        <v>1241</v>
      </c>
      <c r="B920" s="1072">
        <v>18375155</v>
      </c>
      <c r="C920" s="1072">
        <v>422</v>
      </c>
      <c r="D920" s="1072">
        <v>227</v>
      </c>
      <c r="E920" s="1072">
        <f t="shared" si="14"/>
        <v>649</v>
      </c>
    </row>
    <row r="921" spans="1:5">
      <c r="A921" s="1072" t="s">
        <v>1241</v>
      </c>
      <c r="B921" s="1072">
        <v>18385155</v>
      </c>
      <c r="C921" s="1072">
        <v>970</v>
      </c>
      <c r="D921" s="1072">
        <v>138</v>
      </c>
      <c r="E921" s="1072">
        <f t="shared" si="14"/>
        <v>1108</v>
      </c>
    </row>
    <row r="922" spans="1:5">
      <c r="A922" s="1072" t="s">
        <v>1241</v>
      </c>
      <c r="B922" s="1072">
        <v>18395155</v>
      </c>
      <c r="C922" s="1072">
        <v>475</v>
      </c>
      <c r="D922" s="1072">
        <v>159</v>
      </c>
      <c r="E922" s="1072">
        <f t="shared" si="14"/>
        <v>634</v>
      </c>
    </row>
    <row r="923" spans="1:5">
      <c r="A923" s="1072" t="s">
        <v>1241</v>
      </c>
      <c r="B923" s="1072">
        <v>18405155</v>
      </c>
      <c r="C923" s="1072">
        <v>295</v>
      </c>
      <c r="D923" s="1072">
        <v>259</v>
      </c>
      <c r="E923" s="1072">
        <f t="shared" si="14"/>
        <v>554</v>
      </c>
    </row>
    <row r="924" spans="1:5">
      <c r="A924" s="1072" t="s">
        <v>1241</v>
      </c>
      <c r="B924" s="1072">
        <v>18415155</v>
      </c>
      <c r="C924" s="1072">
        <v>263</v>
      </c>
      <c r="D924" s="1072">
        <v>130</v>
      </c>
      <c r="E924" s="1072">
        <f t="shared" si="14"/>
        <v>393</v>
      </c>
    </row>
    <row r="925" spans="1:5">
      <c r="A925" s="1072" t="s">
        <v>1241</v>
      </c>
      <c r="B925" s="1072">
        <v>18425155</v>
      </c>
      <c r="C925" s="1072">
        <v>287</v>
      </c>
      <c r="D925" s="1072">
        <v>174</v>
      </c>
      <c r="E925" s="1072">
        <f t="shared" si="14"/>
        <v>461</v>
      </c>
    </row>
    <row r="926" spans="1:5">
      <c r="A926" s="1072" t="s">
        <v>1241</v>
      </c>
      <c r="B926" s="1072">
        <v>18435155</v>
      </c>
      <c r="C926" s="1072">
        <v>537</v>
      </c>
      <c r="D926" s="1072">
        <v>170</v>
      </c>
      <c r="E926" s="1072">
        <f t="shared" si="14"/>
        <v>707</v>
      </c>
    </row>
    <row r="927" spans="1:5">
      <c r="A927" s="1072" t="s">
        <v>1241</v>
      </c>
      <c r="B927" s="1072">
        <v>18445155</v>
      </c>
      <c r="C927" s="1072">
        <v>385</v>
      </c>
      <c r="D927" s="1072">
        <v>325</v>
      </c>
      <c r="E927" s="1072">
        <f t="shared" si="14"/>
        <v>710</v>
      </c>
    </row>
    <row r="928" spans="1:5">
      <c r="A928" s="1072" t="s">
        <v>1241</v>
      </c>
      <c r="B928" s="1072">
        <v>18455155</v>
      </c>
      <c r="C928" s="1072">
        <v>856</v>
      </c>
      <c r="D928" s="1072">
        <v>304</v>
      </c>
      <c r="E928" s="1072">
        <f t="shared" si="14"/>
        <v>1160</v>
      </c>
    </row>
    <row r="929" spans="1:5">
      <c r="A929" s="1072" t="s">
        <v>1241</v>
      </c>
      <c r="B929" s="1072">
        <v>18465155</v>
      </c>
      <c r="C929" s="1072">
        <v>512</v>
      </c>
      <c r="D929" s="1072">
        <v>201</v>
      </c>
      <c r="E929" s="1072">
        <f t="shared" si="14"/>
        <v>713</v>
      </c>
    </row>
    <row r="930" spans="1:5">
      <c r="A930" s="1072" t="s">
        <v>1241</v>
      </c>
      <c r="B930" s="1072">
        <v>18475155</v>
      </c>
      <c r="C930" s="1072">
        <v>269</v>
      </c>
      <c r="D930" s="1072">
        <v>237</v>
      </c>
      <c r="E930" s="1072">
        <f t="shared" si="14"/>
        <v>506</v>
      </c>
    </row>
    <row r="931" spans="1:5">
      <c r="A931" s="1072" t="s">
        <v>1241</v>
      </c>
      <c r="B931" s="1072">
        <v>18485155</v>
      </c>
      <c r="C931" s="1072">
        <v>340</v>
      </c>
      <c r="D931" s="1072">
        <v>301</v>
      </c>
      <c r="E931" s="1072">
        <f t="shared" si="14"/>
        <v>641</v>
      </c>
    </row>
    <row r="932" spans="1:5">
      <c r="A932" s="1072" t="s">
        <v>1241</v>
      </c>
      <c r="B932" s="1072">
        <v>18495155</v>
      </c>
      <c r="C932" s="1072">
        <v>266</v>
      </c>
      <c r="D932" s="1072">
        <v>256</v>
      </c>
      <c r="E932" s="1072">
        <f t="shared" si="14"/>
        <v>522</v>
      </c>
    </row>
    <row r="933" spans="1:5">
      <c r="A933" s="1072" t="s">
        <v>1241</v>
      </c>
      <c r="B933" s="1072">
        <v>18505155</v>
      </c>
      <c r="C933" s="1072">
        <v>219</v>
      </c>
      <c r="D933" s="1072">
        <v>205</v>
      </c>
      <c r="E933" s="1072">
        <f t="shared" si="14"/>
        <v>424</v>
      </c>
    </row>
    <row r="934" spans="1:5">
      <c r="A934" s="1072" t="s">
        <v>1241</v>
      </c>
      <c r="B934" s="1072">
        <v>18515155</v>
      </c>
      <c r="C934" s="1072">
        <v>462</v>
      </c>
      <c r="D934" s="1072">
        <v>110</v>
      </c>
      <c r="E934" s="1072">
        <f t="shared" si="14"/>
        <v>572</v>
      </c>
    </row>
    <row r="935" spans="1:5">
      <c r="A935" s="1072" t="s">
        <v>1241</v>
      </c>
      <c r="B935" s="1072">
        <v>18525155</v>
      </c>
      <c r="C935" s="1072">
        <v>570</v>
      </c>
      <c r="D935" s="1072">
        <v>187</v>
      </c>
      <c r="E935" s="1072">
        <f t="shared" si="14"/>
        <v>757</v>
      </c>
    </row>
    <row r="936" spans="1:5">
      <c r="A936" s="1072" t="s">
        <v>1241</v>
      </c>
      <c r="B936" s="1072">
        <v>18535155</v>
      </c>
      <c r="C936" s="1072">
        <v>264</v>
      </c>
      <c r="D936" s="1072">
        <v>224</v>
      </c>
      <c r="E936" s="1072">
        <f t="shared" si="14"/>
        <v>488</v>
      </c>
    </row>
    <row r="937" spans="1:5">
      <c r="A937" s="1072" t="s">
        <v>1241</v>
      </c>
      <c r="B937" s="1072">
        <v>18545155</v>
      </c>
      <c r="C937" s="1072">
        <v>678</v>
      </c>
      <c r="D937" s="1072">
        <v>144</v>
      </c>
      <c r="E937" s="1072">
        <f t="shared" si="14"/>
        <v>822</v>
      </c>
    </row>
    <row r="938" spans="1:5">
      <c r="A938" s="1072" t="s">
        <v>1241</v>
      </c>
      <c r="B938" s="1072">
        <v>18555155</v>
      </c>
      <c r="C938" s="1072">
        <v>424</v>
      </c>
      <c r="D938" s="1072">
        <v>365</v>
      </c>
      <c r="E938" s="1072">
        <f t="shared" si="14"/>
        <v>789</v>
      </c>
    </row>
    <row r="939" spans="1:5">
      <c r="A939" s="1072" t="s">
        <v>1241</v>
      </c>
      <c r="B939" s="1072">
        <v>18565155</v>
      </c>
      <c r="C939" s="1072">
        <v>480</v>
      </c>
      <c r="D939" s="1072">
        <v>290</v>
      </c>
      <c r="E939" s="1072">
        <f t="shared" si="14"/>
        <v>770</v>
      </c>
    </row>
    <row r="940" spans="1:5">
      <c r="A940" s="1072" t="s">
        <v>1241</v>
      </c>
      <c r="B940" s="1072">
        <v>19003437</v>
      </c>
      <c r="C940" s="1072">
        <v>332</v>
      </c>
      <c r="D940" s="1072">
        <v>197</v>
      </c>
      <c r="E940" s="1072">
        <f t="shared" si="14"/>
        <v>529</v>
      </c>
    </row>
    <row r="941" spans="1:5">
      <c r="A941" s="1072" t="s">
        <v>1241</v>
      </c>
      <c r="B941" s="1072">
        <v>19003438</v>
      </c>
      <c r="C941" s="1072">
        <v>626</v>
      </c>
      <c r="D941" s="1072">
        <v>121</v>
      </c>
      <c r="E941" s="1072">
        <f t="shared" si="14"/>
        <v>747</v>
      </c>
    </row>
    <row r="942" spans="1:5">
      <c r="A942" s="1072" t="s">
        <v>1241</v>
      </c>
      <c r="B942" s="1072">
        <v>19005238</v>
      </c>
      <c r="C942" s="1072">
        <v>1138</v>
      </c>
      <c r="D942" s="1072">
        <v>691</v>
      </c>
      <c r="E942" s="1072">
        <f t="shared" si="14"/>
        <v>1829</v>
      </c>
    </row>
    <row r="943" spans="1:5">
      <c r="A943" s="1072" t="s">
        <v>1241</v>
      </c>
      <c r="B943" s="1072">
        <v>19013437</v>
      </c>
      <c r="C943" s="1072">
        <v>242</v>
      </c>
      <c r="D943" s="1072">
        <v>129</v>
      </c>
      <c r="E943" s="1072">
        <f t="shared" si="14"/>
        <v>371</v>
      </c>
    </row>
    <row r="944" spans="1:5">
      <c r="A944" s="1072" t="s">
        <v>1241</v>
      </c>
      <c r="B944" s="1072">
        <v>19013438</v>
      </c>
      <c r="C944" s="1072">
        <v>288</v>
      </c>
      <c r="D944" s="1072">
        <v>247</v>
      </c>
      <c r="E944" s="1072">
        <f t="shared" si="14"/>
        <v>535</v>
      </c>
    </row>
    <row r="945" spans="1:5">
      <c r="A945" s="1072" t="s">
        <v>1241</v>
      </c>
      <c r="B945" s="1072">
        <v>19015155</v>
      </c>
      <c r="C945" s="1072">
        <v>471</v>
      </c>
      <c r="D945" s="1072">
        <v>225</v>
      </c>
      <c r="E945" s="1072">
        <f t="shared" si="14"/>
        <v>696</v>
      </c>
    </row>
    <row r="946" spans="1:5">
      <c r="A946" s="1072" t="s">
        <v>1241</v>
      </c>
      <c r="B946" s="1072">
        <v>19023437</v>
      </c>
      <c r="C946" s="1072">
        <v>347</v>
      </c>
      <c r="D946" s="1072">
        <v>185</v>
      </c>
      <c r="E946" s="1072">
        <f t="shared" si="14"/>
        <v>532</v>
      </c>
    </row>
    <row r="947" spans="1:5">
      <c r="A947" s="1072" t="s">
        <v>1241</v>
      </c>
      <c r="B947" s="1072">
        <v>19023438</v>
      </c>
      <c r="C947" s="1072">
        <v>315</v>
      </c>
      <c r="D947" s="1072">
        <v>126</v>
      </c>
      <c r="E947" s="1072">
        <f t="shared" si="14"/>
        <v>441</v>
      </c>
    </row>
    <row r="948" spans="1:5">
      <c r="A948" s="1072" t="s">
        <v>1241</v>
      </c>
      <c r="B948" s="1072">
        <v>19025155</v>
      </c>
      <c r="C948" s="1072">
        <v>258</v>
      </c>
      <c r="D948" s="1072">
        <v>246</v>
      </c>
      <c r="E948" s="1072">
        <f t="shared" si="14"/>
        <v>504</v>
      </c>
    </row>
    <row r="949" spans="1:5">
      <c r="A949" s="1072" t="s">
        <v>1241</v>
      </c>
      <c r="B949" s="1072">
        <v>19033437</v>
      </c>
      <c r="C949" s="1072">
        <v>527</v>
      </c>
      <c r="D949" s="1072">
        <v>206</v>
      </c>
      <c r="E949" s="1072">
        <f t="shared" si="14"/>
        <v>733</v>
      </c>
    </row>
    <row r="950" spans="1:5">
      <c r="A950" s="1072" t="s">
        <v>1241</v>
      </c>
      <c r="B950" s="1072">
        <v>19033438</v>
      </c>
      <c r="C950" s="1072">
        <v>1482</v>
      </c>
      <c r="D950" s="1072">
        <v>40</v>
      </c>
      <c r="E950" s="1072">
        <f t="shared" si="14"/>
        <v>1522</v>
      </c>
    </row>
    <row r="951" spans="1:5">
      <c r="A951" s="1072" t="s">
        <v>1241</v>
      </c>
      <c r="B951" s="1072">
        <v>19035155</v>
      </c>
      <c r="C951" s="1072">
        <v>271</v>
      </c>
      <c r="D951" s="1072">
        <v>252</v>
      </c>
      <c r="E951" s="1072">
        <f t="shared" si="14"/>
        <v>523</v>
      </c>
    </row>
    <row r="952" spans="1:5">
      <c r="A952" s="1072" t="s">
        <v>1241</v>
      </c>
      <c r="B952" s="1072">
        <v>19043437</v>
      </c>
      <c r="C952" s="1072">
        <v>396</v>
      </c>
      <c r="D952" s="1072">
        <v>162</v>
      </c>
      <c r="E952" s="1072">
        <f t="shared" si="14"/>
        <v>558</v>
      </c>
    </row>
    <row r="953" spans="1:5">
      <c r="A953" s="1072" t="s">
        <v>1241</v>
      </c>
      <c r="B953" s="1072">
        <v>19043438</v>
      </c>
      <c r="C953" s="1072">
        <v>275</v>
      </c>
      <c r="D953" s="1072">
        <v>208</v>
      </c>
      <c r="E953" s="1072">
        <f t="shared" si="14"/>
        <v>483</v>
      </c>
    </row>
    <row r="954" spans="1:5">
      <c r="A954" s="1072" t="s">
        <v>1241</v>
      </c>
      <c r="B954" s="1072">
        <v>19045155</v>
      </c>
      <c r="C954" s="1072">
        <v>269</v>
      </c>
      <c r="D954" s="1072">
        <v>263</v>
      </c>
      <c r="E954" s="1072">
        <f t="shared" si="14"/>
        <v>532</v>
      </c>
    </row>
    <row r="955" spans="1:5">
      <c r="A955" s="1072" t="s">
        <v>1241</v>
      </c>
      <c r="B955" s="1072">
        <v>19053437</v>
      </c>
      <c r="C955" s="1072">
        <v>268</v>
      </c>
      <c r="D955" s="1072">
        <v>165</v>
      </c>
      <c r="E955" s="1072">
        <f t="shared" si="14"/>
        <v>433</v>
      </c>
    </row>
    <row r="956" spans="1:5">
      <c r="A956" s="1072" t="s">
        <v>1241</v>
      </c>
      <c r="B956" s="1072">
        <v>19053438</v>
      </c>
      <c r="C956" s="1072">
        <v>587</v>
      </c>
      <c r="D956" s="1072">
        <v>302</v>
      </c>
      <c r="E956" s="1072">
        <f t="shared" si="14"/>
        <v>889</v>
      </c>
    </row>
    <row r="957" spans="1:5">
      <c r="A957" s="1072" t="s">
        <v>1241</v>
      </c>
      <c r="B957" s="1072">
        <v>19055155</v>
      </c>
      <c r="C957" s="1072">
        <v>272</v>
      </c>
      <c r="D957" s="1072">
        <v>257</v>
      </c>
      <c r="E957" s="1072">
        <f t="shared" si="14"/>
        <v>529</v>
      </c>
    </row>
    <row r="958" spans="1:5">
      <c r="A958" s="1072" t="s">
        <v>1241</v>
      </c>
      <c r="B958" s="1072">
        <v>19063437</v>
      </c>
      <c r="C958" s="1072">
        <v>290</v>
      </c>
      <c r="D958" s="1072">
        <v>216</v>
      </c>
      <c r="E958" s="1072">
        <f t="shared" si="14"/>
        <v>506</v>
      </c>
    </row>
    <row r="959" spans="1:5">
      <c r="A959" s="1072" t="s">
        <v>1241</v>
      </c>
      <c r="B959" s="1072">
        <v>19063438</v>
      </c>
      <c r="C959" s="1072">
        <v>361</v>
      </c>
      <c r="D959" s="1072">
        <v>182</v>
      </c>
      <c r="E959" s="1072">
        <f t="shared" si="14"/>
        <v>543</v>
      </c>
    </row>
    <row r="960" spans="1:5">
      <c r="A960" s="1072" t="s">
        <v>1241</v>
      </c>
      <c r="B960" s="1072">
        <v>19065155</v>
      </c>
      <c r="C960" s="1072">
        <v>326</v>
      </c>
      <c r="D960" s="1072">
        <v>238</v>
      </c>
      <c r="E960" s="1072">
        <f t="shared" si="14"/>
        <v>564</v>
      </c>
    </row>
    <row r="961" spans="1:5">
      <c r="A961" s="1072" t="s">
        <v>1241</v>
      </c>
      <c r="B961" s="1072">
        <v>19073437</v>
      </c>
      <c r="C961" s="1072">
        <v>376</v>
      </c>
      <c r="D961" s="1072">
        <v>212</v>
      </c>
      <c r="E961" s="1072">
        <f t="shared" si="14"/>
        <v>588</v>
      </c>
    </row>
    <row r="962" spans="1:5">
      <c r="A962" s="1072" t="s">
        <v>1241</v>
      </c>
      <c r="B962" s="1072">
        <v>19073438</v>
      </c>
      <c r="C962" s="1072">
        <v>291</v>
      </c>
      <c r="D962" s="1072">
        <v>262</v>
      </c>
      <c r="E962" s="1072">
        <f t="shared" ref="E962:E1025" si="15">C962+D962</f>
        <v>553</v>
      </c>
    </row>
    <row r="963" spans="1:5">
      <c r="A963" s="1072" t="s">
        <v>1241</v>
      </c>
      <c r="B963" s="1072">
        <v>19075155</v>
      </c>
      <c r="C963" s="1072">
        <v>214</v>
      </c>
      <c r="D963" s="1072">
        <v>184</v>
      </c>
      <c r="E963" s="1072">
        <f t="shared" si="15"/>
        <v>398</v>
      </c>
    </row>
    <row r="964" spans="1:5">
      <c r="A964" s="1072" t="s">
        <v>1241</v>
      </c>
      <c r="B964" s="1072">
        <v>19083438</v>
      </c>
      <c r="C964" s="1072">
        <v>287</v>
      </c>
      <c r="D964" s="1072">
        <v>255</v>
      </c>
      <c r="E964" s="1072">
        <f t="shared" si="15"/>
        <v>542</v>
      </c>
    </row>
    <row r="965" spans="1:5">
      <c r="A965" s="1072" t="s">
        <v>1241</v>
      </c>
      <c r="B965" s="1072">
        <v>19085155</v>
      </c>
      <c r="C965" s="1072">
        <v>207</v>
      </c>
      <c r="D965" s="1072">
        <v>148</v>
      </c>
      <c r="E965" s="1072">
        <f t="shared" si="15"/>
        <v>355</v>
      </c>
    </row>
    <row r="966" spans="1:5">
      <c r="A966" s="1072" t="s">
        <v>1241</v>
      </c>
      <c r="B966" s="1072">
        <v>19093438</v>
      </c>
      <c r="C966" s="1072">
        <v>474</v>
      </c>
      <c r="D966" s="1072">
        <v>206</v>
      </c>
      <c r="E966" s="1072">
        <f t="shared" si="15"/>
        <v>680</v>
      </c>
    </row>
    <row r="967" spans="1:5">
      <c r="A967" s="1072" t="s">
        <v>1241</v>
      </c>
      <c r="B967" s="1072">
        <v>19095155</v>
      </c>
      <c r="C967" s="1072">
        <v>420</v>
      </c>
      <c r="D967" s="1072">
        <v>265</v>
      </c>
      <c r="E967" s="1072">
        <f t="shared" si="15"/>
        <v>685</v>
      </c>
    </row>
    <row r="968" spans="1:5">
      <c r="A968" s="1072" t="s">
        <v>1241</v>
      </c>
      <c r="B968" s="1072">
        <v>19103438</v>
      </c>
      <c r="C968" s="1072">
        <v>361</v>
      </c>
      <c r="D968" s="1072">
        <v>308</v>
      </c>
      <c r="E968" s="1072">
        <f t="shared" si="15"/>
        <v>669</v>
      </c>
    </row>
    <row r="969" spans="1:5">
      <c r="A969" s="1072" t="s">
        <v>1241</v>
      </c>
      <c r="B969" s="1072">
        <v>19105156</v>
      </c>
      <c r="C969" s="1072">
        <v>264</v>
      </c>
      <c r="D969" s="1072">
        <v>219</v>
      </c>
      <c r="E969" s="1072">
        <f t="shared" si="15"/>
        <v>483</v>
      </c>
    </row>
    <row r="970" spans="1:5">
      <c r="A970" s="1072" t="s">
        <v>1241</v>
      </c>
      <c r="B970" s="1072">
        <v>19113438</v>
      </c>
      <c r="C970" s="1072">
        <v>238</v>
      </c>
      <c r="D970" s="1072">
        <v>209</v>
      </c>
      <c r="E970" s="1072">
        <f t="shared" si="15"/>
        <v>447</v>
      </c>
    </row>
    <row r="971" spans="1:5">
      <c r="A971" s="1072" t="s">
        <v>1241</v>
      </c>
      <c r="B971" s="1072">
        <v>19115156</v>
      </c>
      <c r="C971" s="1072">
        <v>253</v>
      </c>
      <c r="D971" s="1072">
        <v>175</v>
      </c>
      <c r="E971" s="1072">
        <f t="shared" si="15"/>
        <v>428</v>
      </c>
    </row>
    <row r="972" spans="1:5">
      <c r="A972" s="1072" t="s">
        <v>1241</v>
      </c>
      <c r="B972" s="1072">
        <v>19123438</v>
      </c>
      <c r="C972" s="1072">
        <v>506</v>
      </c>
      <c r="D972" s="1072">
        <v>283</v>
      </c>
      <c r="E972" s="1072">
        <f t="shared" si="15"/>
        <v>789</v>
      </c>
    </row>
    <row r="973" spans="1:5">
      <c r="A973" s="1072" t="s">
        <v>1241</v>
      </c>
      <c r="B973" s="1072">
        <v>19125156</v>
      </c>
      <c r="C973" s="1072">
        <v>419</v>
      </c>
      <c r="D973" s="1072">
        <v>258</v>
      </c>
      <c r="E973" s="1072">
        <f t="shared" si="15"/>
        <v>677</v>
      </c>
    </row>
    <row r="974" spans="1:5">
      <c r="A974" s="1072" t="s">
        <v>1241</v>
      </c>
      <c r="B974" s="1072">
        <v>19135156</v>
      </c>
      <c r="C974" s="1072">
        <v>340</v>
      </c>
      <c r="D974" s="1072">
        <v>236</v>
      </c>
      <c r="E974" s="1072">
        <f t="shared" si="15"/>
        <v>576</v>
      </c>
    </row>
    <row r="975" spans="1:5">
      <c r="A975" s="1072" t="s">
        <v>1241</v>
      </c>
      <c r="B975" s="1072">
        <v>19145156</v>
      </c>
      <c r="C975" s="1072">
        <v>426</v>
      </c>
      <c r="D975" s="1072">
        <v>108</v>
      </c>
      <c r="E975" s="1072">
        <f t="shared" si="15"/>
        <v>534</v>
      </c>
    </row>
    <row r="976" spans="1:5">
      <c r="A976" s="1072" t="s">
        <v>1241</v>
      </c>
      <c r="B976" s="1072">
        <v>19155156</v>
      </c>
      <c r="C976" s="1072">
        <v>632</v>
      </c>
      <c r="D976" s="1072">
        <v>164</v>
      </c>
      <c r="E976" s="1072">
        <f t="shared" si="15"/>
        <v>796</v>
      </c>
    </row>
    <row r="977" spans="1:5">
      <c r="A977" s="1072" t="s">
        <v>1241</v>
      </c>
      <c r="B977" s="1072">
        <v>19165156</v>
      </c>
      <c r="C977" s="1072">
        <v>714</v>
      </c>
      <c r="D977" s="1072">
        <v>113</v>
      </c>
      <c r="E977" s="1072">
        <f t="shared" si="15"/>
        <v>827</v>
      </c>
    </row>
    <row r="978" spans="1:5">
      <c r="A978" s="1072" t="s">
        <v>1241</v>
      </c>
      <c r="B978" s="1072">
        <v>19175156</v>
      </c>
      <c r="C978" s="1072">
        <v>140</v>
      </c>
      <c r="D978" s="1072">
        <v>104</v>
      </c>
      <c r="E978" s="1072">
        <f t="shared" si="15"/>
        <v>244</v>
      </c>
    </row>
    <row r="979" spans="1:5">
      <c r="A979" s="1072" t="s">
        <v>1241</v>
      </c>
      <c r="B979" s="1072">
        <v>19185156</v>
      </c>
      <c r="C979" s="1072">
        <v>308</v>
      </c>
      <c r="D979" s="1072">
        <v>258</v>
      </c>
      <c r="E979" s="1072">
        <f t="shared" si="15"/>
        <v>566</v>
      </c>
    </row>
    <row r="980" spans="1:5">
      <c r="A980" s="1072" t="s">
        <v>1241</v>
      </c>
      <c r="B980" s="1072">
        <v>19195156</v>
      </c>
      <c r="C980" s="1072">
        <v>236</v>
      </c>
      <c r="D980" s="1072">
        <v>225</v>
      </c>
      <c r="E980" s="1072">
        <f t="shared" si="15"/>
        <v>461</v>
      </c>
    </row>
    <row r="981" spans="1:5">
      <c r="A981" s="1072" t="s">
        <v>1241</v>
      </c>
      <c r="B981" s="1072">
        <v>19205156</v>
      </c>
      <c r="C981" s="1072">
        <v>247</v>
      </c>
      <c r="D981" s="1072">
        <v>182</v>
      </c>
      <c r="E981" s="1072">
        <f t="shared" si="15"/>
        <v>429</v>
      </c>
    </row>
    <row r="982" spans="1:5">
      <c r="A982" s="1072" t="s">
        <v>1241</v>
      </c>
      <c r="B982" s="1072">
        <v>19215156</v>
      </c>
      <c r="C982" s="1072">
        <v>417</v>
      </c>
      <c r="D982" s="1072">
        <v>349</v>
      </c>
      <c r="E982" s="1072">
        <f t="shared" si="15"/>
        <v>766</v>
      </c>
    </row>
    <row r="983" spans="1:5">
      <c r="A983" s="1072" t="s">
        <v>1241</v>
      </c>
      <c r="B983" s="1072">
        <v>19225156</v>
      </c>
      <c r="C983" s="1072">
        <v>447</v>
      </c>
      <c r="D983" s="1072">
        <v>427</v>
      </c>
      <c r="E983" s="1072">
        <f t="shared" si="15"/>
        <v>874</v>
      </c>
    </row>
    <row r="984" spans="1:5">
      <c r="A984" s="1072" t="s">
        <v>1241</v>
      </c>
      <c r="B984" s="1072">
        <v>19235156</v>
      </c>
      <c r="C984" s="1072">
        <v>331</v>
      </c>
      <c r="D984" s="1072">
        <v>325</v>
      </c>
      <c r="E984" s="1072">
        <f t="shared" si="15"/>
        <v>656</v>
      </c>
    </row>
    <row r="985" spans="1:5">
      <c r="A985" s="1072" t="s">
        <v>1241</v>
      </c>
      <c r="B985" s="1072">
        <v>19245156</v>
      </c>
      <c r="C985" s="1072">
        <v>363</v>
      </c>
      <c r="D985" s="1072">
        <v>179</v>
      </c>
      <c r="E985" s="1072">
        <f t="shared" si="15"/>
        <v>542</v>
      </c>
    </row>
    <row r="986" spans="1:5">
      <c r="A986" s="1072" t="s">
        <v>1241</v>
      </c>
      <c r="B986" s="1072">
        <v>19255156</v>
      </c>
      <c r="C986" s="1072">
        <v>335</v>
      </c>
      <c r="D986" s="1072">
        <v>306</v>
      </c>
      <c r="E986" s="1072">
        <f t="shared" si="15"/>
        <v>641</v>
      </c>
    </row>
    <row r="987" spans="1:5">
      <c r="A987" s="1072" t="s">
        <v>1241</v>
      </c>
      <c r="B987" s="1072">
        <v>19265156</v>
      </c>
      <c r="C987" s="1072">
        <v>563</v>
      </c>
      <c r="D987" s="1072">
        <v>239</v>
      </c>
      <c r="E987" s="1072">
        <f t="shared" si="15"/>
        <v>802</v>
      </c>
    </row>
    <row r="988" spans="1:5">
      <c r="A988" s="1072" t="s">
        <v>1241</v>
      </c>
      <c r="B988" s="1072">
        <v>19275156</v>
      </c>
      <c r="C988" s="1072">
        <v>244</v>
      </c>
      <c r="D988" s="1072">
        <v>242</v>
      </c>
      <c r="E988" s="1072">
        <f t="shared" si="15"/>
        <v>486</v>
      </c>
    </row>
    <row r="989" spans="1:5">
      <c r="A989" s="1072" t="s">
        <v>1241</v>
      </c>
      <c r="B989" s="1072">
        <v>19285156</v>
      </c>
      <c r="C989" s="1072">
        <v>282</v>
      </c>
      <c r="D989" s="1072">
        <v>258</v>
      </c>
      <c r="E989" s="1072">
        <f t="shared" si="15"/>
        <v>540</v>
      </c>
    </row>
    <row r="990" spans="1:5">
      <c r="A990" s="1072" t="s">
        <v>1241</v>
      </c>
      <c r="B990" s="1072">
        <v>19295156</v>
      </c>
      <c r="C990" s="1072">
        <v>174</v>
      </c>
      <c r="D990" s="1072">
        <v>167</v>
      </c>
      <c r="E990" s="1072">
        <f t="shared" si="15"/>
        <v>341</v>
      </c>
    </row>
    <row r="991" spans="1:5">
      <c r="A991" s="1072" t="s">
        <v>1241</v>
      </c>
      <c r="B991" s="1072">
        <v>19305156</v>
      </c>
      <c r="C991" s="1072">
        <v>284</v>
      </c>
      <c r="D991" s="1072">
        <v>275</v>
      </c>
      <c r="E991" s="1072">
        <f t="shared" si="15"/>
        <v>559</v>
      </c>
    </row>
    <row r="992" spans="1:5">
      <c r="A992" s="1072" t="s">
        <v>1241</v>
      </c>
      <c r="B992" s="1072">
        <v>19315156</v>
      </c>
      <c r="C992" s="1072">
        <v>227</v>
      </c>
      <c r="D992" s="1072">
        <v>207</v>
      </c>
      <c r="E992" s="1072">
        <f t="shared" si="15"/>
        <v>434</v>
      </c>
    </row>
    <row r="993" spans="1:5">
      <c r="A993" s="1072" t="s">
        <v>1241</v>
      </c>
      <c r="B993" s="1072">
        <v>19325156</v>
      </c>
      <c r="C993" s="1072">
        <v>184</v>
      </c>
      <c r="D993" s="1072">
        <v>153</v>
      </c>
      <c r="E993" s="1072">
        <f t="shared" si="15"/>
        <v>337</v>
      </c>
    </row>
    <row r="994" spans="1:5">
      <c r="A994" s="1072" t="s">
        <v>1241</v>
      </c>
      <c r="B994" s="1072">
        <v>19335156</v>
      </c>
      <c r="C994" s="1072">
        <v>256</v>
      </c>
      <c r="D994" s="1072">
        <v>230</v>
      </c>
      <c r="E994" s="1072">
        <f t="shared" si="15"/>
        <v>486</v>
      </c>
    </row>
    <row r="995" spans="1:5">
      <c r="A995" s="1072" t="s">
        <v>1241</v>
      </c>
      <c r="B995" s="1072">
        <v>19345156</v>
      </c>
      <c r="C995" s="1072">
        <v>244</v>
      </c>
      <c r="D995" s="1072">
        <v>240</v>
      </c>
      <c r="E995" s="1072">
        <f t="shared" si="15"/>
        <v>484</v>
      </c>
    </row>
    <row r="996" spans="1:5">
      <c r="A996" s="1072" t="s">
        <v>1241</v>
      </c>
      <c r="B996" s="1072">
        <v>19355156</v>
      </c>
      <c r="C996" s="1072">
        <v>283</v>
      </c>
      <c r="D996" s="1072">
        <v>272</v>
      </c>
      <c r="E996" s="1072">
        <f t="shared" si="15"/>
        <v>555</v>
      </c>
    </row>
    <row r="997" spans="1:5">
      <c r="A997" s="1072" t="s">
        <v>1241</v>
      </c>
      <c r="B997" s="1072">
        <v>19365156</v>
      </c>
      <c r="C997" s="1072">
        <v>223</v>
      </c>
      <c r="D997" s="1072">
        <v>198</v>
      </c>
      <c r="E997" s="1072">
        <f t="shared" si="15"/>
        <v>421</v>
      </c>
    </row>
    <row r="998" spans="1:5">
      <c r="A998" s="1072" t="s">
        <v>1241</v>
      </c>
      <c r="B998" s="1072">
        <v>19375156</v>
      </c>
      <c r="C998" s="1072">
        <v>292</v>
      </c>
      <c r="D998" s="1072">
        <v>283</v>
      </c>
      <c r="E998" s="1072">
        <f t="shared" si="15"/>
        <v>575</v>
      </c>
    </row>
    <row r="999" spans="1:5">
      <c r="A999" s="1072" t="s">
        <v>1241</v>
      </c>
      <c r="B999" s="1072">
        <v>19385156</v>
      </c>
      <c r="C999" s="1072">
        <v>344</v>
      </c>
      <c r="D999" s="1072">
        <v>325</v>
      </c>
      <c r="E999" s="1072">
        <f t="shared" si="15"/>
        <v>669</v>
      </c>
    </row>
    <row r="1000" spans="1:5">
      <c r="A1000" s="1072" t="s">
        <v>1241</v>
      </c>
      <c r="B1000" s="1072">
        <v>19395156</v>
      </c>
      <c r="C1000" s="1072">
        <v>262</v>
      </c>
      <c r="D1000" s="1072">
        <v>257</v>
      </c>
      <c r="E1000" s="1072">
        <f t="shared" si="15"/>
        <v>519</v>
      </c>
    </row>
    <row r="1001" spans="1:5">
      <c r="A1001" s="1072" t="s">
        <v>1241</v>
      </c>
      <c r="B1001" s="1072">
        <v>19405156</v>
      </c>
      <c r="C1001" s="1072">
        <v>399</v>
      </c>
      <c r="D1001" s="1072">
        <v>385</v>
      </c>
      <c r="E1001" s="1072">
        <f t="shared" si="15"/>
        <v>784</v>
      </c>
    </row>
    <row r="1002" spans="1:5">
      <c r="A1002" s="1072" t="s">
        <v>1241</v>
      </c>
      <c r="B1002" s="1072">
        <v>19415156</v>
      </c>
      <c r="C1002" s="1072">
        <v>745</v>
      </c>
      <c r="D1002" s="1072">
        <v>551</v>
      </c>
      <c r="E1002" s="1072">
        <f t="shared" si="15"/>
        <v>1296</v>
      </c>
    </row>
    <row r="1003" spans="1:5">
      <c r="A1003" s="1072" t="s">
        <v>1241</v>
      </c>
      <c r="B1003" s="1072">
        <v>19425156</v>
      </c>
      <c r="C1003" s="1072">
        <v>549</v>
      </c>
      <c r="D1003" s="1072">
        <v>515</v>
      </c>
      <c r="E1003" s="1072">
        <f t="shared" si="15"/>
        <v>1064</v>
      </c>
    </row>
    <row r="1004" spans="1:5">
      <c r="A1004" s="1072" t="s">
        <v>1241</v>
      </c>
      <c r="B1004" s="1072">
        <v>19435156</v>
      </c>
      <c r="C1004" s="1072">
        <v>323</v>
      </c>
      <c r="D1004" s="1072">
        <v>317</v>
      </c>
      <c r="E1004" s="1072">
        <f t="shared" si="15"/>
        <v>640</v>
      </c>
    </row>
    <row r="1005" spans="1:5">
      <c r="A1005" s="1072" t="s">
        <v>1241</v>
      </c>
      <c r="B1005" s="1072">
        <v>19445156</v>
      </c>
      <c r="C1005" s="1072">
        <v>740</v>
      </c>
      <c r="D1005" s="1072">
        <v>267</v>
      </c>
      <c r="E1005" s="1072">
        <f t="shared" si="15"/>
        <v>1007</v>
      </c>
    </row>
    <row r="1006" spans="1:5">
      <c r="A1006" s="1072" t="s">
        <v>1241</v>
      </c>
      <c r="B1006" s="1072">
        <v>19455156</v>
      </c>
      <c r="C1006" s="1072">
        <v>340</v>
      </c>
      <c r="D1006" s="1072">
        <v>324</v>
      </c>
      <c r="E1006" s="1072">
        <f t="shared" si="15"/>
        <v>664</v>
      </c>
    </row>
    <row r="1007" spans="1:5">
      <c r="A1007" s="1072" t="s">
        <v>1241</v>
      </c>
      <c r="B1007" s="1072">
        <v>19465156</v>
      </c>
      <c r="C1007" s="1072">
        <v>325</v>
      </c>
      <c r="D1007" s="1072">
        <v>321</v>
      </c>
      <c r="E1007" s="1072">
        <f t="shared" si="15"/>
        <v>646</v>
      </c>
    </row>
    <row r="1008" spans="1:5">
      <c r="A1008" s="1072" t="s">
        <v>1241</v>
      </c>
      <c r="B1008" s="1072">
        <v>19475156</v>
      </c>
      <c r="C1008" s="1072">
        <v>366</v>
      </c>
      <c r="D1008" s="1072">
        <v>343</v>
      </c>
      <c r="E1008" s="1072">
        <f t="shared" si="15"/>
        <v>709</v>
      </c>
    </row>
    <row r="1009" spans="1:5">
      <c r="A1009" s="1072" t="s">
        <v>1241</v>
      </c>
      <c r="B1009" s="1072">
        <v>19485156</v>
      </c>
      <c r="C1009" s="1072">
        <v>309</v>
      </c>
      <c r="D1009" s="1072">
        <v>293</v>
      </c>
      <c r="E1009" s="1072">
        <f t="shared" si="15"/>
        <v>602</v>
      </c>
    </row>
    <row r="1010" spans="1:5">
      <c r="A1010" s="1072" t="s">
        <v>1241</v>
      </c>
      <c r="B1010" s="1072">
        <v>19495156</v>
      </c>
      <c r="C1010" s="1072">
        <v>304</v>
      </c>
      <c r="D1010" s="1072">
        <v>303</v>
      </c>
      <c r="E1010" s="1072">
        <f t="shared" si="15"/>
        <v>607</v>
      </c>
    </row>
    <row r="1011" spans="1:5">
      <c r="A1011" s="1072" t="s">
        <v>1241</v>
      </c>
      <c r="B1011" s="1072">
        <v>19505156</v>
      </c>
      <c r="C1011" s="1072">
        <v>350</v>
      </c>
      <c r="D1011" s="1072">
        <v>214</v>
      </c>
      <c r="E1011" s="1072">
        <f t="shared" si="15"/>
        <v>564</v>
      </c>
    </row>
    <row r="1012" spans="1:5">
      <c r="A1012" s="1072" t="s">
        <v>1241</v>
      </c>
      <c r="B1012" s="1072">
        <v>19515156</v>
      </c>
      <c r="C1012" s="1072">
        <v>371</v>
      </c>
      <c r="D1012" s="1072">
        <v>294</v>
      </c>
      <c r="E1012" s="1072">
        <f t="shared" si="15"/>
        <v>665</v>
      </c>
    </row>
    <row r="1013" spans="1:5">
      <c r="A1013" s="1072" t="s">
        <v>1241</v>
      </c>
      <c r="B1013" s="1072">
        <v>19525156</v>
      </c>
      <c r="C1013" s="1072">
        <v>282</v>
      </c>
      <c r="D1013" s="1072">
        <v>243</v>
      </c>
      <c r="E1013" s="1072">
        <f t="shared" si="15"/>
        <v>525</v>
      </c>
    </row>
    <row r="1014" spans="1:5">
      <c r="A1014" s="1072" t="s">
        <v>1241</v>
      </c>
      <c r="B1014" s="1072">
        <v>20003431</v>
      </c>
      <c r="C1014" s="1072">
        <v>293</v>
      </c>
      <c r="D1014" s="1072">
        <v>168</v>
      </c>
      <c r="E1014" s="1072">
        <f t="shared" si="15"/>
        <v>461</v>
      </c>
    </row>
    <row r="1015" spans="1:5">
      <c r="A1015" s="1072" t="s">
        <v>1241</v>
      </c>
      <c r="B1015" s="1072">
        <v>20003438</v>
      </c>
      <c r="C1015" s="1072">
        <v>971</v>
      </c>
      <c r="D1015" s="1072">
        <v>177</v>
      </c>
      <c r="E1015" s="1072">
        <f t="shared" si="15"/>
        <v>1148</v>
      </c>
    </row>
    <row r="1016" spans="1:5">
      <c r="A1016" s="1072" t="s">
        <v>1241</v>
      </c>
      <c r="B1016" s="1072">
        <v>20005238</v>
      </c>
      <c r="C1016" s="1072">
        <v>593</v>
      </c>
      <c r="D1016" s="1072">
        <v>465</v>
      </c>
      <c r="E1016" s="1072">
        <f t="shared" si="15"/>
        <v>1058</v>
      </c>
    </row>
    <row r="1017" spans="1:5">
      <c r="A1017" s="1072" t="s">
        <v>1241</v>
      </c>
      <c r="B1017" s="1072">
        <v>20013431</v>
      </c>
      <c r="C1017" s="1072">
        <v>451</v>
      </c>
      <c r="D1017" s="1072">
        <v>198</v>
      </c>
      <c r="E1017" s="1072">
        <f t="shared" si="15"/>
        <v>649</v>
      </c>
    </row>
    <row r="1018" spans="1:5">
      <c r="A1018" s="1072" t="s">
        <v>1241</v>
      </c>
      <c r="B1018" s="1072">
        <v>20013438</v>
      </c>
      <c r="C1018" s="1072">
        <v>289</v>
      </c>
      <c r="D1018" s="1072">
        <v>286</v>
      </c>
      <c r="E1018" s="1072">
        <f t="shared" si="15"/>
        <v>575</v>
      </c>
    </row>
    <row r="1019" spans="1:5">
      <c r="A1019" s="1072" t="s">
        <v>1241</v>
      </c>
      <c r="B1019" s="1072">
        <v>20015238</v>
      </c>
      <c r="C1019" s="1072">
        <v>358</v>
      </c>
      <c r="D1019" s="1072">
        <v>252</v>
      </c>
      <c r="E1019" s="1072">
        <f t="shared" si="15"/>
        <v>610</v>
      </c>
    </row>
    <row r="1020" spans="1:5">
      <c r="A1020" s="1072" t="s">
        <v>1241</v>
      </c>
      <c r="B1020" s="1072">
        <v>20015257</v>
      </c>
      <c r="C1020" s="1072">
        <v>699</v>
      </c>
      <c r="D1020" s="1072">
        <v>427</v>
      </c>
      <c r="E1020" s="1072">
        <f t="shared" si="15"/>
        <v>1126</v>
      </c>
    </row>
    <row r="1021" spans="1:5">
      <c r="A1021" s="1072" t="s">
        <v>1241</v>
      </c>
      <c r="B1021" s="1072">
        <v>20023431</v>
      </c>
      <c r="C1021" s="1072">
        <v>914</v>
      </c>
      <c r="D1021" s="1072">
        <v>387</v>
      </c>
      <c r="E1021" s="1072">
        <f t="shared" si="15"/>
        <v>1301</v>
      </c>
    </row>
    <row r="1022" spans="1:5">
      <c r="A1022" s="1072" t="s">
        <v>1241</v>
      </c>
      <c r="B1022" s="1072">
        <v>20023438</v>
      </c>
      <c r="C1022" s="1072">
        <v>511</v>
      </c>
      <c r="D1022" s="1072">
        <v>317</v>
      </c>
      <c r="E1022" s="1072">
        <f t="shared" si="15"/>
        <v>828</v>
      </c>
    </row>
    <row r="1023" spans="1:5">
      <c r="A1023" s="1072" t="s">
        <v>1241</v>
      </c>
      <c r="B1023" s="1072">
        <v>20025238</v>
      </c>
      <c r="C1023" s="1072">
        <v>732</v>
      </c>
      <c r="D1023" s="1072">
        <v>358</v>
      </c>
      <c r="E1023" s="1072">
        <f t="shared" si="15"/>
        <v>1090</v>
      </c>
    </row>
    <row r="1024" spans="1:5">
      <c r="A1024" s="1072" t="s">
        <v>1241</v>
      </c>
      <c r="B1024" s="1072">
        <v>20025257</v>
      </c>
      <c r="C1024" s="1072">
        <v>432</v>
      </c>
      <c r="D1024" s="1072">
        <v>418</v>
      </c>
      <c r="E1024" s="1072">
        <f t="shared" si="15"/>
        <v>850</v>
      </c>
    </row>
    <row r="1025" spans="1:5">
      <c r="A1025" s="1072" t="s">
        <v>1241</v>
      </c>
      <c r="B1025" s="1072">
        <v>20033431</v>
      </c>
      <c r="C1025" s="1072">
        <v>945</v>
      </c>
      <c r="D1025" s="1072">
        <v>45</v>
      </c>
      <c r="E1025" s="1072">
        <f t="shared" si="15"/>
        <v>990</v>
      </c>
    </row>
    <row r="1026" spans="1:5">
      <c r="A1026" s="1072" t="s">
        <v>1241</v>
      </c>
      <c r="B1026" s="1072">
        <v>20033438</v>
      </c>
      <c r="C1026" s="1072">
        <v>504</v>
      </c>
      <c r="D1026" s="1072">
        <v>149</v>
      </c>
      <c r="E1026" s="1072">
        <f t="shared" ref="E1026:E1089" si="16">C1026+D1026</f>
        <v>653</v>
      </c>
    </row>
    <row r="1027" spans="1:5">
      <c r="A1027" s="1072" t="s">
        <v>1241</v>
      </c>
      <c r="B1027" s="1072">
        <v>20035238</v>
      </c>
      <c r="C1027" s="1072">
        <v>1183</v>
      </c>
      <c r="D1027" s="1072">
        <v>245</v>
      </c>
      <c r="E1027" s="1072">
        <f t="shared" si="16"/>
        <v>1428</v>
      </c>
    </row>
    <row r="1028" spans="1:5">
      <c r="A1028" s="1072" t="s">
        <v>1241</v>
      </c>
      <c r="B1028" s="1072">
        <v>20035257</v>
      </c>
      <c r="C1028" s="1072">
        <v>989</v>
      </c>
      <c r="D1028" s="1072">
        <v>335</v>
      </c>
      <c r="E1028" s="1072">
        <f t="shared" si="16"/>
        <v>1324</v>
      </c>
    </row>
    <row r="1029" spans="1:5">
      <c r="A1029" s="1072" t="s">
        <v>1241</v>
      </c>
      <c r="B1029" s="1072">
        <v>20043431</v>
      </c>
      <c r="C1029" s="1072">
        <v>1053</v>
      </c>
      <c r="D1029" s="1072">
        <v>87</v>
      </c>
      <c r="E1029" s="1072">
        <f t="shared" si="16"/>
        <v>1140</v>
      </c>
    </row>
    <row r="1030" spans="1:5">
      <c r="A1030" s="1072" t="s">
        <v>1241</v>
      </c>
      <c r="B1030" s="1072">
        <v>20043438</v>
      </c>
      <c r="C1030" s="1072">
        <v>410</v>
      </c>
      <c r="D1030" s="1072">
        <v>226</v>
      </c>
      <c r="E1030" s="1072">
        <f t="shared" si="16"/>
        <v>636</v>
      </c>
    </row>
    <row r="1031" spans="1:5">
      <c r="A1031" s="1072" t="s">
        <v>1241</v>
      </c>
      <c r="B1031" s="1072">
        <v>20045238</v>
      </c>
      <c r="C1031" s="1072">
        <v>331</v>
      </c>
      <c r="D1031" s="1072">
        <v>298</v>
      </c>
      <c r="E1031" s="1072">
        <f t="shared" si="16"/>
        <v>629</v>
      </c>
    </row>
    <row r="1032" spans="1:5">
      <c r="A1032" s="1072" t="s">
        <v>1241</v>
      </c>
      <c r="B1032" s="1072">
        <v>20045257</v>
      </c>
      <c r="C1032" s="1072">
        <v>268</v>
      </c>
      <c r="D1032" s="1072">
        <v>258</v>
      </c>
      <c r="E1032" s="1072">
        <f t="shared" si="16"/>
        <v>526</v>
      </c>
    </row>
    <row r="1033" spans="1:5">
      <c r="A1033" s="1072" t="s">
        <v>1241</v>
      </c>
      <c r="B1033" s="1072">
        <v>20046123</v>
      </c>
      <c r="C1033" s="1072">
        <v>200</v>
      </c>
      <c r="D1033" s="1072">
        <v>33</v>
      </c>
      <c r="E1033" s="1072">
        <f t="shared" si="16"/>
        <v>233</v>
      </c>
    </row>
    <row r="1034" spans="1:5">
      <c r="A1034" s="1072" t="s">
        <v>1241</v>
      </c>
      <c r="B1034" s="1072">
        <v>20053431</v>
      </c>
      <c r="C1034" s="1072">
        <v>1311</v>
      </c>
      <c r="D1034" s="1072">
        <v>87</v>
      </c>
      <c r="E1034" s="1072">
        <f t="shared" si="16"/>
        <v>1398</v>
      </c>
    </row>
    <row r="1035" spans="1:5">
      <c r="A1035" s="1072" t="s">
        <v>1241</v>
      </c>
      <c r="B1035" s="1072">
        <v>20053438</v>
      </c>
      <c r="C1035" s="1072">
        <v>400</v>
      </c>
      <c r="D1035" s="1072">
        <v>287</v>
      </c>
      <c r="E1035" s="1072">
        <f t="shared" si="16"/>
        <v>687</v>
      </c>
    </row>
    <row r="1036" spans="1:5">
      <c r="A1036" s="1072" t="s">
        <v>1241</v>
      </c>
      <c r="B1036" s="1072">
        <v>20055257</v>
      </c>
      <c r="C1036" s="1072">
        <v>379</v>
      </c>
      <c r="D1036" s="1072">
        <v>375</v>
      </c>
      <c r="E1036" s="1072">
        <f t="shared" si="16"/>
        <v>754</v>
      </c>
    </row>
    <row r="1037" spans="1:5">
      <c r="A1037" s="1072" t="s">
        <v>1241</v>
      </c>
      <c r="B1037" s="1072">
        <v>20063431</v>
      </c>
      <c r="C1037" s="1072">
        <v>547</v>
      </c>
      <c r="D1037" s="1072">
        <v>366</v>
      </c>
      <c r="E1037" s="1072">
        <f t="shared" si="16"/>
        <v>913</v>
      </c>
    </row>
    <row r="1038" spans="1:5">
      <c r="A1038" s="1072" t="s">
        <v>1241</v>
      </c>
      <c r="B1038" s="1072">
        <v>20063438</v>
      </c>
      <c r="C1038" s="1072">
        <v>840</v>
      </c>
      <c r="D1038" s="1072">
        <v>166</v>
      </c>
      <c r="E1038" s="1072">
        <f t="shared" si="16"/>
        <v>1006</v>
      </c>
    </row>
    <row r="1039" spans="1:5">
      <c r="A1039" s="1072" t="s">
        <v>1241</v>
      </c>
      <c r="B1039" s="1072">
        <v>20065257</v>
      </c>
      <c r="C1039" s="1072">
        <v>600</v>
      </c>
      <c r="D1039" s="1072">
        <v>429</v>
      </c>
      <c r="E1039" s="1072">
        <f t="shared" si="16"/>
        <v>1029</v>
      </c>
    </row>
    <row r="1040" spans="1:5">
      <c r="A1040" s="1072" t="s">
        <v>1241</v>
      </c>
      <c r="B1040" s="1072">
        <v>20073431</v>
      </c>
      <c r="C1040" s="1072">
        <v>387</v>
      </c>
      <c r="D1040" s="1072">
        <v>342</v>
      </c>
      <c r="E1040" s="1072">
        <f t="shared" si="16"/>
        <v>729</v>
      </c>
    </row>
    <row r="1041" spans="1:5">
      <c r="A1041" s="1072" t="s">
        <v>1241</v>
      </c>
      <c r="B1041" s="1072">
        <v>20073438</v>
      </c>
      <c r="C1041" s="1072">
        <v>685</v>
      </c>
      <c r="D1041" s="1072">
        <v>277</v>
      </c>
      <c r="E1041" s="1072">
        <f t="shared" si="16"/>
        <v>962</v>
      </c>
    </row>
    <row r="1042" spans="1:5">
      <c r="A1042" s="1072" t="s">
        <v>1241</v>
      </c>
      <c r="B1042" s="1072">
        <v>20075257</v>
      </c>
      <c r="C1042" s="1072">
        <v>386</v>
      </c>
      <c r="D1042" s="1072">
        <v>360</v>
      </c>
      <c r="E1042" s="1072">
        <f t="shared" si="16"/>
        <v>746</v>
      </c>
    </row>
    <row r="1043" spans="1:5">
      <c r="A1043" s="1072" t="s">
        <v>1241</v>
      </c>
      <c r="B1043" s="1072">
        <v>20083431</v>
      </c>
      <c r="C1043" s="1072">
        <v>329</v>
      </c>
      <c r="D1043" s="1072">
        <v>288</v>
      </c>
      <c r="E1043" s="1072">
        <f t="shared" si="16"/>
        <v>617</v>
      </c>
    </row>
    <row r="1044" spans="1:5">
      <c r="A1044" s="1072" t="s">
        <v>1241</v>
      </c>
      <c r="B1044" s="1072">
        <v>20083438</v>
      </c>
      <c r="C1044" s="1072">
        <v>419</v>
      </c>
      <c r="D1044" s="1072">
        <v>301</v>
      </c>
      <c r="E1044" s="1072">
        <f t="shared" si="16"/>
        <v>720</v>
      </c>
    </row>
    <row r="1045" spans="1:5">
      <c r="A1045" s="1072" t="s">
        <v>1241</v>
      </c>
      <c r="B1045" s="1072">
        <v>20085257</v>
      </c>
      <c r="C1045" s="1072">
        <v>307</v>
      </c>
      <c r="D1045" s="1072">
        <v>174</v>
      </c>
      <c r="E1045" s="1072">
        <f t="shared" si="16"/>
        <v>481</v>
      </c>
    </row>
    <row r="1046" spans="1:5">
      <c r="A1046" s="1072" t="s">
        <v>1241</v>
      </c>
      <c r="B1046" s="1072">
        <v>20086123</v>
      </c>
      <c r="C1046" s="1072">
        <v>194</v>
      </c>
      <c r="D1046" s="1072">
        <v>46</v>
      </c>
      <c r="E1046" s="1072">
        <f t="shared" si="16"/>
        <v>240</v>
      </c>
    </row>
    <row r="1047" spans="1:5">
      <c r="A1047" s="1072" t="s">
        <v>1241</v>
      </c>
      <c r="B1047" s="1072">
        <v>20093431</v>
      </c>
      <c r="C1047" s="1072">
        <v>455</v>
      </c>
      <c r="D1047" s="1072">
        <v>454</v>
      </c>
      <c r="E1047" s="1072">
        <f t="shared" si="16"/>
        <v>909</v>
      </c>
    </row>
    <row r="1048" spans="1:5">
      <c r="A1048" s="1072" t="s">
        <v>1241</v>
      </c>
      <c r="B1048" s="1072">
        <v>20093438</v>
      </c>
      <c r="C1048" s="1072">
        <v>363</v>
      </c>
      <c r="D1048" s="1072">
        <v>349</v>
      </c>
      <c r="E1048" s="1072">
        <f t="shared" si="16"/>
        <v>712</v>
      </c>
    </row>
    <row r="1049" spans="1:5">
      <c r="A1049" s="1072" t="s">
        <v>1241</v>
      </c>
      <c r="B1049" s="1072">
        <v>20095257</v>
      </c>
      <c r="C1049" s="1072">
        <v>336</v>
      </c>
      <c r="D1049" s="1072">
        <v>274</v>
      </c>
      <c r="E1049" s="1072">
        <f t="shared" si="16"/>
        <v>610</v>
      </c>
    </row>
    <row r="1050" spans="1:5">
      <c r="A1050" s="1072" t="s">
        <v>1241</v>
      </c>
      <c r="B1050" s="1072">
        <v>20096123</v>
      </c>
      <c r="C1050" s="1072">
        <v>192</v>
      </c>
      <c r="D1050" s="1072">
        <v>108</v>
      </c>
      <c r="E1050" s="1072">
        <f t="shared" si="16"/>
        <v>300</v>
      </c>
    </row>
    <row r="1051" spans="1:5">
      <c r="A1051" s="1072" t="s">
        <v>1241</v>
      </c>
      <c r="B1051" s="1072">
        <v>20103431</v>
      </c>
      <c r="C1051" s="1072">
        <v>382</v>
      </c>
      <c r="D1051" s="1072">
        <v>219</v>
      </c>
      <c r="E1051" s="1072">
        <f t="shared" si="16"/>
        <v>601</v>
      </c>
    </row>
    <row r="1052" spans="1:5">
      <c r="A1052" s="1072" t="s">
        <v>1241</v>
      </c>
      <c r="B1052" s="1072">
        <v>20103438</v>
      </c>
      <c r="C1052" s="1072">
        <v>250</v>
      </c>
      <c r="D1052" s="1072">
        <v>195</v>
      </c>
      <c r="E1052" s="1072">
        <f t="shared" si="16"/>
        <v>445</v>
      </c>
    </row>
    <row r="1053" spans="1:5">
      <c r="A1053" s="1072" t="s">
        <v>1241</v>
      </c>
      <c r="B1053" s="1072">
        <v>20105257</v>
      </c>
      <c r="C1053" s="1072">
        <v>626</v>
      </c>
      <c r="D1053" s="1072">
        <v>245</v>
      </c>
      <c r="E1053" s="1072">
        <f t="shared" si="16"/>
        <v>871</v>
      </c>
    </row>
    <row r="1054" spans="1:5">
      <c r="A1054" s="1072" t="s">
        <v>1241</v>
      </c>
      <c r="B1054" s="1072">
        <v>20106123</v>
      </c>
      <c r="C1054" s="1072">
        <v>201</v>
      </c>
      <c r="D1054" s="1072">
        <v>125</v>
      </c>
      <c r="E1054" s="1072">
        <f t="shared" si="16"/>
        <v>326</v>
      </c>
    </row>
    <row r="1055" spans="1:5">
      <c r="A1055" s="1072" t="s">
        <v>1241</v>
      </c>
      <c r="B1055" s="1072">
        <v>20113431</v>
      </c>
      <c r="C1055" s="1072">
        <v>649</v>
      </c>
      <c r="D1055" s="1072">
        <v>317</v>
      </c>
      <c r="E1055" s="1072">
        <f t="shared" si="16"/>
        <v>966</v>
      </c>
    </row>
    <row r="1056" spans="1:5">
      <c r="A1056" s="1072" t="s">
        <v>1241</v>
      </c>
      <c r="B1056" s="1072">
        <v>20113438</v>
      </c>
      <c r="C1056" s="1072">
        <v>353</v>
      </c>
      <c r="D1056" s="1072">
        <v>326</v>
      </c>
      <c r="E1056" s="1072">
        <f t="shared" si="16"/>
        <v>679</v>
      </c>
    </row>
    <row r="1057" spans="1:5">
      <c r="A1057" s="1072" t="s">
        <v>1241</v>
      </c>
      <c r="B1057" s="1072">
        <v>20115257</v>
      </c>
      <c r="C1057" s="1072">
        <v>138</v>
      </c>
      <c r="D1057" s="1072">
        <v>91</v>
      </c>
      <c r="E1057" s="1072">
        <f t="shared" si="16"/>
        <v>229</v>
      </c>
    </row>
    <row r="1058" spans="1:5">
      <c r="A1058" s="1072" t="s">
        <v>1241</v>
      </c>
      <c r="B1058" s="1072">
        <v>20116123</v>
      </c>
      <c r="C1058" s="1072">
        <v>166</v>
      </c>
      <c r="D1058" s="1072">
        <v>79</v>
      </c>
      <c r="E1058" s="1072">
        <f t="shared" si="16"/>
        <v>245</v>
      </c>
    </row>
    <row r="1059" spans="1:5">
      <c r="A1059" s="1072" t="s">
        <v>1241</v>
      </c>
      <c r="B1059" s="1072">
        <v>20123431</v>
      </c>
      <c r="C1059" s="1072">
        <v>618</v>
      </c>
      <c r="D1059" s="1072">
        <v>488</v>
      </c>
      <c r="E1059" s="1072">
        <f t="shared" si="16"/>
        <v>1106</v>
      </c>
    </row>
    <row r="1060" spans="1:5">
      <c r="A1060" s="1072" t="s">
        <v>1241</v>
      </c>
      <c r="B1060" s="1072">
        <v>20123438</v>
      </c>
      <c r="C1060" s="1072">
        <v>370</v>
      </c>
      <c r="D1060" s="1072">
        <v>294</v>
      </c>
      <c r="E1060" s="1072">
        <f t="shared" si="16"/>
        <v>664</v>
      </c>
    </row>
    <row r="1061" spans="1:5">
      <c r="A1061" s="1072" t="s">
        <v>1241</v>
      </c>
      <c r="B1061" s="1072">
        <v>20125257</v>
      </c>
      <c r="C1061" s="1072">
        <v>1017</v>
      </c>
      <c r="D1061" s="1072">
        <v>329</v>
      </c>
      <c r="E1061" s="1072">
        <f t="shared" si="16"/>
        <v>1346</v>
      </c>
    </row>
    <row r="1062" spans="1:5">
      <c r="A1062" s="1072" t="s">
        <v>1241</v>
      </c>
      <c r="B1062" s="1072">
        <v>20126123</v>
      </c>
      <c r="C1062" s="1072">
        <v>149</v>
      </c>
      <c r="D1062" s="1072">
        <v>23</v>
      </c>
      <c r="E1062" s="1072">
        <f t="shared" si="16"/>
        <v>172</v>
      </c>
    </row>
    <row r="1063" spans="1:5">
      <c r="A1063" s="1072" t="s">
        <v>1241</v>
      </c>
      <c r="B1063" s="1072">
        <v>20133431</v>
      </c>
      <c r="C1063" s="1072">
        <v>593</v>
      </c>
      <c r="D1063" s="1072">
        <v>248</v>
      </c>
      <c r="E1063" s="1072">
        <f t="shared" si="16"/>
        <v>841</v>
      </c>
    </row>
    <row r="1064" spans="1:5">
      <c r="A1064" s="1072" t="s">
        <v>1241</v>
      </c>
      <c r="B1064" s="1072">
        <v>20133438</v>
      </c>
      <c r="C1064" s="1072">
        <v>275</v>
      </c>
      <c r="D1064" s="1072">
        <v>256</v>
      </c>
      <c r="E1064" s="1072">
        <f t="shared" si="16"/>
        <v>531</v>
      </c>
    </row>
    <row r="1065" spans="1:5">
      <c r="A1065" s="1072" t="s">
        <v>1241</v>
      </c>
      <c r="B1065" s="1072">
        <v>20135257</v>
      </c>
      <c r="C1065" s="1072">
        <v>388</v>
      </c>
      <c r="D1065" s="1072">
        <v>330</v>
      </c>
      <c r="E1065" s="1072">
        <f t="shared" si="16"/>
        <v>718</v>
      </c>
    </row>
    <row r="1066" spans="1:5">
      <c r="A1066" s="1072" t="s">
        <v>1241</v>
      </c>
      <c r="B1066" s="1072">
        <v>20136123</v>
      </c>
      <c r="C1066" s="1072">
        <v>176</v>
      </c>
      <c r="D1066" s="1072">
        <v>44</v>
      </c>
      <c r="E1066" s="1072">
        <f t="shared" si="16"/>
        <v>220</v>
      </c>
    </row>
    <row r="1067" spans="1:5">
      <c r="A1067" s="1072" t="s">
        <v>1241</v>
      </c>
      <c r="B1067" s="1072">
        <v>20143438</v>
      </c>
      <c r="C1067" s="1072">
        <v>410</v>
      </c>
      <c r="D1067" s="1072">
        <v>350</v>
      </c>
      <c r="E1067" s="1072">
        <f t="shared" si="16"/>
        <v>760</v>
      </c>
    </row>
    <row r="1068" spans="1:5">
      <c r="A1068" s="1072" t="s">
        <v>1241</v>
      </c>
      <c r="B1068" s="1072">
        <v>20145257</v>
      </c>
      <c r="C1068" s="1072">
        <v>400</v>
      </c>
      <c r="D1068" s="1072">
        <v>349</v>
      </c>
      <c r="E1068" s="1072">
        <f t="shared" si="16"/>
        <v>749</v>
      </c>
    </row>
    <row r="1069" spans="1:5">
      <c r="A1069" s="1072" t="s">
        <v>1241</v>
      </c>
      <c r="B1069" s="1072">
        <v>20146123</v>
      </c>
      <c r="C1069" s="1072">
        <v>230</v>
      </c>
      <c r="D1069" s="1072">
        <v>133</v>
      </c>
      <c r="E1069" s="1072">
        <f t="shared" si="16"/>
        <v>363</v>
      </c>
    </row>
    <row r="1070" spans="1:5">
      <c r="A1070" s="1072" t="s">
        <v>1241</v>
      </c>
      <c r="B1070" s="1072">
        <v>20153438</v>
      </c>
      <c r="C1070" s="1072">
        <v>265</v>
      </c>
      <c r="D1070" s="1072">
        <v>261</v>
      </c>
      <c r="E1070" s="1072">
        <f t="shared" si="16"/>
        <v>526</v>
      </c>
    </row>
    <row r="1071" spans="1:5">
      <c r="A1071" s="1072" t="s">
        <v>1241</v>
      </c>
      <c r="B1071" s="1072">
        <v>20155257</v>
      </c>
      <c r="C1071" s="1072">
        <v>548</v>
      </c>
      <c r="D1071" s="1072">
        <v>288</v>
      </c>
      <c r="E1071" s="1072">
        <f t="shared" si="16"/>
        <v>836</v>
      </c>
    </row>
    <row r="1072" spans="1:5">
      <c r="A1072" s="1072" t="s">
        <v>1241</v>
      </c>
      <c r="B1072" s="1072">
        <v>20156123</v>
      </c>
      <c r="C1072" s="1072">
        <v>255</v>
      </c>
      <c r="D1072" s="1072">
        <v>5</v>
      </c>
      <c r="E1072" s="1072">
        <f t="shared" si="16"/>
        <v>260</v>
      </c>
    </row>
    <row r="1073" spans="1:5">
      <c r="A1073" s="1072" t="s">
        <v>1241</v>
      </c>
      <c r="B1073" s="1072">
        <v>20163438</v>
      </c>
      <c r="C1073" s="1072">
        <v>387</v>
      </c>
      <c r="D1073" s="1072">
        <v>220</v>
      </c>
      <c r="E1073" s="1072">
        <f t="shared" si="16"/>
        <v>607</v>
      </c>
    </row>
    <row r="1074" spans="1:5">
      <c r="A1074" s="1072" t="s">
        <v>1241</v>
      </c>
      <c r="B1074" s="1072">
        <v>20165257</v>
      </c>
      <c r="C1074" s="1072">
        <v>329</v>
      </c>
      <c r="D1074" s="1072">
        <v>281</v>
      </c>
      <c r="E1074" s="1072">
        <f t="shared" si="16"/>
        <v>610</v>
      </c>
    </row>
    <row r="1075" spans="1:5">
      <c r="A1075" s="1072" t="s">
        <v>1241</v>
      </c>
      <c r="B1075" s="1072">
        <v>20173438</v>
      </c>
      <c r="C1075" s="1072">
        <v>373</v>
      </c>
      <c r="D1075" s="1072">
        <v>343</v>
      </c>
      <c r="E1075" s="1072">
        <f t="shared" si="16"/>
        <v>716</v>
      </c>
    </row>
    <row r="1076" spans="1:5">
      <c r="A1076" s="1072" t="s">
        <v>1241</v>
      </c>
      <c r="B1076" s="1072">
        <v>20175257</v>
      </c>
      <c r="C1076" s="1072">
        <v>308</v>
      </c>
      <c r="D1076" s="1072">
        <v>222</v>
      </c>
      <c r="E1076" s="1072">
        <f t="shared" si="16"/>
        <v>530</v>
      </c>
    </row>
    <row r="1077" spans="1:5">
      <c r="A1077" s="1072" t="s">
        <v>1241</v>
      </c>
      <c r="B1077" s="1072">
        <v>20183438</v>
      </c>
      <c r="C1077" s="1072">
        <v>385</v>
      </c>
      <c r="D1077" s="1072">
        <v>346</v>
      </c>
      <c r="E1077" s="1072">
        <f t="shared" si="16"/>
        <v>731</v>
      </c>
    </row>
    <row r="1078" spans="1:5">
      <c r="A1078" s="1072" t="s">
        <v>1241</v>
      </c>
      <c r="B1078" s="1072">
        <v>20185257</v>
      </c>
      <c r="C1078" s="1072">
        <v>962</v>
      </c>
      <c r="D1078" s="1072">
        <v>213</v>
      </c>
      <c r="E1078" s="1072">
        <f t="shared" si="16"/>
        <v>1175</v>
      </c>
    </row>
    <row r="1079" spans="1:5">
      <c r="A1079" s="1072" t="s">
        <v>1241</v>
      </c>
      <c r="B1079" s="1072">
        <v>20193438</v>
      </c>
      <c r="C1079" s="1072">
        <v>424</v>
      </c>
      <c r="D1079" s="1072">
        <v>420</v>
      </c>
      <c r="E1079" s="1072">
        <f t="shared" si="16"/>
        <v>844</v>
      </c>
    </row>
    <row r="1080" spans="1:5">
      <c r="A1080" s="1072" t="s">
        <v>1241</v>
      </c>
      <c r="B1080" s="1072">
        <v>20195257</v>
      </c>
      <c r="C1080" s="1072">
        <v>457</v>
      </c>
      <c r="D1080" s="1072">
        <v>288</v>
      </c>
      <c r="E1080" s="1072">
        <f t="shared" si="16"/>
        <v>745</v>
      </c>
    </row>
    <row r="1081" spans="1:5">
      <c r="A1081" s="1072" t="s">
        <v>1241</v>
      </c>
      <c r="B1081" s="1072">
        <v>20203438</v>
      </c>
      <c r="C1081" s="1072">
        <v>289</v>
      </c>
      <c r="D1081" s="1072">
        <v>243</v>
      </c>
      <c r="E1081" s="1072">
        <f t="shared" si="16"/>
        <v>532</v>
      </c>
    </row>
    <row r="1082" spans="1:5">
      <c r="A1082" s="1072" t="s">
        <v>1241</v>
      </c>
      <c r="B1082" s="1072">
        <v>20205257</v>
      </c>
      <c r="C1082" s="1072">
        <v>417</v>
      </c>
      <c r="D1082" s="1072">
        <v>289</v>
      </c>
      <c r="E1082" s="1072">
        <f t="shared" si="16"/>
        <v>706</v>
      </c>
    </row>
    <row r="1083" spans="1:5">
      <c r="A1083" s="1072" t="s">
        <v>1241</v>
      </c>
      <c r="B1083" s="1072">
        <v>20213438</v>
      </c>
      <c r="C1083" s="1072">
        <v>547</v>
      </c>
      <c r="D1083" s="1072">
        <v>478</v>
      </c>
      <c r="E1083" s="1072">
        <f t="shared" si="16"/>
        <v>1025</v>
      </c>
    </row>
    <row r="1084" spans="1:5">
      <c r="A1084" s="1072" t="s">
        <v>1241</v>
      </c>
      <c r="B1084" s="1072">
        <v>20215257</v>
      </c>
      <c r="C1084" s="1072">
        <v>304</v>
      </c>
      <c r="D1084" s="1072">
        <v>263</v>
      </c>
      <c r="E1084" s="1072">
        <f t="shared" si="16"/>
        <v>567</v>
      </c>
    </row>
    <row r="1085" spans="1:5">
      <c r="A1085" s="1072" t="s">
        <v>1241</v>
      </c>
      <c r="B1085" s="1072">
        <v>20223438</v>
      </c>
      <c r="C1085" s="1072">
        <v>459</v>
      </c>
      <c r="D1085" s="1072">
        <v>281</v>
      </c>
      <c r="E1085" s="1072">
        <f t="shared" si="16"/>
        <v>740</v>
      </c>
    </row>
    <row r="1086" spans="1:5">
      <c r="A1086" s="1072" t="s">
        <v>1241</v>
      </c>
      <c r="B1086" s="1072">
        <v>20225257</v>
      </c>
      <c r="C1086" s="1072">
        <v>386</v>
      </c>
      <c r="D1086" s="1072">
        <v>358</v>
      </c>
      <c r="E1086" s="1072">
        <f t="shared" si="16"/>
        <v>744</v>
      </c>
    </row>
    <row r="1087" spans="1:5">
      <c r="A1087" s="1072" t="s">
        <v>1241</v>
      </c>
      <c r="B1087" s="1072">
        <v>20235257</v>
      </c>
      <c r="C1087" s="1072">
        <v>912</v>
      </c>
      <c r="D1087" s="1072">
        <v>138</v>
      </c>
      <c r="E1087" s="1072">
        <f t="shared" si="16"/>
        <v>1050</v>
      </c>
    </row>
    <row r="1088" spans="1:5">
      <c r="A1088" s="1072" t="s">
        <v>1241</v>
      </c>
      <c r="B1088" s="1072">
        <v>20245257</v>
      </c>
      <c r="C1088" s="1072">
        <v>341</v>
      </c>
      <c r="D1088" s="1072">
        <v>309</v>
      </c>
      <c r="E1088" s="1072">
        <f t="shared" si="16"/>
        <v>650</v>
      </c>
    </row>
    <row r="1089" spans="1:5">
      <c r="A1089" s="1072" t="s">
        <v>1241</v>
      </c>
      <c r="B1089" s="1072">
        <v>20255257</v>
      </c>
      <c r="C1089" s="1072">
        <v>561</v>
      </c>
      <c r="D1089" s="1072">
        <v>419</v>
      </c>
      <c r="E1089" s="1072">
        <f t="shared" si="16"/>
        <v>980</v>
      </c>
    </row>
    <row r="1090" spans="1:5">
      <c r="A1090" s="1072" t="s">
        <v>1241</v>
      </c>
      <c r="B1090" s="1072">
        <v>20265257</v>
      </c>
      <c r="C1090" s="1072">
        <v>258</v>
      </c>
      <c r="D1090" s="1072">
        <v>87</v>
      </c>
      <c r="E1090" s="1072">
        <f t="shared" ref="E1090:E1153" si="17">C1090+D1090</f>
        <v>345</v>
      </c>
    </row>
    <row r="1091" spans="1:5">
      <c r="A1091" s="1072" t="s">
        <v>1241</v>
      </c>
      <c r="B1091" s="1072">
        <v>20285257</v>
      </c>
      <c r="C1091" s="1072">
        <v>517</v>
      </c>
      <c r="D1091" s="1072">
        <v>380</v>
      </c>
      <c r="E1091" s="1072">
        <f t="shared" si="17"/>
        <v>897</v>
      </c>
    </row>
    <row r="1092" spans="1:5">
      <c r="A1092" s="1072" t="s">
        <v>1241</v>
      </c>
      <c r="B1092" s="1072">
        <v>20295257</v>
      </c>
      <c r="C1092" s="1072">
        <v>575</v>
      </c>
      <c r="D1092" s="1072">
        <v>454</v>
      </c>
      <c r="E1092" s="1072">
        <f t="shared" si="17"/>
        <v>1029</v>
      </c>
    </row>
    <row r="1093" spans="1:5">
      <c r="A1093" s="1072" t="s">
        <v>1241</v>
      </c>
      <c r="B1093" s="1072">
        <v>20305257</v>
      </c>
      <c r="C1093" s="1072">
        <v>744</v>
      </c>
      <c r="D1093" s="1072">
        <v>648</v>
      </c>
      <c r="E1093" s="1072">
        <f t="shared" si="17"/>
        <v>1392</v>
      </c>
    </row>
    <row r="1094" spans="1:5">
      <c r="A1094" s="1072" t="s">
        <v>1241</v>
      </c>
      <c r="B1094" s="1072">
        <v>20315257</v>
      </c>
      <c r="C1094" s="1072">
        <v>271</v>
      </c>
      <c r="D1094" s="1072">
        <v>168</v>
      </c>
      <c r="E1094" s="1072">
        <f t="shared" si="17"/>
        <v>439</v>
      </c>
    </row>
    <row r="1095" spans="1:5">
      <c r="A1095" s="1072" t="s">
        <v>1241</v>
      </c>
      <c r="B1095" s="1072">
        <v>20325257</v>
      </c>
      <c r="C1095" s="1072">
        <v>1002</v>
      </c>
      <c r="D1095" s="1072">
        <v>429</v>
      </c>
      <c r="E1095" s="1072">
        <f t="shared" si="17"/>
        <v>1431</v>
      </c>
    </row>
    <row r="1096" spans="1:5">
      <c r="A1096" s="1072" t="s">
        <v>1241</v>
      </c>
      <c r="B1096" s="1072">
        <v>20335257</v>
      </c>
      <c r="C1096" s="1072">
        <v>370</v>
      </c>
      <c r="D1096" s="1072">
        <v>338</v>
      </c>
      <c r="E1096" s="1072">
        <f t="shared" si="17"/>
        <v>708</v>
      </c>
    </row>
    <row r="1097" spans="1:5">
      <c r="A1097" s="1072" t="s">
        <v>1241</v>
      </c>
      <c r="B1097" s="1072">
        <v>20345257</v>
      </c>
      <c r="C1097" s="1072">
        <v>382</v>
      </c>
      <c r="D1097" s="1072">
        <v>285</v>
      </c>
      <c r="E1097" s="1072">
        <f t="shared" si="17"/>
        <v>667</v>
      </c>
    </row>
    <row r="1098" spans="1:5">
      <c r="A1098" s="1072" t="s">
        <v>1241</v>
      </c>
      <c r="B1098" s="1072">
        <v>20355257</v>
      </c>
      <c r="C1098" s="1072">
        <v>379</v>
      </c>
      <c r="D1098" s="1072">
        <v>277</v>
      </c>
      <c r="E1098" s="1072">
        <f t="shared" si="17"/>
        <v>656</v>
      </c>
    </row>
    <row r="1099" spans="1:5">
      <c r="A1099" s="1072" t="s">
        <v>1241</v>
      </c>
      <c r="B1099" s="1072">
        <v>20365257</v>
      </c>
      <c r="C1099" s="1072">
        <v>633</v>
      </c>
      <c r="D1099" s="1072">
        <v>173</v>
      </c>
      <c r="E1099" s="1072">
        <f t="shared" si="17"/>
        <v>806</v>
      </c>
    </row>
    <row r="1100" spans="1:5">
      <c r="A1100" s="1072" t="s">
        <v>1241</v>
      </c>
      <c r="B1100" s="1072">
        <v>20375257</v>
      </c>
      <c r="C1100" s="1072">
        <v>343</v>
      </c>
      <c r="D1100" s="1072">
        <v>239</v>
      </c>
      <c r="E1100" s="1072">
        <f t="shared" si="17"/>
        <v>582</v>
      </c>
    </row>
    <row r="1101" spans="1:5">
      <c r="A1101" s="1072" t="s">
        <v>1241</v>
      </c>
      <c r="B1101" s="1072">
        <v>20385257</v>
      </c>
      <c r="C1101" s="1072">
        <v>429</v>
      </c>
      <c r="D1101" s="1072">
        <v>227</v>
      </c>
      <c r="E1101" s="1072">
        <f t="shared" si="17"/>
        <v>656</v>
      </c>
    </row>
    <row r="1102" spans="1:5">
      <c r="A1102" s="1072" t="s">
        <v>1241</v>
      </c>
      <c r="B1102" s="1072">
        <v>20395257</v>
      </c>
      <c r="C1102" s="1072">
        <v>475</v>
      </c>
      <c r="D1102" s="1072">
        <v>264</v>
      </c>
      <c r="E1102" s="1072">
        <f t="shared" si="17"/>
        <v>739</v>
      </c>
    </row>
    <row r="1103" spans="1:5">
      <c r="A1103" s="1072" t="s">
        <v>1241</v>
      </c>
      <c r="B1103" s="1072">
        <v>20405257</v>
      </c>
      <c r="C1103" s="1072">
        <v>988</v>
      </c>
      <c r="D1103" s="1072">
        <v>77</v>
      </c>
      <c r="E1103" s="1072">
        <f t="shared" si="17"/>
        <v>1065</v>
      </c>
    </row>
    <row r="1104" spans="1:5">
      <c r="A1104" s="1072" t="s">
        <v>1241</v>
      </c>
      <c r="B1104" s="1072">
        <v>20415258</v>
      </c>
      <c r="C1104" s="1072">
        <v>459</v>
      </c>
      <c r="D1104" s="1072">
        <v>227</v>
      </c>
      <c r="E1104" s="1072">
        <f t="shared" si="17"/>
        <v>686</v>
      </c>
    </row>
    <row r="1105" spans="1:5">
      <c r="A1105" s="1072" t="s">
        <v>1241</v>
      </c>
      <c r="B1105" s="1072">
        <v>20425258</v>
      </c>
      <c r="C1105" s="1072">
        <v>2050</v>
      </c>
      <c r="D1105" s="1072">
        <v>223</v>
      </c>
      <c r="E1105" s="1072">
        <f t="shared" si="17"/>
        <v>2273</v>
      </c>
    </row>
    <row r="1106" spans="1:5">
      <c r="A1106" s="1072" t="s">
        <v>1241</v>
      </c>
      <c r="B1106" s="1072">
        <v>20435258</v>
      </c>
      <c r="C1106" s="1072">
        <v>430</v>
      </c>
      <c r="D1106" s="1072">
        <v>163</v>
      </c>
      <c r="E1106" s="1072">
        <f t="shared" si="17"/>
        <v>593</v>
      </c>
    </row>
    <row r="1107" spans="1:5">
      <c r="A1107" s="1072" t="s">
        <v>1241</v>
      </c>
      <c r="B1107" s="1072">
        <v>20445258</v>
      </c>
      <c r="C1107" s="1072">
        <v>591</v>
      </c>
      <c r="D1107" s="1072">
        <v>108</v>
      </c>
      <c r="E1107" s="1072">
        <f t="shared" si="17"/>
        <v>699</v>
      </c>
    </row>
    <row r="1108" spans="1:5">
      <c r="A1108" s="1072" t="s">
        <v>1241</v>
      </c>
      <c r="B1108" s="1072">
        <v>20455258</v>
      </c>
      <c r="C1108" s="1072">
        <v>454</v>
      </c>
      <c r="D1108" s="1072">
        <v>156</v>
      </c>
      <c r="E1108" s="1072">
        <f t="shared" si="17"/>
        <v>610</v>
      </c>
    </row>
    <row r="1109" spans="1:5">
      <c r="A1109" s="1072" t="s">
        <v>1241</v>
      </c>
      <c r="B1109" s="1072">
        <v>20465258</v>
      </c>
      <c r="C1109" s="1072">
        <v>587</v>
      </c>
      <c r="D1109" s="1072">
        <v>158</v>
      </c>
      <c r="E1109" s="1072">
        <f t="shared" si="17"/>
        <v>745</v>
      </c>
    </row>
    <row r="1110" spans="1:5">
      <c r="A1110" s="1072" t="s">
        <v>1241</v>
      </c>
      <c r="B1110" s="1072">
        <v>20475258</v>
      </c>
      <c r="C1110" s="1072">
        <v>317</v>
      </c>
      <c r="D1110" s="1072">
        <v>272</v>
      </c>
      <c r="E1110" s="1072">
        <f t="shared" si="17"/>
        <v>589</v>
      </c>
    </row>
    <row r="1111" spans="1:5">
      <c r="A1111" s="1072" t="s">
        <v>1241</v>
      </c>
      <c r="B1111" s="1072">
        <v>20485258</v>
      </c>
      <c r="C1111" s="1072">
        <v>277</v>
      </c>
      <c r="D1111" s="1072">
        <v>208</v>
      </c>
      <c r="E1111" s="1072">
        <f t="shared" si="17"/>
        <v>485</v>
      </c>
    </row>
    <row r="1112" spans="1:5">
      <c r="A1112" s="1072" t="s">
        <v>1241</v>
      </c>
      <c r="B1112" s="1072">
        <v>20495258</v>
      </c>
      <c r="C1112" s="1072">
        <v>970</v>
      </c>
      <c r="D1112" s="1072">
        <v>152</v>
      </c>
      <c r="E1112" s="1072">
        <f t="shared" si="17"/>
        <v>1122</v>
      </c>
    </row>
    <row r="1113" spans="1:5">
      <c r="A1113" s="1072" t="s">
        <v>1241</v>
      </c>
      <c r="B1113" s="1072">
        <v>20505258</v>
      </c>
      <c r="C1113" s="1072">
        <v>199</v>
      </c>
      <c r="D1113" s="1072">
        <v>121</v>
      </c>
      <c r="E1113" s="1072">
        <f t="shared" si="17"/>
        <v>320</v>
      </c>
    </row>
    <row r="1114" spans="1:5">
      <c r="A1114" s="1072" t="s">
        <v>1241</v>
      </c>
      <c r="B1114" s="1072">
        <v>20515258</v>
      </c>
      <c r="C1114" s="1072">
        <v>471</v>
      </c>
      <c r="D1114" s="1072">
        <v>190</v>
      </c>
      <c r="E1114" s="1072">
        <f t="shared" si="17"/>
        <v>661</v>
      </c>
    </row>
    <row r="1115" spans="1:5">
      <c r="A1115" s="1072" t="s">
        <v>1241</v>
      </c>
      <c r="B1115" s="1072">
        <v>20525258</v>
      </c>
      <c r="C1115" s="1072">
        <v>633</v>
      </c>
      <c r="D1115" s="1072">
        <v>172</v>
      </c>
      <c r="E1115" s="1072">
        <f t="shared" si="17"/>
        <v>805</v>
      </c>
    </row>
    <row r="1116" spans="1:5">
      <c r="A1116" s="1072" t="s">
        <v>1241</v>
      </c>
      <c r="B1116" s="1072">
        <v>20535258</v>
      </c>
      <c r="C1116" s="1072">
        <v>260</v>
      </c>
      <c r="D1116" s="1072">
        <v>194</v>
      </c>
      <c r="E1116" s="1072">
        <f t="shared" si="17"/>
        <v>454</v>
      </c>
    </row>
    <row r="1117" spans="1:5">
      <c r="A1117" s="1072" t="s">
        <v>1241</v>
      </c>
      <c r="B1117" s="1072">
        <v>21005238</v>
      </c>
      <c r="C1117" s="1072">
        <v>352</v>
      </c>
      <c r="D1117" s="1072">
        <v>269</v>
      </c>
      <c r="E1117" s="1072">
        <f t="shared" si="17"/>
        <v>621</v>
      </c>
    </row>
    <row r="1118" spans="1:5">
      <c r="A1118" s="1072" t="s">
        <v>1241</v>
      </c>
      <c r="B1118" s="1072">
        <v>21015238</v>
      </c>
      <c r="C1118" s="1072">
        <v>234</v>
      </c>
      <c r="D1118" s="1072">
        <v>215</v>
      </c>
      <c r="E1118" s="1072">
        <f t="shared" si="17"/>
        <v>449</v>
      </c>
    </row>
    <row r="1119" spans="1:5">
      <c r="A1119" s="1072" t="s">
        <v>1241</v>
      </c>
      <c r="B1119" s="1072">
        <v>21015258</v>
      </c>
      <c r="C1119" s="1072">
        <v>290</v>
      </c>
      <c r="D1119" s="1072">
        <v>184</v>
      </c>
      <c r="E1119" s="1072">
        <f t="shared" si="17"/>
        <v>474</v>
      </c>
    </row>
    <row r="1120" spans="1:5">
      <c r="A1120" s="1072" t="s">
        <v>1241</v>
      </c>
      <c r="B1120" s="1072">
        <v>21016123</v>
      </c>
      <c r="C1120" s="1072">
        <v>243</v>
      </c>
      <c r="D1120" s="1072">
        <v>25</v>
      </c>
      <c r="E1120" s="1072">
        <f t="shared" si="17"/>
        <v>268</v>
      </c>
    </row>
    <row r="1121" spans="1:5">
      <c r="A1121" s="1072" t="s">
        <v>1241</v>
      </c>
      <c r="B1121" s="1072">
        <v>21025238</v>
      </c>
      <c r="C1121" s="1072">
        <v>221</v>
      </c>
      <c r="D1121" s="1072">
        <v>211</v>
      </c>
      <c r="E1121" s="1072">
        <f t="shared" si="17"/>
        <v>432</v>
      </c>
    </row>
    <row r="1122" spans="1:5">
      <c r="A1122" s="1072" t="s">
        <v>1241</v>
      </c>
      <c r="B1122" s="1072">
        <v>21025258</v>
      </c>
      <c r="C1122" s="1072">
        <v>333</v>
      </c>
      <c r="D1122" s="1072">
        <v>164</v>
      </c>
      <c r="E1122" s="1072">
        <f t="shared" si="17"/>
        <v>497</v>
      </c>
    </row>
    <row r="1123" spans="1:5">
      <c r="A1123" s="1072" t="s">
        <v>1241</v>
      </c>
      <c r="B1123" s="1072">
        <v>21026123</v>
      </c>
      <c r="C1123" s="1072">
        <v>193</v>
      </c>
      <c r="D1123" s="1072">
        <v>102</v>
      </c>
      <c r="E1123" s="1072">
        <f t="shared" si="17"/>
        <v>295</v>
      </c>
    </row>
    <row r="1124" spans="1:5">
      <c r="A1124" s="1072" t="s">
        <v>1241</v>
      </c>
      <c r="B1124" s="1072">
        <v>21035238</v>
      </c>
      <c r="C1124" s="1072">
        <v>326</v>
      </c>
      <c r="D1124" s="1072">
        <v>323</v>
      </c>
      <c r="E1124" s="1072">
        <f t="shared" si="17"/>
        <v>649</v>
      </c>
    </row>
    <row r="1125" spans="1:5">
      <c r="A1125" s="1072" t="s">
        <v>1241</v>
      </c>
      <c r="B1125" s="1072">
        <v>21035258</v>
      </c>
      <c r="C1125" s="1072">
        <v>1055</v>
      </c>
      <c r="D1125" s="1072">
        <v>54</v>
      </c>
      <c r="E1125" s="1072">
        <f t="shared" si="17"/>
        <v>1109</v>
      </c>
    </row>
    <row r="1126" spans="1:5">
      <c r="A1126" s="1072" t="s">
        <v>1241</v>
      </c>
      <c r="B1126" s="1072">
        <v>21036123</v>
      </c>
      <c r="C1126" s="1072">
        <v>158</v>
      </c>
      <c r="D1126" s="1072">
        <v>27</v>
      </c>
      <c r="E1126" s="1072">
        <f t="shared" si="17"/>
        <v>185</v>
      </c>
    </row>
    <row r="1127" spans="1:5">
      <c r="A1127" s="1072" t="s">
        <v>1241</v>
      </c>
      <c r="B1127" s="1072">
        <v>21045238</v>
      </c>
      <c r="C1127" s="1072">
        <v>347</v>
      </c>
      <c r="D1127" s="1072">
        <v>286</v>
      </c>
      <c r="E1127" s="1072">
        <f t="shared" si="17"/>
        <v>633</v>
      </c>
    </row>
    <row r="1128" spans="1:5">
      <c r="A1128" s="1072" t="s">
        <v>1241</v>
      </c>
      <c r="B1128" s="1072">
        <v>21045258</v>
      </c>
      <c r="C1128" s="1072">
        <v>369</v>
      </c>
      <c r="D1128" s="1072">
        <v>268</v>
      </c>
      <c r="E1128" s="1072">
        <f t="shared" si="17"/>
        <v>637</v>
      </c>
    </row>
    <row r="1129" spans="1:5">
      <c r="A1129" s="1072" t="s">
        <v>1241</v>
      </c>
      <c r="B1129" s="1072">
        <v>21046123</v>
      </c>
      <c r="C1129" s="1072">
        <v>193</v>
      </c>
      <c r="D1129" s="1072">
        <v>107</v>
      </c>
      <c r="E1129" s="1072">
        <f t="shared" si="17"/>
        <v>300</v>
      </c>
    </row>
    <row r="1130" spans="1:5">
      <c r="A1130" s="1072" t="s">
        <v>1241</v>
      </c>
      <c r="B1130" s="1072">
        <v>21055238</v>
      </c>
      <c r="C1130" s="1072">
        <v>288</v>
      </c>
      <c r="D1130" s="1072">
        <v>271</v>
      </c>
      <c r="E1130" s="1072">
        <f t="shared" si="17"/>
        <v>559</v>
      </c>
    </row>
    <row r="1131" spans="1:5">
      <c r="A1131" s="1072" t="s">
        <v>1241</v>
      </c>
      <c r="B1131" s="1072">
        <v>21055258</v>
      </c>
      <c r="C1131" s="1072">
        <v>531</v>
      </c>
      <c r="D1131" s="1072">
        <v>470</v>
      </c>
      <c r="E1131" s="1072">
        <f t="shared" si="17"/>
        <v>1001</v>
      </c>
    </row>
    <row r="1132" spans="1:5">
      <c r="A1132" s="1072" t="s">
        <v>1241</v>
      </c>
      <c r="B1132" s="1072">
        <v>21056123</v>
      </c>
      <c r="C1132" s="1072">
        <v>220</v>
      </c>
      <c r="D1132" s="1072">
        <v>82</v>
      </c>
      <c r="E1132" s="1072">
        <f t="shared" si="17"/>
        <v>302</v>
      </c>
    </row>
    <row r="1133" spans="1:5">
      <c r="A1133" s="1072" t="s">
        <v>1241</v>
      </c>
      <c r="B1133" s="1072">
        <v>21065238</v>
      </c>
      <c r="C1133" s="1072">
        <v>546</v>
      </c>
      <c r="D1133" s="1072">
        <v>366</v>
      </c>
      <c r="E1133" s="1072">
        <f t="shared" si="17"/>
        <v>912</v>
      </c>
    </row>
    <row r="1134" spans="1:5">
      <c r="A1134" s="1072" t="s">
        <v>1241</v>
      </c>
      <c r="B1134" s="1072">
        <v>21065258</v>
      </c>
      <c r="C1134" s="1072">
        <v>353</v>
      </c>
      <c r="D1134" s="1072">
        <v>253</v>
      </c>
      <c r="E1134" s="1072">
        <f t="shared" si="17"/>
        <v>606</v>
      </c>
    </row>
    <row r="1135" spans="1:5">
      <c r="A1135" s="1072" t="s">
        <v>1241</v>
      </c>
      <c r="B1135" s="1072">
        <v>21075238</v>
      </c>
      <c r="C1135" s="1072">
        <v>521</v>
      </c>
      <c r="D1135" s="1072">
        <v>338</v>
      </c>
      <c r="E1135" s="1072">
        <f t="shared" si="17"/>
        <v>859</v>
      </c>
    </row>
    <row r="1136" spans="1:5">
      <c r="A1136" s="1072" t="s">
        <v>1241</v>
      </c>
      <c r="B1136" s="1072">
        <v>21075258</v>
      </c>
      <c r="C1136" s="1072">
        <v>884</v>
      </c>
      <c r="D1136" s="1072">
        <v>208</v>
      </c>
      <c r="E1136" s="1072">
        <f t="shared" si="17"/>
        <v>1092</v>
      </c>
    </row>
    <row r="1137" spans="1:5">
      <c r="A1137" s="1072" t="s">
        <v>1241</v>
      </c>
      <c r="B1137" s="1072">
        <v>21085238</v>
      </c>
      <c r="C1137" s="1072">
        <v>334</v>
      </c>
      <c r="D1137" s="1072">
        <v>278</v>
      </c>
      <c r="E1137" s="1072">
        <f t="shared" si="17"/>
        <v>612</v>
      </c>
    </row>
    <row r="1138" spans="1:5">
      <c r="A1138" s="1072" t="s">
        <v>1241</v>
      </c>
      <c r="B1138" s="1072">
        <v>21085258</v>
      </c>
      <c r="C1138" s="1072">
        <v>659</v>
      </c>
      <c r="D1138" s="1072">
        <v>226</v>
      </c>
      <c r="E1138" s="1072">
        <f t="shared" si="17"/>
        <v>885</v>
      </c>
    </row>
    <row r="1139" spans="1:5">
      <c r="A1139" s="1072" t="s">
        <v>1241</v>
      </c>
      <c r="B1139" s="1072">
        <v>21095238</v>
      </c>
      <c r="C1139" s="1072">
        <v>330</v>
      </c>
      <c r="D1139" s="1072">
        <v>322</v>
      </c>
      <c r="E1139" s="1072">
        <f t="shared" si="17"/>
        <v>652</v>
      </c>
    </row>
    <row r="1140" spans="1:5">
      <c r="A1140" s="1072" t="s">
        <v>1241</v>
      </c>
      <c r="B1140" s="1072">
        <v>21095258</v>
      </c>
      <c r="C1140" s="1072">
        <v>399</v>
      </c>
      <c r="D1140" s="1072">
        <v>338</v>
      </c>
      <c r="E1140" s="1072">
        <f t="shared" si="17"/>
        <v>737</v>
      </c>
    </row>
    <row r="1141" spans="1:5">
      <c r="A1141" s="1072" t="s">
        <v>1241</v>
      </c>
      <c r="B1141" s="1072">
        <v>21096123</v>
      </c>
      <c r="C1141" s="1072">
        <v>313</v>
      </c>
      <c r="D1141" s="1072">
        <v>95</v>
      </c>
      <c r="E1141" s="1072">
        <f t="shared" si="17"/>
        <v>408</v>
      </c>
    </row>
    <row r="1142" spans="1:5">
      <c r="A1142" s="1072" t="s">
        <v>1241</v>
      </c>
      <c r="B1142" s="1072">
        <v>21105238</v>
      </c>
      <c r="C1142" s="1072">
        <v>283</v>
      </c>
      <c r="D1142" s="1072">
        <v>272</v>
      </c>
      <c r="E1142" s="1072">
        <f t="shared" si="17"/>
        <v>555</v>
      </c>
    </row>
    <row r="1143" spans="1:5">
      <c r="A1143" s="1072" t="s">
        <v>1241</v>
      </c>
      <c r="B1143" s="1072">
        <v>21105258</v>
      </c>
      <c r="C1143" s="1072">
        <v>777</v>
      </c>
      <c r="D1143" s="1072">
        <v>277</v>
      </c>
      <c r="E1143" s="1072">
        <f t="shared" si="17"/>
        <v>1054</v>
      </c>
    </row>
    <row r="1144" spans="1:5">
      <c r="A1144" s="1072" t="s">
        <v>1241</v>
      </c>
      <c r="B1144" s="1072">
        <v>21106123</v>
      </c>
      <c r="C1144" s="1072">
        <v>261</v>
      </c>
      <c r="D1144" s="1072">
        <v>121</v>
      </c>
      <c r="E1144" s="1072">
        <f t="shared" si="17"/>
        <v>382</v>
      </c>
    </row>
    <row r="1145" spans="1:5">
      <c r="A1145" s="1072" t="s">
        <v>1241</v>
      </c>
      <c r="B1145" s="1072">
        <v>21115238</v>
      </c>
      <c r="C1145" s="1072">
        <v>740</v>
      </c>
      <c r="D1145" s="1072">
        <v>724</v>
      </c>
      <c r="E1145" s="1072">
        <f t="shared" si="17"/>
        <v>1464</v>
      </c>
    </row>
    <row r="1146" spans="1:5">
      <c r="A1146" s="1072" t="s">
        <v>1241</v>
      </c>
      <c r="B1146" s="1072">
        <v>21115258</v>
      </c>
      <c r="C1146" s="1072">
        <v>342</v>
      </c>
      <c r="D1146" s="1072">
        <v>202</v>
      </c>
      <c r="E1146" s="1072">
        <f t="shared" si="17"/>
        <v>544</v>
      </c>
    </row>
    <row r="1147" spans="1:5">
      <c r="A1147" s="1072" t="s">
        <v>1241</v>
      </c>
      <c r="B1147" s="1072">
        <v>21116123</v>
      </c>
      <c r="C1147" s="1072">
        <v>169</v>
      </c>
      <c r="D1147" s="1072">
        <v>25</v>
      </c>
      <c r="E1147" s="1072">
        <f t="shared" si="17"/>
        <v>194</v>
      </c>
    </row>
    <row r="1148" spans="1:5">
      <c r="A1148" s="1072" t="s">
        <v>1241</v>
      </c>
      <c r="B1148" s="1072">
        <v>21125238</v>
      </c>
      <c r="C1148" s="1072">
        <v>269</v>
      </c>
      <c r="D1148" s="1072">
        <v>262</v>
      </c>
      <c r="E1148" s="1072">
        <f t="shared" si="17"/>
        <v>531</v>
      </c>
    </row>
    <row r="1149" spans="1:5">
      <c r="A1149" s="1072" t="s">
        <v>1241</v>
      </c>
      <c r="B1149" s="1072">
        <v>21125258</v>
      </c>
      <c r="C1149" s="1072">
        <v>593</v>
      </c>
      <c r="D1149" s="1072">
        <v>196</v>
      </c>
      <c r="E1149" s="1072">
        <f t="shared" si="17"/>
        <v>789</v>
      </c>
    </row>
    <row r="1150" spans="1:5">
      <c r="A1150" s="1072" t="s">
        <v>1241</v>
      </c>
      <c r="B1150" s="1072">
        <v>21126123</v>
      </c>
      <c r="C1150" s="1072">
        <v>158</v>
      </c>
      <c r="D1150" s="1072">
        <v>14</v>
      </c>
      <c r="E1150" s="1072">
        <f t="shared" si="17"/>
        <v>172</v>
      </c>
    </row>
    <row r="1151" spans="1:5">
      <c r="A1151" s="1072" t="s">
        <v>1241</v>
      </c>
      <c r="B1151" s="1072">
        <v>21135238</v>
      </c>
      <c r="C1151" s="1072">
        <v>1021</v>
      </c>
      <c r="D1151" s="1072">
        <v>167</v>
      </c>
      <c r="E1151" s="1072">
        <f t="shared" si="17"/>
        <v>1188</v>
      </c>
    </row>
    <row r="1152" spans="1:5">
      <c r="A1152" s="1072" t="s">
        <v>1241</v>
      </c>
      <c r="B1152" s="1072">
        <v>21135258</v>
      </c>
      <c r="C1152" s="1072">
        <v>936</v>
      </c>
      <c r="D1152" s="1072">
        <v>76</v>
      </c>
      <c r="E1152" s="1072">
        <f t="shared" si="17"/>
        <v>1012</v>
      </c>
    </row>
    <row r="1153" spans="1:5">
      <c r="A1153" s="1072" t="s">
        <v>1241</v>
      </c>
      <c r="B1153" s="1072">
        <v>21136123</v>
      </c>
      <c r="C1153" s="1072">
        <v>231</v>
      </c>
      <c r="D1153" s="1072">
        <v>79</v>
      </c>
      <c r="E1153" s="1072">
        <f t="shared" si="17"/>
        <v>310</v>
      </c>
    </row>
    <row r="1154" spans="1:5">
      <c r="A1154" s="1072" t="s">
        <v>1241</v>
      </c>
      <c r="B1154" s="1072">
        <v>21145238</v>
      </c>
      <c r="C1154" s="1072">
        <v>1393</v>
      </c>
      <c r="D1154" s="1072">
        <v>256</v>
      </c>
      <c r="E1154" s="1072">
        <f t="shared" ref="E1154:E1217" si="18">C1154+D1154</f>
        <v>1649</v>
      </c>
    </row>
    <row r="1155" spans="1:5">
      <c r="A1155" s="1072" t="s">
        <v>1241</v>
      </c>
      <c r="B1155" s="1072">
        <v>21145258</v>
      </c>
      <c r="C1155" s="1072">
        <v>311</v>
      </c>
      <c r="D1155" s="1072">
        <v>302</v>
      </c>
      <c r="E1155" s="1072">
        <f t="shared" si="18"/>
        <v>613</v>
      </c>
    </row>
    <row r="1156" spans="1:5">
      <c r="A1156" s="1072" t="s">
        <v>1241</v>
      </c>
      <c r="B1156" s="1072">
        <v>21155238</v>
      </c>
      <c r="C1156" s="1072">
        <v>310</v>
      </c>
      <c r="D1156" s="1072">
        <v>304</v>
      </c>
      <c r="E1156" s="1072">
        <f t="shared" si="18"/>
        <v>614</v>
      </c>
    </row>
    <row r="1157" spans="1:5">
      <c r="A1157" s="1072" t="s">
        <v>1241</v>
      </c>
      <c r="B1157" s="1072">
        <v>21155258</v>
      </c>
      <c r="C1157" s="1072">
        <v>270</v>
      </c>
      <c r="D1157" s="1072">
        <v>239</v>
      </c>
      <c r="E1157" s="1072">
        <f t="shared" si="18"/>
        <v>509</v>
      </c>
    </row>
    <row r="1158" spans="1:5">
      <c r="A1158" s="1072" t="s">
        <v>1241</v>
      </c>
      <c r="B1158" s="1072">
        <v>21156123</v>
      </c>
      <c r="C1158" s="1072">
        <v>192</v>
      </c>
      <c r="D1158" s="1072">
        <v>34</v>
      </c>
      <c r="E1158" s="1072">
        <f t="shared" si="18"/>
        <v>226</v>
      </c>
    </row>
    <row r="1159" spans="1:5">
      <c r="A1159" s="1072" t="s">
        <v>1241</v>
      </c>
      <c r="B1159" s="1072">
        <v>21165238</v>
      </c>
      <c r="C1159" s="1072">
        <v>249</v>
      </c>
      <c r="D1159" s="1072">
        <v>245</v>
      </c>
      <c r="E1159" s="1072">
        <f t="shared" si="18"/>
        <v>494</v>
      </c>
    </row>
    <row r="1160" spans="1:5">
      <c r="A1160" s="1072" t="s">
        <v>1241</v>
      </c>
      <c r="B1160" s="1072">
        <v>21165258</v>
      </c>
      <c r="C1160" s="1072">
        <v>333</v>
      </c>
      <c r="D1160" s="1072">
        <v>316</v>
      </c>
      <c r="E1160" s="1072">
        <f t="shared" si="18"/>
        <v>649</v>
      </c>
    </row>
    <row r="1161" spans="1:5">
      <c r="A1161" s="1072" t="s">
        <v>1241</v>
      </c>
      <c r="B1161" s="1072">
        <v>21166123</v>
      </c>
      <c r="C1161" s="1072">
        <v>162</v>
      </c>
      <c r="D1161" s="1072">
        <v>50</v>
      </c>
      <c r="E1161" s="1072">
        <f t="shared" si="18"/>
        <v>212</v>
      </c>
    </row>
    <row r="1162" spans="1:5">
      <c r="A1162" s="1072" t="s">
        <v>1241</v>
      </c>
      <c r="B1162" s="1072">
        <v>21175238</v>
      </c>
      <c r="C1162" s="1072">
        <v>772</v>
      </c>
      <c r="D1162" s="1072">
        <v>573</v>
      </c>
      <c r="E1162" s="1072">
        <f t="shared" si="18"/>
        <v>1345</v>
      </c>
    </row>
    <row r="1163" spans="1:5">
      <c r="A1163" s="1072" t="s">
        <v>1241</v>
      </c>
      <c r="B1163" s="1072">
        <v>21175258</v>
      </c>
      <c r="C1163" s="1072">
        <v>287</v>
      </c>
      <c r="D1163" s="1072">
        <v>279</v>
      </c>
      <c r="E1163" s="1072">
        <f t="shared" si="18"/>
        <v>566</v>
      </c>
    </row>
    <row r="1164" spans="1:5">
      <c r="A1164" s="1072" t="s">
        <v>1241</v>
      </c>
      <c r="B1164" s="1072">
        <v>21176123</v>
      </c>
      <c r="C1164" s="1072">
        <v>225</v>
      </c>
      <c r="D1164" s="1072">
        <v>105</v>
      </c>
      <c r="E1164" s="1072">
        <f t="shared" si="18"/>
        <v>330</v>
      </c>
    </row>
    <row r="1165" spans="1:5">
      <c r="A1165" s="1072" t="s">
        <v>1241</v>
      </c>
      <c r="B1165" s="1072">
        <v>21185238</v>
      </c>
      <c r="C1165" s="1072">
        <v>350</v>
      </c>
      <c r="D1165" s="1072">
        <v>217</v>
      </c>
      <c r="E1165" s="1072">
        <f t="shared" si="18"/>
        <v>567</v>
      </c>
    </row>
    <row r="1166" spans="1:5">
      <c r="A1166" s="1072" t="s">
        <v>1241</v>
      </c>
      <c r="B1166" s="1072">
        <v>21185258</v>
      </c>
      <c r="C1166" s="1072">
        <v>331</v>
      </c>
      <c r="D1166" s="1072">
        <v>311</v>
      </c>
      <c r="E1166" s="1072">
        <f t="shared" si="18"/>
        <v>642</v>
      </c>
    </row>
    <row r="1167" spans="1:5">
      <c r="A1167" s="1072" t="s">
        <v>1241</v>
      </c>
      <c r="B1167" s="1072">
        <v>21186123</v>
      </c>
      <c r="C1167" s="1072">
        <v>206</v>
      </c>
      <c r="D1167" s="1072">
        <v>27</v>
      </c>
      <c r="E1167" s="1072">
        <f t="shared" si="18"/>
        <v>233</v>
      </c>
    </row>
    <row r="1168" spans="1:5">
      <c r="A1168" s="1072" t="s">
        <v>1241</v>
      </c>
      <c r="B1168" s="1072">
        <v>21195258</v>
      </c>
      <c r="C1168" s="1072">
        <v>321</v>
      </c>
      <c r="D1168" s="1072">
        <v>317</v>
      </c>
      <c r="E1168" s="1072">
        <f t="shared" si="18"/>
        <v>638</v>
      </c>
    </row>
    <row r="1169" spans="1:5">
      <c r="A1169" s="1072" t="s">
        <v>1241</v>
      </c>
      <c r="B1169" s="1072">
        <v>21205258</v>
      </c>
      <c r="C1169" s="1072">
        <v>340</v>
      </c>
      <c r="D1169" s="1072">
        <v>337</v>
      </c>
      <c r="E1169" s="1072">
        <f t="shared" si="18"/>
        <v>677</v>
      </c>
    </row>
    <row r="1170" spans="1:5">
      <c r="A1170" s="1072" t="s">
        <v>1241</v>
      </c>
      <c r="B1170" s="1072">
        <v>21215259</v>
      </c>
      <c r="C1170" s="1072">
        <v>433</v>
      </c>
      <c r="D1170" s="1072">
        <v>69</v>
      </c>
      <c r="E1170" s="1072">
        <f t="shared" si="18"/>
        <v>502</v>
      </c>
    </row>
    <row r="1171" spans="1:5">
      <c r="A1171" s="1072" t="s">
        <v>1241</v>
      </c>
      <c r="B1171" s="1072">
        <v>21225259</v>
      </c>
      <c r="C1171" s="1072">
        <v>401</v>
      </c>
      <c r="D1171" s="1072">
        <v>122</v>
      </c>
      <c r="E1171" s="1072">
        <f t="shared" si="18"/>
        <v>523</v>
      </c>
    </row>
    <row r="1172" spans="1:5">
      <c r="A1172" s="1072" t="s">
        <v>1241</v>
      </c>
      <c r="B1172" s="1072">
        <v>21235259</v>
      </c>
      <c r="C1172" s="1072">
        <v>534</v>
      </c>
      <c r="D1172" s="1072">
        <v>236</v>
      </c>
      <c r="E1172" s="1072">
        <f t="shared" si="18"/>
        <v>770</v>
      </c>
    </row>
    <row r="1173" spans="1:5">
      <c r="A1173" s="1072" t="s">
        <v>1241</v>
      </c>
      <c r="B1173" s="1072">
        <v>21245259</v>
      </c>
      <c r="C1173" s="1072">
        <v>81</v>
      </c>
      <c r="D1173" s="1072">
        <v>30</v>
      </c>
      <c r="E1173" s="1072">
        <f t="shared" si="18"/>
        <v>111</v>
      </c>
    </row>
    <row r="1174" spans="1:5">
      <c r="A1174" s="1072" t="s">
        <v>1241</v>
      </c>
      <c r="B1174" s="1072">
        <v>21255259</v>
      </c>
      <c r="C1174" s="1072">
        <v>307</v>
      </c>
      <c r="D1174" s="1072">
        <v>12</v>
      </c>
      <c r="E1174" s="1072">
        <f t="shared" si="18"/>
        <v>319</v>
      </c>
    </row>
    <row r="1175" spans="1:5">
      <c r="A1175" s="1072" t="s">
        <v>1241</v>
      </c>
      <c r="B1175" s="1072">
        <v>21265259</v>
      </c>
      <c r="C1175" s="1072">
        <v>198</v>
      </c>
      <c r="D1175" s="1072">
        <v>30</v>
      </c>
      <c r="E1175" s="1072">
        <f t="shared" si="18"/>
        <v>228</v>
      </c>
    </row>
    <row r="1176" spans="1:5">
      <c r="A1176" s="1072" t="s">
        <v>1241</v>
      </c>
      <c r="B1176" s="1072">
        <v>21275259</v>
      </c>
      <c r="C1176" s="1072">
        <v>263</v>
      </c>
      <c r="D1176" s="1072">
        <v>107</v>
      </c>
      <c r="E1176" s="1072">
        <f t="shared" si="18"/>
        <v>370</v>
      </c>
    </row>
    <row r="1177" spans="1:5">
      <c r="A1177" s="1072" t="s">
        <v>1241</v>
      </c>
      <c r="B1177" s="1072">
        <v>21285259</v>
      </c>
      <c r="C1177" s="1072">
        <v>235</v>
      </c>
      <c r="D1177" s="1072">
        <v>1</v>
      </c>
      <c r="E1177" s="1072">
        <f t="shared" si="18"/>
        <v>236</v>
      </c>
    </row>
    <row r="1178" spans="1:5">
      <c r="A1178" s="1072" t="s">
        <v>1241</v>
      </c>
      <c r="B1178" s="1072">
        <v>21315259</v>
      </c>
      <c r="C1178" s="1072">
        <v>238</v>
      </c>
      <c r="D1178" s="1072">
        <v>192</v>
      </c>
      <c r="E1178" s="1072">
        <f t="shared" si="18"/>
        <v>430</v>
      </c>
    </row>
    <row r="1179" spans="1:5">
      <c r="A1179" s="1072" t="s">
        <v>1241</v>
      </c>
      <c r="B1179" s="1072">
        <v>21325259</v>
      </c>
      <c r="C1179" s="1072">
        <v>228</v>
      </c>
      <c r="D1179" s="1072">
        <v>218</v>
      </c>
      <c r="E1179" s="1072">
        <f t="shared" si="18"/>
        <v>446</v>
      </c>
    </row>
    <row r="1180" spans="1:5">
      <c r="A1180" s="1072" t="s">
        <v>1241</v>
      </c>
      <c r="B1180" s="1072">
        <v>21335259</v>
      </c>
      <c r="C1180" s="1072">
        <v>251</v>
      </c>
      <c r="D1180" s="1072">
        <v>193</v>
      </c>
      <c r="E1180" s="1072">
        <f t="shared" si="18"/>
        <v>444</v>
      </c>
    </row>
    <row r="1181" spans="1:5">
      <c r="A1181" s="1072" t="s">
        <v>1241</v>
      </c>
      <c r="B1181" s="1072">
        <v>21345259</v>
      </c>
      <c r="C1181" s="1072">
        <v>245</v>
      </c>
      <c r="D1181" s="1072">
        <v>204</v>
      </c>
      <c r="E1181" s="1072">
        <f t="shared" si="18"/>
        <v>449</v>
      </c>
    </row>
    <row r="1182" spans="1:5">
      <c r="A1182" s="1072" t="s">
        <v>1241</v>
      </c>
      <c r="B1182" s="1072">
        <v>21355259</v>
      </c>
      <c r="C1182" s="1072">
        <v>232</v>
      </c>
      <c r="D1182" s="1072">
        <v>185</v>
      </c>
      <c r="E1182" s="1072">
        <f t="shared" si="18"/>
        <v>417</v>
      </c>
    </row>
    <row r="1183" spans="1:5">
      <c r="A1183" s="1072" t="s">
        <v>1241</v>
      </c>
      <c r="B1183" s="1072">
        <v>21365259</v>
      </c>
      <c r="C1183" s="1072">
        <v>248</v>
      </c>
      <c r="D1183" s="1072">
        <v>139</v>
      </c>
      <c r="E1183" s="1072">
        <f t="shared" si="18"/>
        <v>387</v>
      </c>
    </row>
    <row r="1184" spans="1:5">
      <c r="A1184" s="1072" t="s">
        <v>1241</v>
      </c>
      <c r="B1184" s="1072">
        <v>21375259</v>
      </c>
      <c r="C1184" s="1072">
        <v>247</v>
      </c>
      <c r="D1184" s="1072">
        <v>174</v>
      </c>
      <c r="E1184" s="1072">
        <f t="shared" si="18"/>
        <v>421</v>
      </c>
    </row>
    <row r="1185" spans="1:5">
      <c r="A1185" s="1072" t="s">
        <v>1241</v>
      </c>
      <c r="B1185" s="1072">
        <v>21385259</v>
      </c>
      <c r="C1185" s="1072">
        <v>330</v>
      </c>
      <c r="D1185" s="1072">
        <v>263</v>
      </c>
      <c r="E1185" s="1072">
        <f t="shared" si="18"/>
        <v>593</v>
      </c>
    </row>
    <row r="1186" spans="1:5">
      <c r="A1186" s="1072" t="s">
        <v>1241</v>
      </c>
      <c r="B1186" s="1072">
        <v>21395259</v>
      </c>
      <c r="C1186" s="1072">
        <v>222</v>
      </c>
      <c r="D1186" s="1072">
        <v>178</v>
      </c>
      <c r="E1186" s="1072">
        <f t="shared" si="18"/>
        <v>400</v>
      </c>
    </row>
    <row r="1187" spans="1:5">
      <c r="A1187" s="1072" t="s">
        <v>1241</v>
      </c>
      <c r="B1187" s="1072">
        <v>21405259</v>
      </c>
      <c r="C1187" s="1072">
        <v>192</v>
      </c>
      <c r="D1187" s="1072">
        <v>148</v>
      </c>
      <c r="E1187" s="1072">
        <f t="shared" si="18"/>
        <v>340</v>
      </c>
    </row>
    <row r="1188" spans="1:5">
      <c r="A1188" s="1072" t="s">
        <v>1241</v>
      </c>
      <c r="B1188" s="1072">
        <v>21415259</v>
      </c>
      <c r="C1188" s="1072">
        <v>233</v>
      </c>
      <c r="D1188" s="1072">
        <v>70</v>
      </c>
      <c r="E1188" s="1072">
        <f t="shared" si="18"/>
        <v>303</v>
      </c>
    </row>
    <row r="1189" spans="1:5">
      <c r="A1189" s="1072" t="s">
        <v>1241</v>
      </c>
      <c r="B1189" s="1072">
        <v>21425259</v>
      </c>
      <c r="C1189" s="1072">
        <v>300</v>
      </c>
      <c r="D1189" s="1072">
        <v>123</v>
      </c>
      <c r="E1189" s="1072">
        <f t="shared" si="18"/>
        <v>423</v>
      </c>
    </row>
    <row r="1190" spans="1:5">
      <c r="A1190" s="1072" t="s">
        <v>1241</v>
      </c>
      <c r="B1190" s="1072">
        <v>21435259</v>
      </c>
      <c r="C1190" s="1072">
        <v>318</v>
      </c>
      <c r="D1190" s="1072">
        <v>224</v>
      </c>
      <c r="E1190" s="1072">
        <f t="shared" si="18"/>
        <v>542</v>
      </c>
    </row>
    <row r="1191" spans="1:5">
      <c r="A1191" s="1072" t="s">
        <v>1241</v>
      </c>
      <c r="B1191" s="1072">
        <v>21445259</v>
      </c>
      <c r="C1191" s="1072">
        <v>280</v>
      </c>
      <c r="D1191" s="1072">
        <v>204</v>
      </c>
      <c r="E1191" s="1072">
        <f t="shared" si="18"/>
        <v>484</v>
      </c>
    </row>
    <row r="1192" spans="1:5">
      <c r="A1192" s="1072" t="s">
        <v>1241</v>
      </c>
      <c r="B1192" s="1072">
        <v>21455259</v>
      </c>
      <c r="C1192" s="1072">
        <v>434</v>
      </c>
      <c r="D1192" s="1072">
        <v>362</v>
      </c>
      <c r="E1192" s="1072">
        <f t="shared" si="18"/>
        <v>796</v>
      </c>
    </row>
    <row r="1193" spans="1:5">
      <c r="A1193" s="1072" t="s">
        <v>1241</v>
      </c>
      <c r="B1193" s="1072">
        <v>21465259</v>
      </c>
      <c r="C1193" s="1072">
        <v>289</v>
      </c>
      <c r="D1193" s="1072">
        <v>251</v>
      </c>
      <c r="E1193" s="1072">
        <f t="shared" si="18"/>
        <v>540</v>
      </c>
    </row>
    <row r="1194" spans="1:5">
      <c r="A1194" s="1072" t="s">
        <v>1241</v>
      </c>
      <c r="B1194" s="1072">
        <v>21475259</v>
      </c>
      <c r="C1194" s="1072">
        <v>289</v>
      </c>
      <c r="D1194" s="1072">
        <v>266</v>
      </c>
      <c r="E1194" s="1072">
        <f t="shared" si="18"/>
        <v>555</v>
      </c>
    </row>
    <row r="1195" spans="1:5">
      <c r="A1195" s="1072" t="s">
        <v>1241</v>
      </c>
      <c r="B1195" s="1072">
        <v>21485259</v>
      </c>
      <c r="C1195" s="1072">
        <v>636</v>
      </c>
      <c r="D1195" s="1072">
        <v>594</v>
      </c>
      <c r="E1195" s="1072">
        <f t="shared" si="18"/>
        <v>1230</v>
      </c>
    </row>
    <row r="1196" spans="1:5">
      <c r="A1196" s="1072" t="s">
        <v>1241</v>
      </c>
      <c r="B1196" s="1072">
        <v>21495259</v>
      </c>
      <c r="C1196" s="1072">
        <v>812</v>
      </c>
      <c r="D1196" s="1072">
        <v>676</v>
      </c>
      <c r="E1196" s="1072">
        <f t="shared" si="18"/>
        <v>1488</v>
      </c>
    </row>
    <row r="1197" spans="1:5">
      <c r="A1197" s="1072" t="s">
        <v>1241</v>
      </c>
      <c r="B1197" s="1072">
        <v>21505259</v>
      </c>
      <c r="C1197" s="1072">
        <v>336</v>
      </c>
      <c r="D1197" s="1072">
        <v>306</v>
      </c>
      <c r="E1197" s="1072">
        <f t="shared" si="18"/>
        <v>642</v>
      </c>
    </row>
    <row r="1198" spans="1:5">
      <c r="A1198" s="1072" t="s">
        <v>1241</v>
      </c>
      <c r="B1198" s="1072">
        <v>21515259</v>
      </c>
      <c r="C1198" s="1072">
        <v>548</v>
      </c>
      <c r="D1198" s="1072">
        <v>72</v>
      </c>
      <c r="E1198" s="1072">
        <f t="shared" si="18"/>
        <v>620</v>
      </c>
    </row>
    <row r="1199" spans="1:5">
      <c r="A1199" s="1072" t="s">
        <v>1241</v>
      </c>
      <c r="B1199" s="1072">
        <v>21525259</v>
      </c>
      <c r="C1199" s="1072">
        <v>1857</v>
      </c>
      <c r="D1199" s="1072">
        <v>746</v>
      </c>
      <c r="E1199" s="1072">
        <f t="shared" si="18"/>
        <v>2603</v>
      </c>
    </row>
    <row r="1200" spans="1:5">
      <c r="A1200" s="1072" t="s">
        <v>1242</v>
      </c>
      <c r="B1200" s="1072">
        <v>1004114</v>
      </c>
      <c r="C1200" s="1072">
        <v>102</v>
      </c>
      <c r="D1200" s="1072">
        <v>2</v>
      </c>
      <c r="E1200" s="1072">
        <f t="shared" si="18"/>
        <v>104</v>
      </c>
    </row>
    <row r="1201" spans="1:5">
      <c r="A1201" s="1072" t="s">
        <v>1242</v>
      </c>
      <c r="B1201" s="1072">
        <v>1014114</v>
      </c>
      <c r="C1201" s="1072">
        <v>377</v>
      </c>
      <c r="D1201" s="1072">
        <v>94</v>
      </c>
      <c r="E1201" s="1072">
        <f t="shared" si="18"/>
        <v>471</v>
      </c>
    </row>
    <row r="1202" spans="1:5">
      <c r="A1202" s="1072" t="s">
        <v>1242</v>
      </c>
      <c r="B1202" s="1072">
        <v>1024114</v>
      </c>
      <c r="C1202" s="1072">
        <v>352</v>
      </c>
      <c r="D1202" s="1072">
        <v>124</v>
      </c>
      <c r="E1202" s="1072">
        <f t="shared" si="18"/>
        <v>476</v>
      </c>
    </row>
    <row r="1203" spans="1:5">
      <c r="A1203" s="1072" t="s">
        <v>1242</v>
      </c>
      <c r="B1203" s="1072">
        <v>2004114</v>
      </c>
      <c r="C1203" s="1072">
        <v>321</v>
      </c>
      <c r="D1203" s="1072">
        <v>83</v>
      </c>
      <c r="E1203" s="1072">
        <f t="shared" si="18"/>
        <v>404</v>
      </c>
    </row>
    <row r="1204" spans="1:5">
      <c r="A1204" s="1072" t="s">
        <v>1242</v>
      </c>
      <c r="B1204" s="1072">
        <v>2014114</v>
      </c>
      <c r="C1204" s="1072">
        <v>235</v>
      </c>
      <c r="D1204" s="1072">
        <v>55</v>
      </c>
      <c r="E1204" s="1072">
        <f t="shared" si="18"/>
        <v>290</v>
      </c>
    </row>
    <row r="1205" spans="1:5">
      <c r="A1205" s="1072" t="s">
        <v>1242</v>
      </c>
      <c r="B1205" s="1072">
        <v>6004213</v>
      </c>
      <c r="C1205" s="1072">
        <v>50</v>
      </c>
      <c r="D1205" s="1072">
        <v>3</v>
      </c>
      <c r="E1205" s="1072">
        <f t="shared" si="18"/>
        <v>53</v>
      </c>
    </row>
    <row r="1206" spans="1:5">
      <c r="A1206" s="1072" t="s">
        <v>1242</v>
      </c>
      <c r="B1206" s="1072">
        <v>6014213</v>
      </c>
      <c r="C1206" s="1072">
        <v>312</v>
      </c>
      <c r="D1206" s="1072">
        <v>46</v>
      </c>
      <c r="E1206" s="1072">
        <f t="shared" si="18"/>
        <v>358</v>
      </c>
    </row>
    <row r="1207" spans="1:5">
      <c r="A1207" s="1072" t="s">
        <v>1242</v>
      </c>
      <c r="B1207" s="1072">
        <v>6024213</v>
      </c>
      <c r="C1207" s="1072">
        <v>219</v>
      </c>
      <c r="D1207" s="1072">
        <v>73</v>
      </c>
      <c r="E1207" s="1072">
        <f t="shared" si="18"/>
        <v>292</v>
      </c>
    </row>
    <row r="1208" spans="1:5">
      <c r="A1208" s="1072" t="s">
        <v>1242</v>
      </c>
      <c r="B1208" s="1072">
        <v>6034213</v>
      </c>
      <c r="C1208" s="1072">
        <v>354</v>
      </c>
      <c r="D1208" s="1072">
        <v>54</v>
      </c>
      <c r="E1208" s="1072">
        <f t="shared" si="18"/>
        <v>408</v>
      </c>
    </row>
    <row r="1209" spans="1:5">
      <c r="A1209" s="1072" t="s">
        <v>1242</v>
      </c>
      <c r="B1209" s="1072">
        <v>6044213</v>
      </c>
      <c r="C1209" s="1072">
        <v>236</v>
      </c>
      <c r="D1209" s="1072">
        <v>10</v>
      </c>
      <c r="E1209" s="1072">
        <f t="shared" si="18"/>
        <v>246</v>
      </c>
    </row>
    <row r="1210" spans="1:5">
      <c r="A1210" s="1072" t="s">
        <v>1242</v>
      </c>
      <c r="B1210" s="1072">
        <v>6054213</v>
      </c>
      <c r="C1210" s="1072">
        <v>503</v>
      </c>
      <c r="D1210" s="1072">
        <v>43</v>
      </c>
      <c r="E1210" s="1072">
        <f t="shared" si="18"/>
        <v>546</v>
      </c>
    </row>
    <row r="1211" spans="1:5">
      <c r="A1211" s="1072" t="s">
        <v>1242</v>
      </c>
      <c r="B1211" s="1072">
        <v>7014213</v>
      </c>
      <c r="C1211" s="1072">
        <v>866</v>
      </c>
      <c r="D1211" s="1072">
        <v>242</v>
      </c>
      <c r="E1211" s="1072">
        <f t="shared" si="18"/>
        <v>1108</v>
      </c>
    </row>
    <row r="1212" spans="1:5">
      <c r="A1212" s="1072" t="s">
        <v>1242</v>
      </c>
      <c r="B1212" s="1072">
        <v>7034213</v>
      </c>
      <c r="C1212" s="1072">
        <v>278</v>
      </c>
      <c r="D1212" s="1072">
        <v>1</v>
      </c>
      <c r="E1212" s="1072">
        <f t="shared" si="18"/>
        <v>279</v>
      </c>
    </row>
    <row r="1213" spans="1:5">
      <c r="A1213" s="1072" t="s">
        <v>1242</v>
      </c>
      <c r="B1213" s="1072">
        <v>7044213</v>
      </c>
      <c r="C1213" s="1072">
        <v>234</v>
      </c>
      <c r="D1213" s="1072">
        <v>1</v>
      </c>
      <c r="E1213" s="1072">
        <f t="shared" si="18"/>
        <v>235</v>
      </c>
    </row>
    <row r="1214" spans="1:5">
      <c r="A1214" s="1072" t="s">
        <v>1242</v>
      </c>
      <c r="B1214" s="1072">
        <v>7064213</v>
      </c>
      <c r="C1214" s="1072">
        <v>326</v>
      </c>
      <c r="D1214" s="1072">
        <v>4</v>
      </c>
      <c r="E1214" s="1072">
        <f t="shared" si="18"/>
        <v>330</v>
      </c>
    </row>
    <row r="1215" spans="1:5">
      <c r="A1215" s="1072" t="s">
        <v>1242</v>
      </c>
      <c r="B1215" s="1072">
        <v>11004114</v>
      </c>
      <c r="C1215" s="1072">
        <v>305</v>
      </c>
      <c r="D1215" s="1072">
        <v>69</v>
      </c>
      <c r="E1215" s="1072">
        <f t="shared" si="18"/>
        <v>374</v>
      </c>
    </row>
    <row r="1216" spans="1:5">
      <c r="A1216" s="1072" t="s">
        <v>1242</v>
      </c>
      <c r="B1216" s="1072">
        <v>11014114</v>
      </c>
      <c r="C1216" s="1072">
        <v>263</v>
      </c>
      <c r="D1216" s="1072">
        <v>106</v>
      </c>
      <c r="E1216" s="1072">
        <f t="shared" si="18"/>
        <v>369</v>
      </c>
    </row>
    <row r="1217" spans="1:5">
      <c r="A1217" s="1072" t="s">
        <v>1242</v>
      </c>
      <c r="B1217" s="1072">
        <v>11024114</v>
      </c>
      <c r="C1217" s="1072">
        <v>189</v>
      </c>
      <c r="D1217" s="1072">
        <v>48</v>
      </c>
      <c r="E1217" s="1072">
        <f t="shared" si="18"/>
        <v>237</v>
      </c>
    </row>
    <row r="1218" spans="1:5">
      <c r="A1218" s="1072" t="s">
        <v>1242</v>
      </c>
      <c r="B1218" s="1072">
        <v>16014114</v>
      </c>
      <c r="C1218" s="1072">
        <v>295</v>
      </c>
      <c r="D1218" s="1072">
        <v>54</v>
      </c>
      <c r="E1218" s="1072">
        <f t="shared" ref="E1218:E1281" si="19">C1218+D1218</f>
        <v>349</v>
      </c>
    </row>
    <row r="1219" spans="1:5">
      <c r="A1219" s="1072" t="s">
        <v>1242</v>
      </c>
      <c r="B1219" s="1072">
        <v>16024114</v>
      </c>
      <c r="C1219" s="1072">
        <v>322</v>
      </c>
      <c r="D1219" s="1072">
        <v>36</v>
      </c>
      <c r="E1219" s="1072">
        <f t="shared" si="19"/>
        <v>358</v>
      </c>
    </row>
    <row r="1220" spans="1:5">
      <c r="A1220" s="1072" t="s">
        <v>1242</v>
      </c>
      <c r="B1220" s="1072">
        <v>17004114</v>
      </c>
      <c r="C1220" s="1072">
        <v>128</v>
      </c>
      <c r="D1220" s="1072">
        <v>1</v>
      </c>
      <c r="E1220" s="1072">
        <f t="shared" si="19"/>
        <v>129</v>
      </c>
    </row>
    <row r="1221" spans="1:5">
      <c r="A1221" s="1072" t="s">
        <v>1242</v>
      </c>
      <c r="B1221" s="1072">
        <v>17014114</v>
      </c>
      <c r="C1221" s="1072">
        <v>230</v>
      </c>
      <c r="D1221" s="1072">
        <v>28</v>
      </c>
      <c r="E1221" s="1072">
        <f t="shared" si="19"/>
        <v>258</v>
      </c>
    </row>
    <row r="1222" spans="1:5">
      <c r="A1222" s="1072" t="s">
        <v>1243</v>
      </c>
      <c r="B1222" s="1072">
        <v>1012150</v>
      </c>
      <c r="C1222" s="1072">
        <v>266</v>
      </c>
      <c r="D1222" s="1072">
        <v>226</v>
      </c>
      <c r="E1222" s="1072">
        <f t="shared" si="19"/>
        <v>492</v>
      </c>
    </row>
    <row r="1223" spans="1:5">
      <c r="A1223" s="1072" t="s">
        <v>1243</v>
      </c>
      <c r="B1223" s="1072">
        <v>1022150</v>
      </c>
      <c r="C1223" s="1072">
        <v>268</v>
      </c>
      <c r="D1223" s="1072">
        <v>222</v>
      </c>
      <c r="E1223" s="1072">
        <f t="shared" si="19"/>
        <v>490</v>
      </c>
    </row>
    <row r="1224" spans="1:5">
      <c r="A1224" s="1072" t="s">
        <v>1243</v>
      </c>
      <c r="B1224" s="1072">
        <v>1032150</v>
      </c>
      <c r="C1224" s="1072">
        <v>195</v>
      </c>
      <c r="D1224" s="1072">
        <v>161</v>
      </c>
      <c r="E1224" s="1072">
        <f t="shared" si="19"/>
        <v>356</v>
      </c>
    </row>
    <row r="1225" spans="1:5">
      <c r="A1225" s="1072" t="s">
        <v>1243</v>
      </c>
      <c r="B1225" s="1072">
        <v>1042150</v>
      </c>
      <c r="C1225" s="1072">
        <v>268</v>
      </c>
      <c r="D1225" s="1072">
        <v>211</v>
      </c>
      <c r="E1225" s="1072">
        <f t="shared" si="19"/>
        <v>479</v>
      </c>
    </row>
    <row r="1226" spans="1:5">
      <c r="A1226" s="1072" t="s">
        <v>1243</v>
      </c>
      <c r="B1226" s="1072">
        <v>1052150</v>
      </c>
      <c r="C1226" s="1072">
        <v>382</v>
      </c>
      <c r="D1226" s="1072">
        <v>186</v>
      </c>
      <c r="E1226" s="1072">
        <f t="shared" si="19"/>
        <v>568</v>
      </c>
    </row>
    <row r="1227" spans="1:5">
      <c r="A1227" s="1072" t="s">
        <v>1243</v>
      </c>
      <c r="B1227" s="1072">
        <v>1062150</v>
      </c>
      <c r="C1227" s="1072">
        <v>299</v>
      </c>
      <c r="D1227" s="1072">
        <v>235</v>
      </c>
      <c r="E1227" s="1072">
        <f t="shared" si="19"/>
        <v>534</v>
      </c>
    </row>
    <row r="1228" spans="1:5">
      <c r="A1228" s="1072" t="s">
        <v>1243</v>
      </c>
      <c r="B1228" s="1072">
        <v>1072150</v>
      </c>
      <c r="C1228" s="1072">
        <v>196</v>
      </c>
      <c r="D1228" s="1072">
        <v>158</v>
      </c>
      <c r="E1228" s="1072">
        <f t="shared" si="19"/>
        <v>354</v>
      </c>
    </row>
    <row r="1229" spans="1:5">
      <c r="A1229" s="1072" t="s">
        <v>1243</v>
      </c>
      <c r="B1229" s="1072">
        <v>1082150</v>
      </c>
      <c r="C1229" s="1072">
        <v>534</v>
      </c>
      <c r="D1229" s="1072">
        <v>147</v>
      </c>
      <c r="E1229" s="1072">
        <f t="shared" si="19"/>
        <v>681</v>
      </c>
    </row>
    <row r="1230" spans="1:5">
      <c r="A1230" s="1072" t="s">
        <v>1243</v>
      </c>
      <c r="B1230" s="1072">
        <v>1092150</v>
      </c>
      <c r="C1230" s="1072">
        <v>300</v>
      </c>
      <c r="D1230" s="1072">
        <v>226</v>
      </c>
      <c r="E1230" s="1072">
        <f t="shared" si="19"/>
        <v>526</v>
      </c>
    </row>
    <row r="1231" spans="1:5">
      <c r="A1231" s="1072" t="s">
        <v>1243</v>
      </c>
      <c r="B1231" s="1072">
        <v>1102150</v>
      </c>
      <c r="C1231" s="1072">
        <v>380</v>
      </c>
      <c r="D1231" s="1072">
        <v>209</v>
      </c>
      <c r="E1231" s="1072">
        <f t="shared" si="19"/>
        <v>589</v>
      </c>
    </row>
    <row r="1232" spans="1:5">
      <c r="A1232" s="1072" t="s">
        <v>1243</v>
      </c>
      <c r="B1232" s="1072">
        <v>1112150</v>
      </c>
      <c r="C1232" s="1072">
        <v>335</v>
      </c>
      <c r="D1232" s="1072">
        <v>196</v>
      </c>
      <c r="E1232" s="1072">
        <f t="shared" si="19"/>
        <v>531</v>
      </c>
    </row>
    <row r="1233" spans="1:5">
      <c r="A1233" s="1072" t="s">
        <v>1243</v>
      </c>
      <c r="B1233" s="1072">
        <v>1122150</v>
      </c>
      <c r="C1233" s="1072">
        <v>381</v>
      </c>
      <c r="D1233" s="1072">
        <v>223</v>
      </c>
      <c r="E1233" s="1072">
        <f t="shared" si="19"/>
        <v>604</v>
      </c>
    </row>
    <row r="1234" spans="1:5">
      <c r="A1234" s="1072" t="s">
        <v>1243</v>
      </c>
      <c r="B1234" s="1072">
        <v>1132150</v>
      </c>
      <c r="C1234" s="1072">
        <v>308</v>
      </c>
      <c r="D1234" s="1072">
        <v>233</v>
      </c>
      <c r="E1234" s="1072">
        <f t="shared" si="19"/>
        <v>541</v>
      </c>
    </row>
    <row r="1235" spans="1:5">
      <c r="A1235" s="1072" t="s">
        <v>1243</v>
      </c>
      <c r="B1235" s="1072">
        <v>1142150</v>
      </c>
      <c r="C1235" s="1072">
        <v>264</v>
      </c>
      <c r="D1235" s="1072">
        <v>184</v>
      </c>
      <c r="E1235" s="1072">
        <f t="shared" si="19"/>
        <v>448</v>
      </c>
    </row>
    <row r="1236" spans="1:5">
      <c r="A1236" s="1072" t="s">
        <v>1243</v>
      </c>
      <c r="B1236" s="1072">
        <v>1152150</v>
      </c>
      <c r="C1236" s="1072">
        <v>784</v>
      </c>
      <c r="D1236" s="1072">
        <v>1</v>
      </c>
      <c r="E1236" s="1072">
        <f t="shared" si="19"/>
        <v>785</v>
      </c>
    </row>
    <row r="1237" spans="1:5">
      <c r="A1237" s="1072" t="s">
        <v>1243</v>
      </c>
      <c r="B1237" s="1072">
        <v>1162150</v>
      </c>
      <c r="C1237" s="1072">
        <v>744</v>
      </c>
      <c r="D1237" s="1072">
        <v>110</v>
      </c>
      <c r="E1237" s="1072">
        <f t="shared" si="19"/>
        <v>854</v>
      </c>
    </row>
    <row r="1238" spans="1:5">
      <c r="A1238" s="1072" t="s">
        <v>1243</v>
      </c>
      <c r="B1238" s="1072">
        <v>1172150</v>
      </c>
      <c r="C1238" s="1072">
        <v>334</v>
      </c>
      <c r="D1238" s="1072">
        <v>183</v>
      </c>
      <c r="E1238" s="1072">
        <f t="shared" si="19"/>
        <v>517</v>
      </c>
    </row>
    <row r="1239" spans="1:5">
      <c r="A1239" s="1072" t="s">
        <v>1243</v>
      </c>
      <c r="B1239" s="1072">
        <v>1182150</v>
      </c>
      <c r="C1239" s="1072">
        <v>338</v>
      </c>
      <c r="D1239" s="1072">
        <v>215</v>
      </c>
      <c r="E1239" s="1072">
        <f t="shared" si="19"/>
        <v>553</v>
      </c>
    </row>
    <row r="1240" spans="1:5">
      <c r="A1240" s="1072" t="s">
        <v>1243</v>
      </c>
      <c r="B1240" s="1072">
        <v>1192150</v>
      </c>
      <c r="C1240" s="1072">
        <v>343</v>
      </c>
      <c r="D1240" s="1072">
        <v>139</v>
      </c>
      <c r="E1240" s="1072">
        <f t="shared" si="19"/>
        <v>482</v>
      </c>
    </row>
    <row r="1241" spans="1:5">
      <c r="A1241" s="1072" t="s">
        <v>1243</v>
      </c>
      <c r="B1241" s="1072">
        <v>1202150</v>
      </c>
      <c r="C1241" s="1072">
        <v>700</v>
      </c>
      <c r="D1241" s="1072">
        <v>510</v>
      </c>
      <c r="E1241" s="1072">
        <f t="shared" si="19"/>
        <v>1210</v>
      </c>
    </row>
    <row r="1242" spans="1:5">
      <c r="A1242" s="1072" t="s">
        <v>1243</v>
      </c>
      <c r="B1242" s="1072">
        <v>1212150</v>
      </c>
      <c r="C1242" s="1072">
        <v>2526</v>
      </c>
      <c r="D1242" s="1072">
        <v>2092</v>
      </c>
      <c r="E1242" s="1072">
        <f t="shared" si="19"/>
        <v>4618</v>
      </c>
    </row>
    <row r="1243" spans="1:5">
      <c r="A1243" s="1072" t="s">
        <v>1243</v>
      </c>
      <c r="B1243" s="1072">
        <v>1222150</v>
      </c>
      <c r="C1243" s="1072">
        <v>300</v>
      </c>
      <c r="D1243" s="1072">
        <v>305</v>
      </c>
      <c r="E1243" s="1072">
        <f t="shared" si="19"/>
        <v>605</v>
      </c>
    </row>
    <row r="1244" spans="1:5">
      <c r="A1244" s="1072" t="s">
        <v>1243</v>
      </c>
      <c r="B1244" s="1072">
        <v>2002525</v>
      </c>
      <c r="C1244" s="1072">
        <v>1</v>
      </c>
      <c r="D1244" s="1072">
        <v>588</v>
      </c>
      <c r="E1244" s="1072">
        <f t="shared" si="19"/>
        <v>589</v>
      </c>
    </row>
    <row r="1245" spans="1:5">
      <c r="A1245" s="1072" t="s">
        <v>1243</v>
      </c>
      <c r="B1245" s="1072">
        <v>2012546</v>
      </c>
      <c r="C1245" s="1072">
        <v>4</v>
      </c>
      <c r="D1245" s="1072">
        <v>2341</v>
      </c>
      <c r="E1245" s="1072">
        <f t="shared" si="19"/>
        <v>2345</v>
      </c>
    </row>
    <row r="1246" spans="1:5">
      <c r="A1246" s="1072" t="s">
        <v>1243</v>
      </c>
      <c r="B1246" s="1072">
        <v>3002443</v>
      </c>
      <c r="C1246" s="1072">
        <v>1</v>
      </c>
      <c r="D1246" s="1072">
        <v>535</v>
      </c>
      <c r="E1246" s="1072">
        <f t="shared" si="19"/>
        <v>536</v>
      </c>
    </row>
    <row r="1247" spans="1:5">
      <c r="A1247" s="1072" t="s">
        <v>1243</v>
      </c>
      <c r="B1247" s="1072">
        <v>3012543</v>
      </c>
      <c r="C1247" s="1072">
        <v>8</v>
      </c>
      <c r="D1247" s="1072">
        <v>2275</v>
      </c>
      <c r="E1247" s="1072">
        <f t="shared" si="19"/>
        <v>2283</v>
      </c>
    </row>
    <row r="1248" spans="1:5">
      <c r="A1248" s="1072" t="s">
        <v>1243</v>
      </c>
      <c r="B1248" s="1072">
        <v>5002545</v>
      </c>
      <c r="C1248" s="1072">
        <v>1</v>
      </c>
      <c r="D1248" s="1072">
        <v>534</v>
      </c>
      <c r="E1248" s="1072">
        <f t="shared" si="19"/>
        <v>535</v>
      </c>
    </row>
    <row r="1249" spans="1:5">
      <c r="A1249" s="1072" t="s">
        <v>1243</v>
      </c>
      <c r="B1249" s="1072">
        <v>5164544</v>
      </c>
      <c r="C1249" s="1072">
        <v>1</v>
      </c>
      <c r="D1249" s="1072">
        <v>1</v>
      </c>
      <c r="E1249" s="1072">
        <f t="shared" si="19"/>
        <v>2</v>
      </c>
    </row>
    <row r="1250" spans="1:5">
      <c r="A1250" s="1072" t="s">
        <v>1243</v>
      </c>
      <c r="B1250" s="1072">
        <v>7002542</v>
      </c>
      <c r="C1250" s="1072">
        <v>7</v>
      </c>
      <c r="D1250" s="1072">
        <v>687</v>
      </c>
      <c r="E1250" s="1072">
        <f t="shared" si="19"/>
        <v>694</v>
      </c>
    </row>
    <row r="1251" spans="1:5">
      <c r="A1251" s="1072" t="s">
        <v>1243</v>
      </c>
      <c r="B1251" s="1072">
        <v>7032202</v>
      </c>
      <c r="C1251" s="1072">
        <v>485</v>
      </c>
      <c r="D1251" s="1072">
        <v>135</v>
      </c>
      <c r="E1251" s="1072">
        <f t="shared" si="19"/>
        <v>620</v>
      </c>
    </row>
    <row r="1252" spans="1:5">
      <c r="A1252" s="1072" t="s">
        <v>1243</v>
      </c>
      <c r="B1252" s="1072">
        <v>7042202</v>
      </c>
      <c r="C1252" s="1072">
        <v>156</v>
      </c>
      <c r="D1252" s="1072">
        <v>160</v>
      </c>
      <c r="E1252" s="1072">
        <f t="shared" si="19"/>
        <v>316</v>
      </c>
    </row>
    <row r="1253" spans="1:5">
      <c r="A1253" s="1072" t="s">
        <v>1243</v>
      </c>
      <c r="B1253" s="1072">
        <v>7052202</v>
      </c>
      <c r="C1253" s="1072">
        <v>245</v>
      </c>
      <c r="D1253" s="1072">
        <v>129</v>
      </c>
      <c r="E1253" s="1072">
        <f t="shared" si="19"/>
        <v>374</v>
      </c>
    </row>
    <row r="1254" spans="1:5">
      <c r="A1254" s="1072" t="s">
        <v>1243</v>
      </c>
      <c r="B1254" s="1072">
        <v>7062202</v>
      </c>
      <c r="C1254" s="1072">
        <v>586</v>
      </c>
      <c r="D1254" s="1072">
        <v>136</v>
      </c>
      <c r="E1254" s="1072">
        <f t="shared" si="19"/>
        <v>722</v>
      </c>
    </row>
    <row r="1255" spans="1:5">
      <c r="A1255" s="1072" t="s">
        <v>1243</v>
      </c>
      <c r="B1255" s="1072">
        <v>7083232</v>
      </c>
      <c r="C1255" s="1072">
        <v>1442</v>
      </c>
      <c r="D1255" s="1072">
        <v>509</v>
      </c>
      <c r="E1255" s="1072">
        <f t="shared" si="19"/>
        <v>1951</v>
      </c>
    </row>
    <row r="1256" spans="1:5">
      <c r="A1256" s="1072" t="s">
        <v>1243</v>
      </c>
      <c r="B1256" s="1072">
        <v>7093232</v>
      </c>
      <c r="C1256" s="1072">
        <v>1360</v>
      </c>
      <c r="D1256" s="1072">
        <v>982</v>
      </c>
      <c r="E1256" s="1072">
        <f t="shared" si="19"/>
        <v>2342</v>
      </c>
    </row>
    <row r="1257" spans="1:5">
      <c r="A1257" s="1072" t="s">
        <v>1243</v>
      </c>
      <c r="B1257" s="1072">
        <v>7103232</v>
      </c>
      <c r="C1257" s="1072">
        <v>50</v>
      </c>
      <c r="D1257" s="1072">
        <v>45</v>
      </c>
      <c r="E1257" s="1072">
        <f t="shared" si="19"/>
        <v>95</v>
      </c>
    </row>
    <row r="1258" spans="1:5">
      <c r="A1258" s="1072" t="s">
        <v>1243</v>
      </c>
      <c r="B1258" s="1072">
        <v>7143232</v>
      </c>
      <c r="C1258" s="1072">
        <v>3</v>
      </c>
      <c r="D1258" s="1072">
        <v>1</v>
      </c>
      <c r="E1258" s="1072">
        <f t="shared" si="19"/>
        <v>4</v>
      </c>
    </row>
    <row r="1259" spans="1:5">
      <c r="A1259" s="1072" t="s">
        <v>1243</v>
      </c>
      <c r="B1259" s="1072">
        <v>8043232</v>
      </c>
      <c r="C1259" s="1072">
        <v>1</v>
      </c>
      <c r="D1259" s="1072">
        <v>1</v>
      </c>
      <c r="E1259" s="1072">
        <f t="shared" si="19"/>
        <v>2</v>
      </c>
    </row>
    <row r="1260" spans="1:5">
      <c r="A1260" s="1072" t="s">
        <v>1243</v>
      </c>
      <c r="B1260" s="1072">
        <v>9002344</v>
      </c>
      <c r="C1260" s="1072">
        <v>2</v>
      </c>
      <c r="D1260" s="1072">
        <v>534</v>
      </c>
      <c r="E1260" s="1072">
        <f t="shared" si="19"/>
        <v>536</v>
      </c>
    </row>
    <row r="1261" spans="1:5">
      <c r="A1261" s="1072" t="s">
        <v>1243</v>
      </c>
      <c r="B1261" s="1072">
        <v>9012202</v>
      </c>
      <c r="C1261" s="1072">
        <v>383</v>
      </c>
      <c r="D1261" s="1072">
        <v>483</v>
      </c>
      <c r="E1261" s="1072">
        <f t="shared" si="19"/>
        <v>866</v>
      </c>
    </row>
    <row r="1262" spans="1:5">
      <c r="A1262" s="1072" t="s">
        <v>1243</v>
      </c>
      <c r="B1262" s="1072">
        <v>9022202</v>
      </c>
      <c r="C1262" s="1072">
        <v>1789</v>
      </c>
      <c r="D1262" s="1072">
        <v>3063</v>
      </c>
      <c r="E1262" s="1072">
        <f t="shared" si="19"/>
        <v>4852</v>
      </c>
    </row>
    <row r="1263" spans="1:5">
      <c r="A1263" s="1072" t="s">
        <v>1243</v>
      </c>
      <c r="B1263" s="1072">
        <v>9042202</v>
      </c>
      <c r="C1263" s="1072">
        <v>446</v>
      </c>
      <c r="D1263" s="1072">
        <v>393</v>
      </c>
      <c r="E1263" s="1072">
        <f t="shared" si="19"/>
        <v>839</v>
      </c>
    </row>
    <row r="1264" spans="1:5">
      <c r="A1264" s="1072" t="s">
        <v>1243</v>
      </c>
      <c r="B1264" s="1072">
        <v>9052202</v>
      </c>
      <c r="C1264" s="1072">
        <v>1070</v>
      </c>
      <c r="D1264" s="1072">
        <v>965</v>
      </c>
      <c r="E1264" s="1072">
        <f t="shared" si="19"/>
        <v>2035</v>
      </c>
    </row>
    <row r="1265" spans="1:5">
      <c r="A1265" s="1072" t="s">
        <v>1243</v>
      </c>
      <c r="B1265" s="1072">
        <v>9112252</v>
      </c>
      <c r="C1265" s="1072">
        <v>331</v>
      </c>
      <c r="D1265" s="1072">
        <v>158</v>
      </c>
      <c r="E1265" s="1072">
        <f t="shared" si="19"/>
        <v>489</v>
      </c>
    </row>
    <row r="1266" spans="1:5">
      <c r="A1266" s="1072" t="s">
        <v>1243</v>
      </c>
      <c r="B1266" s="1072">
        <v>9152252</v>
      </c>
      <c r="C1266" s="1072">
        <v>355</v>
      </c>
      <c r="D1266" s="1072">
        <v>62</v>
      </c>
      <c r="E1266" s="1072">
        <f t="shared" si="19"/>
        <v>417</v>
      </c>
    </row>
    <row r="1267" spans="1:5">
      <c r="A1267" s="1072" t="s">
        <v>1243</v>
      </c>
      <c r="B1267" s="1072">
        <v>9162252</v>
      </c>
      <c r="C1267" s="1072">
        <v>295</v>
      </c>
      <c r="D1267" s="1072">
        <v>169</v>
      </c>
      <c r="E1267" s="1072">
        <f t="shared" si="19"/>
        <v>464</v>
      </c>
    </row>
    <row r="1268" spans="1:5">
      <c r="A1268" s="1072" t="s">
        <v>1243</v>
      </c>
      <c r="B1268" s="1072">
        <v>9172252</v>
      </c>
      <c r="C1268" s="1072">
        <v>239</v>
      </c>
      <c r="D1268" s="1072">
        <v>28</v>
      </c>
      <c r="E1268" s="1072">
        <f t="shared" si="19"/>
        <v>267</v>
      </c>
    </row>
    <row r="1269" spans="1:5">
      <c r="A1269" s="1072" t="s">
        <v>1243</v>
      </c>
      <c r="B1269" s="1072">
        <v>9192257</v>
      </c>
      <c r="C1269" s="1072">
        <v>558</v>
      </c>
      <c r="D1269" s="1072">
        <v>1275</v>
      </c>
      <c r="E1269" s="1072">
        <f t="shared" si="19"/>
        <v>1833</v>
      </c>
    </row>
    <row r="1270" spans="1:5">
      <c r="A1270" s="1072" t="s">
        <v>1243</v>
      </c>
      <c r="B1270" s="1072">
        <v>9194547</v>
      </c>
      <c r="C1270" s="1072">
        <v>1</v>
      </c>
      <c r="D1270" s="1072">
        <v>1</v>
      </c>
      <c r="E1270" s="1072">
        <f t="shared" si="19"/>
        <v>2</v>
      </c>
    </row>
    <row r="1271" spans="1:5">
      <c r="A1271" s="1072" t="s">
        <v>1243</v>
      </c>
      <c r="B1271" s="1072">
        <v>9202257</v>
      </c>
      <c r="C1271" s="1072">
        <v>246</v>
      </c>
      <c r="D1271" s="1072">
        <v>94</v>
      </c>
      <c r="E1271" s="1072">
        <f t="shared" si="19"/>
        <v>340</v>
      </c>
    </row>
    <row r="1272" spans="1:5">
      <c r="A1272" s="1072" t="s">
        <v>1243</v>
      </c>
      <c r="B1272" s="1072">
        <v>9212252</v>
      </c>
      <c r="C1272" s="1072">
        <v>330</v>
      </c>
      <c r="D1272" s="1072">
        <v>13</v>
      </c>
      <c r="E1272" s="1072">
        <f t="shared" si="19"/>
        <v>343</v>
      </c>
    </row>
    <row r="1273" spans="1:5">
      <c r="A1273" s="1072" t="s">
        <v>1243</v>
      </c>
      <c r="B1273" s="1072">
        <v>9222252</v>
      </c>
      <c r="C1273" s="1072">
        <v>358</v>
      </c>
      <c r="D1273" s="1072">
        <v>209</v>
      </c>
      <c r="E1273" s="1072">
        <f t="shared" si="19"/>
        <v>567</v>
      </c>
    </row>
    <row r="1274" spans="1:5">
      <c r="A1274" s="1072" t="s">
        <v>1243</v>
      </c>
      <c r="B1274" s="1072">
        <v>9232252</v>
      </c>
      <c r="C1274" s="1072">
        <v>443</v>
      </c>
      <c r="D1274" s="1072">
        <v>282</v>
      </c>
      <c r="E1274" s="1072">
        <f t="shared" si="19"/>
        <v>725</v>
      </c>
    </row>
    <row r="1275" spans="1:5">
      <c r="A1275" s="1072" t="s">
        <v>1243</v>
      </c>
      <c r="B1275" s="1072">
        <v>9242252</v>
      </c>
      <c r="C1275" s="1072">
        <v>218</v>
      </c>
      <c r="D1275" s="1072">
        <v>94</v>
      </c>
      <c r="E1275" s="1072">
        <f t="shared" si="19"/>
        <v>312</v>
      </c>
    </row>
    <row r="1276" spans="1:5">
      <c r="A1276" s="1072" t="s">
        <v>1243</v>
      </c>
      <c r="B1276" s="1072">
        <v>9252252</v>
      </c>
      <c r="C1276" s="1072">
        <v>293</v>
      </c>
      <c r="D1276" s="1072">
        <v>152</v>
      </c>
      <c r="E1276" s="1072">
        <f t="shared" si="19"/>
        <v>445</v>
      </c>
    </row>
    <row r="1277" spans="1:5">
      <c r="A1277" s="1072" t="s">
        <v>1243</v>
      </c>
      <c r="B1277" s="1072">
        <v>9262252</v>
      </c>
      <c r="C1277" s="1072">
        <v>551</v>
      </c>
      <c r="D1277" s="1072">
        <v>433</v>
      </c>
      <c r="E1277" s="1072">
        <f t="shared" si="19"/>
        <v>984</v>
      </c>
    </row>
    <row r="1278" spans="1:5">
      <c r="A1278" s="1072" t="s">
        <v>1243</v>
      </c>
      <c r="B1278" s="1072">
        <v>9272252</v>
      </c>
      <c r="C1278" s="1072">
        <v>935</v>
      </c>
      <c r="D1278" s="1072">
        <v>909</v>
      </c>
      <c r="E1278" s="1072">
        <f t="shared" si="19"/>
        <v>1844</v>
      </c>
    </row>
    <row r="1279" spans="1:5">
      <c r="A1279" s="1072" t="s">
        <v>1243</v>
      </c>
      <c r="B1279" s="1072">
        <v>9282252</v>
      </c>
      <c r="C1279" s="1072">
        <v>567</v>
      </c>
      <c r="D1279" s="1072">
        <v>510</v>
      </c>
      <c r="E1279" s="1072">
        <f t="shared" si="19"/>
        <v>1077</v>
      </c>
    </row>
    <row r="1280" spans="1:5">
      <c r="A1280" s="1072" t="s">
        <v>1243</v>
      </c>
      <c r="B1280" s="1072">
        <v>10002344</v>
      </c>
      <c r="C1280" s="1072">
        <v>1</v>
      </c>
      <c r="D1280" s="1072">
        <v>600</v>
      </c>
      <c r="E1280" s="1072">
        <f t="shared" si="19"/>
        <v>601</v>
      </c>
    </row>
    <row r="1281" spans="1:5">
      <c r="A1281" s="1072" t="s">
        <v>1243</v>
      </c>
      <c r="B1281" s="1072">
        <v>10263334</v>
      </c>
      <c r="C1281" s="1072">
        <v>1</v>
      </c>
      <c r="D1281" s="1072">
        <v>1</v>
      </c>
      <c r="E1281" s="1072">
        <f t="shared" si="19"/>
        <v>2</v>
      </c>
    </row>
    <row r="1282" spans="1:5">
      <c r="A1282" s="1072" t="s">
        <v>1243</v>
      </c>
      <c r="B1282" s="1072">
        <v>11012257</v>
      </c>
      <c r="C1282" s="1072">
        <v>302</v>
      </c>
      <c r="D1282" s="1072">
        <v>210</v>
      </c>
      <c r="E1282" s="1072">
        <f t="shared" ref="E1282:E1345" si="20">C1282+D1282</f>
        <v>512</v>
      </c>
    </row>
    <row r="1283" spans="1:5">
      <c r="A1283" s="1072" t="s">
        <v>1243</v>
      </c>
      <c r="B1283" s="1072">
        <v>11022257</v>
      </c>
      <c r="C1283" s="1072">
        <v>320</v>
      </c>
      <c r="D1283" s="1072">
        <v>225</v>
      </c>
      <c r="E1283" s="1072">
        <f t="shared" si="20"/>
        <v>545</v>
      </c>
    </row>
    <row r="1284" spans="1:5">
      <c r="A1284" s="1072" t="s">
        <v>1243</v>
      </c>
      <c r="B1284" s="1072">
        <v>11032257</v>
      </c>
      <c r="C1284" s="1072">
        <v>501</v>
      </c>
      <c r="D1284" s="1072">
        <v>294</v>
      </c>
      <c r="E1284" s="1072">
        <f t="shared" si="20"/>
        <v>795</v>
      </c>
    </row>
    <row r="1285" spans="1:5">
      <c r="A1285" s="1072" t="s">
        <v>1243</v>
      </c>
      <c r="B1285" s="1072">
        <v>11042257</v>
      </c>
      <c r="C1285" s="1072">
        <v>689</v>
      </c>
      <c r="D1285" s="1072">
        <v>194</v>
      </c>
      <c r="E1285" s="1072">
        <f t="shared" si="20"/>
        <v>883</v>
      </c>
    </row>
    <row r="1286" spans="1:5">
      <c r="A1286" s="1072" t="s">
        <v>1243</v>
      </c>
      <c r="B1286" s="1072">
        <v>11052257</v>
      </c>
      <c r="C1286" s="1072">
        <v>599</v>
      </c>
      <c r="D1286" s="1072">
        <v>139</v>
      </c>
      <c r="E1286" s="1072">
        <f t="shared" si="20"/>
        <v>738</v>
      </c>
    </row>
    <row r="1287" spans="1:5">
      <c r="A1287" s="1072" t="s">
        <v>1243</v>
      </c>
      <c r="B1287" s="1072">
        <v>11062257</v>
      </c>
      <c r="C1287" s="1072">
        <v>585</v>
      </c>
      <c r="D1287" s="1072">
        <v>270</v>
      </c>
      <c r="E1287" s="1072">
        <f t="shared" si="20"/>
        <v>855</v>
      </c>
    </row>
    <row r="1288" spans="1:5">
      <c r="A1288" s="1072" t="s">
        <v>1243</v>
      </c>
      <c r="B1288" s="1072">
        <v>11072257</v>
      </c>
      <c r="C1288" s="1072">
        <v>313</v>
      </c>
      <c r="D1288" s="1072">
        <v>146</v>
      </c>
      <c r="E1288" s="1072">
        <f t="shared" si="20"/>
        <v>459</v>
      </c>
    </row>
    <row r="1289" spans="1:5">
      <c r="A1289" s="1072" t="s">
        <v>1243</v>
      </c>
      <c r="B1289" s="1072">
        <v>11082257</v>
      </c>
      <c r="C1289" s="1072">
        <v>697</v>
      </c>
      <c r="D1289" s="1072">
        <v>726</v>
      </c>
      <c r="E1289" s="1072">
        <f t="shared" si="20"/>
        <v>1423</v>
      </c>
    </row>
    <row r="1290" spans="1:5">
      <c r="A1290" s="1072" t="s">
        <v>1243</v>
      </c>
      <c r="B1290" s="1072">
        <v>11092257</v>
      </c>
      <c r="C1290" s="1072">
        <v>590</v>
      </c>
      <c r="D1290" s="1072">
        <v>280</v>
      </c>
      <c r="E1290" s="1072">
        <f t="shared" si="20"/>
        <v>870</v>
      </c>
    </row>
    <row r="1291" spans="1:5">
      <c r="A1291" s="1072" t="s">
        <v>1243</v>
      </c>
      <c r="B1291" s="1072">
        <v>11102257</v>
      </c>
      <c r="C1291" s="1072">
        <v>391</v>
      </c>
      <c r="D1291" s="1072">
        <v>348</v>
      </c>
      <c r="E1291" s="1072">
        <f t="shared" si="20"/>
        <v>739</v>
      </c>
    </row>
    <row r="1292" spans="1:5">
      <c r="A1292" s="1072" t="s">
        <v>1243</v>
      </c>
      <c r="B1292" s="1072">
        <v>11112257</v>
      </c>
      <c r="C1292" s="1072">
        <v>793</v>
      </c>
      <c r="D1292" s="1072">
        <v>440</v>
      </c>
      <c r="E1292" s="1072">
        <f t="shared" si="20"/>
        <v>1233</v>
      </c>
    </row>
    <row r="1293" spans="1:5">
      <c r="A1293" s="1072" t="s">
        <v>1243</v>
      </c>
      <c r="B1293" s="1072">
        <v>11122257</v>
      </c>
      <c r="C1293" s="1072">
        <v>252</v>
      </c>
      <c r="D1293" s="1072">
        <v>150</v>
      </c>
      <c r="E1293" s="1072">
        <f t="shared" si="20"/>
        <v>402</v>
      </c>
    </row>
    <row r="1294" spans="1:5">
      <c r="A1294" s="1072" t="s">
        <v>1243</v>
      </c>
      <c r="B1294" s="1072">
        <v>11132257</v>
      </c>
      <c r="C1294" s="1072">
        <v>426</v>
      </c>
      <c r="D1294" s="1072">
        <v>247</v>
      </c>
      <c r="E1294" s="1072">
        <f t="shared" si="20"/>
        <v>673</v>
      </c>
    </row>
    <row r="1295" spans="1:5">
      <c r="A1295" s="1072" t="s">
        <v>1243</v>
      </c>
      <c r="B1295" s="1072">
        <v>11142257</v>
      </c>
      <c r="C1295" s="1072">
        <v>346</v>
      </c>
      <c r="D1295" s="1072">
        <v>196</v>
      </c>
      <c r="E1295" s="1072">
        <f t="shared" si="20"/>
        <v>542</v>
      </c>
    </row>
    <row r="1296" spans="1:5">
      <c r="A1296" s="1072" t="s">
        <v>1243</v>
      </c>
      <c r="B1296" s="1072">
        <v>11152257</v>
      </c>
      <c r="C1296" s="1072">
        <v>232</v>
      </c>
      <c r="D1296" s="1072">
        <v>145</v>
      </c>
      <c r="E1296" s="1072">
        <f t="shared" si="20"/>
        <v>377</v>
      </c>
    </row>
    <row r="1297" spans="1:5">
      <c r="A1297" s="1072" t="s">
        <v>1243</v>
      </c>
      <c r="B1297" s="1072">
        <v>11162257</v>
      </c>
      <c r="C1297" s="1072">
        <v>1138</v>
      </c>
      <c r="D1297" s="1072">
        <v>1132</v>
      </c>
      <c r="E1297" s="1072">
        <f t="shared" si="20"/>
        <v>2270</v>
      </c>
    </row>
    <row r="1298" spans="1:5">
      <c r="A1298" s="1072" t="s">
        <v>1243</v>
      </c>
      <c r="B1298" s="1072">
        <v>11172257</v>
      </c>
      <c r="C1298" s="1072">
        <v>824</v>
      </c>
      <c r="D1298" s="1072">
        <v>340</v>
      </c>
      <c r="E1298" s="1072">
        <f t="shared" si="20"/>
        <v>1164</v>
      </c>
    </row>
    <row r="1299" spans="1:5">
      <c r="A1299" s="1072" t="s">
        <v>1243</v>
      </c>
      <c r="B1299" s="1072">
        <v>11182257</v>
      </c>
      <c r="C1299" s="1072">
        <v>390</v>
      </c>
      <c r="D1299" s="1072">
        <v>282</v>
      </c>
      <c r="E1299" s="1072">
        <f t="shared" si="20"/>
        <v>672</v>
      </c>
    </row>
    <row r="1300" spans="1:5">
      <c r="A1300" s="1072" t="s">
        <v>1243</v>
      </c>
      <c r="B1300" s="1072">
        <v>11192257</v>
      </c>
      <c r="C1300" s="1072">
        <v>582</v>
      </c>
      <c r="D1300" s="1072">
        <v>579</v>
      </c>
      <c r="E1300" s="1072">
        <f t="shared" si="20"/>
        <v>1161</v>
      </c>
    </row>
    <row r="1301" spans="1:5">
      <c r="A1301" s="1072" t="s">
        <v>1243</v>
      </c>
      <c r="B1301" s="1072">
        <v>11202257</v>
      </c>
      <c r="C1301" s="1072">
        <v>648</v>
      </c>
      <c r="D1301" s="1072">
        <v>558</v>
      </c>
      <c r="E1301" s="1072">
        <f t="shared" si="20"/>
        <v>1206</v>
      </c>
    </row>
    <row r="1302" spans="1:5">
      <c r="A1302" s="1072" t="s">
        <v>1243</v>
      </c>
      <c r="B1302" s="1072">
        <v>11212257</v>
      </c>
      <c r="C1302" s="1072">
        <v>329</v>
      </c>
      <c r="D1302" s="1072">
        <v>370</v>
      </c>
      <c r="E1302" s="1072">
        <f t="shared" si="20"/>
        <v>699</v>
      </c>
    </row>
    <row r="1303" spans="1:5">
      <c r="A1303" s="1072" t="s">
        <v>1243</v>
      </c>
      <c r="B1303" s="1072">
        <v>11222257</v>
      </c>
      <c r="C1303" s="1072">
        <v>435</v>
      </c>
      <c r="D1303" s="1072">
        <v>192</v>
      </c>
      <c r="E1303" s="1072">
        <f t="shared" si="20"/>
        <v>627</v>
      </c>
    </row>
    <row r="1304" spans="1:5">
      <c r="A1304" s="1072" t="s">
        <v>1243</v>
      </c>
      <c r="B1304" s="1072">
        <v>11232257</v>
      </c>
      <c r="C1304" s="1072">
        <v>218</v>
      </c>
      <c r="D1304" s="1072">
        <v>318</v>
      </c>
      <c r="E1304" s="1072">
        <f t="shared" si="20"/>
        <v>536</v>
      </c>
    </row>
    <row r="1305" spans="1:5">
      <c r="A1305" s="1072" t="s">
        <v>1243</v>
      </c>
      <c r="B1305" s="1072">
        <v>11242257</v>
      </c>
      <c r="C1305" s="1072">
        <v>665</v>
      </c>
      <c r="D1305" s="1072">
        <v>494</v>
      </c>
      <c r="E1305" s="1072">
        <f t="shared" si="20"/>
        <v>1159</v>
      </c>
    </row>
    <row r="1306" spans="1:5">
      <c r="A1306" s="1072" t="s">
        <v>1243</v>
      </c>
      <c r="B1306" s="1072">
        <v>11252257</v>
      </c>
      <c r="C1306" s="1072">
        <v>1065</v>
      </c>
      <c r="D1306" s="1072">
        <v>372</v>
      </c>
      <c r="E1306" s="1072">
        <f t="shared" si="20"/>
        <v>1437</v>
      </c>
    </row>
    <row r="1307" spans="1:5">
      <c r="A1307" s="1072" t="s">
        <v>1243</v>
      </c>
      <c r="B1307" s="1072">
        <v>11262257</v>
      </c>
      <c r="C1307" s="1072">
        <v>763</v>
      </c>
      <c r="D1307" s="1072">
        <v>333</v>
      </c>
      <c r="E1307" s="1072">
        <f t="shared" si="20"/>
        <v>1096</v>
      </c>
    </row>
    <row r="1308" spans="1:5">
      <c r="A1308" s="1072" t="s">
        <v>1243</v>
      </c>
      <c r="B1308" s="1072">
        <v>11272257</v>
      </c>
      <c r="C1308" s="1072">
        <v>456</v>
      </c>
      <c r="D1308" s="1072">
        <v>278</v>
      </c>
      <c r="E1308" s="1072">
        <f t="shared" si="20"/>
        <v>734</v>
      </c>
    </row>
    <row r="1309" spans="1:5">
      <c r="A1309" s="1072" t="s">
        <v>1243</v>
      </c>
      <c r="B1309" s="1072">
        <v>11282257</v>
      </c>
      <c r="C1309" s="1072">
        <v>424</v>
      </c>
      <c r="D1309" s="1072">
        <v>304</v>
      </c>
      <c r="E1309" s="1072">
        <f t="shared" si="20"/>
        <v>728</v>
      </c>
    </row>
    <row r="1310" spans="1:5">
      <c r="A1310" s="1072" t="s">
        <v>1243</v>
      </c>
      <c r="B1310" s="1072">
        <v>11292257</v>
      </c>
      <c r="C1310" s="1072">
        <v>675</v>
      </c>
      <c r="D1310" s="1072">
        <v>445</v>
      </c>
      <c r="E1310" s="1072">
        <f t="shared" si="20"/>
        <v>1120</v>
      </c>
    </row>
    <row r="1311" spans="1:5">
      <c r="A1311" s="1072" t="s">
        <v>1243</v>
      </c>
      <c r="B1311" s="1072">
        <v>11302257</v>
      </c>
      <c r="C1311" s="1072">
        <v>352</v>
      </c>
      <c r="D1311" s="1072">
        <v>198</v>
      </c>
      <c r="E1311" s="1072">
        <f t="shared" si="20"/>
        <v>550</v>
      </c>
    </row>
    <row r="1312" spans="1:5">
      <c r="A1312" s="1072" t="s">
        <v>1243</v>
      </c>
      <c r="B1312" s="1072">
        <v>11312257</v>
      </c>
      <c r="C1312" s="1072">
        <v>488</v>
      </c>
      <c r="D1312" s="1072">
        <v>265</v>
      </c>
      <c r="E1312" s="1072">
        <f t="shared" si="20"/>
        <v>753</v>
      </c>
    </row>
    <row r="1313" spans="1:5">
      <c r="A1313" s="1072" t="s">
        <v>1243</v>
      </c>
      <c r="B1313" s="1072">
        <v>11322257</v>
      </c>
      <c r="C1313" s="1072">
        <v>443</v>
      </c>
      <c r="D1313" s="1072">
        <v>83</v>
      </c>
      <c r="E1313" s="1072">
        <f t="shared" si="20"/>
        <v>526</v>
      </c>
    </row>
    <row r="1314" spans="1:5">
      <c r="A1314" s="1072" t="s">
        <v>1243</v>
      </c>
      <c r="B1314" s="1072">
        <v>11332257</v>
      </c>
      <c r="C1314" s="1072">
        <v>1169</v>
      </c>
      <c r="D1314" s="1072">
        <v>291</v>
      </c>
      <c r="E1314" s="1072">
        <f t="shared" si="20"/>
        <v>1460</v>
      </c>
    </row>
    <row r="1315" spans="1:5">
      <c r="A1315" s="1072" t="s">
        <v>1243</v>
      </c>
      <c r="B1315" s="1072">
        <v>11342257</v>
      </c>
      <c r="C1315" s="1072">
        <v>286</v>
      </c>
      <c r="D1315" s="1072">
        <v>215</v>
      </c>
      <c r="E1315" s="1072">
        <f t="shared" si="20"/>
        <v>501</v>
      </c>
    </row>
    <row r="1316" spans="1:5">
      <c r="A1316" s="1072" t="s">
        <v>1243</v>
      </c>
      <c r="B1316" s="1072">
        <v>11352257</v>
      </c>
      <c r="C1316" s="1072">
        <v>247</v>
      </c>
      <c r="D1316" s="1072">
        <v>246</v>
      </c>
      <c r="E1316" s="1072">
        <f t="shared" si="20"/>
        <v>493</v>
      </c>
    </row>
    <row r="1317" spans="1:5">
      <c r="A1317" s="1072" t="s">
        <v>1243</v>
      </c>
      <c r="B1317" s="1072">
        <v>11362257</v>
      </c>
      <c r="C1317" s="1072">
        <v>293</v>
      </c>
      <c r="D1317" s="1072">
        <v>136</v>
      </c>
      <c r="E1317" s="1072">
        <f t="shared" si="20"/>
        <v>429</v>
      </c>
    </row>
    <row r="1318" spans="1:5">
      <c r="A1318" s="1072" t="s">
        <v>1243</v>
      </c>
      <c r="B1318" s="1072">
        <v>11372257</v>
      </c>
      <c r="C1318" s="1072">
        <v>306</v>
      </c>
      <c r="D1318" s="1072">
        <v>155</v>
      </c>
      <c r="E1318" s="1072">
        <f t="shared" si="20"/>
        <v>461</v>
      </c>
    </row>
    <row r="1319" spans="1:5">
      <c r="A1319" s="1072" t="s">
        <v>1243</v>
      </c>
      <c r="B1319" s="1072">
        <v>12002643</v>
      </c>
      <c r="C1319" s="1072">
        <v>2</v>
      </c>
      <c r="D1319" s="1072">
        <v>665</v>
      </c>
      <c r="E1319" s="1072">
        <f t="shared" si="20"/>
        <v>667</v>
      </c>
    </row>
    <row r="1320" spans="1:5">
      <c r="A1320" s="1072" t="s">
        <v>1243</v>
      </c>
      <c r="B1320" s="1072">
        <v>12002645</v>
      </c>
      <c r="C1320" s="1072">
        <v>13</v>
      </c>
      <c r="D1320" s="1072">
        <v>1224</v>
      </c>
      <c r="E1320" s="1072">
        <f t="shared" si="20"/>
        <v>1237</v>
      </c>
    </row>
    <row r="1321" spans="1:5">
      <c r="A1321" s="1072" t="s">
        <v>1243</v>
      </c>
      <c r="B1321" s="1072">
        <v>12012257</v>
      </c>
      <c r="C1321" s="1072">
        <v>267</v>
      </c>
      <c r="D1321" s="1072">
        <v>232</v>
      </c>
      <c r="E1321" s="1072">
        <f t="shared" si="20"/>
        <v>499</v>
      </c>
    </row>
    <row r="1322" spans="1:5">
      <c r="A1322" s="1072" t="s">
        <v>1243</v>
      </c>
      <c r="B1322" s="1072">
        <v>12022257</v>
      </c>
      <c r="C1322" s="1072">
        <v>270</v>
      </c>
      <c r="D1322" s="1072">
        <v>251</v>
      </c>
      <c r="E1322" s="1072">
        <f t="shared" si="20"/>
        <v>521</v>
      </c>
    </row>
    <row r="1323" spans="1:5">
      <c r="A1323" s="1072" t="s">
        <v>1243</v>
      </c>
      <c r="B1323" s="1072">
        <v>12032257</v>
      </c>
      <c r="C1323" s="1072">
        <v>308</v>
      </c>
      <c r="D1323" s="1072">
        <v>227</v>
      </c>
      <c r="E1323" s="1072">
        <f t="shared" si="20"/>
        <v>535</v>
      </c>
    </row>
    <row r="1324" spans="1:5">
      <c r="A1324" s="1072" t="s">
        <v>1243</v>
      </c>
      <c r="B1324" s="1072">
        <v>12042257</v>
      </c>
      <c r="C1324" s="1072">
        <v>265</v>
      </c>
      <c r="D1324" s="1072">
        <v>222</v>
      </c>
      <c r="E1324" s="1072">
        <f t="shared" si="20"/>
        <v>487</v>
      </c>
    </row>
    <row r="1325" spans="1:5">
      <c r="A1325" s="1072" t="s">
        <v>1243</v>
      </c>
      <c r="B1325" s="1072">
        <v>12052257</v>
      </c>
      <c r="C1325" s="1072">
        <v>274</v>
      </c>
      <c r="D1325" s="1072">
        <v>231</v>
      </c>
      <c r="E1325" s="1072">
        <f t="shared" si="20"/>
        <v>505</v>
      </c>
    </row>
    <row r="1326" spans="1:5">
      <c r="A1326" s="1072" t="s">
        <v>1243</v>
      </c>
      <c r="B1326" s="1072">
        <v>12062257</v>
      </c>
      <c r="C1326" s="1072">
        <v>470</v>
      </c>
      <c r="D1326" s="1072">
        <v>325</v>
      </c>
      <c r="E1326" s="1072">
        <f t="shared" si="20"/>
        <v>795</v>
      </c>
    </row>
    <row r="1327" spans="1:5">
      <c r="A1327" s="1072" t="s">
        <v>1243</v>
      </c>
      <c r="B1327" s="1072">
        <v>12072257</v>
      </c>
      <c r="C1327" s="1072">
        <v>265</v>
      </c>
      <c r="D1327" s="1072">
        <v>158</v>
      </c>
      <c r="E1327" s="1072">
        <f t="shared" si="20"/>
        <v>423</v>
      </c>
    </row>
    <row r="1328" spans="1:5">
      <c r="A1328" s="1072" t="s">
        <v>1243</v>
      </c>
      <c r="B1328" s="1072">
        <v>12082257</v>
      </c>
      <c r="C1328" s="1072">
        <v>441</v>
      </c>
      <c r="D1328" s="1072">
        <v>424</v>
      </c>
      <c r="E1328" s="1072">
        <f t="shared" si="20"/>
        <v>865</v>
      </c>
    </row>
    <row r="1329" spans="1:5">
      <c r="A1329" s="1072" t="s">
        <v>1243</v>
      </c>
      <c r="B1329" s="1072">
        <v>12092257</v>
      </c>
      <c r="C1329" s="1072">
        <v>1012</v>
      </c>
      <c r="D1329" s="1072">
        <v>85</v>
      </c>
      <c r="E1329" s="1072">
        <f t="shared" si="20"/>
        <v>1097</v>
      </c>
    </row>
    <row r="1330" spans="1:5">
      <c r="A1330" s="1072" t="s">
        <v>1243</v>
      </c>
      <c r="B1330" s="1072">
        <v>12102257</v>
      </c>
      <c r="C1330" s="1072">
        <v>505</v>
      </c>
      <c r="D1330" s="1072">
        <v>348</v>
      </c>
      <c r="E1330" s="1072">
        <f t="shared" si="20"/>
        <v>853</v>
      </c>
    </row>
    <row r="1331" spans="1:5">
      <c r="A1331" s="1072" t="s">
        <v>1243</v>
      </c>
      <c r="B1331" s="1072">
        <v>12112257</v>
      </c>
      <c r="C1331" s="1072">
        <v>562</v>
      </c>
      <c r="D1331" s="1072">
        <v>230</v>
      </c>
      <c r="E1331" s="1072">
        <f t="shared" si="20"/>
        <v>792</v>
      </c>
    </row>
    <row r="1332" spans="1:5">
      <c r="A1332" s="1072" t="s">
        <v>1243</v>
      </c>
      <c r="B1332" s="1072">
        <v>12122257</v>
      </c>
      <c r="C1332" s="1072">
        <v>459</v>
      </c>
      <c r="D1332" s="1072">
        <v>199</v>
      </c>
      <c r="E1332" s="1072">
        <f t="shared" si="20"/>
        <v>658</v>
      </c>
    </row>
    <row r="1333" spans="1:5">
      <c r="A1333" s="1072" t="s">
        <v>1243</v>
      </c>
      <c r="B1333" s="1072">
        <v>12132257</v>
      </c>
      <c r="C1333" s="1072">
        <v>513</v>
      </c>
      <c r="D1333" s="1072">
        <v>388</v>
      </c>
      <c r="E1333" s="1072">
        <f t="shared" si="20"/>
        <v>901</v>
      </c>
    </row>
    <row r="1334" spans="1:5">
      <c r="A1334" s="1072" t="s">
        <v>1243</v>
      </c>
      <c r="B1334" s="1072">
        <v>12142257</v>
      </c>
      <c r="C1334" s="1072">
        <v>504</v>
      </c>
      <c r="D1334" s="1072">
        <v>138</v>
      </c>
      <c r="E1334" s="1072">
        <f t="shared" si="20"/>
        <v>642</v>
      </c>
    </row>
    <row r="1335" spans="1:5">
      <c r="A1335" s="1072" t="s">
        <v>1243</v>
      </c>
      <c r="B1335" s="1072">
        <v>12152257</v>
      </c>
      <c r="C1335" s="1072">
        <v>101</v>
      </c>
      <c r="D1335" s="1072">
        <v>48</v>
      </c>
      <c r="E1335" s="1072">
        <f t="shared" si="20"/>
        <v>149</v>
      </c>
    </row>
    <row r="1336" spans="1:5">
      <c r="A1336" s="1072" t="s">
        <v>1243</v>
      </c>
      <c r="B1336" s="1072">
        <v>12162257</v>
      </c>
      <c r="C1336" s="1072">
        <v>1276</v>
      </c>
      <c r="D1336" s="1072">
        <v>262</v>
      </c>
      <c r="E1336" s="1072">
        <f t="shared" si="20"/>
        <v>1538</v>
      </c>
    </row>
    <row r="1337" spans="1:5">
      <c r="A1337" s="1072" t="s">
        <v>1243</v>
      </c>
      <c r="B1337" s="1072">
        <v>12172257</v>
      </c>
      <c r="C1337" s="1072">
        <v>411</v>
      </c>
      <c r="D1337" s="1072">
        <v>215</v>
      </c>
      <c r="E1337" s="1072">
        <f t="shared" si="20"/>
        <v>626</v>
      </c>
    </row>
    <row r="1338" spans="1:5">
      <c r="A1338" s="1072" t="s">
        <v>1243</v>
      </c>
      <c r="B1338" s="1072">
        <v>12182255</v>
      </c>
      <c r="C1338" s="1072">
        <v>283</v>
      </c>
      <c r="D1338" s="1072">
        <v>56</v>
      </c>
      <c r="E1338" s="1072">
        <f t="shared" si="20"/>
        <v>339</v>
      </c>
    </row>
    <row r="1339" spans="1:5">
      <c r="A1339" s="1072" t="s">
        <v>1243</v>
      </c>
      <c r="B1339" s="1072">
        <v>12192255</v>
      </c>
      <c r="C1339" s="1072">
        <v>392</v>
      </c>
      <c r="D1339" s="1072">
        <v>154</v>
      </c>
      <c r="E1339" s="1072">
        <f t="shared" si="20"/>
        <v>546</v>
      </c>
    </row>
    <row r="1340" spans="1:5">
      <c r="A1340" s="1072" t="s">
        <v>1243</v>
      </c>
      <c r="B1340" s="1072">
        <v>12202255</v>
      </c>
      <c r="C1340" s="1072">
        <v>423</v>
      </c>
      <c r="D1340" s="1072">
        <v>1</v>
      </c>
      <c r="E1340" s="1072">
        <f t="shared" si="20"/>
        <v>424</v>
      </c>
    </row>
    <row r="1341" spans="1:5">
      <c r="A1341" s="1072" t="s">
        <v>1243</v>
      </c>
      <c r="B1341" s="1072">
        <v>12212255</v>
      </c>
      <c r="C1341" s="1072">
        <v>709</v>
      </c>
      <c r="D1341" s="1072">
        <v>491</v>
      </c>
      <c r="E1341" s="1072">
        <f t="shared" si="20"/>
        <v>1200</v>
      </c>
    </row>
    <row r="1342" spans="1:5">
      <c r="A1342" s="1072" t="s">
        <v>1243</v>
      </c>
      <c r="B1342" s="1072">
        <v>12222255</v>
      </c>
      <c r="C1342" s="1072">
        <v>821</v>
      </c>
      <c r="D1342" s="1072">
        <v>674</v>
      </c>
      <c r="E1342" s="1072">
        <f t="shared" si="20"/>
        <v>1495</v>
      </c>
    </row>
    <row r="1343" spans="1:5">
      <c r="A1343" s="1072" t="s">
        <v>1243</v>
      </c>
      <c r="B1343" s="1072">
        <v>12232255</v>
      </c>
      <c r="C1343" s="1072">
        <v>657</v>
      </c>
      <c r="D1343" s="1072">
        <v>541</v>
      </c>
      <c r="E1343" s="1072">
        <f t="shared" si="20"/>
        <v>1198</v>
      </c>
    </row>
    <row r="1344" spans="1:5">
      <c r="A1344" s="1072" t="s">
        <v>1243</v>
      </c>
      <c r="B1344" s="1072">
        <v>12242255</v>
      </c>
      <c r="C1344" s="1072">
        <v>405</v>
      </c>
      <c r="D1344" s="1072">
        <v>277</v>
      </c>
      <c r="E1344" s="1072">
        <f t="shared" si="20"/>
        <v>682</v>
      </c>
    </row>
    <row r="1345" spans="1:5">
      <c r="A1345" s="1072" t="s">
        <v>1243</v>
      </c>
      <c r="B1345" s="1072">
        <v>12252255</v>
      </c>
      <c r="C1345" s="1072">
        <v>894</v>
      </c>
      <c r="D1345" s="1072">
        <v>700</v>
      </c>
      <c r="E1345" s="1072">
        <f t="shared" si="20"/>
        <v>1594</v>
      </c>
    </row>
    <row r="1346" spans="1:5">
      <c r="A1346" s="1072" t="s">
        <v>1243</v>
      </c>
      <c r="B1346" s="1072">
        <v>12262255</v>
      </c>
      <c r="C1346" s="1072">
        <v>392</v>
      </c>
      <c r="D1346" s="1072">
        <v>115</v>
      </c>
      <c r="E1346" s="1072">
        <f t="shared" ref="E1346:E1409" si="21">C1346+D1346</f>
        <v>507</v>
      </c>
    </row>
    <row r="1347" spans="1:5">
      <c r="A1347" s="1072" t="s">
        <v>1243</v>
      </c>
      <c r="B1347" s="1072">
        <v>12272255</v>
      </c>
      <c r="C1347" s="1072">
        <v>227</v>
      </c>
      <c r="D1347" s="1072">
        <v>191</v>
      </c>
      <c r="E1347" s="1072">
        <f t="shared" si="21"/>
        <v>418</v>
      </c>
    </row>
    <row r="1348" spans="1:5">
      <c r="A1348" s="1072" t="s">
        <v>1243</v>
      </c>
      <c r="B1348" s="1072">
        <v>12292255</v>
      </c>
      <c r="C1348" s="1072">
        <v>323</v>
      </c>
      <c r="D1348" s="1072">
        <v>230</v>
      </c>
      <c r="E1348" s="1072">
        <f t="shared" si="21"/>
        <v>553</v>
      </c>
    </row>
    <row r="1349" spans="1:5">
      <c r="A1349" s="1072" t="s">
        <v>1243</v>
      </c>
      <c r="B1349" s="1072">
        <v>12302255</v>
      </c>
      <c r="C1349" s="1072">
        <v>350</v>
      </c>
      <c r="D1349" s="1072">
        <v>42</v>
      </c>
      <c r="E1349" s="1072">
        <f t="shared" si="21"/>
        <v>392</v>
      </c>
    </row>
    <row r="1350" spans="1:5">
      <c r="A1350" s="1072" t="s">
        <v>1243</v>
      </c>
      <c r="B1350" s="1072">
        <v>12312255</v>
      </c>
      <c r="C1350" s="1072">
        <v>417</v>
      </c>
      <c r="D1350" s="1072">
        <v>412</v>
      </c>
      <c r="E1350" s="1072">
        <f t="shared" si="21"/>
        <v>829</v>
      </c>
    </row>
    <row r="1351" spans="1:5">
      <c r="A1351" s="1072" t="s">
        <v>1243</v>
      </c>
      <c r="B1351" s="1072">
        <v>12322255</v>
      </c>
      <c r="C1351" s="1072">
        <v>386</v>
      </c>
      <c r="D1351" s="1072">
        <v>60</v>
      </c>
      <c r="E1351" s="1072">
        <f t="shared" si="21"/>
        <v>446</v>
      </c>
    </row>
    <row r="1352" spans="1:5">
      <c r="A1352" s="1072" t="s">
        <v>1243</v>
      </c>
      <c r="B1352" s="1072">
        <v>12332255</v>
      </c>
      <c r="C1352" s="1072">
        <v>305</v>
      </c>
      <c r="D1352" s="1072">
        <v>1</v>
      </c>
      <c r="E1352" s="1072">
        <f t="shared" si="21"/>
        <v>306</v>
      </c>
    </row>
    <row r="1353" spans="1:5">
      <c r="A1353" s="1072" t="s">
        <v>1243</v>
      </c>
      <c r="B1353" s="1072">
        <v>12352255</v>
      </c>
      <c r="C1353" s="1072">
        <v>295</v>
      </c>
      <c r="D1353" s="1072">
        <v>1</v>
      </c>
      <c r="E1353" s="1072">
        <f t="shared" si="21"/>
        <v>296</v>
      </c>
    </row>
    <row r="1354" spans="1:5">
      <c r="A1354" s="1072" t="s">
        <v>1243</v>
      </c>
      <c r="B1354" s="1072">
        <v>12362255</v>
      </c>
      <c r="C1354" s="1072">
        <v>357</v>
      </c>
      <c r="D1354" s="1072">
        <v>46</v>
      </c>
      <c r="E1354" s="1072">
        <f t="shared" si="21"/>
        <v>403</v>
      </c>
    </row>
    <row r="1355" spans="1:5">
      <c r="A1355" s="1072" t="s">
        <v>1243</v>
      </c>
      <c r="B1355" s="1072">
        <v>12372255</v>
      </c>
      <c r="C1355" s="1072">
        <v>266</v>
      </c>
      <c r="D1355" s="1072">
        <v>71</v>
      </c>
      <c r="E1355" s="1072">
        <f t="shared" si="21"/>
        <v>337</v>
      </c>
    </row>
    <row r="1356" spans="1:5">
      <c r="A1356" s="1072" t="s">
        <v>1243</v>
      </c>
      <c r="B1356" s="1072">
        <v>13012140</v>
      </c>
      <c r="C1356" s="1072">
        <v>157</v>
      </c>
      <c r="D1356" s="1072">
        <v>217</v>
      </c>
      <c r="E1356" s="1072">
        <f t="shared" si="21"/>
        <v>374</v>
      </c>
    </row>
    <row r="1357" spans="1:5">
      <c r="A1357" s="1072" t="s">
        <v>1243</v>
      </c>
      <c r="B1357" s="1072">
        <v>13022140</v>
      </c>
      <c r="C1357" s="1072">
        <v>82</v>
      </c>
      <c r="D1357" s="1072">
        <v>422</v>
      </c>
      <c r="E1357" s="1072">
        <f t="shared" si="21"/>
        <v>504</v>
      </c>
    </row>
    <row r="1358" spans="1:5">
      <c r="A1358" s="1072" t="s">
        <v>1243</v>
      </c>
      <c r="B1358" s="1072">
        <v>13032140</v>
      </c>
      <c r="C1358" s="1072">
        <v>148</v>
      </c>
      <c r="D1358" s="1072">
        <v>194</v>
      </c>
      <c r="E1358" s="1072">
        <f t="shared" si="21"/>
        <v>342</v>
      </c>
    </row>
    <row r="1359" spans="1:5">
      <c r="A1359" s="1072" t="s">
        <v>1243</v>
      </c>
      <c r="B1359" s="1072">
        <v>13032252</v>
      </c>
      <c r="C1359" s="1072">
        <v>96</v>
      </c>
      <c r="D1359" s="1072">
        <v>4</v>
      </c>
      <c r="E1359" s="1072">
        <f t="shared" si="21"/>
        <v>100</v>
      </c>
    </row>
    <row r="1360" spans="1:5">
      <c r="A1360" s="1072" t="s">
        <v>1243</v>
      </c>
      <c r="B1360" s="1072">
        <v>13042140</v>
      </c>
      <c r="C1360" s="1072">
        <v>52</v>
      </c>
      <c r="D1360" s="1072">
        <v>381</v>
      </c>
      <c r="E1360" s="1072">
        <f t="shared" si="21"/>
        <v>433</v>
      </c>
    </row>
    <row r="1361" spans="1:5">
      <c r="A1361" s="1072" t="s">
        <v>1243</v>
      </c>
      <c r="B1361" s="1072">
        <v>13042252</v>
      </c>
      <c r="C1361" s="1072">
        <v>77</v>
      </c>
      <c r="D1361" s="1072">
        <v>3</v>
      </c>
      <c r="E1361" s="1072">
        <f t="shared" si="21"/>
        <v>80</v>
      </c>
    </row>
    <row r="1362" spans="1:5">
      <c r="A1362" s="1072" t="s">
        <v>1243</v>
      </c>
      <c r="B1362" s="1072">
        <v>13052533</v>
      </c>
      <c r="C1362" s="1072">
        <v>5</v>
      </c>
      <c r="D1362" s="1072">
        <v>623</v>
      </c>
      <c r="E1362" s="1072">
        <f t="shared" si="21"/>
        <v>628</v>
      </c>
    </row>
    <row r="1363" spans="1:5">
      <c r="A1363" s="1072" t="s">
        <v>1243</v>
      </c>
      <c r="B1363" s="1072">
        <v>14002543</v>
      </c>
      <c r="C1363" s="1072">
        <v>1</v>
      </c>
      <c r="D1363" s="1072">
        <v>471</v>
      </c>
      <c r="E1363" s="1072">
        <f t="shared" si="21"/>
        <v>472</v>
      </c>
    </row>
    <row r="1364" spans="1:5">
      <c r="A1364" s="1072" t="s">
        <v>1243</v>
      </c>
      <c r="B1364" s="1072">
        <v>14012140</v>
      </c>
      <c r="C1364" s="1072">
        <v>235</v>
      </c>
      <c r="D1364" s="1072">
        <v>234</v>
      </c>
      <c r="E1364" s="1072">
        <f t="shared" si="21"/>
        <v>469</v>
      </c>
    </row>
    <row r="1365" spans="1:5">
      <c r="A1365" s="1072" t="s">
        <v>1243</v>
      </c>
      <c r="B1365" s="1072">
        <v>14022140</v>
      </c>
      <c r="C1365" s="1072">
        <v>267</v>
      </c>
      <c r="D1365" s="1072">
        <v>201</v>
      </c>
      <c r="E1365" s="1072">
        <f t="shared" si="21"/>
        <v>468</v>
      </c>
    </row>
    <row r="1366" spans="1:5">
      <c r="A1366" s="1072" t="s">
        <v>1243</v>
      </c>
      <c r="B1366" s="1072">
        <v>14022252</v>
      </c>
      <c r="C1366" s="1072">
        <v>350</v>
      </c>
      <c r="D1366" s="1072">
        <v>325</v>
      </c>
      <c r="E1366" s="1072">
        <f t="shared" si="21"/>
        <v>675</v>
      </c>
    </row>
    <row r="1367" spans="1:5">
      <c r="A1367" s="1072" t="s">
        <v>1243</v>
      </c>
      <c r="B1367" s="1072">
        <v>15012140</v>
      </c>
      <c r="C1367" s="1072">
        <v>256</v>
      </c>
      <c r="D1367" s="1072">
        <v>190</v>
      </c>
      <c r="E1367" s="1072">
        <f t="shared" si="21"/>
        <v>446</v>
      </c>
    </row>
    <row r="1368" spans="1:5">
      <c r="A1368" s="1072" t="s">
        <v>1243</v>
      </c>
      <c r="B1368" s="1072">
        <v>15012256</v>
      </c>
      <c r="C1368" s="1072">
        <v>9</v>
      </c>
      <c r="D1368" s="1072">
        <v>973</v>
      </c>
      <c r="E1368" s="1072">
        <f t="shared" si="21"/>
        <v>982</v>
      </c>
    </row>
    <row r="1369" spans="1:5">
      <c r="A1369" s="1072" t="s">
        <v>1243</v>
      </c>
      <c r="B1369" s="1072">
        <v>15022140</v>
      </c>
      <c r="C1369" s="1072">
        <v>246</v>
      </c>
      <c r="D1369" s="1072">
        <v>222</v>
      </c>
      <c r="E1369" s="1072">
        <f t="shared" si="21"/>
        <v>468</v>
      </c>
    </row>
    <row r="1370" spans="1:5">
      <c r="A1370" s="1072" t="s">
        <v>1243</v>
      </c>
      <c r="B1370" s="1072">
        <v>15032140</v>
      </c>
      <c r="C1370" s="1072">
        <v>266</v>
      </c>
      <c r="D1370" s="1072">
        <v>228</v>
      </c>
      <c r="E1370" s="1072">
        <f t="shared" si="21"/>
        <v>494</v>
      </c>
    </row>
    <row r="1371" spans="1:5">
      <c r="A1371" s="1072" t="s">
        <v>1243</v>
      </c>
      <c r="B1371" s="1072">
        <v>15032256</v>
      </c>
      <c r="C1371" s="1072">
        <v>249</v>
      </c>
      <c r="D1371" s="1072">
        <v>147</v>
      </c>
      <c r="E1371" s="1072">
        <f t="shared" si="21"/>
        <v>396</v>
      </c>
    </row>
    <row r="1372" spans="1:5">
      <c r="A1372" s="1072" t="s">
        <v>1243</v>
      </c>
      <c r="B1372" s="1072">
        <v>15042140</v>
      </c>
      <c r="C1372" s="1072">
        <v>279</v>
      </c>
      <c r="D1372" s="1072">
        <v>195</v>
      </c>
      <c r="E1372" s="1072">
        <f t="shared" si="21"/>
        <v>474</v>
      </c>
    </row>
    <row r="1373" spans="1:5">
      <c r="A1373" s="1072" t="s">
        <v>1243</v>
      </c>
      <c r="B1373" s="1072">
        <v>15042256</v>
      </c>
      <c r="C1373" s="1072">
        <v>296</v>
      </c>
      <c r="D1373" s="1072">
        <v>244</v>
      </c>
      <c r="E1373" s="1072">
        <f t="shared" si="21"/>
        <v>540</v>
      </c>
    </row>
    <row r="1374" spans="1:5">
      <c r="A1374" s="1072" t="s">
        <v>1243</v>
      </c>
      <c r="B1374" s="1072">
        <v>15052140</v>
      </c>
      <c r="C1374" s="1072">
        <v>398</v>
      </c>
      <c r="D1374" s="1072">
        <v>206</v>
      </c>
      <c r="E1374" s="1072">
        <f t="shared" si="21"/>
        <v>604</v>
      </c>
    </row>
    <row r="1375" spans="1:5">
      <c r="A1375" s="1072" t="s">
        <v>1243</v>
      </c>
      <c r="B1375" s="1072">
        <v>15052256</v>
      </c>
      <c r="C1375" s="1072">
        <v>435</v>
      </c>
      <c r="D1375" s="1072">
        <v>106</v>
      </c>
      <c r="E1375" s="1072">
        <f t="shared" si="21"/>
        <v>541</v>
      </c>
    </row>
    <row r="1376" spans="1:5">
      <c r="A1376" s="1072" t="s">
        <v>1243</v>
      </c>
      <c r="B1376" s="1072">
        <v>15062140</v>
      </c>
      <c r="C1376" s="1072">
        <v>303</v>
      </c>
      <c r="D1376" s="1072">
        <v>243</v>
      </c>
      <c r="E1376" s="1072">
        <f t="shared" si="21"/>
        <v>546</v>
      </c>
    </row>
    <row r="1377" spans="1:5">
      <c r="A1377" s="1072" t="s">
        <v>1243</v>
      </c>
      <c r="B1377" s="1072">
        <v>15062257</v>
      </c>
      <c r="C1377" s="1072">
        <v>241</v>
      </c>
      <c r="D1377" s="1072">
        <v>1087</v>
      </c>
      <c r="E1377" s="1072">
        <f t="shared" si="21"/>
        <v>1328</v>
      </c>
    </row>
    <row r="1378" spans="1:5">
      <c r="A1378" s="1072" t="s">
        <v>1243</v>
      </c>
      <c r="B1378" s="1072">
        <v>15072257</v>
      </c>
      <c r="C1378" s="1072">
        <v>295</v>
      </c>
      <c r="D1378" s="1072">
        <v>141</v>
      </c>
      <c r="E1378" s="1072">
        <f t="shared" si="21"/>
        <v>436</v>
      </c>
    </row>
    <row r="1379" spans="1:5">
      <c r="A1379" s="1072" t="s">
        <v>1243</v>
      </c>
      <c r="B1379" s="1072">
        <v>15082257</v>
      </c>
      <c r="C1379" s="1072">
        <v>672</v>
      </c>
      <c r="D1379" s="1072">
        <v>121</v>
      </c>
      <c r="E1379" s="1072">
        <f t="shared" si="21"/>
        <v>793</v>
      </c>
    </row>
    <row r="1380" spans="1:5">
      <c r="A1380" s="1072" t="s">
        <v>1243</v>
      </c>
      <c r="B1380" s="1072">
        <v>15092257</v>
      </c>
      <c r="C1380" s="1072">
        <v>315</v>
      </c>
      <c r="D1380" s="1072">
        <v>122</v>
      </c>
      <c r="E1380" s="1072">
        <f t="shared" si="21"/>
        <v>437</v>
      </c>
    </row>
    <row r="1381" spans="1:5">
      <c r="A1381" s="1072" t="s">
        <v>1243</v>
      </c>
      <c r="B1381" s="1072">
        <v>15102257</v>
      </c>
      <c r="C1381" s="1072">
        <v>486</v>
      </c>
      <c r="D1381" s="1072">
        <v>152</v>
      </c>
      <c r="E1381" s="1072">
        <f t="shared" si="21"/>
        <v>638</v>
      </c>
    </row>
    <row r="1382" spans="1:5">
      <c r="A1382" s="1072" t="s">
        <v>1243</v>
      </c>
      <c r="B1382" s="1072">
        <v>15112257</v>
      </c>
      <c r="C1382" s="1072">
        <v>575</v>
      </c>
      <c r="D1382" s="1072">
        <v>223</v>
      </c>
      <c r="E1382" s="1072">
        <f t="shared" si="21"/>
        <v>798</v>
      </c>
    </row>
    <row r="1383" spans="1:5">
      <c r="A1383" s="1072" t="s">
        <v>1243</v>
      </c>
      <c r="B1383" s="1072">
        <v>15122257</v>
      </c>
      <c r="C1383" s="1072">
        <v>250</v>
      </c>
      <c r="D1383" s="1072">
        <v>129</v>
      </c>
      <c r="E1383" s="1072">
        <f t="shared" si="21"/>
        <v>379</v>
      </c>
    </row>
    <row r="1384" spans="1:5">
      <c r="A1384" s="1072" t="s">
        <v>1243</v>
      </c>
      <c r="B1384" s="1072">
        <v>15132257</v>
      </c>
      <c r="C1384" s="1072">
        <v>309</v>
      </c>
      <c r="D1384" s="1072">
        <v>186</v>
      </c>
      <c r="E1384" s="1072">
        <f t="shared" si="21"/>
        <v>495</v>
      </c>
    </row>
    <row r="1385" spans="1:5">
      <c r="A1385" s="1072" t="s">
        <v>1243</v>
      </c>
      <c r="B1385" s="1072">
        <v>15142257</v>
      </c>
      <c r="C1385" s="1072">
        <v>356</v>
      </c>
      <c r="D1385" s="1072">
        <v>216</v>
      </c>
      <c r="E1385" s="1072">
        <f t="shared" si="21"/>
        <v>572</v>
      </c>
    </row>
    <row r="1386" spans="1:5">
      <c r="A1386" s="1072" t="s">
        <v>1243</v>
      </c>
      <c r="B1386" s="1072">
        <v>15152257</v>
      </c>
      <c r="C1386" s="1072">
        <v>356</v>
      </c>
      <c r="D1386" s="1072">
        <v>231</v>
      </c>
      <c r="E1386" s="1072">
        <f t="shared" si="21"/>
        <v>587</v>
      </c>
    </row>
    <row r="1387" spans="1:5">
      <c r="A1387" s="1072" t="s">
        <v>1243</v>
      </c>
      <c r="B1387" s="1072">
        <v>15162257</v>
      </c>
      <c r="C1387" s="1072">
        <v>453</v>
      </c>
      <c r="D1387" s="1072">
        <v>199</v>
      </c>
      <c r="E1387" s="1072">
        <f t="shared" si="21"/>
        <v>652</v>
      </c>
    </row>
    <row r="1388" spans="1:5">
      <c r="A1388" s="1072" t="s">
        <v>1243</v>
      </c>
      <c r="B1388" s="1072">
        <v>15172257</v>
      </c>
      <c r="C1388" s="1072">
        <v>343</v>
      </c>
      <c r="D1388" s="1072">
        <v>191</v>
      </c>
      <c r="E1388" s="1072">
        <f t="shared" si="21"/>
        <v>534</v>
      </c>
    </row>
    <row r="1389" spans="1:5">
      <c r="A1389" s="1072" t="s">
        <v>1243</v>
      </c>
      <c r="B1389" s="1072">
        <v>15182257</v>
      </c>
      <c r="C1389" s="1072">
        <v>305</v>
      </c>
      <c r="D1389" s="1072">
        <v>240</v>
      </c>
      <c r="E1389" s="1072">
        <f t="shared" si="21"/>
        <v>545</v>
      </c>
    </row>
    <row r="1390" spans="1:5">
      <c r="A1390" s="1072" t="s">
        <v>1243</v>
      </c>
      <c r="B1390" s="1072">
        <v>15192257</v>
      </c>
      <c r="C1390" s="1072">
        <v>389</v>
      </c>
      <c r="D1390" s="1072">
        <v>194</v>
      </c>
      <c r="E1390" s="1072">
        <f t="shared" si="21"/>
        <v>583</v>
      </c>
    </row>
    <row r="1391" spans="1:5">
      <c r="A1391" s="1072" t="s">
        <v>1243</v>
      </c>
      <c r="B1391" s="1072">
        <v>15202257</v>
      </c>
      <c r="C1391" s="1072">
        <v>318</v>
      </c>
      <c r="D1391" s="1072">
        <v>38</v>
      </c>
      <c r="E1391" s="1072">
        <f t="shared" si="21"/>
        <v>356</v>
      </c>
    </row>
    <row r="1392" spans="1:5">
      <c r="A1392" s="1072" t="s">
        <v>1243</v>
      </c>
      <c r="B1392" s="1072">
        <v>15212257</v>
      </c>
      <c r="C1392" s="1072">
        <v>364</v>
      </c>
      <c r="D1392" s="1072">
        <v>271</v>
      </c>
      <c r="E1392" s="1072">
        <f t="shared" si="21"/>
        <v>635</v>
      </c>
    </row>
    <row r="1393" spans="1:5">
      <c r="A1393" s="1072" t="s">
        <v>1243</v>
      </c>
      <c r="B1393" s="1072">
        <v>15222257</v>
      </c>
      <c r="C1393" s="1072">
        <v>345</v>
      </c>
      <c r="D1393" s="1072">
        <v>262</v>
      </c>
      <c r="E1393" s="1072">
        <f t="shared" si="21"/>
        <v>607</v>
      </c>
    </row>
    <row r="1394" spans="1:5">
      <c r="A1394" s="1072" t="s">
        <v>1243</v>
      </c>
      <c r="B1394" s="1072">
        <v>15232257</v>
      </c>
      <c r="C1394" s="1072">
        <v>363</v>
      </c>
      <c r="D1394" s="1072">
        <v>269</v>
      </c>
      <c r="E1394" s="1072">
        <f t="shared" si="21"/>
        <v>632</v>
      </c>
    </row>
    <row r="1395" spans="1:5">
      <c r="A1395" s="1072" t="s">
        <v>1243</v>
      </c>
      <c r="B1395" s="1072">
        <v>15242257</v>
      </c>
      <c r="C1395" s="1072">
        <v>396</v>
      </c>
      <c r="D1395" s="1072">
        <v>227</v>
      </c>
      <c r="E1395" s="1072">
        <f t="shared" si="21"/>
        <v>623</v>
      </c>
    </row>
    <row r="1396" spans="1:5">
      <c r="A1396" s="1072" t="s">
        <v>1243</v>
      </c>
      <c r="B1396" s="1072">
        <v>15252257</v>
      </c>
      <c r="C1396" s="1072">
        <v>334</v>
      </c>
      <c r="D1396" s="1072">
        <v>120</v>
      </c>
      <c r="E1396" s="1072">
        <f t="shared" si="21"/>
        <v>454</v>
      </c>
    </row>
    <row r="1397" spans="1:5">
      <c r="A1397" s="1072" t="s">
        <v>1243</v>
      </c>
      <c r="B1397" s="1072">
        <v>15262257</v>
      </c>
      <c r="C1397" s="1072">
        <v>357</v>
      </c>
      <c r="D1397" s="1072">
        <v>357</v>
      </c>
      <c r="E1397" s="1072">
        <f t="shared" si="21"/>
        <v>714</v>
      </c>
    </row>
    <row r="1398" spans="1:5">
      <c r="A1398" s="1072" t="s">
        <v>1243</v>
      </c>
      <c r="B1398" s="1072">
        <v>15272257</v>
      </c>
      <c r="C1398" s="1072">
        <v>342</v>
      </c>
      <c r="D1398" s="1072">
        <v>279</v>
      </c>
      <c r="E1398" s="1072">
        <f t="shared" si="21"/>
        <v>621</v>
      </c>
    </row>
    <row r="1399" spans="1:5">
      <c r="A1399" s="1072" t="s">
        <v>1243</v>
      </c>
      <c r="B1399" s="1072">
        <v>15282257</v>
      </c>
      <c r="C1399" s="1072">
        <v>378</v>
      </c>
      <c r="D1399" s="1072">
        <v>275</v>
      </c>
      <c r="E1399" s="1072">
        <f t="shared" si="21"/>
        <v>653</v>
      </c>
    </row>
    <row r="1400" spans="1:5">
      <c r="A1400" s="1072" t="s">
        <v>1243</v>
      </c>
      <c r="B1400" s="1072">
        <v>15292257</v>
      </c>
      <c r="C1400" s="1072">
        <v>383</v>
      </c>
      <c r="D1400" s="1072">
        <v>275</v>
      </c>
      <c r="E1400" s="1072">
        <f t="shared" si="21"/>
        <v>658</v>
      </c>
    </row>
    <row r="1401" spans="1:5">
      <c r="A1401" s="1072" t="s">
        <v>1243</v>
      </c>
      <c r="B1401" s="1072">
        <v>15302257</v>
      </c>
      <c r="C1401" s="1072">
        <v>266</v>
      </c>
      <c r="D1401" s="1072">
        <v>140</v>
      </c>
      <c r="E1401" s="1072">
        <f t="shared" si="21"/>
        <v>406</v>
      </c>
    </row>
    <row r="1402" spans="1:5">
      <c r="A1402" s="1072" t="s">
        <v>1243</v>
      </c>
      <c r="B1402" s="1072">
        <v>15312257</v>
      </c>
      <c r="C1402" s="1072">
        <v>768</v>
      </c>
      <c r="D1402" s="1072">
        <v>370</v>
      </c>
      <c r="E1402" s="1072">
        <f t="shared" si="21"/>
        <v>1138</v>
      </c>
    </row>
    <row r="1403" spans="1:5">
      <c r="A1403" s="1072" t="s">
        <v>1243</v>
      </c>
      <c r="B1403" s="1072">
        <v>15322257</v>
      </c>
      <c r="C1403" s="1072">
        <v>438</v>
      </c>
      <c r="D1403" s="1072">
        <v>264</v>
      </c>
      <c r="E1403" s="1072">
        <f t="shared" si="21"/>
        <v>702</v>
      </c>
    </row>
    <row r="1404" spans="1:5">
      <c r="A1404" s="1072" t="s">
        <v>1243</v>
      </c>
      <c r="B1404" s="1072">
        <v>15332257</v>
      </c>
      <c r="C1404" s="1072">
        <v>575</v>
      </c>
      <c r="D1404" s="1072">
        <v>518</v>
      </c>
      <c r="E1404" s="1072">
        <f t="shared" si="21"/>
        <v>1093</v>
      </c>
    </row>
    <row r="1405" spans="1:5">
      <c r="A1405" s="1072" t="s">
        <v>1243</v>
      </c>
      <c r="B1405" s="1072">
        <v>15342257</v>
      </c>
      <c r="C1405" s="1072">
        <v>529</v>
      </c>
      <c r="D1405" s="1072">
        <v>413</v>
      </c>
      <c r="E1405" s="1072">
        <f t="shared" si="21"/>
        <v>942</v>
      </c>
    </row>
    <row r="1406" spans="1:5">
      <c r="A1406" s="1072" t="s">
        <v>1243</v>
      </c>
      <c r="B1406" s="1072">
        <v>15352257</v>
      </c>
      <c r="C1406" s="1072">
        <v>392</v>
      </c>
      <c r="D1406" s="1072">
        <v>292</v>
      </c>
      <c r="E1406" s="1072">
        <f t="shared" si="21"/>
        <v>684</v>
      </c>
    </row>
    <row r="1407" spans="1:5">
      <c r="A1407" s="1072" t="s">
        <v>1243</v>
      </c>
      <c r="B1407" s="1072">
        <v>15362257</v>
      </c>
      <c r="C1407" s="1072">
        <v>325</v>
      </c>
      <c r="D1407" s="1072">
        <v>211</v>
      </c>
      <c r="E1407" s="1072">
        <f t="shared" si="21"/>
        <v>536</v>
      </c>
    </row>
    <row r="1408" spans="1:5">
      <c r="A1408" s="1072" t="s">
        <v>1243</v>
      </c>
      <c r="B1408" s="1072">
        <v>15372257</v>
      </c>
      <c r="C1408" s="1072">
        <v>323</v>
      </c>
      <c r="D1408" s="1072">
        <v>262</v>
      </c>
      <c r="E1408" s="1072">
        <f t="shared" si="21"/>
        <v>585</v>
      </c>
    </row>
    <row r="1409" spans="1:5">
      <c r="A1409" s="1072" t="s">
        <v>1243</v>
      </c>
      <c r="B1409" s="1072">
        <v>15382257</v>
      </c>
      <c r="C1409" s="1072">
        <v>582</v>
      </c>
      <c r="D1409" s="1072">
        <v>194</v>
      </c>
      <c r="E1409" s="1072">
        <f t="shared" si="21"/>
        <v>776</v>
      </c>
    </row>
    <row r="1410" spans="1:5">
      <c r="A1410" s="1072" t="s">
        <v>1243</v>
      </c>
      <c r="B1410" s="1072">
        <v>16012140</v>
      </c>
      <c r="C1410" s="1072">
        <v>289</v>
      </c>
      <c r="D1410" s="1072">
        <v>263</v>
      </c>
      <c r="E1410" s="1072">
        <f t="shared" ref="E1410:E1473" si="22">C1410+D1410</f>
        <v>552</v>
      </c>
    </row>
    <row r="1411" spans="1:5">
      <c r="A1411" s="1072" t="s">
        <v>1243</v>
      </c>
      <c r="B1411" s="1072">
        <v>16012255</v>
      </c>
      <c r="C1411" s="1072">
        <v>531</v>
      </c>
      <c r="D1411" s="1072">
        <v>343</v>
      </c>
      <c r="E1411" s="1072">
        <f t="shared" si="22"/>
        <v>874</v>
      </c>
    </row>
    <row r="1412" spans="1:5">
      <c r="A1412" s="1072" t="s">
        <v>1243</v>
      </c>
      <c r="B1412" s="1072">
        <v>16022140</v>
      </c>
      <c r="C1412" s="1072">
        <v>359</v>
      </c>
      <c r="D1412" s="1072">
        <v>282</v>
      </c>
      <c r="E1412" s="1072">
        <f t="shared" si="22"/>
        <v>641</v>
      </c>
    </row>
    <row r="1413" spans="1:5">
      <c r="A1413" s="1072" t="s">
        <v>1243</v>
      </c>
      <c r="B1413" s="1072">
        <v>16032254</v>
      </c>
      <c r="C1413" s="1072">
        <v>353</v>
      </c>
      <c r="D1413" s="1072">
        <v>231</v>
      </c>
      <c r="E1413" s="1072">
        <f t="shared" si="22"/>
        <v>584</v>
      </c>
    </row>
    <row r="1414" spans="1:5">
      <c r="A1414" s="1072" t="s">
        <v>1243</v>
      </c>
      <c r="B1414" s="1072">
        <v>16042254</v>
      </c>
      <c r="C1414" s="1072">
        <v>263</v>
      </c>
      <c r="D1414" s="1072">
        <v>167</v>
      </c>
      <c r="E1414" s="1072">
        <f t="shared" si="22"/>
        <v>430</v>
      </c>
    </row>
    <row r="1415" spans="1:5">
      <c r="A1415" s="1072" t="s">
        <v>1243</v>
      </c>
      <c r="B1415" s="1072">
        <v>16052255</v>
      </c>
      <c r="C1415" s="1072">
        <v>225</v>
      </c>
      <c r="D1415" s="1072">
        <v>138</v>
      </c>
      <c r="E1415" s="1072">
        <f t="shared" si="22"/>
        <v>363</v>
      </c>
    </row>
    <row r="1416" spans="1:5">
      <c r="A1416" s="1072" t="s">
        <v>1243</v>
      </c>
      <c r="B1416" s="1072">
        <v>16062255</v>
      </c>
      <c r="C1416" s="1072">
        <v>348</v>
      </c>
      <c r="D1416" s="1072">
        <v>298</v>
      </c>
      <c r="E1416" s="1072">
        <f t="shared" si="22"/>
        <v>646</v>
      </c>
    </row>
    <row r="1417" spans="1:5">
      <c r="A1417" s="1072" t="s">
        <v>1243</v>
      </c>
      <c r="B1417" s="1072">
        <v>16072255</v>
      </c>
      <c r="C1417" s="1072">
        <v>336</v>
      </c>
      <c r="D1417" s="1072">
        <v>288</v>
      </c>
      <c r="E1417" s="1072">
        <f t="shared" si="22"/>
        <v>624</v>
      </c>
    </row>
    <row r="1418" spans="1:5">
      <c r="A1418" s="1072" t="s">
        <v>1243</v>
      </c>
      <c r="B1418" s="1072">
        <v>16082255</v>
      </c>
      <c r="C1418" s="1072">
        <v>278</v>
      </c>
      <c r="D1418" s="1072">
        <v>104</v>
      </c>
      <c r="E1418" s="1072">
        <f t="shared" si="22"/>
        <v>382</v>
      </c>
    </row>
    <row r="1419" spans="1:5">
      <c r="A1419" s="1072" t="s">
        <v>1243</v>
      </c>
      <c r="B1419" s="1072">
        <v>16092254</v>
      </c>
      <c r="C1419" s="1072">
        <v>535</v>
      </c>
      <c r="D1419" s="1072">
        <v>313</v>
      </c>
      <c r="E1419" s="1072">
        <f t="shared" si="22"/>
        <v>848</v>
      </c>
    </row>
    <row r="1420" spans="1:5">
      <c r="A1420" s="1072" t="s">
        <v>1243</v>
      </c>
      <c r="B1420" s="1072">
        <v>16102255</v>
      </c>
      <c r="C1420" s="1072">
        <v>213</v>
      </c>
      <c r="D1420" s="1072">
        <v>138</v>
      </c>
      <c r="E1420" s="1072">
        <f t="shared" si="22"/>
        <v>351</v>
      </c>
    </row>
    <row r="1421" spans="1:5">
      <c r="A1421" s="1072" t="s">
        <v>1243</v>
      </c>
      <c r="B1421" s="1072">
        <v>16112255</v>
      </c>
      <c r="C1421" s="1072">
        <v>408</v>
      </c>
      <c r="D1421" s="1072">
        <v>236</v>
      </c>
      <c r="E1421" s="1072">
        <f t="shared" si="22"/>
        <v>644</v>
      </c>
    </row>
    <row r="1422" spans="1:5">
      <c r="A1422" s="1072" t="s">
        <v>1243</v>
      </c>
      <c r="B1422" s="1072">
        <v>16122255</v>
      </c>
      <c r="C1422" s="1072">
        <v>391</v>
      </c>
      <c r="D1422" s="1072">
        <v>297</v>
      </c>
      <c r="E1422" s="1072">
        <f t="shared" si="22"/>
        <v>688</v>
      </c>
    </row>
    <row r="1423" spans="1:5">
      <c r="A1423" s="1072" t="s">
        <v>1243</v>
      </c>
      <c r="B1423" s="1072">
        <v>16132255</v>
      </c>
      <c r="C1423" s="1072">
        <v>146</v>
      </c>
      <c r="D1423" s="1072">
        <v>91</v>
      </c>
      <c r="E1423" s="1072">
        <f t="shared" si="22"/>
        <v>237</v>
      </c>
    </row>
    <row r="1424" spans="1:5">
      <c r="A1424" s="1072" t="s">
        <v>1243</v>
      </c>
      <c r="B1424" s="1072">
        <v>16142255</v>
      </c>
      <c r="C1424" s="1072">
        <v>538</v>
      </c>
      <c r="D1424" s="1072">
        <v>381</v>
      </c>
      <c r="E1424" s="1072">
        <f t="shared" si="22"/>
        <v>919</v>
      </c>
    </row>
    <row r="1425" spans="1:5">
      <c r="A1425" s="1072" t="s">
        <v>1243</v>
      </c>
      <c r="B1425" s="1072">
        <v>16152255</v>
      </c>
      <c r="C1425" s="1072">
        <v>268</v>
      </c>
      <c r="D1425" s="1072">
        <v>225</v>
      </c>
      <c r="E1425" s="1072">
        <f t="shared" si="22"/>
        <v>493</v>
      </c>
    </row>
    <row r="1426" spans="1:5">
      <c r="A1426" s="1072" t="s">
        <v>1243</v>
      </c>
      <c r="B1426" s="1072">
        <v>16162255</v>
      </c>
      <c r="C1426" s="1072">
        <v>293</v>
      </c>
      <c r="D1426" s="1072">
        <v>220</v>
      </c>
      <c r="E1426" s="1072">
        <f t="shared" si="22"/>
        <v>513</v>
      </c>
    </row>
    <row r="1427" spans="1:5">
      <c r="A1427" s="1072" t="s">
        <v>1243</v>
      </c>
      <c r="B1427" s="1072">
        <v>16172254</v>
      </c>
      <c r="C1427" s="1072">
        <v>280</v>
      </c>
      <c r="D1427" s="1072">
        <v>202</v>
      </c>
      <c r="E1427" s="1072">
        <f t="shared" si="22"/>
        <v>482</v>
      </c>
    </row>
    <row r="1428" spans="1:5">
      <c r="A1428" s="1072" t="s">
        <v>1243</v>
      </c>
      <c r="B1428" s="1072">
        <v>16182254</v>
      </c>
      <c r="C1428" s="1072">
        <v>429</v>
      </c>
      <c r="D1428" s="1072">
        <v>242</v>
      </c>
      <c r="E1428" s="1072">
        <f t="shared" si="22"/>
        <v>671</v>
      </c>
    </row>
    <row r="1429" spans="1:5">
      <c r="A1429" s="1072" t="s">
        <v>1243</v>
      </c>
      <c r="B1429" s="1072">
        <v>16192254</v>
      </c>
      <c r="C1429" s="1072">
        <v>340</v>
      </c>
      <c r="D1429" s="1072">
        <v>233</v>
      </c>
      <c r="E1429" s="1072">
        <f t="shared" si="22"/>
        <v>573</v>
      </c>
    </row>
    <row r="1430" spans="1:5">
      <c r="A1430" s="1072" t="s">
        <v>1243</v>
      </c>
      <c r="B1430" s="1072">
        <v>16202255</v>
      </c>
      <c r="C1430" s="1072">
        <v>250</v>
      </c>
      <c r="D1430" s="1072">
        <v>175</v>
      </c>
      <c r="E1430" s="1072">
        <f t="shared" si="22"/>
        <v>425</v>
      </c>
    </row>
    <row r="1431" spans="1:5">
      <c r="A1431" s="1072" t="s">
        <v>1243</v>
      </c>
      <c r="B1431" s="1072">
        <v>16212254</v>
      </c>
      <c r="C1431" s="1072">
        <v>399</v>
      </c>
      <c r="D1431" s="1072">
        <v>244</v>
      </c>
      <c r="E1431" s="1072">
        <f t="shared" si="22"/>
        <v>643</v>
      </c>
    </row>
    <row r="1432" spans="1:5">
      <c r="A1432" s="1072" t="s">
        <v>1243</v>
      </c>
      <c r="B1432" s="1072">
        <v>16222254</v>
      </c>
      <c r="C1432" s="1072">
        <v>353</v>
      </c>
      <c r="D1432" s="1072">
        <v>238</v>
      </c>
      <c r="E1432" s="1072">
        <f t="shared" si="22"/>
        <v>591</v>
      </c>
    </row>
    <row r="1433" spans="1:5">
      <c r="A1433" s="1072" t="s">
        <v>1243</v>
      </c>
      <c r="B1433" s="1072">
        <v>16232254</v>
      </c>
      <c r="C1433" s="1072">
        <v>368</v>
      </c>
      <c r="D1433" s="1072">
        <v>208</v>
      </c>
      <c r="E1433" s="1072">
        <f t="shared" si="22"/>
        <v>576</v>
      </c>
    </row>
    <row r="1434" spans="1:5">
      <c r="A1434" s="1072" t="s">
        <v>1243</v>
      </c>
      <c r="B1434" s="1072">
        <v>16242254</v>
      </c>
      <c r="C1434" s="1072">
        <v>375</v>
      </c>
      <c r="D1434" s="1072">
        <v>231</v>
      </c>
      <c r="E1434" s="1072">
        <f t="shared" si="22"/>
        <v>606</v>
      </c>
    </row>
    <row r="1435" spans="1:5">
      <c r="A1435" s="1072" t="s">
        <v>1243</v>
      </c>
      <c r="B1435" s="1072">
        <v>16252255</v>
      </c>
      <c r="C1435" s="1072">
        <v>314</v>
      </c>
      <c r="D1435" s="1072">
        <v>186</v>
      </c>
      <c r="E1435" s="1072">
        <f t="shared" si="22"/>
        <v>500</v>
      </c>
    </row>
    <row r="1436" spans="1:5">
      <c r="A1436" s="1072" t="s">
        <v>1243</v>
      </c>
      <c r="B1436" s="1072">
        <v>16262255</v>
      </c>
      <c r="C1436" s="1072">
        <v>385</v>
      </c>
      <c r="D1436" s="1072">
        <v>44</v>
      </c>
      <c r="E1436" s="1072">
        <f t="shared" si="22"/>
        <v>429</v>
      </c>
    </row>
    <row r="1437" spans="1:5">
      <c r="A1437" s="1072" t="s">
        <v>1243</v>
      </c>
      <c r="B1437" s="1072">
        <v>16272255</v>
      </c>
      <c r="C1437" s="1072">
        <v>244</v>
      </c>
      <c r="D1437" s="1072">
        <v>171</v>
      </c>
      <c r="E1437" s="1072">
        <f t="shared" si="22"/>
        <v>415</v>
      </c>
    </row>
    <row r="1438" spans="1:5">
      <c r="A1438" s="1072" t="s">
        <v>1243</v>
      </c>
      <c r="B1438" s="1072">
        <v>16282255</v>
      </c>
      <c r="C1438" s="1072">
        <v>347</v>
      </c>
      <c r="D1438" s="1072">
        <v>127</v>
      </c>
      <c r="E1438" s="1072">
        <f t="shared" si="22"/>
        <v>474</v>
      </c>
    </row>
    <row r="1439" spans="1:5">
      <c r="A1439" s="1072" t="s">
        <v>1243</v>
      </c>
      <c r="B1439" s="1072">
        <v>16292255</v>
      </c>
      <c r="C1439" s="1072">
        <v>349</v>
      </c>
      <c r="D1439" s="1072">
        <v>186</v>
      </c>
      <c r="E1439" s="1072">
        <f t="shared" si="22"/>
        <v>535</v>
      </c>
    </row>
    <row r="1440" spans="1:5">
      <c r="A1440" s="1072" t="s">
        <v>1243</v>
      </c>
      <c r="B1440" s="1072">
        <v>16302255</v>
      </c>
      <c r="C1440" s="1072">
        <v>417</v>
      </c>
      <c r="D1440" s="1072">
        <v>191</v>
      </c>
      <c r="E1440" s="1072">
        <f t="shared" si="22"/>
        <v>608</v>
      </c>
    </row>
    <row r="1441" spans="1:5">
      <c r="A1441" s="1072" t="s">
        <v>1243</v>
      </c>
      <c r="B1441" s="1072">
        <v>16312255</v>
      </c>
      <c r="C1441" s="1072">
        <v>759</v>
      </c>
      <c r="D1441" s="1072">
        <v>205</v>
      </c>
      <c r="E1441" s="1072">
        <f t="shared" si="22"/>
        <v>964</v>
      </c>
    </row>
    <row r="1442" spans="1:5">
      <c r="A1442" s="1072" t="s">
        <v>1243</v>
      </c>
      <c r="B1442" s="1072">
        <v>16322255</v>
      </c>
      <c r="C1442" s="1072">
        <v>464</v>
      </c>
      <c r="D1442" s="1072">
        <v>162</v>
      </c>
      <c r="E1442" s="1072">
        <f t="shared" si="22"/>
        <v>626</v>
      </c>
    </row>
    <row r="1443" spans="1:5">
      <c r="A1443" s="1072" t="s">
        <v>1243</v>
      </c>
      <c r="B1443" s="1072">
        <v>16332255</v>
      </c>
      <c r="C1443" s="1072">
        <v>578</v>
      </c>
      <c r="D1443" s="1072">
        <v>390</v>
      </c>
      <c r="E1443" s="1072">
        <f t="shared" si="22"/>
        <v>968</v>
      </c>
    </row>
    <row r="1444" spans="1:5">
      <c r="A1444" s="1072" t="s">
        <v>1243</v>
      </c>
      <c r="B1444" s="1072">
        <v>16342255</v>
      </c>
      <c r="C1444" s="1072">
        <v>534</v>
      </c>
      <c r="D1444" s="1072">
        <v>236</v>
      </c>
      <c r="E1444" s="1072">
        <f t="shared" si="22"/>
        <v>770</v>
      </c>
    </row>
    <row r="1445" spans="1:5">
      <c r="A1445" s="1072" t="s">
        <v>1243</v>
      </c>
      <c r="B1445" s="1072">
        <v>16352255</v>
      </c>
      <c r="C1445" s="1072">
        <v>602</v>
      </c>
      <c r="D1445" s="1072">
        <v>289</v>
      </c>
      <c r="E1445" s="1072">
        <f t="shared" si="22"/>
        <v>891</v>
      </c>
    </row>
    <row r="1446" spans="1:5">
      <c r="A1446" s="1072" t="s">
        <v>1243</v>
      </c>
      <c r="B1446" s="1072">
        <v>16362255</v>
      </c>
      <c r="C1446" s="1072">
        <v>229</v>
      </c>
      <c r="D1446" s="1072">
        <v>169</v>
      </c>
      <c r="E1446" s="1072">
        <f t="shared" si="22"/>
        <v>398</v>
      </c>
    </row>
    <row r="1447" spans="1:5">
      <c r="A1447" s="1072" t="s">
        <v>1243</v>
      </c>
      <c r="B1447" s="1072">
        <v>16372255</v>
      </c>
      <c r="C1447" s="1072">
        <v>247</v>
      </c>
      <c r="D1447" s="1072">
        <v>164</v>
      </c>
      <c r="E1447" s="1072">
        <f t="shared" si="22"/>
        <v>411</v>
      </c>
    </row>
    <row r="1448" spans="1:5">
      <c r="A1448" s="1072" t="s">
        <v>1243</v>
      </c>
      <c r="B1448" s="1072">
        <v>16382255</v>
      </c>
      <c r="C1448" s="1072">
        <v>250</v>
      </c>
      <c r="D1448" s="1072">
        <v>183</v>
      </c>
      <c r="E1448" s="1072">
        <f t="shared" si="22"/>
        <v>433</v>
      </c>
    </row>
    <row r="1449" spans="1:5">
      <c r="A1449" s="1072" t="s">
        <v>1243</v>
      </c>
      <c r="B1449" s="1072">
        <v>16392255</v>
      </c>
      <c r="C1449" s="1072">
        <v>310</v>
      </c>
      <c r="D1449" s="1072">
        <v>176</v>
      </c>
      <c r="E1449" s="1072">
        <f t="shared" si="22"/>
        <v>486</v>
      </c>
    </row>
    <row r="1450" spans="1:5">
      <c r="A1450" s="1072" t="s">
        <v>1243</v>
      </c>
      <c r="B1450" s="1072">
        <v>16402256</v>
      </c>
      <c r="C1450" s="1072">
        <v>384</v>
      </c>
      <c r="D1450" s="1072">
        <v>170</v>
      </c>
      <c r="E1450" s="1072">
        <f t="shared" si="22"/>
        <v>554</v>
      </c>
    </row>
    <row r="1451" spans="1:5">
      <c r="A1451" s="1072" t="s">
        <v>1243</v>
      </c>
      <c r="B1451" s="1072">
        <v>16412256</v>
      </c>
      <c r="C1451" s="1072">
        <v>221</v>
      </c>
      <c r="D1451" s="1072">
        <v>75</v>
      </c>
      <c r="E1451" s="1072">
        <f t="shared" si="22"/>
        <v>296</v>
      </c>
    </row>
    <row r="1452" spans="1:5">
      <c r="A1452" s="1072" t="s">
        <v>1243</v>
      </c>
      <c r="B1452" s="1072">
        <v>16422256</v>
      </c>
      <c r="C1452" s="1072">
        <v>337</v>
      </c>
      <c r="D1452" s="1072">
        <v>140</v>
      </c>
      <c r="E1452" s="1072">
        <f t="shared" si="22"/>
        <v>477</v>
      </c>
    </row>
    <row r="1453" spans="1:5">
      <c r="A1453" s="1072" t="s">
        <v>1243</v>
      </c>
      <c r="B1453" s="1072">
        <v>16432256</v>
      </c>
      <c r="C1453" s="1072">
        <v>428</v>
      </c>
      <c r="D1453" s="1072">
        <v>194</v>
      </c>
      <c r="E1453" s="1072">
        <f t="shared" si="22"/>
        <v>622</v>
      </c>
    </row>
    <row r="1454" spans="1:5">
      <c r="A1454" s="1072" t="s">
        <v>1243</v>
      </c>
      <c r="B1454" s="1072">
        <v>16442256</v>
      </c>
      <c r="C1454" s="1072">
        <v>295</v>
      </c>
      <c r="D1454" s="1072">
        <v>212</v>
      </c>
      <c r="E1454" s="1072">
        <f t="shared" si="22"/>
        <v>507</v>
      </c>
    </row>
    <row r="1455" spans="1:5">
      <c r="A1455" s="1072" t="s">
        <v>1243</v>
      </c>
      <c r="B1455" s="1072">
        <v>16452256</v>
      </c>
      <c r="C1455" s="1072">
        <v>276</v>
      </c>
      <c r="D1455" s="1072">
        <v>179</v>
      </c>
      <c r="E1455" s="1072">
        <f t="shared" si="22"/>
        <v>455</v>
      </c>
    </row>
    <row r="1456" spans="1:5">
      <c r="A1456" s="1072" t="s">
        <v>1243</v>
      </c>
      <c r="B1456" s="1072">
        <v>16462256</v>
      </c>
      <c r="C1456" s="1072">
        <v>225</v>
      </c>
      <c r="D1456" s="1072">
        <v>117</v>
      </c>
      <c r="E1456" s="1072">
        <f t="shared" si="22"/>
        <v>342</v>
      </c>
    </row>
    <row r="1457" spans="1:5">
      <c r="A1457" s="1072" t="s">
        <v>1243</v>
      </c>
      <c r="B1457" s="1072">
        <v>16472256</v>
      </c>
      <c r="C1457" s="1072">
        <v>315</v>
      </c>
      <c r="D1457" s="1072">
        <v>221</v>
      </c>
      <c r="E1457" s="1072">
        <f t="shared" si="22"/>
        <v>536</v>
      </c>
    </row>
    <row r="1458" spans="1:5">
      <c r="A1458" s="1072" t="s">
        <v>1243</v>
      </c>
      <c r="B1458" s="1072">
        <v>16482256</v>
      </c>
      <c r="C1458" s="1072">
        <v>431</v>
      </c>
      <c r="D1458" s="1072">
        <v>193</v>
      </c>
      <c r="E1458" s="1072">
        <f t="shared" si="22"/>
        <v>624</v>
      </c>
    </row>
    <row r="1459" spans="1:5">
      <c r="A1459" s="1072" t="s">
        <v>1243</v>
      </c>
      <c r="B1459" s="1072">
        <v>16492256</v>
      </c>
      <c r="C1459" s="1072">
        <v>411</v>
      </c>
      <c r="D1459" s="1072">
        <v>101</v>
      </c>
      <c r="E1459" s="1072">
        <f t="shared" si="22"/>
        <v>512</v>
      </c>
    </row>
    <row r="1460" spans="1:5">
      <c r="A1460" s="1072" t="s">
        <v>1243</v>
      </c>
      <c r="B1460" s="1072">
        <v>16502256</v>
      </c>
      <c r="C1460" s="1072">
        <v>205</v>
      </c>
      <c r="D1460" s="1072">
        <v>110</v>
      </c>
      <c r="E1460" s="1072">
        <f t="shared" si="22"/>
        <v>315</v>
      </c>
    </row>
    <row r="1461" spans="1:5">
      <c r="A1461" s="1072" t="s">
        <v>1243</v>
      </c>
      <c r="B1461" s="1072">
        <v>16512256</v>
      </c>
      <c r="C1461" s="1072">
        <v>335</v>
      </c>
      <c r="D1461" s="1072">
        <v>151</v>
      </c>
      <c r="E1461" s="1072">
        <f t="shared" si="22"/>
        <v>486</v>
      </c>
    </row>
    <row r="1462" spans="1:5">
      <c r="A1462" s="1072" t="s">
        <v>1243</v>
      </c>
      <c r="B1462" s="1072">
        <v>17002525</v>
      </c>
      <c r="C1462" s="1072">
        <v>7</v>
      </c>
      <c r="D1462" s="1072">
        <v>575</v>
      </c>
      <c r="E1462" s="1072">
        <f t="shared" si="22"/>
        <v>582</v>
      </c>
    </row>
    <row r="1463" spans="1:5">
      <c r="A1463" s="1072" t="s">
        <v>1243</v>
      </c>
      <c r="B1463" s="1072">
        <v>17002544</v>
      </c>
      <c r="C1463" s="1072">
        <v>2</v>
      </c>
      <c r="D1463" s="1072">
        <v>329</v>
      </c>
      <c r="E1463" s="1072">
        <f t="shared" si="22"/>
        <v>331</v>
      </c>
    </row>
    <row r="1464" spans="1:5">
      <c r="A1464" s="1072" t="s">
        <v>1243</v>
      </c>
      <c r="B1464" s="1072">
        <v>17042253</v>
      </c>
      <c r="C1464" s="1072">
        <v>405</v>
      </c>
      <c r="D1464" s="1072">
        <v>2</v>
      </c>
      <c r="E1464" s="1072">
        <f t="shared" si="22"/>
        <v>407</v>
      </c>
    </row>
    <row r="1465" spans="1:5">
      <c r="A1465" s="1072" t="s">
        <v>1243</v>
      </c>
      <c r="B1465" s="1072">
        <v>17052253</v>
      </c>
      <c r="C1465" s="1072">
        <v>262</v>
      </c>
      <c r="D1465" s="1072">
        <v>127</v>
      </c>
      <c r="E1465" s="1072">
        <f t="shared" si="22"/>
        <v>389</v>
      </c>
    </row>
    <row r="1466" spans="1:5">
      <c r="A1466" s="1072" t="s">
        <v>1243</v>
      </c>
      <c r="B1466" s="1072">
        <v>17062253</v>
      </c>
      <c r="C1466" s="1072">
        <v>311</v>
      </c>
      <c r="D1466" s="1072">
        <v>284</v>
      </c>
      <c r="E1466" s="1072">
        <f t="shared" si="22"/>
        <v>595</v>
      </c>
    </row>
    <row r="1467" spans="1:5">
      <c r="A1467" s="1072" t="s">
        <v>1243</v>
      </c>
      <c r="B1467" s="1072">
        <v>17072253</v>
      </c>
      <c r="C1467" s="1072">
        <v>523</v>
      </c>
      <c r="D1467" s="1072">
        <v>273</v>
      </c>
      <c r="E1467" s="1072">
        <f t="shared" si="22"/>
        <v>796</v>
      </c>
    </row>
    <row r="1468" spans="1:5">
      <c r="A1468" s="1072" t="s">
        <v>1243</v>
      </c>
      <c r="B1468" s="1072">
        <v>17082253</v>
      </c>
      <c r="C1468" s="1072">
        <v>492</v>
      </c>
      <c r="D1468" s="1072">
        <v>312</v>
      </c>
      <c r="E1468" s="1072">
        <f t="shared" si="22"/>
        <v>804</v>
      </c>
    </row>
    <row r="1469" spans="1:5">
      <c r="A1469" s="1072" t="s">
        <v>1243</v>
      </c>
      <c r="B1469" s="1072">
        <v>17092253</v>
      </c>
      <c r="C1469" s="1072">
        <v>221</v>
      </c>
      <c r="D1469" s="1072">
        <v>151</v>
      </c>
      <c r="E1469" s="1072">
        <f t="shared" si="22"/>
        <v>372</v>
      </c>
    </row>
    <row r="1470" spans="1:5">
      <c r="A1470" s="1072" t="s">
        <v>1243</v>
      </c>
      <c r="B1470" s="1072">
        <v>17192253</v>
      </c>
      <c r="C1470" s="1072">
        <v>282</v>
      </c>
      <c r="D1470" s="1072">
        <v>27</v>
      </c>
      <c r="E1470" s="1072">
        <f t="shared" si="22"/>
        <v>309</v>
      </c>
    </row>
    <row r="1471" spans="1:5">
      <c r="A1471" s="1072" t="s">
        <v>1243</v>
      </c>
      <c r="B1471" s="1072">
        <v>17202253</v>
      </c>
      <c r="C1471" s="1072">
        <v>589</v>
      </c>
      <c r="D1471" s="1072">
        <v>385</v>
      </c>
      <c r="E1471" s="1072">
        <f t="shared" si="22"/>
        <v>974</v>
      </c>
    </row>
    <row r="1472" spans="1:5">
      <c r="A1472" s="1072" t="s">
        <v>1243</v>
      </c>
      <c r="B1472" s="1072">
        <v>19196286</v>
      </c>
      <c r="C1472" s="1072">
        <v>288</v>
      </c>
      <c r="D1472" s="1072">
        <v>89</v>
      </c>
      <c r="E1472" s="1072">
        <f t="shared" si="22"/>
        <v>377</v>
      </c>
    </row>
    <row r="1473" spans="1:5">
      <c r="A1473" s="1072" t="s">
        <v>1244</v>
      </c>
      <c r="B1473" s="1072">
        <v>10014548</v>
      </c>
      <c r="C1473" s="1072">
        <v>25</v>
      </c>
      <c r="D1473" s="1072">
        <v>24</v>
      </c>
      <c r="E1473" s="1072">
        <f t="shared" si="22"/>
        <v>49</v>
      </c>
    </row>
    <row r="1474" spans="1:5">
      <c r="A1474" s="1072" t="s">
        <v>1245</v>
      </c>
      <c r="B1474" s="1072">
        <v>1001101</v>
      </c>
      <c r="C1474" s="1072">
        <v>470</v>
      </c>
      <c r="D1474" s="1072">
        <v>173</v>
      </c>
      <c r="E1474" s="1072">
        <f t="shared" ref="E1474:E1537" si="23">C1474+D1474</f>
        <v>643</v>
      </c>
    </row>
    <row r="1475" spans="1:5">
      <c r="A1475" s="1072" t="s">
        <v>1245</v>
      </c>
      <c r="B1475" s="1072">
        <v>1001102</v>
      </c>
      <c r="C1475" s="1072">
        <v>363</v>
      </c>
      <c r="D1475" s="1072">
        <v>229</v>
      </c>
      <c r="E1475" s="1072">
        <f t="shared" si="23"/>
        <v>592</v>
      </c>
    </row>
    <row r="1476" spans="1:5">
      <c r="A1476" s="1072" t="s">
        <v>1245</v>
      </c>
      <c r="B1476" s="1072">
        <v>1001103</v>
      </c>
      <c r="C1476" s="1072">
        <v>323</v>
      </c>
      <c r="D1476" s="1072">
        <v>227</v>
      </c>
      <c r="E1476" s="1072">
        <f t="shared" si="23"/>
        <v>550</v>
      </c>
    </row>
    <row r="1477" spans="1:5">
      <c r="A1477" s="1072" t="s">
        <v>1245</v>
      </c>
      <c r="B1477" s="1072">
        <v>1001104</v>
      </c>
      <c r="C1477" s="1072">
        <v>374</v>
      </c>
      <c r="D1477" s="1072">
        <v>264</v>
      </c>
      <c r="E1477" s="1072">
        <f t="shared" si="23"/>
        <v>638</v>
      </c>
    </row>
    <row r="1478" spans="1:5">
      <c r="A1478" s="1072" t="s">
        <v>1245</v>
      </c>
      <c r="B1478" s="1072">
        <v>1001105</v>
      </c>
      <c r="C1478" s="1072">
        <v>358</v>
      </c>
      <c r="D1478" s="1072">
        <v>220</v>
      </c>
      <c r="E1478" s="1072">
        <f t="shared" si="23"/>
        <v>578</v>
      </c>
    </row>
    <row r="1479" spans="1:5">
      <c r="A1479" s="1072" t="s">
        <v>1245</v>
      </c>
      <c r="B1479" s="1072">
        <v>1001106</v>
      </c>
      <c r="C1479" s="1072">
        <v>357</v>
      </c>
      <c r="D1479" s="1072">
        <v>140</v>
      </c>
      <c r="E1479" s="1072">
        <f t="shared" si="23"/>
        <v>497</v>
      </c>
    </row>
    <row r="1480" spans="1:5">
      <c r="A1480" s="1072" t="s">
        <v>1245</v>
      </c>
      <c r="B1480" s="1072">
        <v>1001107</v>
      </c>
      <c r="C1480" s="1072">
        <v>481</v>
      </c>
      <c r="D1480" s="1072">
        <v>181</v>
      </c>
      <c r="E1480" s="1072">
        <f t="shared" si="23"/>
        <v>662</v>
      </c>
    </row>
    <row r="1481" spans="1:5">
      <c r="A1481" s="1072" t="s">
        <v>1245</v>
      </c>
      <c r="B1481" s="1072">
        <v>1001108</v>
      </c>
      <c r="C1481" s="1072">
        <v>484</v>
      </c>
      <c r="D1481" s="1072">
        <v>147</v>
      </c>
      <c r="E1481" s="1072">
        <f t="shared" si="23"/>
        <v>631</v>
      </c>
    </row>
    <row r="1482" spans="1:5">
      <c r="A1482" s="1072" t="s">
        <v>1245</v>
      </c>
      <c r="B1482" s="1072">
        <v>1001109</v>
      </c>
      <c r="C1482" s="1072">
        <v>295</v>
      </c>
      <c r="D1482" s="1072">
        <v>251</v>
      </c>
      <c r="E1482" s="1072">
        <f t="shared" si="23"/>
        <v>546</v>
      </c>
    </row>
    <row r="1483" spans="1:5">
      <c r="A1483" s="1072" t="s">
        <v>1245</v>
      </c>
      <c r="B1483" s="1072">
        <v>1001110</v>
      </c>
      <c r="C1483" s="1072">
        <v>381</v>
      </c>
      <c r="D1483" s="1072">
        <v>228</v>
      </c>
      <c r="E1483" s="1072">
        <f t="shared" si="23"/>
        <v>609</v>
      </c>
    </row>
    <row r="1484" spans="1:5">
      <c r="A1484" s="1072" t="s">
        <v>1245</v>
      </c>
      <c r="B1484" s="1072">
        <v>1001111</v>
      </c>
      <c r="C1484" s="1072">
        <v>538</v>
      </c>
      <c r="D1484" s="1072">
        <v>132</v>
      </c>
      <c r="E1484" s="1072">
        <f t="shared" si="23"/>
        <v>670</v>
      </c>
    </row>
    <row r="1485" spans="1:5">
      <c r="A1485" s="1072" t="s">
        <v>1245</v>
      </c>
      <c r="B1485" s="1072">
        <v>1001112</v>
      </c>
      <c r="C1485" s="1072">
        <v>532</v>
      </c>
      <c r="D1485" s="1072">
        <v>139</v>
      </c>
      <c r="E1485" s="1072">
        <f t="shared" si="23"/>
        <v>671</v>
      </c>
    </row>
    <row r="1486" spans="1:5">
      <c r="A1486" s="1072" t="s">
        <v>1245</v>
      </c>
      <c r="B1486" s="1072">
        <v>1001113</v>
      </c>
      <c r="C1486" s="1072">
        <v>410</v>
      </c>
      <c r="D1486" s="1072">
        <v>213</v>
      </c>
      <c r="E1486" s="1072">
        <f t="shared" si="23"/>
        <v>623</v>
      </c>
    </row>
    <row r="1487" spans="1:5">
      <c r="A1487" s="1072" t="s">
        <v>1245</v>
      </c>
      <c r="B1487" s="1072">
        <v>1001114</v>
      </c>
      <c r="C1487" s="1072">
        <v>359</v>
      </c>
      <c r="D1487" s="1072">
        <v>231</v>
      </c>
      <c r="E1487" s="1072">
        <f t="shared" si="23"/>
        <v>590</v>
      </c>
    </row>
    <row r="1488" spans="1:5">
      <c r="A1488" s="1072" t="s">
        <v>1245</v>
      </c>
      <c r="B1488" s="1072">
        <v>1001115</v>
      </c>
      <c r="C1488" s="1072">
        <v>340</v>
      </c>
      <c r="D1488" s="1072">
        <v>134</v>
      </c>
      <c r="E1488" s="1072">
        <f t="shared" si="23"/>
        <v>474</v>
      </c>
    </row>
    <row r="1489" spans="1:5">
      <c r="A1489" s="1072" t="s">
        <v>1245</v>
      </c>
      <c r="B1489" s="1072">
        <v>1001116</v>
      </c>
      <c r="C1489" s="1072">
        <v>269</v>
      </c>
      <c r="D1489" s="1072">
        <v>179</v>
      </c>
      <c r="E1489" s="1072">
        <f t="shared" si="23"/>
        <v>448</v>
      </c>
    </row>
    <row r="1490" spans="1:5">
      <c r="A1490" s="1072" t="s">
        <v>1245</v>
      </c>
      <c r="B1490" s="1072">
        <v>1001117</v>
      </c>
      <c r="C1490" s="1072">
        <v>230</v>
      </c>
      <c r="D1490" s="1072">
        <v>168</v>
      </c>
      <c r="E1490" s="1072">
        <f t="shared" si="23"/>
        <v>398</v>
      </c>
    </row>
    <row r="1491" spans="1:5">
      <c r="A1491" s="1072" t="s">
        <v>1245</v>
      </c>
      <c r="B1491" s="1072">
        <v>1001118</v>
      </c>
      <c r="C1491" s="1072">
        <v>243</v>
      </c>
      <c r="D1491" s="1072">
        <v>147</v>
      </c>
      <c r="E1491" s="1072">
        <f t="shared" si="23"/>
        <v>390</v>
      </c>
    </row>
    <row r="1492" spans="1:5">
      <c r="A1492" s="1072" t="s">
        <v>1245</v>
      </c>
      <c r="B1492" s="1072">
        <v>1001119</v>
      </c>
      <c r="C1492" s="1072">
        <v>376</v>
      </c>
      <c r="D1492" s="1072">
        <v>280</v>
      </c>
      <c r="E1492" s="1072">
        <f t="shared" si="23"/>
        <v>656</v>
      </c>
    </row>
    <row r="1493" spans="1:5">
      <c r="A1493" s="1072" t="s">
        <v>1245</v>
      </c>
      <c r="B1493" s="1072">
        <v>1001120</v>
      </c>
      <c r="C1493" s="1072">
        <v>358</v>
      </c>
      <c r="D1493" s="1072">
        <v>170</v>
      </c>
      <c r="E1493" s="1072">
        <f t="shared" si="23"/>
        <v>528</v>
      </c>
    </row>
    <row r="1494" spans="1:5">
      <c r="A1494" s="1072" t="s">
        <v>1245</v>
      </c>
      <c r="B1494" s="1072">
        <v>1001121</v>
      </c>
      <c r="C1494" s="1072">
        <v>323</v>
      </c>
      <c r="D1494" s="1072">
        <v>247</v>
      </c>
      <c r="E1494" s="1072">
        <f t="shared" si="23"/>
        <v>570</v>
      </c>
    </row>
    <row r="1495" spans="1:5">
      <c r="A1495" s="1072" t="s">
        <v>1245</v>
      </c>
      <c r="B1495" s="1072">
        <v>1001122</v>
      </c>
      <c r="C1495" s="1072">
        <v>275</v>
      </c>
      <c r="D1495" s="1072">
        <v>219</v>
      </c>
      <c r="E1495" s="1072">
        <f t="shared" si="23"/>
        <v>494</v>
      </c>
    </row>
    <row r="1496" spans="1:5">
      <c r="A1496" s="1072" t="s">
        <v>1245</v>
      </c>
      <c r="B1496" s="1072">
        <v>1001123</v>
      </c>
      <c r="C1496" s="1072">
        <v>268</v>
      </c>
      <c r="D1496" s="1072">
        <v>67</v>
      </c>
      <c r="E1496" s="1072">
        <f t="shared" si="23"/>
        <v>335</v>
      </c>
    </row>
    <row r="1497" spans="1:5">
      <c r="A1497" s="1072" t="s">
        <v>1245</v>
      </c>
      <c r="B1497" s="1072">
        <v>1001131</v>
      </c>
      <c r="C1497" s="1072">
        <v>126</v>
      </c>
      <c r="D1497" s="1072">
        <v>1</v>
      </c>
      <c r="E1497" s="1072">
        <f t="shared" si="23"/>
        <v>127</v>
      </c>
    </row>
    <row r="1498" spans="1:5">
      <c r="A1498" s="1072" t="s">
        <v>1245</v>
      </c>
      <c r="B1498" s="1072">
        <v>1001133</v>
      </c>
      <c r="C1498" s="1072">
        <v>318</v>
      </c>
      <c r="D1498" s="1072">
        <v>89</v>
      </c>
      <c r="E1498" s="1072">
        <f t="shared" si="23"/>
        <v>407</v>
      </c>
    </row>
    <row r="1499" spans="1:5">
      <c r="A1499" s="1072" t="s">
        <v>1245</v>
      </c>
      <c r="B1499" s="1072">
        <v>1001134</v>
      </c>
      <c r="C1499" s="1072">
        <v>316</v>
      </c>
      <c r="D1499" s="1072">
        <v>101</v>
      </c>
      <c r="E1499" s="1072">
        <f t="shared" si="23"/>
        <v>417</v>
      </c>
    </row>
    <row r="1500" spans="1:5">
      <c r="A1500" s="1072" t="s">
        <v>1245</v>
      </c>
      <c r="B1500" s="1072">
        <v>1001136</v>
      </c>
      <c r="C1500" s="1072">
        <v>557</v>
      </c>
      <c r="D1500" s="1072">
        <v>230</v>
      </c>
      <c r="E1500" s="1072">
        <f t="shared" si="23"/>
        <v>787</v>
      </c>
    </row>
    <row r="1501" spans="1:5">
      <c r="A1501" s="1072" t="s">
        <v>1245</v>
      </c>
      <c r="B1501" s="1072">
        <v>1001137</v>
      </c>
      <c r="C1501" s="1072">
        <v>877</v>
      </c>
      <c r="D1501" s="1072">
        <v>165</v>
      </c>
      <c r="E1501" s="1072">
        <f t="shared" si="23"/>
        <v>1042</v>
      </c>
    </row>
    <row r="1502" spans="1:5">
      <c r="A1502" s="1072" t="s">
        <v>1245</v>
      </c>
      <c r="B1502" s="1072">
        <v>1001140</v>
      </c>
      <c r="C1502" s="1072">
        <v>223</v>
      </c>
      <c r="D1502" s="1072">
        <v>82</v>
      </c>
      <c r="E1502" s="1072">
        <f t="shared" si="23"/>
        <v>305</v>
      </c>
    </row>
    <row r="1503" spans="1:5">
      <c r="A1503" s="1072" t="s">
        <v>1245</v>
      </c>
      <c r="B1503" s="1072">
        <v>1001141</v>
      </c>
      <c r="C1503" s="1072">
        <v>484</v>
      </c>
      <c r="D1503" s="1072">
        <v>255</v>
      </c>
      <c r="E1503" s="1072">
        <f t="shared" si="23"/>
        <v>739</v>
      </c>
    </row>
    <row r="1504" spans="1:5">
      <c r="A1504" s="1072" t="s">
        <v>1245</v>
      </c>
      <c r="B1504" s="1072">
        <v>1001142</v>
      </c>
      <c r="C1504" s="1072">
        <v>248</v>
      </c>
      <c r="D1504" s="1072">
        <v>216</v>
      </c>
      <c r="E1504" s="1072">
        <f t="shared" si="23"/>
        <v>464</v>
      </c>
    </row>
    <row r="1505" spans="1:5">
      <c r="A1505" s="1072" t="s">
        <v>1245</v>
      </c>
      <c r="B1505" s="1072">
        <v>1001143</v>
      </c>
      <c r="C1505" s="1072">
        <v>688</v>
      </c>
      <c r="D1505" s="1072">
        <v>228</v>
      </c>
      <c r="E1505" s="1072">
        <f t="shared" si="23"/>
        <v>916</v>
      </c>
    </row>
    <row r="1506" spans="1:5">
      <c r="A1506" s="1072" t="s">
        <v>1245</v>
      </c>
      <c r="B1506" s="1072">
        <v>1001144</v>
      </c>
      <c r="C1506" s="1072">
        <v>187</v>
      </c>
      <c r="D1506" s="1072">
        <v>64</v>
      </c>
      <c r="E1506" s="1072">
        <f t="shared" si="23"/>
        <v>251</v>
      </c>
    </row>
    <row r="1507" spans="1:5">
      <c r="A1507" s="1072" t="s">
        <v>1245</v>
      </c>
      <c r="B1507" s="1072">
        <v>2001201</v>
      </c>
      <c r="C1507" s="1072">
        <v>309</v>
      </c>
      <c r="D1507" s="1072">
        <v>219</v>
      </c>
      <c r="E1507" s="1072">
        <f t="shared" si="23"/>
        <v>528</v>
      </c>
    </row>
    <row r="1508" spans="1:5">
      <c r="A1508" s="1072" t="s">
        <v>1245</v>
      </c>
      <c r="B1508" s="1072">
        <v>2001202</v>
      </c>
      <c r="C1508" s="1072">
        <v>344</v>
      </c>
      <c r="D1508" s="1072">
        <v>58</v>
      </c>
      <c r="E1508" s="1072">
        <f t="shared" si="23"/>
        <v>402</v>
      </c>
    </row>
    <row r="1509" spans="1:5">
      <c r="A1509" s="1072" t="s">
        <v>1245</v>
      </c>
      <c r="B1509" s="1072">
        <v>2001206</v>
      </c>
      <c r="C1509" s="1072">
        <v>307</v>
      </c>
      <c r="D1509" s="1072">
        <v>1</v>
      </c>
      <c r="E1509" s="1072">
        <f t="shared" si="23"/>
        <v>308</v>
      </c>
    </row>
    <row r="1510" spans="1:5">
      <c r="A1510" s="1072" t="s">
        <v>1245</v>
      </c>
      <c r="B1510" s="1072">
        <v>2001207</v>
      </c>
      <c r="C1510" s="1072">
        <v>305</v>
      </c>
      <c r="D1510" s="1072">
        <v>192</v>
      </c>
      <c r="E1510" s="1072">
        <f t="shared" si="23"/>
        <v>497</v>
      </c>
    </row>
    <row r="1511" spans="1:5">
      <c r="A1511" s="1072" t="s">
        <v>1245</v>
      </c>
      <c r="B1511" s="1072">
        <v>2001208</v>
      </c>
      <c r="C1511" s="1072">
        <v>700</v>
      </c>
      <c r="D1511" s="1072">
        <v>464</v>
      </c>
      <c r="E1511" s="1072">
        <f t="shared" si="23"/>
        <v>1164</v>
      </c>
    </row>
    <row r="1512" spans="1:5">
      <c r="A1512" s="1072" t="s">
        <v>1245</v>
      </c>
      <c r="B1512" s="1072">
        <v>2001209</v>
      </c>
      <c r="C1512" s="1072">
        <v>311</v>
      </c>
      <c r="D1512" s="1072">
        <v>233</v>
      </c>
      <c r="E1512" s="1072">
        <f t="shared" si="23"/>
        <v>544</v>
      </c>
    </row>
    <row r="1513" spans="1:5">
      <c r="A1513" s="1072" t="s">
        <v>1245</v>
      </c>
      <c r="B1513" s="1072">
        <v>2001210</v>
      </c>
      <c r="C1513" s="1072">
        <v>253</v>
      </c>
      <c r="D1513" s="1072">
        <v>156</v>
      </c>
      <c r="E1513" s="1072">
        <f t="shared" si="23"/>
        <v>409</v>
      </c>
    </row>
    <row r="1514" spans="1:5">
      <c r="A1514" s="1072" t="s">
        <v>1245</v>
      </c>
      <c r="B1514" s="1072">
        <v>2001211</v>
      </c>
      <c r="C1514" s="1072">
        <v>247</v>
      </c>
      <c r="D1514" s="1072">
        <v>97</v>
      </c>
      <c r="E1514" s="1072">
        <f t="shared" si="23"/>
        <v>344</v>
      </c>
    </row>
    <row r="1515" spans="1:5">
      <c r="A1515" s="1072" t="s">
        <v>1245</v>
      </c>
      <c r="B1515" s="1072">
        <v>2001212</v>
      </c>
      <c r="C1515" s="1072">
        <v>2365</v>
      </c>
      <c r="D1515" s="1072">
        <v>2186</v>
      </c>
      <c r="E1515" s="1072">
        <f t="shared" si="23"/>
        <v>4551</v>
      </c>
    </row>
    <row r="1516" spans="1:5">
      <c r="A1516" s="1072" t="s">
        <v>1245</v>
      </c>
      <c r="B1516" s="1072">
        <v>2001213</v>
      </c>
      <c r="C1516" s="1072">
        <v>335</v>
      </c>
      <c r="D1516" s="1072">
        <v>243</v>
      </c>
      <c r="E1516" s="1072">
        <f t="shared" si="23"/>
        <v>578</v>
      </c>
    </row>
    <row r="1517" spans="1:5">
      <c r="A1517" s="1072" t="s">
        <v>1245</v>
      </c>
      <c r="B1517" s="1072">
        <v>2001214</v>
      </c>
      <c r="C1517" s="1072">
        <v>453</v>
      </c>
      <c r="D1517" s="1072">
        <v>238</v>
      </c>
      <c r="E1517" s="1072">
        <f t="shared" si="23"/>
        <v>691</v>
      </c>
    </row>
    <row r="1518" spans="1:5">
      <c r="A1518" s="1072" t="s">
        <v>1245</v>
      </c>
      <c r="B1518" s="1072">
        <v>2001215</v>
      </c>
      <c r="C1518" s="1072">
        <v>411</v>
      </c>
      <c r="D1518" s="1072">
        <v>88</v>
      </c>
      <c r="E1518" s="1072">
        <f t="shared" si="23"/>
        <v>499</v>
      </c>
    </row>
    <row r="1519" spans="1:5">
      <c r="A1519" s="1072" t="s">
        <v>1245</v>
      </c>
      <c r="B1519" s="1072">
        <v>2001216</v>
      </c>
      <c r="C1519" s="1072">
        <v>108</v>
      </c>
      <c r="D1519" s="1072">
        <v>93</v>
      </c>
      <c r="E1519" s="1072">
        <f t="shared" si="23"/>
        <v>201</v>
      </c>
    </row>
    <row r="1520" spans="1:5">
      <c r="A1520" s="1072" t="s">
        <v>1245</v>
      </c>
      <c r="B1520" s="1072">
        <v>2001217</v>
      </c>
      <c r="C1520" s="1072">
        <v>181</v>
      </c>
      <c r="D1520" s="1072">
        <v>119</v>
      </c>
      <c r="E1520" s="1072">
        <f t="shared" si="23"/>
        <v>300</v>
      </c>
    </row>
    <row r="1521" spans="1:5">
      <c r="A1521" s="1072" t="s">
        <v>1245</v>
      </c>
      <c r="B1521" s="1072">
        <v>2001218</v>
      </c>
      <c r="C1521" s="1072">
        <v>308</v>
      </c>
      <c r="D1521" s="1072">
        <v>232</v>
      </c>
      <c r="E1521" s="1072">
        <f t="shared" si="23"/>
        <v>540</v>
      </c>
    </row>
    <row r="1522" spans="1:5">
      <c r="A1522" s="1072" t="s">
        <v>1245</v>
      </c>
      <c r="B1522" s="1072">
        <v>2001219</v>
      </c>
      <c r="C1522" s="1072">
        <v>172</v>
      </c>
      <c r="D1522" s="1072">
        <v>93</v>
      </c>
      <c r="E1522" s="1072">
        <f t="shared" si="23"/>
        <v>265</v>
      </c>
    </row>
    <row r="1523" spans="1:5">
      <c r="A1523" s="1072" t="s">
        <v>1245</v>
      </c>
      <c r="B1523" s="1072">
        <v>2001220</v>
      </c>
      <c r="C1523" s="1072">
        <v>314</v>
      </c>
      <c r="D1523" s="1072">
        <v>59</v>
      </c>
      <c r="E1523" s="1072">
        <f t="shared" si="23"/>
        <v>373</v>
      </c>
    </row>
    <row r="1524" spans="1:5">
      <c r="A1524" s="1072" t="s">
        <v>1245</v>
      </c>
      <c r="B1524" s="1072">
        <v>2001221</v>
      </c>
      <c r="C1524" s="1072">
        <v>228</v>
      </c>
      <c r="D1524" s="1072">
        <v>104</v>
      </c>
      <c r="E1524" s="1072">
        <f t="shared" si="23"/>
        <v>332</v>
      </c>
    </row>
    <row r="1525" spans="1:5">
      <c r="A1525" s="1072" t="s">
        <v>1245</v>
      </c>
      <c r="B1525" s="1072">
        <v>2001222</v>
      </c>
      <c r="C1525" s="1072">
        <v>278</v>
      </c>
      <c r="D1525" s="1072">
        <v>147</v>
      </c>
      <c r="E1525" s="1072">
        <f t="shared" si="23"/>
        <v>425</v>
      </c>
    </row>
    <row r="1526" spans="1:5">
      <c r="A1526" s="1072" t="s">
        <v>1245</v>
      </c>
      <c r="B1526" s="1072">
        <v>2001226</v>
      </c>
      <c r="C1526" s="1072">
        <v>195</v>
      </c>
      <c r="D1526" s="1072">
        <v>9</v>
      </c>
      <c r="E1526" s="1072">
        <f t="shared" si="23"/>
        <v>204</v>
      </c>
    </row>
    <row r="1527" spans="1:5">
      <c r="A1527" s="1072" t="s">
        <v>1245</v>
      </c>
      <c r="B1527" s="1072">
        <v>2001227</v>
      </c>
      <c r="C1527" s="1072">
        <v>165</v>
      </c>
      <c r="D1527" s="1072">
        <v>71</v>
      </c>
      <c r="E1527" s="1072">
        <f t="shared" si="23"/>
        <v>236</v>
      </c>
    </row>
    <row r="1528" spans="1:5">
      <c r="A1528" s="1072" t="s">
        <v>1245</v>
      </c>
      <c r="B1528" s="1072">
        <v>2001228</v>
      </c>
      <c r="C1528" s="1072">
        <v>288</v>
      </c>
      <c r="D1528" s="1072">
        <v>150</v>
      </c>
      <c r="E1528" s="1072">
        <f t="shared" si="23"/>
        <v>438</v>
      </c>
    </row>
    <row r="1529" spans="1:5">
      <c r="A1529" s="1072" t="s">
        <v>1245</v>
      </c>
      <c r="B1529" s="1072">
        <v>2001229</v>
      </c>
      <c r="C1529" s="1072">
        <v>226</v>
      </c>
      <c r="D1529" s="1072">
        <v>224</v>
      </c>
      <c r="E1529" s="1072">
        <f t="shared" si="23"/>
        <v>450</v>
      </c>
    </row>
    <row r="1530" spans="1:5">
      <c r="A1530" s="1072" t="s">
        <v>1245</v>
      </c>
      <c r="B1530" s="1072">
        <v>2001230</v>
      </c>
      <c r="C1530" s="1072">
        <v>339</v>
      </c>
      <c r="D1530" s="1072">
        <v>288</v>
      </c>
      <c r="E1530" s="1072">
        <f t="shared" si="23"/>
        <v>627</v>
      </c>
    </row>
    <row r="1531" spans="1:5">
      <c r="A1531" s="1072" t="s">
        <v>1245</v>
      </c>
      <c r="B1531" s="1072">
        <v>2001231</v>
      </c>
      <c r="C1531" s="1072">
        <v>484</v>
      </c>
      <c r="D1531" s="1072">
        <v>339</v>
      </c>
      <c r="E1531" s="1072">
        <f t="shared" si="23"/>
        <v>823</v>
      </c>
    </row>
    <row r="1532" spans="1:5">
      <c r="A1532" s="1072" t="s">
        <v>1245</v>
      </c>
      <c r="B1532" s="1072">
        <v>2001232</v>
      </c>
      <c r="C1532" s="1072">
        <v>449</v>
      </c>
      <c r="D1532" s="1072">
        <v>365</v>
      </c>
      <c r="E1532" s="1072">
        <f t="shared" si="23"/>
        <v>814</v>
      </c>
    </row>
    <row r="1533" spans="1:5">
      <c r="A1533" s="1072" t="s">
        <v>1245</v>
      </c>
      <c r="B1533" s="1072">
        <v>2001233</v>
      </c>
      <c r="C1533" s="1072">
        <v>739</v>
      </c>
      <c r="D1533" s="1072">
        <v>599</v>
      </c>
      <c r="E1533" s="1072">
        <f t="shared" si="23"/>
        <v>1338</v>
      </c>
    </row>
    <row r="1534" spans="1:5">
      <c r="A1534" s="1072" t="s">
        <v>1245</v>
      </c>
      <c r="B1534" s="1072">
        <v>2001234</v>
      </c>
      <c r="C1534" s="1072">
        <v>826</v>
      </c>
      <c r="D1534" s="1072">
        <v>443</v>
      </c>
      <c r="E1534" s="1072">
        <f t="shared" si="23"/>
        <v>1269</v>
      </c>
    </row>
    <row r="1535" spans="1:5">
      <c r="A1535" s="1072" t="s">
        <v>1245</v>
      </c>
      <c r="B1535" s="1072">
        <v>2001235</v>
      </c>
      <c r="C1535" s="1072">
        <v>262</v>
      </c>
      <c r="D1535" s="1072">
        <v>131</v>
      </c>
      <c r="E1535" s="1072">
        <f t="shared" si="23"/>
        <v>393</v>
      </c>
    </row>
    <row r="1536" spans="1:5">
      <c r="A1536" s="1072" t="s">
        <v>1245</v>
      </c>
      <c r="B1536" s="1072">
        <v>2001237</v>
      </c>
      <c r="C1536" s="1072">
        <v>469</v>
      </c>
      <c r="D1536" s="1072">
        <v>218</v>
      </c>
      <c r="E1536" s="1072">
        <f t="shared" si="23"/>
        <v>687</v>
      </c>
    </row>
    <row r="1537" spans="1:5">
      <c r="A1537" s="1072" t="s">
        <v>1245</v>
      </c>
      <c r="B1537" s="1072">
        <v>2001238</v>
      </c>
      <c r="C1537" s="1072">
        <v>447</v>
      </c>
      <c r="D1537" s="1072">
        <v>431</v>
      </c>
      <c r="E1537" s="1072">
        <f t="shared" si="23"/>
        <v>878</v>
      </c>
    </row>
    <row r="1538" spans="1:5">
      <c r="A1538" s="1072" t="s">
        <v>1245</v>
      </c>
      <c r="B1538" s="1072">
        <v>2001240</v>
      </c>
      <c r="C1538" s="1072">
        <v>562</v>
      </c>
      <c r="D1538" s="1072">
        <v>70</v>
      </c>
      <c r="E1538" s="1072">
        <f t="shared" ref="E1538:E1601" si="24">C1538+D1538</f>
        <v>632</v>
      </c>
    </row>
    <row r="1539" spans="1:5">
      <c r="A1539" s="1072" t="s">
        <v>1245</v>
      </c>
      <c r="B1539" s="1072">
        <v>2001899</v>
      </c>
      <c r="C1539" s="1072">
        <v>33</v>
      </c>
      <c r="D1539" s="1072">
        <v>28</v>
      </c>
      <c r="E1539" s="1072">
        <f t="shared" si="24"/>
        <v>61</v>
      </c>
    </row>
    <row r="1540" spans="1:5">
      <c r="A1540" s="1072" t="s">
        <v>1245</v>
      </c>
      <c r="B1540" s="1072">
        <v>3001101</v>
      </c>
      <c r="C1540" s="1072">
        <v>287</v>
      </c>
      <c r="D1540" s="1072">
        <v>209</v>
      </c>
      <c r="E1540" s="1072">
        <f t="shared" si="24"/>
        <v>496</v>
      </c>
    </row>
    <row r="1541" spans="1:5">
      <c r="A1541" s="1072" t="s">
        <v>1245</v>
      </c>
      <c r="B1541" s="1072">
        <v>3001102</v>
      </c>
      <c r="C1541" s="1072">
        <v>569</v>
      </c>
      <c r="D1541" s="1072">
        <v>322</v>
      </c>
      <c r="E1541" s="1072">
        <f t="shared" si="24"/>
        <v>891</v>
      </c>
    </row>
    <row r="1542" spans="1:5">
      <c r="A1542" s="1072" t="s">
        <v>1245</v>
      </c>
      <c r="B1542" s="1072">
        <v>3001103</v>
      </c>
      <c r="C1542" s="1072">
        <v>236</v>
      </c>
      <c r="D1542" s="1072">
        <v>93</v>
      </c>
      <c r="E1542" s="1072">
        <f t="shared" si="24"/>
        <v>329</v>
      </c>
    </row>
    <row r="1543" spans="1:5">
      <c r="A1543" s="1072" t="s">
        <v>1245</v>
      </c>
      <c r="B1543" s="1072">
        <v>3001104</v>
      </c>
      <c r="C1543" s="1072">
        <v>334</v>
      </c>
      <c r="D1543" s="1072">
        <v>262</v>
      </c>
      <c r="E1543" s="1072">
        <f t="shared" si="24"/>
        <v>596</v>
      </c>
    </row>
    <row r="1544" spans="1:5">
      <c r="A1544" s="1072" t="s">
        <v>1245</v>
      </c>
      <c r="B1544" s="1072">
        <v>3001105</v>
      </c>
      <c r="C1544" s="1072">
        <v>494</v>
      </c>
      <c r="D1544" s="1072">
        <v>345</v>
      </c>
      <c r="E1544" s="1072">
        <f t="shared" si="24"/>
        <v>839</v>
      </c>
    </row>
    <row r="1545" spans="1:5">
      <c r="A1545" s="1072" t="s">
        <v>1245</v>
      </c>
      <c r="B1545" s="1072">
        <v>3001106</v>
      </c>
      <c r="C1545" s="1072">
        <v>539</v>
      </c>
      <c r="D1545" s="1072">
        <v>493</v>
      </c>
      <c r="E1545" s="1072">
        <f t="shared" si="24"/>
        <v>1032</v>
      </c>
    </row>
    <row r="1546" spans="1:5">
      <c r="A1546" s="1072" t="s">
        <v>1245</v>
      </c>
      <c r="B1546" s="1072">
        <v>3001107</v>
      </c>
      <c r="C1546" s="1072">
        <v>444</v>
      </c>
      <c r="D1546" s="1072">
        <v>417</v>
      </c>
      <c r="E1546" s="1072">
        <f t="shared" si="24"/>
        <v>861</v>
      </c>
    </row>
    <row r="1547" spans="1:5">
      <c r="A1547" s="1072" t="s">
        <v>1245</v>
      </c>
      <c r="B1547" s="1072">
        <v>3001108</v>
      </c>
      <c r="C1547" s="1072">
        <v>541</v>
      </c>
      <c r="D1547" s="1072">
        <v>349</v>
      </c>
      <c r="E1547" s="1072">
        <f t="shared" si="24"/>
        <v>890</v>
      </c>
    </row>
    <row r="1548" spans="1:5">
      <c r="A1548" s="1072" t="s">
        <v>1245</v>
      </c>
      <c r="B1548" s="1072">
        <v>3001109</v>
      </c>
      <c r="C1548" s="1072">
        <v>349</v>
      </c>
      <c r="D1548" s="1072">
        <v>163</v>
      </c>
      <c r="E1548" s="1072">
        <f t="shared" si="24"/>
        <v>512</v>
      </c>
    </row>
    <row r="1549" spans="1:5">
      <c r="A1549" s="1072" t="s">
        <v>1245</v>
      </c>
      <c r="B1549" s="1072">
        <v>3001110</v>
      </c>
      <c r="C1549" s="1072">
        <v>621</v>
      </c>
      <c r="D1549" s="1072">
        <v>49</v>
      </c>
      <c r="E1549" s="1072">
        <f t="shared" si="24"/>
        <v>670</v>
      </c>
    </row>
    <row r="1550" spans="1:5">
      <c r="A1550" s="1072" t="s">
        <v>1245</v>
      </c>
      <c r="B1550" s="1072">
        <v>3001112</v>
      </c>
      <c r="C1550" s="1072">
        <v>689</v>
      </c>
      <c r="D1550" s="1072">
        <v>587</v>
      </c>
      <c r="E1550" s="1072">
        <f t="shared" si="24"/>
        <v>1276</v>
      </c>
    </row>
    <row r="1551" spans="1:5">
      <c r="A1551" s="1072" t="s">
        <v>1245</v>
      </c>
      <c r="B1551" s="1072">
        <v>3001113</v>
      </c>
      <c r="C1551" s="1072">
        <v>1393</v>
      </c>
      <c r="D1551" s="1072">
        <v>876</v>
      </c>
      <c r="E1551" s="1072">
        <f t="shared" si="24"/>
        <v>2269</v>
      </c>
    </row>
    <row r="1552" spans="1:5">
      <c r="A1552" s="1072" t="s">
        <v>1245</v>
      </c>
      <c r="B1552" s="1072">
        <v>3001114</v>
      </c>
      <c r="C1552" s="1072">
        <v>302</v>
      </c>
      <c r="D1552" s="1072">
        <v>225</v>
      </c>
      <c r="E1552" s="1072">
        <f t="shared" si="24"/>
        <v>527</v>
      </c>
    </row>
    <row r="1553" spans="1:5">
      <c r="A1553" s="1072" t="s">
        <v>1245</v>
      </c>
      <c r="B1553" s="1072">
        <v>3001115</v>
      </c>
      <c r="C1553" s="1072">
        <v>547</v>
      </c>
      <c r="D1553" s="1072">
        <v>345</v>
      </c>
      <c r="E1553" s="1072">
        <f t="shared" si="24"/>
        <v>892</v>
      </c>
    </row>
    <row r="1554" spans="1:5">
      <c r="A1554" s="1072" t="s">
        <v>1245</v>
      </c>
      <c r="B1554" s="1072">
        <v>3001116</v>
      </c>
      <c r="C1554" s="1072">
        <v>578</v>
      </c>
      <c r="D1554" s="1072">
        <v>199</v>
      </c>
      <c r="E1554" s="1072">
        <f t="shared" si="24"/>
        <v>777</v>
      </c>
    </row>
    <row r="1555" spans="1:5">
      <c r="A1555" s="1072" t="s">
        <v>1245</v>
      </c>
      <c r="B1555" s="1072">
        <v>3001117</v>
      </c>
      <c r="C1555" s="1072">
        <v>353</v>
      </c>
      <c r="D1555" s="1072">
        <v>285</v>
      </c>
      <c r="E1555" s="1072">
        <f t="shared" si="24"/>
        <v>638</v>
      </c>
    </row>
    <row r="1556" spans="1:5">
      <c r="A1556" s="1072" t="s">
        <v>1245</v>
      </c>
      <c r="B1556" s="1072">
        <v>3001118</v>
      </c>
      <c r="C1556" s="1072">
        <v>535</v>
      </c>
      <c r="D1556" s="1072">
        <v>514</v>
      </c>
      <c r="E1556" s="1072">
        <f t="shared" si="24"/>
        <v>1049</v>
      </c>
    </row>
    <row r="1557" spans="1:5">
      <c r="A1557" s="1072" t="s">
        <v>1245</v>
      </c>
      <c r="B1557" s="1072">
        <v>3001119</v>
      </c>
      <c r="C1557" s="1072">
        <v>332</v>
      </c>
      <c r="D1557" s="1072">
        <v>309</v>
      </c>
      <c r="E1557" s="1072">
        <f t="shared" si="24"/>
        <v>641</v>
      </c>
    </row>
    <row r="1558" spans="1:5">
      <c r="A1558" s="1072" t="s">
        <v>1245</v>
      </c>
      <c r="B1558" s="1072">
        <v>3001121</v>
      </c>
      <c r="C1558" s="1072">
        <v>717</v>
      </c>
      <c r="D1558" s="1072">
        <v>222</v>
      </c>
      <c r="E1558" s="1072">
        <f t="shared" si="24"/>
        <v>939</v>
      </c>
    </row>
    <row r="1559" spans="1:5">
      <c r="A1559" s="1072" t="s">
        <v>1245</v>
      </c>
      <c r="B1559" s="1072">
        <v>3001122</v>
      </c>
      <c r="C1559" s="1072">
        <v>321</v>
      </c>
      <c r="D1559" s="1072">
        <v>227</v>
      </c>
      <c r="E1559" s="1072">
        <f t="shared" si="24"/>
        <v>548</v>
      </c>
    </row>
    <row r="1560" spans="1:5">
      <c r="A1560" s="1072" t="s">
        <v>1245</v>
      </c>
      <c r="B1560" s="1072">
        <v>3001123</v>
      </c>
      <c r="C1560" s="1072">
        <v>463</v>
      </c>
      <c r="D1560" s="1072">
        <v>108</v>
      </c>
      <c r="E1560" s="1072">
        <f t="shared" si="24"/>
        <v>571</v>
      </c>
    </row>
    <row r="1561" spans="1:5">
      <c r="A1561" s="1072" t="s">
        <v>1245</v>
      </c>
      <c r="B1561" s="1072">
        <v>3001125</v>
      </c>
      <c r="C1561" s="1072">
        <v>272</v>
      </c>
      <c r="D1561" s="1072">
        <v>117</v>
      </c>
      <c r="E1561" s="1072">
        <f t="shared" si="24"/>
        <v>389</v>
      </c>
    </row>
    <row r="1562" spans="1:5">
      <c r="A1562" s="1072" t="s">
        <v>1245</v>
      </c>
      <c r="B1562" s="1072">
        <v>3001126</v>
      </c>
      <c r="C1562" s="1072">
        <v>231</v>
      </c>
      <c r="D1562" s="1072">
        <v>145</v>
      </c>
      <c r="E1562" s="1072">
        <f t="shared" si="24"/>
        <v>376</v>
      </c>
    </row>
    <row r="1563" spans="1:5">
      <c r="A1563" s="1072" t="s">
        <v>1245</v>
      </c>
      <c r="B1563" s="1072">
        <v>3001127</v>
      </c>
      <c r="C1563" s="1072">
        <v>267</v>
      </c>
      <c r="D1563" s="1072">
        <v>205</v>
      </c>
      <c r="E1563" s="1072">
        <f t="shared" si="24"/>
        <v>472</v>
      </c>
    </row>
    <row r="1564" spans="1:5">
      <c r="A1564" s="1072" t="s">
        <v>1245</v>
      </c>
      <c r="B1564" s="1072">
        <v>3001128</v>
      </c>
      <c r="C1564" s="1072">
        <v>339</v>
      </c>
      <c r="D1564" s="1072">
        <v>209</v>
      </c>
      <c r="E1564" s="1072">
        <f t="shared" si="24"/>
        <v>548</v>
      </c>
    </row>
    <row r="1565" spans="1:5">
      <c r="A1565" s="1072" t="s">
        <v>1245</v>
      </c>
      <c r="B1565" s="1072">
        <v>3001129</v>
      </c>
      <c r="C1565" s="1072">
        <v>349</v>
      </c>
      <c r="D1565" s="1072">
        <v>278</v>
      </c>
      <c r="E1565" s="1072">
        <f t="shared" si="24"/>
        <v>627</v>
      </c>
    </row>
    <row r="1566" spans="1:5">
      <c r="A1566" s="1072" t="s">
        <v>1245</v>
      </c>
      <c r="B1566" s="1072">
        <v>3001131</v>
      </c>
      <c r="C1566" s="1072">
        <v>390</v>
      </c>
      <c r="D1566" s="1072">
        <v>132</v>
      </c>
      <c r="E1566" s="1072">
        <f t="shared" si="24"/>
        <v>522</v>
      </c>
    </row>
    <row r="1567" spans="1:5">
      <c r="A1567" s="1072" t="s">
        <v>1245</v>
      </c>
      <c r="B1567" s="1072">
        <v>3001132</v>
      </c>
      <c r="C1567" s="1072">
        <v>765</v>
      </c>
      <c r="D1567" s="1072">
        <v>391</v>
      </c>
      <c r="E1567" s="1072">
        <f t="shared" si="24"/>
        <v>1156</v>
      </c>
    </row>
    <row r="1568" spans="1:5">
      <c r="A1568" s="1072" t="s">
        <v>1245</v>
      </c>
      <c r="B1568" s="1072">
        <v>3001133</v>
      </c>
      <c r="C1568" s="1072">
        <v>840</v>
      </c>
      <c r="D1568" s="1072">
        <v>153</v>
      </c>
      <c r="E1568" s="1072">
        <f t="shared" si="24"/>
        <v>993</v>
      </c>
    </row>
    <row r="1569" spans="1:5">
      <c r="A1569" s="1072" t="s">
        <v>1245</v>
      </c>
      <c r="B1569" s="1072">
        <v>3001134</v>
      </c>
      <c r="C1569" s="1072">
        <v>356</v>
      </c>
      <c r="D1569" s="1072">
        <v>205</v>
      </c>
      <c r="E1569" s="1072">
        <f t="shared" si="24"/>
        <v>561</v>
      </c>
    </row>
    <row r="1570" spans="1:5">
      <c r="A1570" s="1072" t="s">
        <v>1245</v>
      </c>
      <c r="B1570" s="1072">
        <v>3001135</v>
      </c>
      <c r="C1570" s="1072">
        <v>433</v>
      </c>
      <c r="D1570" s="1072">
        <v>165</v>
      </c>
      <c r="E1570" s="1072">
        <f t="shared" si="24"/>
        <v>598</v>
      </c>
    </row>
    <row r="1571" spans="1:5">
      <c r="A1571" s="1072" t="s">
        <v>1245</v>
      </c>
      <c r="B1571" s="1072">
        <v>3001136</v>
      </c>
      <c r="C1571" s="1072">
        <v>270</v>
      </c>
      <c r="D1571" s="1072">
        <v>209</v>
      </c>
      <c r="E1571" s="1072">
        <f t="shared" si="24"/>
        <v>479</v>
      </c>
    </row>
    <row r="1572" spans="1:5">
      <c r="A1572" s="1072" t="s">
        <v>1245</v>
      </c>
      <c r="B1572" s="1072">
        <v>3001137</v>
      </c>
      <c r="C1572" s="1072">
        <v>404</v>
      </c>
      <c r="D1572" s="1072">
        <v>250</v>
      </c>
      <c r="E1572" s="1072">
        <f t="shared" si="24"/>
        <v>654</v>
      </c>
    </row>
    <row r="1573" spans="1:5">
      <c r="A1573" s="1072" t="s">
        <v>1245</v>
      </c>
      <c r="B1573" s="1072">
        <v>3001138</v>
      </c>
      <c r="C1573" s="1072">
        <v>390</v>
      </c>
      <c r="D1573" s="1072">
        <v>164</v>
      </c>
      <c r="E1573" s="1072">
        <f t="shared" si="24"/>
        <v>554</v>
      </c>
    </row>
    <row r="1574" spans="1:5">
      <c r="A1574" s="1072" t="s">
        <v>1245</v>
      </c>
      <c r="B1574" s="1072">
        <v>3001139</v>
      </c>
      <c r="C1574" s="1072">
        <v>677</v>
      </c>
      <c r="D1574" s="1072">
        <v>185</v>
      </c>
      <c r="E1574" s="1072">
        <f t="shared" si="24"/>
        <v>862</v>
      </c>
    </row>
    <row r="1575" spans="1:5">
      <c r="A1575" s="1072" t="s">
        <v>1245</v>
      </c>
      <c r="B1575" s="1072">
        <v>3001140</v>
      </c>
      <c r="C1575" s="1072">
        <v>267</v>
      </c>
      <c r="D1575" s="1072">
        <v>121</v>
      </c>
      <c r="E1575" s="1072">
        <f t="shared" si="24"/>
        <v>388</v>
      </c>
    </row>
    <row r="1576" spans="1:5">
      <c r="A1576" s="1072" t="s">
        <v>1245</v>
      </c>
      <c r="B1576" s="1072">
        <v>3001141</v>
      </c>
      <c r="C1576" s="1072">
        <v>394</v>
      </c>
      <c r="D1576" s="1072">
        <v>289</v>
      </c>
      <c r="E1576" s="1072">
        <f t="shared" si="24"/>
        <v>683</v>
      </c>
    </row>
    <row r="1577" spans="1:5">
      <c r="A1577" s="1072" t="s">
        <v>1245</v>
      </c>
      <c r="B1577" s="1072">
        <v>3001142</v>
      </c>
      <c r="C1577" s="1072">
        <v>287</v>
      </c>
      <c r="D1577" s="1072">
        <v>234</v>
      </c>
      <c r="E1577" s="1072">
        <f t="shared" si="24"/>
        <v>521</v>
      </c>
    </row>
    <row r="1578" spans="1:5">
      <c r="A1578" s="1072" t="s">
        <v>1245</v>
      </c>
      <c r="B1578" s="1072">
        <v>3001143</v>
      </c>
      <c r="C1578" s="1072">
        <v>373</v>
      </c>
      <c r="D1578" s="1072">
        <v>199</v>
      </c>
      <c r="E1578" s="1072">
        <f t="shared" si="24"/>
        <v>572</v>
      </c>
    </row>
    <row r="1579" spans="1:5">
      <c r="A1579" s="1072" t="s">
        <v>1245</v>
      </c>
      <c r="B1579" s="1072">
        <v>3001144</v>
      </c>
      <c r="C1579" s="1072">
        <v>316</v>
      </c>
      <c r="D1579" s="1072">
        <v>210</v>
      </c>
      <c r="E1579" s="1072">
        <f t="shared" si="24"/>
        <v>526</v>
      </c>
    </row>
    <row r="1580" spans="1:5">
      <c r="A1580" s="1072" t="s">
        <v>1245</v>
      </c>
      <c r="B1580" s="1072">
        <v>3001145</v>
      </c>
      <c r="C1580" s="1072">
        <v>368</v>
      </c>
      <c r="D1580" s="1072">
        <v>254</v>
      </c>
      <c r="E1580" s="1072">
        <f t="shared" si="24"/>
        <v>622</v>
      </c>
    </row>
    <row r="1581" spans="1:5">
      <c r="A1581" s="1072" t="s">
        <v>1245</v>
      </c>
      <c r="B1581" s="1072">
        <v>3001147</v>
      </c>
      <c r="C1581" s="1072">
        <v>167</v>
      </c>
      <c r="D1581" s="1072">
        <v>56</v>
      </c>
      <c r="E1581" s="1072">
        <f t="shared" si="24"/>
        <v>223</v>
      </c>
    </row>
    <row r="1582" spans="1:5">
      <c r="A1582" s="1072" t="s">
        <v>1245</v>
      </c>
      <c r="B1582" s="1072">
        <v>3001149</v>
      </c>
      <c r="C1582" s="1072">
        <v>430</v>
      </c>
      <c r="D1582" s="1072">
        <v>92</v>
      </c>
      <c r="E1582" s="1072">
        <f t="shared" si="24"/>
        <v>522</v>
      </c>
    </row>
    <row r="1583" spans="1:5">
      <c r="A1583" s="1072" t="s">
        <v>1245</v>
      </c>
      <c r="B1583" s="1072">
        <v>4001101</v>
      </c>
      <c r="C1583" s="1072">
        <v>847</v>
      </c>
      <c r="D1583" s="1072">
        <v>524</v>
      </c>
      <c r="E1583" s="1072">
        <f t="shared" si="24"/>
        <v>1371</v>
      </c>
    </row>
    <row r="1584" spans="1:5">
      <c r="A1584" s="1072" t="s">
        <v>1245</v>
      </c>
      <c r="B1584" s="1072">
        <v>4001102</v>
      </c>
      <c r="C1584" s="1072">
        <v>1038</v>
      </c>
      <c r="D1584" s="1072">
        <v>520</v>
      </c>
      <c r="E1584" s="1072">
        <f t="shared" si="24"/>
        <v>1558</v>
      </c>
    </row>
    <row r="1585" spans="1:5">
      <c r="A1585" s="1072" t="s">
        <v>1245</v>
      </c>
      <c r="B1585" s="1072">
        <v>4001103</v>
      </c>
      <c r="C1585" s="1072">
        <v>353</v>
      </c>
      <c r="D1585" s="1072">
        <v>272</v>
      </c>
      <c r="E1585" s="1072">
        <f t="shared" si="24"/>
        <v>625</v>
      </c>
    </row>
    <row r="1586" spans="1:5">
      <c r="A1586" s="1072" t="s">
        <v>1245</v>
      </c>
      <c r="B1586" s="1072">
        <v>4001104</v>
      </c>
      <c r="C1586" s="1072">
        <v>333</v>
      </c>
      <c r="D1586" s="1072">
        <v>217</v>
      </c>
      <c r="E1586" s="1072">
        <f t="shared" si="24"/>
        <v>550</v>
      </c>
    </row>
    <row r="1587" spans="1:5">
      <c r="A1587" s="1072" t="s">
        <v>1245</v>
      </c>
      <c r="B1587" s="1072">
        <v>4001105</v>
      </c>
      <c r="C1587" s="1072">
        <v>459</v>
      </c>
      <c r="D1587" s="1072">
        <v>399</v>
      </c>
      <c r="E1587" s="1072">
        <f t="shared" si="24"/>
        <v>858</v>
      </c>
    </row>
    <row r="1588" spans="1:5">
      <c r="A1588" s="1072" t="s">
        <v>1245</v>
      </c>
      <c r="B1588" s="1072">
        <v>4001106</v>
      </c>
      <c r="C1588" s="1072">
        <v>491</v>
      </c>
      <c r="D1588" s="1072">
        <v>120</v>
      </c>
      <c r="E1588" s="1072">
        <f t="shared" si="24"/>
        <v>611</v>
      </c>
    </row>
    <row r="1589" spans="1:5">
      <c r="A1589" s="1072" t="s">
        <v>1245</v>
      </c>
      <c r="B1589" s="1072">
        <v>4001107</v>
      </c>
      <c r="C1589" s="1072">
        <v>494</v>
      </c>
      <c r="D1589" s="1072">
        <v>128</v>
      </c>
      <c r="E1589" s="1072">
        <f t="shared" si="24"/>
        <v>622</v>
      </c>
    </row>
    <row r="1590" spans="1:5">
      <c r="A1590" s="1072" t="s">
        <v>1245</v>
      </c>
      <c r="B1590" s="1072">
        <v>4001109</v>
      </c>
      <c r="C1590" s="1072">
        <v>283</v>
      </c>
      <c r="D1590" s="1072">
        <v>92</v>
      </c>
      <c r="E1590" s="1072">
        <f t="shared" si="24"/>
        <v>375</v>
      </c>
    </row>
    <row r="1591" spans="1:5">
      <c r="A1591" s="1072" t="s">
        <v>1245</v>
      </c>
      <c r="B1591" s="1072">
        <v>4001110</v>
      </c>
      <c r="C1591" s="1072">
        <v>394</v>
      </c>
      <c r="D1591" s="1072">
        <v>160</v>
      </c>
      <c r="E1591" s="1072">
        <f t="shared" si="24"/>
        <v>554</v>
      </c>
    </row>
    <row r="1592" spans="1:5">
      <c r="A1592" s="1072" t="s">
        <v>1245</v>
      </c>
      <c r="B1592" s="1072">
        <v>4001111</v>
      </c>
      <c r="C1592" s="1072">
        <v>504</v>
      </c>
      <c r="D1592" s="1072">
        <v>421</v>
      </c>
      <c r="E1592" s="1072">
        <f t="shared" si="24"/>
        <v>925</v>
      </c>
    </row>
    <row r="1593" spans="1:5">
      <c r="A1593" s="1072" t="s">
        <v>1245</v>
      </c>
      <c r="B1593" s="1072">
        <v>4001112</v>
      </c>
      <c r="C1593" s="1072">
        <v>248</v>
      </c>
      <c r="D1593" s="1072">
        <v>206</v>
      </c>
      <c r="E1593" s="1072">
        <f t="shared" si="24"/>
        <v>454</v>
      </c>
    </row>
    <row r="1594" spans="1:5">
      <c r="A1594" s="1072" t="s">
        <v>1245</v>
      </c>
      <c r="B1594" s="1072">
        <v>4001113</v>
      </c>
      <c r="C1594" s="1072">
        <v>783</v>
      </c>
      <c r="D1594" s="1072">
        <v>385</v>
      </c>
      <c r="E1594" s="1072">
        <f t="shared" si="24"/>
        <v>1168</v>
      </c>
    </row>
    <row r="1595" spans="1:5">
      <c r="A1595" s="1072" t="s">
        <v>1245</v>
      </c>
      <c r="B1595" s="1072">
        <v>4001114</v>
      </c>
      <c r="C1595" s="1072">
        <v>634</v>
      </c>
      <c r="D1595" s="1072">
        <v>571</v>
      </c>
      <c r="E1595" s="1072">
        <f t="shared" si="24"/>
        <v>1205</v>
      </c>
    </row>
    <row r="1596" spans="1:5">
      <c r="A1596" s="1072" t="s">
        <v>1245</v>
      </c>
      <c r="B1596" s="1072">
        <v>4001115</v>
      </c>
      <c r="C1596" s="1072">
        <v>365</v>
      </c>
      <c r="D1596" s="1072">
        <v>323</v>
      </c>
      <c r="E1596" s="1072">
        <f t="shared" si="24"/>
        <v>688</v>
      </c>
    </row>
    <row r="1597" spans="1:5">
      <c r="A1597" s="1072" t="s">
        <v>1245</v>
      </c>
      <c r="B1597" s="1072">
        <v>4001116</v>
      </c>
      <c r="C1597" s="1072">
        <v>322</v>
      </c>
      <c r="D1597" s="1072">
        <v>271</v>
      </c>
      <c r="E1597" s="1072">
        <f t="shared" si="24"/>
        <v>593</v>
      </c>
    </row>
    <row r="1598" spans="1:5">
      <c r="A1598" s="1072" t="s">
        <v>1245</v>
      </c>
      <c r="B1598" s="1072">
        <v>4001117</v>
      </c>
      <c r="C1598" s="1072">
        <v>715</v>
      </c>
      <c r="D1598" s="1072">
        <v>251</v>
      </c>
      <c r="E1598" s="1072">
        <f t="shared" si="24"/>
        <v>966</v>
      </c>
    </row>
    <row r="1599" spans="1:5">
      <c r="A1599" s="1072" t="s">
        <v>1245</v>
      </c>
      <c r="B1599" s="1072">
        <v>4001118</v>
      </c>
      <c r="C1599" s="1072">
        <v>520</v>
      </c>
      <c r="D1599" s="1072">
        <v>333</v>
      </c>
      <c r="E1599" s="1072">
        <f t="shared" si="24"/>
        <v>853</v>
      </c>
    </row>
    <row r="1600" spans="1:5">
      <c r="A1600" s="1072" t="s">
        <v>1245</v>
      </c>
      <c r="B1600" s="1072">
        <v>4001119</v>
      </c>
      <c r="C1600" s="1072">
        <v>126</v>
      </c>
      <c r="D1600" s="1072">
        <v>74</v>
      </c>
      <c r="E1600" s="1072">
        <f t="shared" si="24"/>
        <v>200</v>
      </c>
    </row>
    <row r="1601" spans="1:5">
      <c r="A1601" s="1072" t="s">
        <v>1245</v>
      </c>
      <c r="B1601" s="1072">
        <v>4001120</v>
      </c>
      <c r="C1601" s="1072">
        <v>514</v>
      </c>
      <c r="D1601" s="1072">
        <v>178</v>
      </c>
      <c r="E1601" s="1072">
        <f t="shared" si="24"/>
        <v>692</v>
      </c>
    </row>
    <row r="1602" spans="1:5">
      <c r="A1602" s="1072" t="s">
        <v>1245</v>
      </c>
      <c r="B1602" s="1072">
        <v>4001121</v>
      </c>
      <c r="C1602" s="1072">
        <v>870</v>
      </c>
      <c r="D1602" s="1072">
        <v>102</v>
      </c>
      <c r="E1602" s="1072">
        <f t="shared" ref="E1602:E1665" si="25">C1602+D1602</f>
        <v>972</v>
      </c>
    </row>
    <row r="1603" spans="1:5">
      <c r="A1603" s="1072" t="s">
        <v>1245</v>
      </c>
      <c r="B1603" s="1072">
        <v>4001122</v>
      </c>
      <c r="C1603" s="1072">
        <v>233</v>
      </c>
      <c r="D1603" s="1072">
        <v>133</v>
      </c>
      <c r="E1603" s="1072">
        <f t="shared" si="25"/>
        <v>366</v>
      </c>
    </row>
    <row r="1604" spans="1:5">
      <c r="A1604" s="1072" t="s">
        <v>1245</v>
      </c>
      <c r="B1604" s="1072">
        <v>4001123</v>
      </c>
      <c r="C1604" s="1072">
        <v>465</v>
      </c>
      <c r="D1604" s="1072">
        <v>127</v>
      </c>
      <c r="E1604" s="1072">
        <f t="shared" si="25"/>
        <v>592</v>
      </c>
    </row>
    <row r="1605" spans="1:5">
      <c r="A1605" s="1072" t="s">
        <v>1245</v>
      </c>
      <c r="B1605" s="1072">
        <v>4001124</v>
      </c>
      <c r="C1605" s="1072">
        <v>573</v>
      </c>
      <c r="D1605" s="1072">
        <v>171</v>
      </c>
      <c r="E1605" s="1072">
        <f t="shared" si="25"/>
        <v>744</v>
      </c>
    </row>
    <row r="1606" spans="1:5">
      <c r="A1606" s="1072" t="s">
        <v>1245</v>
      </c>
      <c r="B1606" s="1072">
        <v>4001125</v>
      </c>
      <c r="C1606" s="1072">
        <v>302</v>
      </c>
      <c r="D1606" s="1072">
        <v>208</v>
      </c>
      <c r="E1606" s="1072">
        <f t="shared" si="25"/>
        <v>510</v>
      </c>
    </row>
    <row r="1607" spans="1:5">
      <c r="A1607" s="1072" t="s">
        <v>1245</v>
      </c>
      <c r="B1607" s="1072">
        <v>4001126</v>
      </c>
      <c r="C1607" s="1072">
        <v>401</v>
      </c>
      <c r="D1607" s="1072">
        <v>266</v>
      </c>
      <c r="E1607" s="1072">
        <f t="shared" si="25"/>
        <v>667</v>
      </c>
    </row>
    <row r="1608" spans="1:5">
      <c r="A1608" s="1072" t="s">
        <v>1245</v>
      </c>
      <c r="B1608" s="1072">
        <v>4001127</v>
      </c>
      <c r="C1608" s="1072">
        <v>275</v>
      </c>
      <c r="D1608" s="1072">
        <v>226</v>
      </c>
      <c r="E1608" s="1072">
        <f t="shared" si="25"/>
        <v>501</v>
      </c>
    </row>
    <row r="1609" spans="1:5">
      <c r="A1609" s="1072" t="s">
        <v>1245</v>
      </c>
      <c r="B1609" s="1072">
        <v>4001128</v>
      </c>
      <c r="C1609" s="1072">
        <v>273</v>
      </c>
      <c r="D1609" s="1072">
        <v>249</v>
      </c>
      <c r="E1609" s="1072">
        <f t="shared" si="25"/>
        <v>522</v>
      </c>
    </row>
    <row r="1610" spans="1:5">
      <c r="A1610" s="1072" t="s">
        <v>1245</v>
      </c>
      <c r="B1610" s="1072">
        <v>4001129</v>
      </c>
      <c r="C1610" s="1072">
        <v>332</v>
      </c>
      <c r="D1610" s="1072">
        <v>270</v>
      </c>
      <c r="E1610" s="1072">
        <f t="shared" si="25"/>
        <v>602</v>
      </c>
    </row>
    <row r="1611" spans="1:5">
      <c r="A1611" s="1072" t="s">
        <v>1245</v>
      </c>
      <c r="B1611" s="1072">
        <v>4001130</v>
      </c>
      <c r="C1611" s="1072">
        <v>372</v>
      </c>
      <c r="D1611" s="1072">
        <v>313</v>
      </c>
      <c r="E1611" s="1072">
        <f t="shared" si="25"/>
        <v>685</v>
      </c>
    </row>
    <row r="1612" spans="1:5">
      <c r="A1612" s="1072" t="s">
        <v>1245</v>
      </c>
      <c r="B1612" s="1072">
        <v>4001131</v>
      </c>
      <c r="C1612" s="1072">
        <v>304</v>
      </c>
      <c r="D1612" s="1072">
        <v>234</v>
      </c>
      <c r="E1612" s="1072">
        <f t="shared" si="25"/>
        <v>538</v>
      </c>
    </row>
    <row r="1613" spans="1:5">
      <c r="A1613" s="1072" t="s">
        <v>1245</v>
      </c>
      <c r="B1613" s="1072">
        <v>4001132</v>
      </c>
      <c r="C1613" s="1072">
        <v>326</v>
      </c>
      <c r="D1613" s="1072">
        <v>209</v>
      </c>
      <c r="E1613" s="1072">
        <f t="shared" si="25"/>
        <v>535</v>
      </c>
    </row>
    <row r="1614" spans="1:5">
      <c r="A1614" s="1072" t="s">
        <v>1245</v>
      </c>
      <c r="B1614" s="1072">
        <v>4001133</v>
      </c>
      <c r="C1614" s="1072">
        <v>288</v>
      </c>
      <c r="D1614" s="1072">
        <v>215</v>
      </c>
      <c r="E1614" s="1072">
        <f t="shared" si="25"/>
        <v>503</v>
      </c>
    </row>
    <row r="1615" spans="1:5">
      <c r="A1615" s="1072" t="s">
        <v>1245</v>
      </c>
      <c r="B1615" s="1072">
        <v>4001134</v>
      </c>
      <c r="C1615" s="1072">
        <v>245</v>
      </c>
      <c r="D1615" s="1072">
        <v>206</v>
      </c>
      <c r="E1615" s="1072">
        <f t="shared" si="25"/>
        <v>451</v>
      </c>
    </row>
    <row r="1616" spans="1:5">
      <c r="A1616" s="1072" t="s">
        <v>1245</v>
      </c>
      <c r="B1616" s="1072">
        <v>4001135</v>
      </c>
      <c r="C1616" s="1072">
        <v>235</v>
      </c>
      <c r="D1616" s="1072">
        <v>136</v>
      </c>
      <c r="E1616" s="1072">
        <f t="shared" si="25"/>
        <v>371</v>
      </c>
    </row>
    <row r="1617" spans="1:5">
      <c r="A1617" s="1072" t="s">
        <v>1245</v>
      </c>
      <c r="B1617" s="1072">
        <v>4001136</v>
      </c>
      <c r="C1617" s="1072">
        <v>384</v>
      </c>
      <c r="D1617" s="1072">
        <v>175</v>
      </c>
      <c r="E1617" s="1072">
        <f t="shared" si="25"/>
        <v>559</v>
      </c>
    </row>
    <row r="1618" spans="1:5">
      <c r="A1618" s="1072" t="s">
        <v>1245</v>
      </c>
      <c r="B1618" s="1072">
        <v>4001137</v>
      </c>
      <c r="C1618" s="1072">
        <v>803</v>
      </c>
      <c r="D1618" s="1072">
        <v>136</v>
      </c>
      <c r="E1618" s="1072">
        <f t="shared" si="25"/>
        <v>939</v>
      </c>
    </row>
    <row r="1619" spans="1:5">
      <c r="A1619" s="1072" t="s">
        <v>1245</v>
      </c>
      <c r="B1619" s="1072">
        <v>4001138</v>
      </c>
      <c r="C1619" s="1072">
        <v>363</v>
      </c>
      <c r="D1619" s="1072">
        <v>294</v>
      </c>
      <c r="E1619" s="1072">
        <f t="shared" si="25"/>
        <v>657</v>
      </c>
    </row>
    <row r="1620" spans="1:5">
      <c r="A1620" s="1072" t="s">
        <v>1245</v>
      </c>
      <c r="B1620" s="1072">
        <v>4001139</v>
      </c>
      <c r="C1620" s="1072">
        <v>483</v>
      </c>
      <c r="D1620" s="1072">
        <v>196</v>
      </c>
      <c r="E1620" s="1072">
        <f t="shared" si="25"/>
        <v>679</v>
      </c>
    </row>
    <row r="1621" spans="1:5">
      <c r="A1621" s="1072" t="s">
        <v>1245</v>
      </c>
      <c r="B1621" s="1072">
        <v>4001140</v>
      </c>
      <c r="C1621" s="1072">
        <v>384</v>
      </c>
      <c r="D1621" s="1072">
        <v>130</v>
      </c>
      <c r="E1621" s="1072">
        <f t="shared" si="25"/>
        <v>514</v>
      </c>
    </row>
    <row r="1622" spans="1:5">
      <c r="A1622" s="1072" t="s">
        <v>1245</v>
      </c>
      <c r="B1622" s="1072">
        <v>4001141</v>
      </c>
      <c r="C1622" s="1072">
        <v>549</v>
      </c>
      <c r="D1622" s="1072">
        <v>189</v>
      </c>
      <c r="E1622" s="1072">
        <f t="shared" si="25"/>
        <v>738</v>
      </c>
    </row>
    <row r="1623" spans="1:5">
      <c r="A1623" s="1072" t="s">
        <v>1245</v>
      </c>
      <c r="B1623" s="1072">
        <v>4001142</v>
      </c>
      <c r="C1623" s="1072">
        <v>832</v>
      </c>
      <c r="D1623" s="1072">
        <v>602</v>
      </c>
      <c r="E1623" s="1072">
        <f t="shared" si="25"/>
        <v>1434</v>
      </c>
    </row>
    <row r="1624" spans="1:5">
      <c r="A1624" s="1072" t="s">
        <v>1245</v>
      </c>
      <c r="B1624" s="1072">
        <v>4001143</v>
      </c>
      <c r="C1624" s="1072">
        <v>259</v>
      </c>
      <c r="D1624" s="1072">
        <v>1</v>
      </c>
      <c r="E1624" s="1072">
        <f t="shared" si="25"/>
        <v>260</v>
      </c>
    </row>
    <row r="1625" spans="1:5">
      <c r="A1625" s="1072" t="s">
        <v>1245</v>
      </c>
      <c r="B1625" s="1072">
        <v>4001145</v>
      </c>
      <c r="C1625" s="1072">
        <v>343</v>
      </c>
      <c r="D1625" s="1072">
        <v>74</v>
      </c>
      <c r="E1625" s="1072">
        <f t="shared" si="25"/>
        <v>417</v>
      </c>
    </row>
    <row r="1626" spans="1:5">
      <c r="A1626" s="1072" t="s">
        <v>1245</v>
      </c>
      <c r="B1626" s="1072">
        <v>4001147</v>
      </c>
      <c r="C1626" s="1072">
        <v>430</v>
      </c>
      <c r="D1626" s="1072">
        <v>95</v>
      </c>
      <c r="E1626" s="1072">
        <f t="shared" si="25"/>
        <v>525</v>
      </c>
    </row>
    <row r="1627" spans="1:5">
      <c r="A1627" s="1072" t="s">
        <v>1245</v>
      </c>
      <c r="B1627" s="1072">
        <v>5001203</v>
      </c>
      <c r="C1627" s="1072">
        <v>355</v>
      </c>
      <c r="D1627" s="1072">
        <v>71</v>
      </c>
      <c r="E1627" s="1072">
        <f t="shared" si="25"/>
        <v>426</v>
      </c>
    </row>
    <row r="1628" spans="1:5">
      <c r="A1628" s="1072" t="s">
        <v>1245</v>
      </c>
      <c r="B1628" s="1072">
        <v>5001204</v>
      </c>
      <c r="C1628" s="1072">
        <v>306</v>
      </c>
      <c r="D1628" s="1072">
        <v>196</v>
      </c>
      <c r="E1628" s="1072">
        <f t="shared" si="25"/>
        <v>502</v>
      </c>
    </row>
    <row r="1629" spans="1:5">
      <c r="A1629" s="1072" t="s">
        <v>1245</v>
      </c>
      <c r="B1629" s="1072">
        <v>5001208</v>
      </c>
      <c r="C1629" s="1072">
        <v>270</v>
      </c>
      <c r="D1629" s="1072">
        <v>4</v>
      </c>
      <c r="E1629" s="1072">
        <f t="shared" si="25"/>
        <v>274</v>
      </c>
    </row>
    <row r="1630" spans="1:5">
      <c r="A1630" s="1072" t="s">
        <v>1245</v>
      </c>
      <c r="B1630" s="1072">
        <v>6001202</v>
      </c>
      <c r="C1630" s="1072">
        <v>233</v>
      </c>
      <c r="D1630" s="1072">
        <v>164</v>
      </c>
      <c r="E1630" s="1072">
        <f t="shared" si="25"/>
        <v>397</v>
      </c>
    </row>
    <row r="1631" spans="1:5">
      <c r="A1631" s="1072" t="s">
        <v>1245</v>
      </c>
      <c r="B1631" s="1072">
        <v>6001203</v>
      </c>
      <c r="C1631" s="1072">
        <v>753</v>
      </c>
      <c r="D1631" s="1072">
        <v>447</v>
      </c>
      <c r="E1631" s="1072">
        <f t="shared" si="25"/>
        <v>1200</v>
      </c>
    </row>
    <row r="1632" spans="1:5">
      <c r="A1632" s="1072" t="s">
        <v>1245</v>
      </c>
      <c r="B1632" s="1072">
        <v>6001204</v>
      </c>
      <c r="C1632" s="1072">
        <v>261</v>
      </c>
      <c r="D1632" s="1072">
        <v>162</v>
      </c>
      <c r="E1632" s="1072">
        <f t="shared" si="25"/>
        <v>423</v>
      </c>
    </row>
    <row r="1633" spans="1:5">
      <c r="A1633" s="1072" t="s">
        <v>1245</v>
      </c>
      <c r="B1633" s="1072">
        <v>6001205</v>
      </c>
      <c r="C1633" s="1072">
        <v>402</v>
      </c>
      <c r="D1633" s="1072">
        <v>185</v>
      </c>
      <c r="E1633" s="1072">
        <f t="shared" si="25"/>
        <v>587</v>
      </c>
    </row>
    <row r="1634" spans="1:5">
      <c r="A1634" s="1072" t="s">
        <v>1245</v>
      </c>
      <c r="B1634" s="1072">
        <v>6001206</v>
      </c>
      <c r="C1634" s="1072">
        <v>375</v>
      </c>
      <c r="D1634" s="1072">
        <v>199</v>
      </c>
      <c r="E1634" s="1072">
        <f t="shared" si="25"/>
        <v>574</v>
      </c>
    </row>
    <row r="1635" spans="1:5">
      <c r="A1635" s="1072" t="s">
        <v>1245</v>
      </c>
      <c r="B1635" s="1072">
        <v>6001207</v>
      </c>
      <c r="C1635" s="1072">
        <v>484</v>
      </c>
      <c r="D1635" s="1072">
        <v>176</v>
      </c>
      <c r="E1635" s="1072">
        <f t="shared" si="25"/>
        <v>660</v>
      </c>
    </row>
    <row r="1636" spans="1:5">
      <c r="A1636" s="1072" t="s">
        <v>1245</v>
      </c>
      <c r="B1636" s="1072">
        <v>6001208</v>
      </c>
      <c r="C1636" s="1072">
        <v>469</v>
      </c>
      <c r="D1636" s="1072">
        <v>281</v>
      </c>
      <c r="E1636" s="1072">
        <f t="shared" si="25"/>
        <v>750</v>
      </c>
    </row>
    <row r="1637" spans="1:5">
      <c r="A1637" s="1072" t="s">
        <v>1245</v>
      </c>
      <c r="B1637" s="1072">
        <v>6001209</v>
      </c>
      <c r="C1637" s="1072">
        <v>341</v>
      </c>
      <c r="D1637" s="1072">
        <v>1</v>
      </c>
      <c r="E1637" s="1072">
        <f t="shared" si="25"/>
        <v>342</v>
      </c>
    </row>
    <row r="1638" spans="1:5">
      <c r="A1638" s="1072" t="s">
        <v>1245</v>
      </c>
      <c r="B1638" s="1072">
        <v>6001211</v>
      </c>
      <c r="C1638" s="1072">
        <v>301</v>
      </c>
      <c r="D1638" s="1072">
        <v>53</v>
      </c>
      <c r="E1638" s="1072">
        <f t="shared" si="25"/>
        <v>354</v>
      </c>
    </row>
    <row r="1639" spans="1:5">
      <c r="A1639" s="1072" t="s">
        <v>1245</v>
      </c>
      <c r="B1639" s="1072">
        <v>6001212</v>
      </c>
      <c r="C1639" s="1072">
        <v>333</v>
      </c>
      <c r="D1639" s="1072">
        <v>11</v>
      </c>
      <c r="E1639" s="1072">
        <f t="shared" si="25"/>
        <v>344</v>
      </c>
    </row>
    <row r="1640" spans="1:5">
      <c r="A1640" s="1072" t="s">
        <v>1245</v>
      </c>
      <c r="B1640" s="1072">
        <v>6001213</v>
      </c>
      <c r="C1640" s="1072">
        <v>561</v>
      </c>
      <c r="D1640" s="1072">
        <v>342</v>
      </c>
      <c r="E1640" s="1072">
        <f t="shared" si="25"/>
        <v>903</v>
      </c>
    </row>
    <row r="1641" spans="1:5">
      <c r="A1641" s="1072" t="s">
        <v>1245</v>
      </c>
      <c r="B1641" s="1072">
        <v>6001215</v>
      </c>
      <c r="C1641" s="1072">
        <v>65</v>
      </c>
      <c r="D1641" s="1072">
        <v>2</v>
      </c>
      <c r="E1641" s="1072">
        <f t="shared" si="25"/>
        <v>67</v>
      </c>
    </row>
    <row r="1642" spans="1:5">
      <c r="A1642" s="1072" t="s">
        <v>1245</v>
      </c>
      <c r="B1642" s="1072">
        <v>11062257</v>
      </c>
      <c r="C1642" s="1072">
        <v>1</v>
      </c>
      <c r="D1642" s="1072">
        <v>1</v>
      </c>
      <c r="E1642" s="1072">
        <f t="shared" si="25"/>
        <v>2</v>
      </c>
    </row>
    <row r="1643" spans="1:5">
      <c r="A1643" s="1072" t="s">
        <v>1245</v>
      </c>
      <c r="B1643" s="1072">
        <v>17001506</v>
      </c>
      <c r="C1643" s="1072">
        <v>229</v>
      </c>
      <c r="D1643" s="1072">
        <v>2</v>
      </c>
      <c r="E1643" s="1072">
        <f t="shared" si="25"/>
        <v>231</v>
      </c>
    </row>
    <row r="1644" spans="1:5">
      <c r="A1644" s="1072" t="s">
        <v>1245</v>
      </c>
      <c r="B1644" s="1072">
        <v>17001507</v>
      </c>
      <c r="C1644" s="1072">
        <v>187</v>
      </c>
      <c r="D1644" s="1072">
        <v>1</v>
      </c>
      <c r="E1644" s="1072">
        <f t="shared" si="25"/>
        <v>188</v>
      </c>
    </row>
    <row r="1645" spans="1:5">
      <c r="A1645" s="1072" t="s">
        <v>1245</v>
      </c>
      <c r="B1645" s="1072">
        <v>17001509</v>
      </c>
      <c r="C1645" s="1072">
        <v>42</v>
      </c>
      <c r="D1645" s="1072">
        <v>34</v>
      </c>
      <c r="E1645" s="1072">
        <f t="shared" si="25"/>
        <v>76</v>
      </c>
    </row>
    <row r="1646" spans="1:5">
      <c r="A1646" s="1072" t="s">
        <v>1245</v>
      </c>
      <c r="B1646" s="1072">
        <v>19001105</v>
      </c>
      <c r="C1646" s="1072">
        <v>298</v>
      </c>
      <c r="D1646" s="1072">
        <v>15</v>
      </c>
      <c r="E1646" s="1072">
        <f t="shared" si="25"/>
        <v>313</v>
      </c>
    </row>
    <row r="1647" spans="1:5">
      <c r="A1647" s="1072" t="s">
        <v>1245</v>
      </c>
      <c r="B1647" s="1072">
        <v>19001106</v>
      </c>
      <c r="C1647" s="1072">
        <v>379</v>
      </c>
      <c r="D1647" s="1072">
        <v>44</v>
      </c>
      <c r="E1647" s="1072">
        <f t="shared" si="25"/>
        <v>423</v>
      </c>
    </row>
    <row r="1648" spans="1:5">
      <c r="A1648" s="1072" t="s">
        <v>1245</v>
      </c>
      <c r="B1648" s="1072">
        <v>19001107</v>
      </c>
      <c r="C1648" s="1072">
        <v>349</v>
      </c>
      <c r="D1648" s="1072">
        <v>118</v>
      </c>
      <c r="E1648" s="1072">
        <f t="shared" si="25"/>
        <v>467</v>
      </c>
    </row>
    <row r="1649" spans="1:5">
      <c r="A1649" s="1072" t="s">
        <v>1245</v>
      </c>
      <c r="B1649" s="1072">
        <v>19001108</v>
      </c>
      <c r="C1649" s="1072">
        <v>506</v>
      </c>
      <c r="D1649" s="1072">
        <v>123</v>
      </c>
      <c r="E1649" s="1072">
        <f t="shared" si="25"/>
        <v>629</v>
      </c>
    </row>
    <row r="1650" spans="1:5">
      <c r="A1650" s="1072" t="s">
        <v>1245</v>
      </c>
      <c r="B1650" s="1072">
        <v>19001109</v>
      </c>
      <c r="C1650" s="1072">
        <v>306</v>
      </c>
      <c r="D1650" s="1072">
        <v>245</v>
      </c>
      <c r="E1650" s="1072">
        <f t="shared" si="25"/>
        <v>551</v>
      </c>
    </row>
    <row r="1651" spans="1:5">
      <c r="A1651" s="1072" t="s">
        <v>1245</v>
      </c>
      <c r="B1651" s="1072">
        <v>19001110</v>
      </c>
      <c r="C1651" s="1072">
        <v>596</v>
      </c>
      <c r="D1651" s="1072">
        <v>433</v>
      </c>
      <c r="E1651" s="1072">
        <f t="shared" si="25"/>
        <v>1029</v>
      </c>
    </row>
    <row r="1652" spans="1:5">
      <c r="A1652" s="1072" t="s">
        <v>1245</v>
      </c>
      <c r="B1652" s="1072">
        <v>19001111</v>
      </c>
      <c r="C1652" s="1072">
        <v>397</v>
      </c>
      <c r="D1652" s="1072">
        <v>188</v>
      </c>
      <c r="E1652" s="1072">
        <f t="shared" si="25"/>
        <v>585</v>
      </c>
    </row>
    <row r="1653" spans="1:5">
      <c r="A1653" s="1072" t="s">
        <v>1245</v>
      </c>
      <c r="B1653" s="1072">
        <v>19001112</v>
      </c>
      <c r="C1653" s="1072">
        <v>466</v>
      </c>
      <c r="D1653" s="1072">
        <v>141</v>
      </c>
      <c r="E1653" s="1072">
        <f t="shared" si="25"/>
        <v>607</v>
      </c>
    </row>
    <row r="1654" spans="1:5">
      <c r="A1654" s="1072" t="s">
        <v>1245</v>
      </c>
      <c r="B1654" s="1072">
        <v>19001113</v>
      </c>
      <c r="C1654" s="1072">
        <v>282</v>
      </c>
      <c r="D1654" s="1072">
        <v>237</v>
      </c>
      <c r="E1654" s="1072">
        <f t="shared" si="25"/>
        <v>519</v>
      </c>
    </row>
    <row r="1655" spans="1:5">
      <c r="A1655" s="1072" t="s">
        <v>1245</v>
      </c>
      <c r="B1655" s="1072">
        <v>19001114</v>
      </c>
      <c r="C1655" s="1072">
        <v>350</v>
      </c>
      <c r="D1655" s="1072">
        <v>78</v>
      </c>
      <c r="E1655" s="1072">
        <f t="shared" si="25"/>
        <v>428</v>
      </c>
    </row>
    <row r="1656" spans="1:5">
      <c r="A1656" s="1072" t="s">
        <v>1245</v>
      </c>
      <c r="B1656" s="1072">
        <v>19001115</v>
      </c>
      <c r="C1656" s="1072">
        <v>548</v>
      </c>
      <c r="D1656" s="1072">
        <v>156</v>
      </c>
      <c r="E1656" s="1072">
        <f t="shared" si="25"/>
        <v>704</v>
      </c>
    </row>
    <row r="1657" spans="1:5">
      <c r="A1657" s="1072" t="s">
        <v>1245</v>
      </c>
      <c r="B1657" s="1072">
        <v>19001116</v>
      </c>
      <c r="C1657" s="1072">
        <v>664</v>
      </c>
      <c r="D1657" s="1072">
        <v>427</v>
      </c>
      <c r="E1657" s="1072">
        <f t="shared" si="25"/>
        <v>1091</v>
      </c>
    </row>
    <row r="1658" spans="1:5">
      <c r="A1658" s="1072" t="s">
        <v>1245</v>
      </c>
      <c r="B1658" s="1072">
        <v>19001117</v>
      </c>
      <c r="C1658" s="1072">
        <v>283</v>
      </c>
      <c r="D1658" s="1072">
        <v>192</v>
      </c>
      <c r="E1658" s="1072">
        <f t="shared" si="25"/>
        <v>475</v>
      </c>
    </row>
    <row r="1659" spans="1:5">
      <c r="A1659" s="1072" t="s">
        <v>1245</v>
      </c>
      <c r="B1659" s="1072">
        <v>19001118</v>
      </c>
      <c r="C1659" s="1072">
        <v>525</v>
      </c>
      <c r="D1659" s="1072">
        <v>205</v>
      </c>
      <c r="E1659" s="1072">
        <f t="shared" si="25"/>
        <v>730</v>
      </c>
    </row>
    <row r="1660" spans="1:5">
      <c r="A1660" s="1072" t="s">
        <v>1245</v>
      </c>
      <c r="B1660" s="1072">
        <v>19001119</v>
      </c>
      <c r="C1660" s="1072">
        <v>1221</v>
      </c>
      <c r="D1660" s="1072">
        <v>340</v>
      </c>
      <c r="E1660" s="1072">
        <f t="shared" si="25"/>
        <v>1561</v>
      </c>
    </row>
    <row r="1661" spans="1:5">
      <c r="A1661" s="1072" t="s">
        <v>1245</v>
      </c>
      <c r="B1661" s="1072">
        <v>19001120</v>
      </c>
      <c r="C1661" s="1072">
        <v>381</v>
      </c>
      <c r="D1661" s="1072">
        <v>271</v>
      </c>
      <c r="E1661" s="1072">
        <f t="shared" si="25"/>
        <v>652</v>
      </c>
    </row>
    <row r="1662" spans="1:5">
      <c r="A1662" s="1072" t="s">
        <v>1245</v>
      </c>
      <c r="B1662" s="1072">
        <v>19001121</v>
      </c>
      <c r="C1662" s="1072">
        <v>755</v>
      </c>
      <c r="D1662" s="1072">
        <v>277</v>
      </c>
      <c r="E1662" s="1072">
        <f t="shared" si="25"/>
        <v>1032</v>
      </c>
    </row>
    <row r="1663" spans="1:5">
      <c r="A1663" s="1072" t="s">
        <v>1245</v>
      </c>
      <c r="B1663" s="1072">
        <v>19001122</v>
      </c>
      <c r="C1663" s="1072">
        <v>291</v>
      </c>
      <c r="D1663" s="1072">
        <v>252</v>
      </c>
      <c r="E1663" s="1072">
        <f t="shared" si="25"/>
        <v>543</v>
      </c>
    </row>
    <row r="1664" spans="1:5">
      <c r="A1664" s="1072" t="s">
        <v>1245</v>
      </c>
      <c r="B1664" s="1072">
        <v>19001123</v>
      </c>
      <c r="C1664" s="1072">
        <v>161</v>
      </c>
      <c r="D1664" s="1072">
        <v>72</v>
      </c>
      <c r="E1664" s="1072">
        <f t="shared" si="25"/>
        <v>233</v>
      </c>
    </row>
    <row r="1665" spans="1:5">
      <c r="A1665" s="1072" t="s">
        <v>1245</v>
      </c>
      <c r="B1665" s="1072">
        <v>19001124</v>
      </c>
      <c r="C1665" s="1072">
        <v>311</v>
      </c>
      <c r="D1665" s="1072">
        <v>156</v>
      </c>
      <c r="E1665" s="1072">
        <f t="shared" si="25"/>
        <v>467</v>
      </c>
    </row>
    <row r="1666" spans="1:5">
      <c r="A1666" s="1072" t="s">
        <v>1245</v>
      </c>
      <c r="B1666" s="1072">
        <v>19001125</v>
      </c>
      <c r="C1666" s="1072">
        <v>295</v>
      </c>
      <c r="D1666" s="1072">
        <v>158</v>
      </c>
      <c r="E1666" s="1072">
        <f t="shared" ref="E1666:E1696" si="26">C1666+D1666</f>
        <v>453</v>
      </c>
    </row>
    <row r="1667" spans="1:5">
      <c r="A1667" s="1072" t="s">
        <v>1245</v>
      </c>
      <c r="B1667" s="1072">
        <v>19001126</v>
      </c>
      <c r="C1667" s="1072">
        <v>240</v>
      </c>
      <c r="D1667" s="1072">
        <v>103</v>
      </c>
      <c r="E1667" s="1072">
        <f t="shared" si="26"/>
        <v>343</v>
      </c>
    </row>
    <row r="1668" spans="1:5">
      <c r="A1668" s="1072" t="s">
        <v>1245</v>
      </c>
      <c r="B1668" s="1072">
        <v>19001127</v>
      </c>
      <c r="C1668" s="1072">
        <v>237</v>
      </c>
      <c r="D1668" s="1072">
        <v>101</v>
      </c>
      <c r="E1668" s="1072">
        <f t="shared" si="26"/>
        <v>338</v>
      </c>
    </row>
    <row r="1669" spans="1:5">
      <c r="A1669" s="1072" t="s">
        <v>1245</v>
      </c>
      <c r="B1669" s="1072">
        <v>19001128</v>
      </c>
      <c r="C1669" s="1072">
        <v>291</v>
      </c>
      <c r="D1669" s="1072">
        <v>177</v>
      </c>
      <c r="E1669" s="1072">
        <f t="shared" si="26"/>
        <v>468</v>
      </c>
    </row>
    <row r="1670" spans="1:5">
      <c r="A1670" s="1072" t="s">
        <v>1245</v>
      </c>
      <c r="B1670" s="1072">
        <v>21001105</v>
      </c>
      <c r="C1670" s="1072">
        <v>922</v>
      </c>
      <c r="D1670" s="1072">
        <v>152</v>
      </c>
      <c r="E1670" s="1072">
        <f t="shared" si="26"/>
        <v>1074</v>
      </c>
    </row>
    <row r="1671" spans="1:5">
      <c r="A1671" s="1072" t="s">
        <v>1245</v>
      </c>
      <c r="B1671" s="1072">
        <v>21001106</v>
      </c>
      <c r="C1671" s="1072">
        <v>341</v>
      </c>
      <c r="D1671" s="1072">
        <v>258</v>
      </c>
      <c r="E1671" s="1072">
        <f t="shared" si="26"/>
        <v>599</v>
      </c>
    </row>
    <row r="1672" spans="1:5">
      <c r="A1672" s="1072" t="s">
        <v>1245</v>
      </c>
      <c r="B1672" s="1072">
        <v>21001107</v>
      </c>
      <c r="C1672" s="1072">
        <v>444</v>
      </c>
      <c r="D1672" s="1072">
        <v>217</v>
      </c>
      <c r="E1672" s="1072">
        <f t="shared" si="26"/>
        <v>661</v>
      </c>
    </row>
    <row r="1673" spans="1:5">
      <c r="A1673" s="1072" t="s">
        <v>1245</v>
      </c>
      <c r="B1673" s="1072">
        <v>21001109</v>
      </c>
      <c r="C1673" s="1072">
        <v>232</v>
      </c>
      <c r="D1673" s="1072">
        <v>65</v>
      </c>
      <c r="E1673" s="1072">
        <f t="shared" si="26"/>
        <v>297</v>
      </c>
    </row>
    <row r="1674" spans="1:5">
      <c r="A1674" s="1072" t="s">
        <v>1245</v>
      </c>
      <c r="B1674" s="1072">
        <v>21001110</v>
      </c>
      <c r="C1674" s="1072">
        <v>480</v>
      </c>
      <c r="D1674" s="1072">
        <v>119</v>
      </c>
      <c r="E1674" s="1072">
        <f t="shared" si="26"/>
        <v>599</v>
      </c>
    </row>
    <row r="1675" spans="1:5">
      <c r="A1675" s="1072" t="s">
        <v>1245</v>
      </c>
      <c r="B1675" s="1072">
        <v>21001111</v>
      </c>
      <c r="C1675" s="1072">
        <v>193</v>
      </c>
      <c r="D1675" s="1072">
        <v>95</v>
      </c>
      <c r="E1675" s="1072">
        <f t="shared" si="26"/>
        <v>288</v>
      </c>
    </row>
    <row r="1676" spans="1:5">
      <c r="A1676" s="1072" t="s">
        <v>1245</v>
      </c>
      <c r="B1676" s="1072">
        <v>21001112</v>
      </c>
      <c r="C1676" s="1072">
        <v>252</v>
      </c>
      <c r="D1676" s="1072">
        <v>140</v>
      </c>
      <c r="E1676" s="1072">
        <f t="shared" si="26"/>
        <v>392</v>
      </c>
    </row>
    <row r="1677" spans="1:5">
      <c r="A1677" s="1072" t="s">
        <v>1245</v>
      </c>
      <c r="B1677" s="1072">
        <v>21001113</v>
      </c>
      <c r="C1677" s="1072">
        <v>367</v>
      </c>
      <c r="D1677" s="1072">
        <v>197</v>
      </c>
      <c r="E1677" s="1072">
        <f t="shared" si="26"/>
        <v>564</v>
      </c>
    </row>
    <row r="1678" spans="1:5">
      <c r="A1678" s="1072" t="s">
        <v>1245</v>
      </c>
      <c r="B1678" s="1072">
        <v>21001114</v>
      </c>
      <c r="C1678" s="1072">
        <v>229</v>
      </c>
      <c r="D1678" s="1072">
        <v>145</v>
      </c>
      <c r="E1678" s="1072">
        <f t="shared" si="26"/>
        <v>374</v>
      </c>
    </row>
    <row r="1679" spans="1:5">
      <c r="A1679" s="1072" t="s">
        <v>1245</v>
      </c>
      <c r="B1679" s="1072">
        <v>21001115</v>
      </c>
      <c r="C1679" s="1072">
        <v>164</v>
      </c>
      <c r="D1679" s="1072">
        <v>113</v>
      </c>
      <c r="E1679" s="1072">
        <f t="shared" si="26"/>
        <v>277</v>
      </c>
    </row>
    <row r="1680" spans="1:5">
      <c r="A1680" s="1072" t="s">
        <v>1245</v>
      </c>
      <c r="B1680" s="1072">
        <v>21001116</v>
      </c>
      <c r="C1680" s="1072">
        <v>643</v>
      </c>
      <c r="D1680" s="1072">
        <v>533</v>
      </c>
      <c r="E1680" s="1072">
        <f t="shared" si="26"/>
        <v>1176</v>
      </c>
    </row>
    <row r="1681" spans="1:5">
      <c r="A1681" s="1072" t="s">
        <v>1245</v>
      </c>
      <c r="B1681" s="1072">
        <v>21001117</v>
      </c>
      <c r="C1681" s="1072">
        <v>417</v>
      </c>
      <c r="D1681" s="1072">
        <v>273</v>
      </c>
      <c r="E1681" s="1072">
        <f t="shared" si="26"/>
        <v>690</v>
      </c>
    </row>
    <row r="1682" spans="1:5">
      <c r="A1682" s="1072" t="s">
        <v>1245</v>
      </c>
      <c r="B1682" s="1072">
        <v>21001118</v>
      </c>
      <c r="C1682" s="1072">
        <v>198</v>
      </c>
      <c r="D1682" s="1072">
        <v>144</v>
      </c>
      <c r="E1682" s="1072">
        <f t="shared" si="26"/>
        <v>342</v>
      </c>
    </row>
    <row r="1683" spans="1:5">
      <c r="A1683" s="1072" t="s">
        <v>1245</v>
      </c>
      <c r="B1683" s="1072">
        <v>21001119</v>
      </c>
      <c r="C1683" s="1072">
        <v>407</v>
      </c>
      <c r="D1683" s="1072">
        <v>220</v>
      </c>
      <c r="E1683" s="1072">
        <f t="shared" si="26"/>
        <v>627</v>
      </c>
    </row>
    <row r="1684" spans="1:5">
      <c r="A1684" s="1072" t="s">
        <v>1245</v>
      </c>
      <c r="B1684" s="1072">
        <v>21001120</v>
      </c>
      <c r="C1684" s="1072">
        <v>276</v>
      </c>
      <c r="D1684" s="1072">
        <v>223</v>
      </c>
      <c r="E1684" s="1072">
        <f t="shared" si="26"/>
        <v>499</v>
      </c>
    </row>
    <row r="1685" spans="1:5">
      <c r="A1685" s="1072" t="s">
        <v>1245</v>
      </c>
      <c r="B1685" s="1072">
        <v>21001121</v>
      </c>
      <c r="C1685" s="1072">
        <v>382</v>
      </c>
      <c r="D1685" s="1072">
        <v>271</v>
      </c>
      <c r="E1685" s="1072">
        <f t="shared" si="26"/>
        <v>653</v>
      </c>
    </row>
    <row r="1686" spans="1:5">
      <c r="A1686" s="1072" t="s">
        <v>1245</v>
      </c>
      <c r="B1686" s="1072">
        <v>21001122</v>
      </c>
      <c r="C1686" s="1072">
        <v>316</v>
      </c>
      <c r="D1686" s="1072">
        <v>235</v>
      </c>
      <c r="E1686" s="1072">
        <f t="shared" si="26"/>
        <v>551</v>
      </c>
    </row>
    <row r="1687" spans="1:5">
      <c r="A1687" s="1072" t="s">
        <v>1245</v>
      </c>
      <c r="B1687" s="1072">
        <v>21001123</v>
      </c>
      <c r="C1687" s="1072">
        <v>389</v>
      </c>
      <c r="D1687" s="1072">
        <v>261</v>
      </c>
      <c r="E1687" s="1072">
        <f t="shared" si="26"/>
        <v>650</v>
      </c>
    </row>
    <row r="1688" spans="1:5">
      <c r="A1688" s="1072" t="s">
        <v>1245</v>
      </c>
      <c r="B1688" s="1072">
        <v>21001124</v>
      </c>
      <c r="C1688" s="1072">
        <v>862</v>
      </c>
      <c r="D1688" s="1072">
        <v>121</v>
      </c>
      <c r="E1688" s="1072">
        <f t="shared" si="26"/>
        <v>983</v>
      </c>
    </row>
    <row r="1689" spans="1:5">
      <c r="A1689" s="1072" t="s">
        <v>1245</v>
      </c>
      <c r="B1689" s="1072">
        <v>21001125</v>
      </c>
      <c r="C1689" s="1072">
        <v>277</v>
      </c>
      <c r="D1689" s="1072">
        <v>188</v>
      </c>
      <c r="E1689" s="1072">
        <f t="shared" si="26"/>
        <v>465</v>
      </c>
    </row>
    <row r="1690" spans="1:5">
      <c r="A1690" s="1072" t="s">
        <v>1245</v>
      </c>
      <c r="B1690" s="1072">
        <v>21001126</v>
      </c>
      <c r="C1690" s="1072">
        <v>279</v>
      </c>
      <c r="D1690" s="1072">
        <v>216</v>
      </c>
      <c r="E1690" s="1072">
        <f t="shared" si="26"/>
        <v>495</v>
      </c>
    </row>
    <row r="1691" spans="1:5">
      <c r="A1691" s="1072" t="s">
        <v>1245</v>
      </c>
      <c r="B1691" s="1072">
        <v>21001127</v>
      </c>
      <c r="C1691" s="1072">
        <v>343</v>
      </c>
      <c r="D1691" s="1072">
        <v>181</v>
      </c>
      <c r="E1691" s="1072">
        <f t="shared" si="26"/>
        <v>524</v>
      </c>
    </row>
    <row r="1692" spans="1:5">
      <c r="A1692" s="1072" t="s">
        <v>1245</v>
      </c>
      <c r="B1692" s="1072">
        <v>21001128</v>
      </c>
      <c r="C1692" s="1072">
        <v>247</v>
      </c>
      <c r="D1692" s="1072">
        <v>171</v>
      </c>
      <c r="E1692" s="1072">
        <f t="shared" si="26"/>
        <v>418</v>
      </c>
    </row>
    <row r="1693" spans="1:5">
      <c r="A1693" s="1072" t="s">
        <v>1245</v>
      </c>
      <c r="B1693" s="1072">
        <v>21001129</v>
      </c>
      <c r="C1693" s="1072">
        <v>324</v>
      </c>
      <c r="D1693" s="1072">
        <v>266</v>
      </c>
      <c r="E1693" s="1072">
        <f t="shared" si="26"/>
        <v>590</v>
      </c>
    </row>
    <row r="1694" spans="1:5">
      <c r="A1694" s="1072" t="s">
        <v>1245</v>
      </c>
      <c r="B1694" s="1072">
        <v>21001130</v>
      </c>
      <c r="C1694" s="1072">
        <v>1264</v>
      </c>
      <c r="D1694" s="1072">
        <v>219</v>
      </c>
      <c r="E1694" s="1072">
        <f t="shared" si="26"/>
        <v>1483</v>
      </c>
    </row>
    <row r="1695" spans="1:5">
      <c r="A1695" s="1072" t="s">
        <v>1245</v>
      </c>
      <c r="B1695" s="1072">
        <v>21001131</v>
      </c>
      <c r="C1695" s="1072">
        <v>1043</v>
      </c>
      <c r="D1695" s="1072">
        <v>225</v>
      </c>
      <c r="E1695" s="1072">
        <f t="shared" si="26"/>
        <v>1268</v>
      </c>
    </row>
    <row r="1696" spans="1:5">
      <c r="A1696" s="1072" t="s">
        <v>1245</v>
      </c>
      <c r="B1696" s="1072">
        <v>21001132</v>
      </c>
      <c r="C1696" s="1072">
        <v>563</v>
      </c>
      <c r="D1696" s="1072">
        <v>221</v>
      </c>
      <c r="E1696" s="1072">
        <f t="shared" si="26"/>
        <v>784</v>
      </c>
    </row>
    <row r="1697" spans="1:5" ht="13.5" thickBot="1"/>
    <row r="1698" spans="1:5" ht="13.5" thickBot="1">
      <c r="A1698" s="1069" t="s">
        <v>1246</v>
      </c>
      <c r="B1698" s="1070"/>
      <c r="C1698" s="1070">
        <f>SUM(C2:C1696)</f>
        <v>706127</v>
      </c>
      <c r="D1698" s="1070">
        <f>SUM(D2:D1696)</f>
        <v>408431</v>
      </c>
      <c r="E1698" s="1070">
        <f>SUM(E2:E1696)</f>
        <v>1114558</v>
      </c>
    </row>
  </sheetData>
  <printOptions horizontalCentered="1"/>
  <pageMargins left="0.75" right="0.75" top="0.89" bottom="0.61" header="0.28000000000000003" footer="0.38"/>
  <pageSetup orientation="portrait" horizontalDpi="200" verticalDpi="200" r:id="rId1"/>
  <headerFooter alignWithMargins="0">
    <oddHeader>&amp;C&amp;A
Puget Sound Energy
Combined Route Counts
Data Source:  Meter Data Warehouse, Jan 5th, 2009</oddHeader>
    <oddFooter>&amp;CPage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H50"/>
  <sheetViews>
    <sheetView topLeftCell="A3" workbookViewId="0">
      <selection activeCell="I33" sqref="I33"/>
    </sheetView>
  </sheetViews>
  <sheetFormatPr defaultColWidth="10.6640625" defaultRowHeight="12.75"/>
  <cols>
    <col min="1" max="1" width="16.33203125" style="1098" customWidth="1"/>
    <col min="2" max="2" width="57.1640625" style="1077" customWidth="1"/>
    <col min="3" max="3" width="14.83203125" style="1077" customWidth="1"/>
    <col min="4" max="4" width="21" style="1077" customWidth="1"/>
    <col min="5" max="5" width="10.6640625" style="1077" customWidth="1"/>
    <col min="6" max="6" width="20.1640625" style="1077" hidden="1" customWidth="1"/>
    <col min="7" max="7" width="19.5" style="1077" hidden="1" customWidth="1"/>
    <col min="8" max="8" width="23.5" style="1077" customWidth="1"/>
    <col min="9" max="256" width="10.6640625" style="1077"/>
    <col min="257" max="257" width="16.33203125" style="1077" customWidth="1"/>
    <col min="258" max="258" width="57.1640625" style="1077" customWidth="1"/>
    <col min="259" max="259" width="14.83203125" style="1077" customWidth="1"/>
    <col min="260" max="260" width="21" style="1077" customWidth="1"/>
    <col min="261" max="261" width="10.6640625" style="1077" customWidth="1"/>
    <col min="262" max="263" width="0" style="1077" hidden="1" customWidth="1"/>
    <col min="264" max="264" width="23.5" style="1077" customWidth="1"/>
    <col min="265" max="512" width="10.6640625" style="1077"/>
    <col min="513" max="513" width="16.33203125" style="1077" customWidth="1"/>
    <col min="514" max="514" width="57.1640625" style="1077" customWidth="1"/>
    <col min="515" max="515" width="14.83203125" style="1077" customWidth="1"/>
    <col min="516" max="516" width="21" style="1077" customWidth="1"/>
    <col min="517" max="517" width="10.6640625" style="1077" customWidth="1"/>
    <col min="518" max="519" width="0" style="1077" hidden="1" customWidth="1"/>
    <col min="520" max="520" width="23.5" style="1077" customWidth="1"/>
    <col min="521" max="768" width="10.6640625" style="1077"/>
    <col min="769" max="769" width="16.33203125" style="1077" customWidth="1"/>
    <col min="770" max="770" width="57.1640625" style="1077" customWidth="1"/>
    <col min="771" max="771" width="14.83203125" style="1077" customWidth="1"/>
    <col min="772" max="772" width="21" style="1077" customWidth="1"/>
    <col min="773" max="773" width="10.6640625" style="1077" customWidth="1"/>
    <col min="774" max="775" width="0" style="1077" hidden="1" customWidth="1"/>
    <col min="776" max="776" width="23.5" style="1077" customWidth="1"/>
    <col min="777" max="1024" width="10.6640625" style="1077"/>
    <col min="1025" max="1025" width="16.33203125" style="1077" customWidth="1"/>
    <col min="1026" max="1026" width="57.1640625" style="1077" customWidth="1"/>
    <col min="1027" max="1027" width="14.83203125" style="1077" customWidth="1"/>
    <col min="1028" max="1028" width="21" style="1077" customWidth="1"/>
    <col min="1029" max="1029" width="10.6640625" style="1077" customWidth="1"/>
    <col min="1030" max="1031" width="0" style="1077" hidden="1" customWidth="1"/>
    <col min="1032" max="1032" width="23.5" style="1077" customWidth="1"/>
    <col min="1033" max="1280" width="10.6640625" style="1077"/>
    <col min="1281" max="1281" width="16.33203125" style="1077" customWidth="1"/>
    <col min="1282" max="1282" width="57.1640625" style="1077" customWidth="1"/>
    <col min="1283" max="1283" width="14.83203125" style="1077" customWidth="1"/>
    <col min="1284" max="1284" width="21" style="1077" customWidth="1"/>
    <col min="1285" max="1285" width="10.6640625" style="1077" customWidth="1"/>
    <col min="1286" max="1287" width="0" style="1077" hidden="1" customWidth="1"/>
    <col min="1288" max="1288" width="23.5" style="1077" customWidth="1"/>
    <col min="1289" max="1536" width="10.6640625" style="1077"/>
    <col min="1537" max="1537" width="16.33203125" style="1077" customWidth="1"/>
    <col min="1538" max="1538" width="57.1640625" style="1077" customWidth="1"/>
    <col min="1539" max="1539" width="14.83203125" style="1077" customWidth="1"/>
    <col min="1540" max="1540" width="21" style="1077" customWidth="1"/>
    <col min="1541" max="1541" width="10.6640625" style="1077" customWidth="1"/>
    <col min="1542" max="1543" width="0" style="1077" hidden="1" customWidth="1"/>
    <col min="1544" max="1544" width="23.5" style="1077" customWidth="1"/>
    <col min="1545" max="1792" width="10.6640625" style="1077"/>
    <col min="1793" max="1793" width="16.33203125" style="1077" customWidth="1"/>
    <col min="1794" max="1794" width="57.1640625" style="1077" customWidth="1"/>
    <col min="1795" max="1795" width="14.83203125" style="1077" customWidth="1"/>
    <col min="1796" max="1796" width="21" style="1077" customWidth="1"/>
    <col min="1797" max="1797" width="10.6640625" style="1077" customWidth="1"/>
    <col min="1798" max="1799" width="0" style="1077" hidden="1" customWidth="1"/>
    <col min="1800" max="1800" width="23.5" style="1077" customWidth="1"/>
    <col min="1801" max="2048" width="10.6640625" style="1077"/>
    <col min="2049" max="2049" width="16.33203125" style="1077" customWidth="1"/>
    <col min="2050" max="2050" width="57.1640625" style="1077" customWidth="1"/>
    <col min="2051" max="2051" width="14.83203125" style="1077" customWidth="1"/>
    <col min="2052" max="2052" width="21" style="1077" customWidth="1"/>
    <col min="2053" max="2053" width="10.6640625" style="1077" customWidth="1"/>
    <col min="2054" max="2055" width="0" style="1077" hidden="1" customWidth="1"/>
    <col min="2056" max="2056" width="23.5" style="1077" customWidth="1"/>
    <col min="2057" max="2304" width="10.6640625" style="1077"/>
    <col min="2305" max="2305" width="16.33203125" style="1077" customWidth="1"/>
    <col min="2306" max="2306" width="57.1640625" style="1077" customWidth="1"/>
    <col min="2307" max="2307" width="14.83203125" style="1077" customWidth="1"/>
    <col min="2308" max="2308" width="21" style="1077" customWidth="1"/>
    <col min="2309" max="2309" width="10.6640625" style="1077" customWidth="1"/>
    <col min="2310" max="2311" width="0" style="1077" hidden="1" customWidth="1"/>
    <col min="2312" max="2312" width="23.5" style="1077" customWidth="1"/>
    <col min="2313" max="2560" width="10.6640625" style="1077"/>
    <col min="2561" max="2561" width="16.33203125" style="1077" customWidth="1"/>
    <col min="2562" max="2562" width="57.1640625" style="1077" customWidth="1"/>
    <col min="2563" max="2563" width="14.83203125" style="1077" customWidth="1"/>
    <col min="2564" max="2564" width="21" style="1077" customWidth="1"/>
    <col min="2565" max="2565" width="10.6640625" style="1077" customWidth="1"/>
    <col min="2566" max="2567" width="0" style="1077" hidden="1" customWidth="1"/>
    <col min="2568" max="2568" width="23.5" style="1077" customWidth="1"/>
    <col min="2569" max="2816" width="10.6640625" style="1077"/>
    <col min="2817" max="2817" width="16.33203125" style="1077" customWidth="1"/>
    <col min="2818" max="2818" width="57.1640625" style="1077" customWidth="1"/>
    <col min="2819" max="2819" width="14.83203125" style="1077" customWidth="1"/>
    <col min="2820" max="2820" width="21" style="1077" customWidth="1"/>
    <col min="2821" max="2821" width="10.6640625" style="1077" customWidth="1"/>
    <col min="2822" max="2823" width="0" style="1077" hidden="1" customWidth="1"/>
    <col min="2824" max="2824" width="23.5" style="1077" customWidth="1"/>
    <col min="2825" max="3072" width="10.6640625" style="1077"/>
    <col min="3073" max="3073" width="16.33203125" style="1077" customWidth="1"/>
    <col min="3074" max="3074" width="57.1640625" style="1077" customWidth="1"/>
    <col min="3075" max="3075" width="14.83203125" style="1077" customWidth="1"/>
    <col min="3076" max="3076" width="21" style="1077" customWidth="1"/>
    <col min="3077" max="3077" width="10.6640625" style="1077" customWidth="1"/>
    <col min="3078" max="3079" width="0" style="1077" hidden="1" customWidth="1"/>
    <col min="3080" max="3080" width="23.5" style="1077" customWidth="1"/>
    <col min="3081" max="3328" width="10.6640625" style="1077"/>
    <col min="3329" max="3329" width="16.33203125" style="1077" customWidth="1"/>
    <col min="3330" max="3330" width="57.1640625" style="1077" customWidth="1"/>
    <col min="3331" max="3331" width="14.83203125" style="1077" customWidth="1"/>
    <col min="3332" max="3332" width="21" style="1077" customWidth="1"/>
    <col min="3333" max="3333" width="10.6640625" style="1077" customWidth="1"/>
    <col min="3334" max="3335" width="0" style="1077" hidden="1" customWidth="1"/>
    <col min="3336" max="3336" width="23.5" style="1077" customWidth="1"/>
    <col min="3337" max="3584" width="10.6640625" style="1077"/>
    <col min="3585" max="3585" width="16.33203125" style="1077" customWidth="1"/>
    <col min="3586" max="3586" width="57.1640625" style="1077" customWidth="1"/>
    <col min="3587" max="3587" width="14.83203125" style="1077" customWidth="1"/>
    <col min="3588" max="3588" width="21" style="1077" customWidth="1"/>
    <col min="3589" max="3589" width="10.6640625" style="1077" customWidth="1"/>
    <col min="3590" max="3591" width="0" style="1077" hidden="1" customWidth="1"/>
    <col min="3592" max="3592" width="23.5" style="1077" customWidth="1"/>
    <col min="3593" max="3840" width="10.6640625" style="1077"/>
    <col min="3841" max="3841" width="16.33203125" style="1077" customWidth="1"/>
    <col min="3842" max="3842" width="57.1640625" style="1077" customWidth="1"/>
    <col min="3843" max="3843" width="14.83203125" style="1077" customWidth="1"/>
    <col min="3844" max="3844" width="21" style="1077" customWidth="1"/>
    <col min="3845" max="3845" width="10.6640625" style="1077" customWidth="1"/>
    <col min="3846" max="3847" width="0" style="1077" hidden="1" customWidth="1"/>
    <col min="3848" max="3848" width="23.5" style="1077" customWidth="1"/>
    <col min="3849" max="4096" width="10.6640625" style="1077"/>
    <col min="4097" max="4097" width="16.33203125" style="1077" customWidth="1"/>
    <col min="4098" max="4098" width="57.1640625" style="1077" customWidth="1"/>
    <col min="4099" max="4099" width="14.83203125" style="1077" customWidth="1"/>
    <col min="4100" max="4100" width="21" style="1077" customWidth="1"/>
    <col min="4101" max="4101" width="10.6640625" style="1077" customWidth="1"/>
    <col min="4102" max="4103" width="0" style="1077" hidden="1" customWidth="1"/>
    <col min="4104" max="4104" width="23.5" style="1077" customWidth="1"/>
    <col min="4105" max="4352" width="10.6640625" style="1077"/>
    <col min="4353" max="4353" width="16.33203125" style="1077" customWidth="1"/>
    <col min="4354" max="4354" width="57.1640625" style="1077" customWidth="1"/>
    <col min="4355" max="4355" width="14.83203125" style="1077" customWidth="1"/>
    <col min="4356" max="4356" width="21" style="1077" customWidth="1"/>
    <col min="4357" max="4357" width="10.6640625" style="1077" customWidth="1"/>
    <col min="4358" max="4359" width="0" style="1077" hidden="1" customWidth="1"/>
    <col min="4360" max="4360" width="23.5" style="1077" customWidth="1"/>
    <col min="4361" max="4608" width="10.6640625" style="1077"/>
    <col min="4609" max="4609" width="16.33203125" style="1077" customWidth="1"/>
    <col min="4610" max="4610" width="57.1640625" style="1077" customWidth="1"/>
    <col min="4611" max="4611" width="14.83203125" style="1077" customWidth="1"/>
    <col min="4612" max="4612" width="21" style="1077" customWidth="1"/>
    <col min="4613" max="4613" width="10.6640625" style="1077" customWidth="1"/>
    <col min="4614" max="4615" width="0" style="1077" hidden="1" customWidth="1"/>
    <col min="4616" max="4616" width="23.5" style="1077" customWidth="1"/>
    <col min="4617" max="4864" width="10.6640625" style="1077"/>
    <col min="4865" max="4865" width="16.33203125" style="1077" customWidth="1"/>
    <col min="4866" max="4866" width="57.1640625" style="1077" customWidth="1"/>
    <col min="4867" max="4867" width="14.83203125" style="1077" customWidth="1"/>
    <col min="4868" max="4868" width="21" style="1077" customWidth="1"/>
    <col min="4869" max="4869" width="10.6640625" style="1077" customWidth="1"/>
    <col min="4870" max="4871" width="0" style="1077" hidden="1" customWidth="1"/>
    <col min="4872" max="4872" width="23.5" style="1077" customWidth="1"/>
    <col min="4873" max="5120" width="10.6640625" style="1077"/>
    <col min="5121" max="5121" width="16.33203125" style="1077" customWidth="1"/>
    <col min="5122" max="5122" width="57.1640625" style="1077" customWidth="1"/>
    <col min="5123" max="5123" width="14.83203125" style="1077" customWidth="1"/>
    <col min="5124" max="5124" width="21" style="1077" customWidth="1"/>
    <col min="5125" max="5125" width="10.6640625" style="1077" customWidth="1"/>
    <col min="5126" max="5127" width="0" style="1077" hidden="1" customWidth="1"/>
    <col min="5128" max="5128" width="23.5" style="1077" customWidth="1"/>
    <col min="5129" max="5376" width="10.6640625" style="1077"/>
    <col min="5377" max="5377" width="16.33203125" style="1077" customWidth="1"/>
    <col min="5378" max="5378" width="57.1640625" style="1077" customWidth="1"/>
    <col min="5379" max="5379" width="14.83203125" style="1077" customWidth="1"/>
    <col min="5380" max="5380" width="21" style="1077" customWidth="1"/>
    <col min="5381" max="5381" width="10.6640625" style="1077" customWidth="1"/>
    <col min="5382" max="5383" width="0" style="1077" hidden="1" customWidth="1"/>
    <col min="5384" max="5384" width="23.5" style="1077" customWidth="1"/>
    <col min="5385" max="5632" width="10.6640625" style="1077"/>
    <col min="5633" max="5633" width="16.33203125" style="1077" customWidth="1"/>
    <col min="5634" max="5634" width="57.1640625" style="1077" customWidth="1"/>
    <col min="5635" max="5635" width="14.83203125" style="1077" customWidth="1"/>
    <col min="5636" max="5636" width="21" style="1077" customWidth="1"/>
    <col min="5637" max="5637" width="10.6640625" style="1077" customWidth="1"/>
    <col min="5638" max="5639" width="0" style="1077" hidden="1" customWidth="1"/>
    <col min="5640" max="5640" width="23.5" style="1077" customWidth="1"/>
    <col min="5641" max="5888" width="10.6640625" style="1077"/>
    <col min="5889" max="5889" width="16.33203125" style="1077" customWidth="1"/>
    <col min="5890" max="5890" width="57.1640625" style="1077" customWidth="1"/>
    <col min="5891" max="5891" width="14.83203125" style="1077" customWidth="1"/>
    <col min="5892" max="5892" width="21" style="1077" customWidth="1"/>
    <col min="5893" max="5893" width="10.6640625" style="1077" customWidth="1"/>
    <col min="5894" max="5895" width="0" style="1077" hidden="1" customWidth="1"/>
    <col min="5896" max="5896" width="23.5" style="1077" customWidth="1"/>
    <col min="5897" max="6144" width="10.6640625" style="1077"/>
    <col min="6145" max="6145" width="16.33203125" style="1077" customWidth="1"/>
    <col min="6146" max="6146" width="57.1640625" style="1077" customWidth="1"/>
    <col min="6147" max="6147" width="14.83203125" style="1077" customWidth="1"/>
    <col min="6148" max="6148" width="21" style="1077" customWidth="1"/>
    <col min="6149" max="6149" width="10.6640625" style="1077" customWidth="1"/>
    <col min="6150" max="6151" width="0" style="1077" hidden="1" customWidth="1"/>
    <col min="6152" max="6152" width="23.5" style="1077" customWidth="1"/>
    <col min="6153" max="6400" width="10.6640625" style="1077"/>
    <col min="6401" max="6401" width="16.33203125" style="1077" customWidth="1"/>
    <col min="6402" max="6402" width="57.1640625" style="1077" customWidth="1"/>
    <col min="6403" max="6403" width="14.83203125" style="1077" customWidth="1"/>
    <col min="6404" max="6404" width="21" style="1077" customWidth="1"/>
    <col min="6405" max="6405" width="10.6640625" style="1077" customWidth="1"/>
    <col min="6406" max="6407" width="0" style="1077" hidden="1" customWidth="1"/>
    <col min="6408" max="6408" width="23.5" style="1077" customWidth="1"/>
    <col min="6409" max="6656" width="10.6640625" style="1077"/>
    <col min="6657" max="6657" width="16.33203125" style="1077" customWidth="1"/>
    <col min="6658" max="6658" width="57.1640625" style="1077" customWidth="1"/>
    <col min="6659" max="6659" width="14.83203125" style="1077" customWidth="1"/>
    <col min="6660" max="6660" width="21" style="1077" customWidth="1"/>
    <col min="6661" max="6661" width="10.6640625" style="1077" customWidth="1"/>
    <col min="6662" max="6663" width="0" style="1077" hidden="1" customWidth="1"/>
    <col min="6664" max="6664" width="23.5" style="1077" customWidth="1"/>
    <col min="6665" max="6912" width="10.6640625" style="1077"/>
    <col min="6913" max="6913" width="16.33203125" style="1077" customWidth="1"/>
    <col min="6914" max="6914" width="57.1640625" style="1077" customWidth="1"/>
    <col min="6915" max="6915" width="14.83203125" style="1077" customWidth="1"/>
    <col min="6916" max="6916" width="21" style="1077" customWidth="1"/>
    <col min="6917" max="6917" width="10.6640625" style="1077" customWidth="1"/>
    <col min="6918" max="6919" width="0" style="1077" hidden="1" customWidth="1"/>
    <col min="6920" max="6920" width="23.5" style="1077" customWidth="1"/>
    <col min="6921" max="7168" width="10.6640625" style="1077"/>
    <col min="7169" max="7169" width="16.33203125" style="1077" customWidth="1"/>
    <col min="7170" max="7170" width="57.1640625" style="1077" customWidth="1"/>
    <col min="7171" max="7171" width="14.83203125" style="1077" customWidth="1"/>
    <col min="7172" max="7172" width="21" style="1077" customWidth="1"/>
    <col min="7173" max="7173" width="10.6640625" style="1077" customWidth="1"/>
    <col min="7174" max="7175" width="0" style="1077" hidden="1" customWidth="1"/>
    <col min="7176" max="7176" width="23.5" style="1077" customWidth="1"/>
    <col min="7177" max="7424" width="10.6640625" style="1077"/>
    <col min="7425" max="7425" width="16.33203125" style="1077" customWidth="1"/>
    <col min="7426" max="7426" width="57.1640625" style="1077" customWidth="1"/>
    <col min="7427" max="7427" width="14.83203125" style="1077" customWidth="1"/>
    <col min="7428" max="7428" width="21" style="1077" customWidth="1"/>
    <col min="7429" max="7429" width="10.6640625" style="1077" customWidth="1"/>
    <col min="7430" max="7431" width="0" style="1077" hidden="1" customWidth="1"/>
    <col min="7432" max="7432" width="23.5" style="1077" customWidth="1"/>
    <col min="7433" max="7680" width="10.6640625" style="1077"/>
    <col min="7681" max="7681" width="16.33203125" style="1077" customWidth="1"/>
    <col min="7682" max="7682" width="57.1640625" style="1077" customWidth="1"/>
    <col min="7683" max="7683" width="14.83203125" style="1077" customWidth="1"/>
    <col min="7684" max="7684" width="21" style="1077" customWidth="1"/>
    <col min="7685" max="7685" width="10.6640625" style="1077" customWidth="1"/>
    <col min="7686" max="7687" width="0" style="1077" hidden="1" customWidth="1"/>
    <col min="7688" max="7688" width="23.5" style="1077" customWidth="1"/>
    <col min="7689" max="7936" width="10.6640625" style="1077"/>
    <col min="7937" max="7937" width="16.33203125" style="1077" customWidth="1"/>
    <col min="7938" max="7938" width="57.1640625" style="1077" customWidth="1"/>
    <col min="7939" max="7939" width="14.83203125" style="1077" customWidth="1"/>
    <col min="7940" max="7940" width="21" style="1077" customWidth="1"/>
    <col min="7941" max="7941" width="10.6640625" style="1077" customWidth="1"/>
    <col min="7942" max="7943" width="0" style="1077" hidden="1" customWidth="1"/>
    <col min="7944" max="7944" width="23.5" style="1077" customWidth="1"/>
    <col min="7945" max="8192" width="10.6640625" style="1077"/>
    <col min="8193" max="8193" width="16.33203125" style="1077" customWidth="1"/>
    <col min="8194" max="8194" width="57.1640625" style="1077" customWidth="1"/>
    <col min="8195" max="8195" width="14.83203125" style="1077" customWidth="1"/>
    <col min="8196" max="8196" width="21" style="1077" customWidth="1"/>
    <col min="8197" max="8197" width="10.6640625" style="1077" customWidth="1"/>
    <col min="8198" max="8199" width="0" style="1077" hidden="1" customWidth="1"/>
    <col min="8200" max="8200" width="23.5" style="1077" customWidth="1"/>
    <col min="8201" max="8448" width="10.6640625" style="1077"/>
    <col min="8449" max="8449" width="16.33203125" style="1077" customWidth="1"/>
    <col min="8450" max="8450" width="57.1640625" style="1077" customWidth="1"/>
    <col min="8451" max="8451" width="14.83203125" style="1077" customWidth="1"/>
    <col min="8452" max="8452" width="21" style="1077" customWidth="1"/>
    <col min="8453" max="8453" width="10.6640625" style="1077" customWidth="1"/>
    <col min="8454" max="8455" width="0" style="1077" hidden="1" customWidth="1"/>
    <col min="8456" max="8456" width="23.5" style="1077" customWidth="1"/>
    <col min="8457" max="8704" width="10.6640625" style="1077"/>
    <col min="8705" max="8705" width="16.33203125" style="1077" customWidth="1"/>
    <col min="8706" max="8706" width="57.1640625" style="1077" customWidth="1"/>
    <col min="8707" max="8707" width="14.83203125" style="1077" customWidth="1"/>
    <col min="8708" max="8708" width="21" style="1077" customWidth="1"/>
    <col min="8709" max="8709" width="10.6640625" style="1077" customWidth="1"/>
    <col min="8710" max="8711" width="0" style="1077" hidden="1" customWidth="1"/>
    <col min="8712" max="8712" width="23.5" style="1077" customWidth="1"/>
    <col min="8713" max="8960" width="10.6640625" style="1077"/>
    <col min="8961" max="8961" width="16.33203125" style="1077" customWidth="1"/>
    <col min="8962" max="8962" width="57.1640625" style="1077" customWidth="1"/>
    <col min="8963" max="8963" width="14.83203125" style="1077" customWidth="1"/>
    <col min="8964" max="8964" width="21" style="1077" customWidth="1"/>
    <col min="8965" max="8965" width="10.6640625" style="1077" customWidth="1"/>
    <col min="8966" max="8967" width="0" style="1077" hidden="1" customWidth="1"/>
    <col min="8968" max="8968" width="23.5" style="1077" customWidth="1"/>
    <col min="8969" max="9216" width="10.6640625" style="1077"/>
    <col min="9217" max="9217" width="16.33203125" style="1077" customWidth="1"/>
    <col min="9218" max="9218" width="57.1640625" style="1077" customWidth="1"/>
    <col min="9219" max="9219" width="14.83203125" style="1077" customWidth="1"/>
    <col min="9220" max="9220" width="21" style="1077" customWidth="1"/>
    <col min="9221" max="9221" width="10.6640625" style="1077" customWidth="1"/>
    <col min="9222" max="9223" width="0" style="1077" hidden="1" customWidth="1"/>
    <col min="9224" max="9224" width="23.5" style="1077" customWidth="1"/>
    <col min="9225" max="9472" width="10.6640625" style="1077"/>
    <col min="9473" max="9473" width="16.33203125" style="1077" customWidth="1"/>
    <col min="9474" max="9474" width="57.1640625" style="1077" customWidth="1"/>
    <col min="9475" max="9475" width="14.83203125" style="1077" customWidth="1"/>
    <col min="9476" max="9476" width="21" style="1077" customWidth="1"/>
    <col min="9477" max="9477" width="10.6640625" style="1077" customWidth="1"/>
    <col min="9478" max="9479" width="0" style="1077" hidden="1" customWidth="1"/>
    <col min="9480" max="9480" width="23.5" style="1077" customWidth="1"/>
    <col min="9481" max="9728" width="10.6640625" style="1077"/>
    <col min="9729" max="9729" width="16.33203125" style="1077" customWidth="1"/>
    <col min="9730" max="9730" width="57.1640625" style="1077" customWidth="1"/>
    <col min="9731" max="9731" width="14.83203125" style="1077" customWidth="1"/>
    <col min="9732" max="9732" width="21" style="1077" customWidth="1"/>
    <col min="9733" max="9733" width="10.6640625" style="1077" customWidth="1"/>
    <col min="9734" max="9735" width="0" style="1077" hidden="1" customWidth="1"/>
    <col min="9736" max="9736" width="23.5" style="1077" customWidth="1"/>
    <col min="9737" max="9984" width="10.6640625" style="1077"/>
    <col min="9985" max="9985" width="16.33203125" style="1077" customWidth="1"/>
    <col min="9986" max="9986" width="57.1640625" style="1077" customWidth="1"/>
    <col min="9987" max="9987" width="14.83203125" style="1077" customWidth="1"/>
    <col min="9988" max="9988" width="21" style="1077" customWidth="1"/>
    <col min="9989" max="9989" width="10.6640625" style="1077" customWidth="1"/>
    <col min="9990" max="9991" width="0" style="1077" hidden="1" customWidth="1"/>
    <col min="9992" max="9992" width="23.5" style="1077" customWidth="1"/>
    <col min="9993" max="10240" width="10.6640625" style="1077"/>
    <col min="10241" max="10241" width="16.33203125" style="1077" customWidth="1"/>
    <col min="10242" max="10242" width="57.1640625" style="1077" customWidth="1"/>
    <col min="10243" max="10243" width="14.83203125" style="1077" customWidth="1"/>
    <col min="10244" max="10244" width="21" style="1077" customWidth="1"/>
    <col min="10245" max="10245" width="10.6640625" style="1077" customWidth="1"/>
    <col min="10246" max="10247" width="0" style="1077" hidden="1" customWidth="1"/>
    <col min="10248" max="10248" width="23.5" style="1077" customWidth="1"/>
    <col min="10249" max="10496" width="10.6640625" style="1077"/>
    <col min="10497" max="10497" width="16.33203125" style="1077" customWidth="1"/>
    <col min="10498" max="10498" width="57.1640625" style="1077" customWidth="1"/>
    <col min="10499" max="10499" width="14.83203125" style="1077" customWidth="1"/>
    <col min="10500" max="10500" width="21" style="1077" customWidth="1"/>
    <col min="10501" max="10501" width="10.6640625" style="1077" customWidth="1"/>
    <col min="10502" max="10503" width="0" style="1077" hidden="1" customWidth="1"/>
    <col min="10504" max="10504" width="23.5" style="1077" customWidth="1"/>
    <col min="10505" max="10752" width="10.6640625" style="1077"/>
    <col min="10753" max="10753" width="16.33203125" style="1077" customWidth="1"/>
    <col min="10754" max="10754" width="57.1640625" style="1077" customWidth="1"/>
    <col min="10755" max="10755" width="14.83203125" style="1077" customWidth="1"/>
    <col min="10756" max="10756" width="21" style="1077" customWidth="1"/>
    <col min="10757" max="10757" width="10.6640625" style="1077" customWidth="1"/>
    <col min="10758" max="10759" width="0" style="1077" hidden="1" customWidth="1"/>
    <col min="10760" max="10760" width="23.5" style="1077" customWidth="1"/>
    <col min="10761" max="11008" width="10.6640625" style="1077"/>
    <col min="11009" max="11009" width="16.33203125" style="1077" customWidth="1"/>
    <col min="11010" max="11010" width="57.1640625" style="1077" customWidth="1"/>
    <col min="11011" max="11011" width="14.83203125" style="1077" customWidth="1"/>
    <col min="11012" max="11012" width="21" style="1077" customWidth="1"/>
    <col min="11013" max="11013" width="10.6640625" style="1077" customWidth="1"/>
    <col min="11014" max="11015" width="0" style="1077" hidden="1" customWidth="1"/>
    <col min="11016" max="11016" width="23.5" style="1077" customWidth="1"/>
    <col min="11017" max="11264" width="10.6640625" style="1077"/>
    <col min="11265" max="11265" width="16.33203125" style="1077" customWidth="1"/>
    <col min="11266" max="11266" width="57.1640625" style="1077" customWidth="1"/>
    <col min="11267" max="11267" width="14.83203125" style="1077" customWidth="1"/>
    <col min="11268" max="11268" width="21" style="1077" customWidth="1"/>
    <col min="11269" max="11269" width="10.6640625" style="1077" customWidth="1"/>
    <col min="11270" max="11271" width="0" style="1077" hidden="1" customWidth="1"/>
    <col min="11272" max="11272" width="23.5" style="1077" customWidth="1"/>
    <col min="11273" max="11520" width="10.6640625" style="1077"/>
    <col min="11521" max="11521" width="16.33203125" style="1077" customWidth="1"/>
    <col min="11522" max="11522" width="57.1640625" style="1077" customWidth="1"/>
    <col min="11523" max="11523" width="14.83203125" style="1077" customWidth="1"/>
    <col min="11524" max="11524" width="21" style="1077" customWidth="1"/>
    <col min="11525" max="11525" width="10.6640625" style="1077" customWidth="1"/>
    <col min="11526" max="11527" width="0" style="1077" hidden="1" customWidth="1"/>
    <col min="11528" max="11528" width="23.5" style="1077" customWidth="1"/>
    <col min="11529" max="11776" width="10.6640625" style="1077"/>
    <col min="11777" max="11777" width="16.33203125" style="1077" customWidth="1"/>
    <col min="11778" max="11778" width="57.1640625" style="1077" customWidth="1"/>
    <col min="11779" max="11779" width="14.83203125" style="1077" customWidth="1"/>
    <col min="11780" max="11780" width="21" style="1077" customWidth="1"/>
    <col min="11781" max="11781" width="10.6640625" style="1077" customWidth="1"/>
    <col min="11782" max="11783" width="0" style="1077" hidden="1" customWidth="1"/>
    <col min="11784" max="11784" width="23.5" style="1077" customWidth="1"/>
    <col min="11785" max="12032" width="10.6640625" style="1077"/>
    <col min="12033" max="12033" width="16.33203125" style="1077" customWidth="1"/>
    <col min="12034" max="12034" width="57.1640625" style="1077" customWidth="1"/>
    <col min="12035" max="12035" width="14.83203125" style="1077" customWidth="1"/>
    <col min="12036" max="12036" width="21" style="1077" customWidth="1"/>
    <col min="12037" max="12037" width="10.6640625" style="1077" customWidth="1"/>
    <col min="12038" max="12039" width="0" style="1077" hidden="1" customWidth="1"/>
    <col min="12040" max="12040" width="23.5" style="1077" customWidth="1"/>
    <col min="12041" max="12288" width="10.6640625" style="1077"/>
    <col min="12289" max="12289" width="16.33203125" style="1077" customWidth="1"/>
    <col min="12290" max="12290" width="57.1640625" style="1077" customWidth="1"/>
    <col min="12291" max="12291" width="14.83203125" style="1077" customWidth="1"/>
    <col min="12292" max="12292" width="21" style="1077" customWidth="1"/>
    <col min="12293" max="12293" width="10.6640625" style="1077" customWidth="1"/>
    <col min="12294" max="12295" width="0" style="1077" hidden="1" customWidth="1"/>
    <col min="12296" max="12296" width="23.5" style="1077" customWidth="1"/>
    <col min="12297" max="12544" width="10.6640625" style="1077"/>
    <col min="12545" max="12545" width="16.33203125" style="1077" customWidth="1"/>
    <col min="12546" max="12546" width="57.1640625" style="1077" customWidth="1"/>
    <col min="12547" max="12547" width="14.83203125" style="1077" customWidth="1"/>
    <col min="12548" max="12548" width="21" style="1077" customWidth="1"/>
    <col min="12549" max="12549" width="10.6640625" style="1077" customWidth="1"/>
    <col min="12550" max="12551" width="0" style="1077" hidden="1" customWidth="1"/>
    <col min="12552" max="12552" width="23.5" style="1077" customWidth="1"/>
    <col min="12553" max="12800" width="10.6640625" style="1077"/>
    <col min="12801" max="12801" width="16.33203125" style="1077" customWidth="1"/>
    <col min="12802" max="12802" width="57.1640625" style="1077" customWidth="1"/>
    <col min="12803" max="12803" width="14.83203125" style="1077" customWidth="1"/>
    <col min="12804" max="12804" width="21" style="1077" customWidth="1"/>
    <col min="12805" max="12805" width="10.6640625" style="1077" customWidth="1"/>
    <col min="12806" max="12807" width="0" style="1077" hidden="1" customWidth="1"/>
    <col min="12808" max="12808" width="23.5" style="1077" customWidth="1"/>
    <col min="12809" max="13056" width="10.6640625" style="1077"/>
    <col min="13057" max="13057" width="16.33203125" style="1077" customWidth="1"/>
    <col min="13058" max="13058" width="57.1640625" style="1077" customWidth="1"/>
    <col min="13059" max="13059" width="14.83203125" style="1077" customWidth="1"/>
    <col min="13060" max="13060" width="21" style="1077" customWidth="1"/>
    <col min="13061" max="13061" width="10.6640625" style="1077" customWidth="1"/>
    <col min="13062" max="13063" width="0" style="1077" hidden="1" customWidth="1"/>
    <col min="13064" max="13064" width="23.5" style="1077" customWidth="1"/>
    <col min="13065" max="13312" width="10.6640625" style="1077"/>
    <col min="13313" max="13313" width="16.33203125" style="1077" customWidth="1"/>
    <col min="13314" max="13314" width="57.1640625" style="1077" customWidth="1"/>
    <col min="13315" max="13315" width="14.83203125" style="1077" customWidth="1"/>
    <col min="13316" max="13316" width="21" style="1077" customWidth="1"/>
    <col min="13317" max="13317" width="10.6640625" style="1077" customWidth="1"/>
    <col min="13318" max="13319" width="0" style="1077" hidden="1" customWidth="1"/>
    <col min="13320" max="13320" width="23.5" style="1077" customWidth="1"/>
    <col min="13321" max="13568" width="10.6640625" style="1077"/>
    <col min="13569" max="13569" width="16.33203125" style="1077" customWidth="1"/>
    <col min="13570" max="13570" width="57.1640625" style="1077" customWidth="1"/>
    <col min="13571" max="13571" width="14.83203125" style="1077" customWidth="1"/>
    <col min="13572" max="13572" width="21" style="1077" customWidth="1"/>
    <col min="13573" max="13573" width="10.6640625" style="1077" customWidth="1"/>
    <col min="13574" max="13575" width="0" style="1077" hidden="1" customWidth="1"/>
    <col min="13576" max="13576" width="23.5" style="1077" customWidth="1"/>
    <col min="13577" max="13824" width="10.6640625" style="1077"/>
    <col min="13825" max="13825" width="16.33203125" style="1077" customWidth="1"/>
    <col min="13826" max="13826" width="57.1640625" style="1077" customWidth="1"/>
    <col min="13827" max="13827" width="14.83203125" style="1077" customWidth="1"/>
    <col min="13828" max="13828" width="21" style="1077" customWidth="1"/>
    <col min="13829" max="13829" width="10.6640625" style="1077" customWidth="1"/>
    <col min="13830" max="13831" width="0" style="1077" hidden="1" customWidth="1"/>
    <col min="13832" max="13832" width="23.5" style="1077" customWidth="1"/>
    <col min="13833" max="14080" width="10.6640625" style="1077"/>
    <col min="14081" max="14081" width="16.33203125" style="1077" customWidth="1"/>
    <col min="14082" max="14082" width="57.1640625" style="1077" customWidth="1"/>
    <col min="14083" max="14083" width="14.83203125" style="1077" customWidth="1"/>
    <col min="14084" max="14084" width="21" style="1077" customWidth="1"/>
    <col min="14085" max="14085" width="10.6640625" style="1077" customWidth="1"/>
    <col min="14086" max="14087" width="0" style="1077" hidden="1" customWidth="1"/>
    <col min="14088" max="14088" width="23.5" style="1077" customWidth="1"/>
    <col min="14089" max="14336" width="10.6640625" style="1077"/>
    <col min="14337" max="14337" width="16.33203125" style="1077" customWidth="1"/>
    <col min="14338" max="14338" width="57.1640625" style="1077" customWidth="1"/>
    <col min="14339" max="14339" width="14.83203125" style="1077" customWidth="1"/>
    <col min="14340" max="14340" width="21" style="1077" customWidth="1"/>
    <col min="14341" max="14341" width="10.6640625" style="1077" customWidth="1"/>
    <col min="14342" max="14343" width="0" style="1077" hidden="1" customWidth="1"/>
    <col min="14344" max="14344" width="23.5" style="1077" customWidth="1"/>
    <col min="14345" max="14592" width="10.6640625" style="1077"/>
    <col min="14593" max="14593" width="16.33203125" style="1077" customWidth="1"/>
    <col min="14594" max="14594" width="57.1640625" style="1077" customWidth="1"/>
    <col min="14595" max="14595" width="14.83203125" style="1077" customWidth="1"/>
    <col min="14596" max="14596" width="21" style="1077" customWidth="1"/>
    <col min="14597" max="14597" width="10.6640625" style="1077" customWidth="1"/>
    <col min="14598" max="14599" width="0" style="1077" hidden="1" customWidth="1"/>
    <col min="14600" max="14600" width="23.5" style="1077" customWidth="1"/>
    <col min="14601" max="14848" width="10.6640625" style="1077"/>
    <col min="14849" max="14849" width="16.33203125" style="1077" customWidth="1"/>
    <col min="14850" max="14850" width="57.1640625" style="1077" customWidth="1"/>
    <col min="14851" max="14851" width="14.83203125" style="1077" customWidth="1"/>
    <col min="14852" max="14852" width="21" style="1077" customWidth="1"/>
    <col min="14853" max="14853" width="10.6640625" style="1077" customWidth="1"/>
    <col min="14854" max="14855" width="0" style="1077" hidden="1" customWidth="1"/>
    <col min="14856" max="14856" width="23.5" style="1077" customWidth="1"/>
    <col min="14857" max="15104" width="10.6640625" style="1077"/>
    <col min="15105" max="15105" width="16.33203125" style="1077" customWidth="1"/>
    <col min="15106" max="15106" width="57.1640625" style="1077" customWidth="1"/>
    <col min="15107" max="15107" width="14.83203125" style="1077" customWidth="1"/>
    <col min="15108" max="15108" width="21" style="1077" customWidth="1"/>
    <col min="15109" max="15109" width="10.6640625" style="1077" customWidth="1"/>
    <col min="15110" max="15111" width="0" style="1077" hidden="1" customWidth="1"/>
    <col min="15112" max="15112" width="23.5" style="1077" customWidth="1"/>
    <col min="15113" max="15360" width="10.6640625" style="1077"/>
    <col min="15361" max="15361" width="16.33203125" style="1077" customWidth="1"/>
    <col min="15362" max="15362" width="57.1640625" style="1077" customWidth="1"/>
    <col min="15363" max="15363" width="14.83203125" style="1077" customWidth="1"/>
    <col min="15364" max="15364" width="21" style="1077" customWidth="1"/>
    <col min="15365" max="15365" width="10.6640625" style="1077" customWidth="1"/>
    <col min="15366" max="15367" width="0" style="1077" hidden="1" customWidth="1"/>
    <col min="15368" max="15368" width="23.5" style="1077" customWidth="1"/>
    <col min="15369" max="15616" width="10.6640625" style="1077"/>
    <col min="15617" max="15617" width="16.33203125" style="1077" customWidth="1"/>
    <col min="15618" max="15618" width="57.1640625" style="1077" customWidth="1"/>
    <col min="15619" max="15619" width="14.83203125" style="1077" customWidth="1"/>
    <col min="15620" max="15620" width="21" style="1077" customWidth="1"/>
    <col min="15621" max="15621" width="10.6640625" style="1077" customWidth="1"/>
    <col min="15622" max="15623" width="0" style="1077" hidden="1" customWidth="1"/>
    <col min="15624" max="15624" width="23.5" style="1077" customWidth="1"/>
    <col min="15625" max="15872" width="10.6640625" style="1077"/>
    <col min="15873" max="15873" width="16.33203125" style="1077" customWidth="1"/>
    <col min="15874" max="15874" width="57.1640625" style="1077" customWidth="1"/>
    <col min="15875" max="15875" width="14.83203125" style="1077" customWidth="1"/>
    <col min="15876" max="15876" width="21" style="1077" customWidth="1"/>
    <col min="15877" max="15877" width="10.6640625" style="1077" customWidth="1"/>
    <col min="15878" max="15879" width="0" style="1077" hidden="1" customWidth="1"/>
    <col min="15880" max="15880" width="23.5" style="1077" customWidth="1"/>
    <col min="15881" max="16128" width="10.6640625" style="1077"/>
    <col min="16129" max="16129" width="16.33203125" style="1077" customWidth="1"/>
    <col min="16130" max="16130" width="57.1640625" style="1077" customWidth="1"/>
    <col min="16131" max="16131" width="14.83203125" style="1077" customWidth="1"/>
    <col min="16132" max="16132" width="21" style="1077" customWidth="1"/>
    <col min="16133" max="16133" width="10.6640625" style="1077" customWidth="1"/>
    <col min="16134" max="16135" width="0" style="1077" hidden="1" customWidth="1"/>
    <col min="16136" max="16136" width="23.5" style="1077" customWidth="1"/>
    <col min="16137" max="16384" width="10.6640625" style="1077"/>
  </cols>
  <sheetData>
    <row r="1" spans="1:4" ht="38.25">
      <c r="A1" s="1073" t="s">
        <v>1247</v>
      </c>
      <c r="B1" s="1074" t="s">
        <v>1248</v>
      </c>
      <c r="C1" s="1075" t="s">
        <v>1249</v>
      </c>
      <c r="D1" s="1076" t="s">
        <v>1250</v>
      </c>
    </row>
    <row r="2" spans="1:4">
      <c r="A2" s="1078"/>
      <c r="B2" s="1079"/>
      <c r="D2" s="1080"/>
    </row>
    <row r="3" spans="1:4">
      <c r="A3" s="1081" t="s">
        <v>1027</v>
      </c>
      <c r="B3" s="1082"/>
      <c r="C3" s="1083"/>
      <c r="D3" s="1084"/>
    </row>
    <row r="4" spans="1:4">
      <c r="A4" s="1085">
        <v>10100501</v>
      </c>
      <c r="B4" s="1086" t="s">
        <v>1251</v>
      </c>
      <c r="C4" s="1087">
        <v>4</v>
      </c>
      <c r="D4" s="1088">
        <v>6471625304.7104158</v>
      </c>
    </row>
    <row r="5" spans="1:4">
      <c r="A5" s="1089">
        <v>23001021</v>
      </c>
      <c r="B5" s="1086" t="s">
        <v>1252</v>
      </c>
      <c r="C5" s="1090">
        <v>4</v>
      </c>
      <c r="D5" s="1088">
        <v>-1416630.9137499996</v>
      </c>
    </row>
    <row r="6" spans="1:4">
      <c r="A6" s="1089">
        <v>23001031</v>
      </c>
      <c r="B6" s="1086" t="s">
        <v>1253</v>
      </c>
      <c r="C6" s="1090">
        <v>4</v>
      </c>
      <c r="D6" s="1088">
        <v>-886040.55249999987</v>
      </c>
    </row>
    <row r="7" spans="1:4">
      <c r="A7" s="1089">
        <v>23001041</v>
      </c>
      <c r="B7" s="1086" t="s">
        <v>1254</v>
      </c>
      <c r="C7" s="1090">
        <v>4</v>
      </c>
      <c r="D7" s="1088">
        <v>-1146130.8604166668</v>
      </c>
    </row>
    <row r="8" spans="1:4">
      <c r="A8" s="1089">
        <v>23001061</v>
      </c>
      <c r="B8" s="1086" t="s">
        <v>1255</v>
      </c>
      <c r="C8" s="1090">
        <v>4</v>
      </c>
      <c r="D8" s="1088">
        <v>-4386532.1095833331</v>
      </c>
    </row>
    <row r="9" spans="1:4">
      <c r="A9" s="1089">
        <v>23001071</v>
      </c>
      <c r="B9" s="1086" t="s">
        <v>1256</v>
      </c>
      <c r="C9" s="1090">
        <v>4</v>
      </c>
      <c r="D9" s="1088">
        <v>-10010906.372500001</v>
      </c>
    </row>
    <row r="10" spans="1:4">
      <c r="A10" s="1089">
        <v>23001081</v>
      </c>
      <c r="B10" s="1086" t="s">
        <v>1257</v>
      </c>
      <c r="C10" s="1090">
        <v>4</v>
      </c>
      <c r="D10" s="1088">
        <v>-480731.93083333323</v>
      </c>
    </row>
    <row r="11" spans="1:4">
      <c r="A11" s="1089">
        <v>23001091</v>
      </c>
      <c r="B11" s="1086" t="s">
        <v>1258</v>
      </c>
      <c r="C11" s="1090">
        <v>4</v>
      </c>
      <c r="D11" s="1088">
        <v>-56408.754583333328</v>
      </c>
    </row>
    <row r="12" spans="1:4">
      <c r="A12" s="1089" t="s">
        <v>1259</v>
      </c>
      <c r="B12" s="1086" t="s">
        <v>1260</v>
      </c>
      <c r="C12" s="1090">
        <v>4</v>
      </c>
      <c r="D12" s="1088">
        <v>35000</v>
      </c>
    </row>
    <row r="13" spans="1:4">
      <c r="A13" s="1089">
        <v>23002001</v>
      </c>
      <c r="B13" s="1086" t="s">
        <v>1261</v>
      </c>
      <c r="C13" s="1090">
        <v>4</v>
      </c>
      <c r="D13" s="1091">
        <v>0</v>
      </c>
    </row>
    <row r="14" spans="1:4">
      <c r="A14" s="1089">
        <v>23002011</v>
      </c>
      <c r="B14" s="1086" t="s">
        <v>1262</v>
      </c>
      <c r="C14" s="1090">
        <v>4</v>
      </c>
      <c r="D14" s="1088">
        <v>-641018.44375000009</v>
      </c>
    </row>
    <row r="15" spans="1:4">
      <c r="A15" s="1092">
        <v>23002041</v>
      </c>
      <c r="B15" s="1086" t="s">
        <v>1263</v>
      </c>
      <c r="C15" s="1090">
        <v>4</v>
      </c>
      <c r="D15" s="1088">
        <v>-1436496.5870833334</v>
      </c>
    </row>
    <row r="16" spans="1:4">
      <c r="A16" s="1089">
        <v>23002061</v>
      </c>
      <c r="B16" s="1086" t="s">
        <v>1264</v>
      </c>
      <c r="C16" s="1090">
        <v>4</v>
      </c>
      <c r="D16" s="1088">
        <v>137647.70833333334</v>
      </c>
    </row>
    <row r="17" spans="1:8">
      <c r="A17" s="1089">
        <v>23002071</v>
      </c>
      <c r="B17" s="1086" t="s">
        <v>1265</v>
      </c>
      <c r="C17" s="1090">
        <v>4</v>
      </c>
      <c r="D17" s="1088">
        <v>265740.53958333336</v>
      </c>
    </row>
    <row r="18" spans="1:8">
      <c r="A18" s="1089">
        <v>23002081</v>
      </c>
      <c r="B18" s="1086" t="s">
        <v>1266</v>
      </c>
      <c r="C18" s="1090">
        <v>4</v>
      </c>
      <c r="D18" s="1088">
        <v>153228.75</v>
      </c>
    </row>
    <row r="19" spans="1:8">
      <c r="A19" s="1089">
        <v>23002091</v>
      </c>
      <c r="B19" s="1086" t="s">
        <v>1267</v>
      </c>
      <c r="C19" s="1090">
        <v>4</v>
      </c>
      <c r="D19" s="1088">
        <v>-591616.99791666679</v>
      </c>
      <c r="F19" s="1093">
        <f>SUM(D5:D19)</f>
        <v>-20460896.524999999</v>
      </c>
    </row>
    <row r="20" spans="1:8">
      <c r="A20" s="1089">
        <v>10800061</v>
      </c>
      <c r="B20" s="1086" t="s">
        <v>1268</v>
      </c>
      <c r="C20" s="1087">
        <v>17</v>
      </c>
      <c r="D20" s="1088">
        <v>-44268915.458333336</v>
      </c>
    </row>
    <row r="21" spans="1:8">
      <c r="A21" s="1089">
        <v>10800071</v>
      </c>
      <c r="B21" s="1086" t="s">
        <v>1269</v>
      </c>
      <c r="C21" s="1087">
        <v>17</v>
      </c>
      <c r="D21" s="1088">
        <v>44268915.458333336</v>
      </c>
    </row>
    <row r="22" spans="1:8">
      <c r="A22" s="1089">
        <v>10800501</v>
      </c>
      <c r="B22" s="1086" t="s">
        <v>1270</v>
      </c>
      <c r="C22" s="1087" t="s">
        <v>1271</v>
      </c>
      <c r="D22" s="1088">
        <v>-2565101768.2633338</v>
      </c>
    </row>
    <row r="23" spans="1:8">
      <c r="A23" s="1089">
        <v>10800541</v>
      </c>
      <c r="B23" s="1086" t="s">
        <v>1272</v>
      </c>
      <c r="C23" s="1087" t="s">
        <v>1271</v>
      </c>
      <c r="D23" s="1088">
        <v>7154026.0049999999</v>
      </c>
      <c r="F23" s="1093">
        <f>+D23+D22+D24</f>
        <v>-2571185539.5941672</v>
      </c>
    </row>
    <row r="24" spans="1:8">
      <c r="A24" s="1085">
        <v>11100501</v>
      </c>
      <c r="B24" s="1086" t="s">
        <v>1273</v>
      </c>
      <c r="C24" s="1087">
        <v>19</v>
      </c>
      <c r="D24" s="1088">
        <v>-13237797.335833333</v>
      </c>
    </row>
    <row r="25" spans="1:8">
      <c r="A25" s="1094"/>
      <c r="B25" s="1095"/>
      <c r="C25" s="1095"/>
      <c r="D25" s="1096">
        <f>SUM(D4:D24)</f>
        <v>3879978868.5912499</v>
      </c>
      <c r="F25" s="1097">
        <v>3908193205.3291206</v>
      </c>
      <c r="G25" s="1093">
        <v>-335389.58546304703</v>
      </c>
      <c r="H25" s="1093"/>
    </row>
    <row r="26" spans="1:8">
      <c r="D26" s="1099">
        <f>D25/$D$45</f>
        <v>0.68905879671044168</v>
      </c>
      <c r="F26" s="1093"/>
      <c r="G26" s="1093"/>
    </row>
    <row r="27" spans="1:8">
      <c r="A27" s="1081" t="s">
        <v>1028</v>
      </c>
      <c r="B27" s="1083"/>
      <c r="C27" s="1083"/>
      <c r="D27" s="1100"/>
    </row>
    <row r="28" spans="1:8">
      <c r="A28" s="1085">
        <v>10100502</v>
      </c>
      <c r="B28" s="1086" t="s">
        <v>1274</v>
      </c>
      <c r="C28" s="1087">
        <v>1</v>
      </c>
      <c r="D28" s="1088">
        <v>2611968389.1312504</v>
      </c>
    </row>
    <row r="29" spans="1:8">
      <c r="A29" s="1085">
        <v>18230432</v>
      </c>
      <c r="B29" s="1086" t="s">
        <v>1275</v>
      </c>
      <c r="C29" s="1101" t="s">
        <v>57</v>
      </c>
      <c r="D29" s="1088">
        <v>1518794.88</v>
      </c>
    </row>
    <row r="30" spans="1:8">
      <c r="A30" s="1085">
        <v>18230442</v>
      </c>
      <c r="B30" s="1086" t="s">
        <v>1276</v>
      </c>
      <c r="C30" s="1087" t="s">
        <v>57</v>
      </c>
      <c r="D30" s="1088">
        <v>-1366181.34</v>
      </c>
    </row>
    <row r="31" spans="1:8">
      <c r="A31" s="1085">
        <v>23001092</v>
      </c>
      <c r="B31" s="1086" t="s">
        <v>1277</v>
      </c>
      <c r="C31" s="1101">
        <v>1</v>
      </c>
      <c r="D31" s="1088">
        <v>-668831.53041666665</v>
      </c>
    </row>
    <row r="32" spans="1:8">
      <c r="A32" s="1085">
        <v>23002012</v>
      </c>
      <c r="B32" s="1086" t="s">
        <v>1278</v>
      </c>
      <c r="C32" s="1087">
        <v>1</v>
      </c>
      <c r="D32" s="1088">
        <v>-2575852.8870833335</v>
      </c>
    </row>
    <row r="33" spans="1:8">
      <c r="A33" s="1085">
        <v>23002032</v>
      </c>
      <c r="B33" s="1086" t="s">
        <v>1279</v>
      </c>
      <c r="C33" s="1101">
        <v>1</v>
      </c>
      <c r="D33" s="1088">
        <v>823793.87083333323</v>
      </c>
    </row>
    <row r="34" spans="1:8">
      <c r="A34" s="1085">
        <v>23002052</v>
      </c>
      <c r="B34" s="1086" t="s">
        <v>1280</v>
      </c>
      <c r="C34" s="1087">
        <v>1</v>
      </c>
      <c r="D34" s="1088">
        <v>-278517.82708333334</v>
      </c>
    </row>
    <row r="35" spans="1:8">
      <c r="A35" s="1085">
        <v>23002062</v>
      </c>
      <c r="B35" s="1102" t="s">
        <v>1281</v>
      </c>
      <c r="C35" s="1101">
        <v>1</v>
      </c>
      <c r="D35" s="1088">
        <v>819428.02500000002</v>
      </c>
    </row>
    <row r="36" spans="1:8">
      <c r="A36" s="1085">
        <v>23002092</v>
      </c>
      <c r="B36" s="1086" t="s">
        <v>1282</v>
      </c>
      <c r="C36" s="1087">
        <v>1</v>
      </c>
      <c r="D36" s="1088">
        <v>-1643221.895833333</v>
      </c>
    </row>
    <row r="37" spans="1:8">
      <c r="A37" s="1085">
        <v>10800062</v>
      </c>
      <c r="B37" s="1086" t="s">
        <v>1268</v>
      </c>
      <c r="C37" s="1101">
        <v>5</v>
      </c>
      <c r="D37" s="1088">
        <v>-138865911.5</v>
      </c>
    </row>
    <row r="38" spans="1:8">
      <c r="A38" s="1085">
        <v>10800072</v>
      </c>
      <c r="B38" s="1086" t="s">
        <v>1269</v>
      </c>
      <c r="C38" s="1087">
        <v>5</v>
      </c>
      <c r="D38" s="1088">
        <v>138865911.5</v>
      </c>
    </row>
    <row r="39" spans="1:8">
      <c r="A39" s="1085">
        <v>10800502</v>
      </c>
      <c r="B39" s="1086" t="s">
        <v>1283</v>
      </c>
      <c r="C39" s="1101" t="s">
        <v>692</v>
      </c>
      <c r="D39" s="1088">
        <v>-850516923.55999994</v>
      </c>
    </row>
    <row r="40" spans="1:8">
      <c r="A40" s="1085">
        <v>10800552</v>
      </c>
      <c r="B40" s="1086" t="s">
        <v>1284</v>
      </c>
      <c r="C40" s="1087">
        <v>5</v>
      </c>
      <c r="D40" s="1088">
        <v>859531.65875000006</v>
      </c>
    </row>
    <row r="41" spans="1:8">
      <c r="A41" s="1085">
        <v>11100502</v>
      </c>
      <c r="B41" s="1086" t="s">
        <v>1285</v>
      </c>
      <c r="C41" s="1101">
        <v>5</v>
      </c>
      <c r="D41" s="1088">
        <v>-8080679.432083332</v>
      </c>
    </row>
    <row r="42" spans="1:8">
      <c r="A42" s="1094"/>
      <c r="B42" s="1095"/>
      <c r="C42" s="1095"/>
      <c r="D42" s="1096">
        <f>SUM(D28:D41)</f>
        <v>1750859729.093334</v>
      </c>
      <c r="F42" s="1097">
        <v>1769849422</v>
      </c>
      <c r="G42" s="1093">
        <v>-152613.31125044823</v>
      </c>
      <c r="H42" s="1093"/>
    </row>
    <row r="43" spans="1:8">
      <c r="D43" s="1103">
        <f>D42/$D$45</f>
        <v>0.31094120328955838</v>
      </c>
    </row>
    <row r="45" spans="1:8">
      <c r="B45" s="1077" t="s">
        <v>1286</v>
      </c>
      <c r="D45" s="1093">
        <f>D25+D42</f>
        <v>5630838597.6845837</v>
      </c>
    </row>
    <row r="46" spans="1:8">
      <c r="D46" s="1103">
        <f>D45/$D$45</f>
        <v>1</v>
      </c>
    </row>
    <row r="49" spans="1:4">
      <c r="A49" s="1104"/>
      <c r="B49" s="1105"/>
      <c r="D49" s="1097"/>
    </row>
    <row r="50" spans="1:4">
      <c r="A50" s="1104"/>
      <c r="B50" s="1105"/>
      <c r="D50" s="1097"/>
    </row>
  </sheetData>
  <pageMargins left="0.5" right="0.5" top="0.75" bottom="0.75"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8" tint="0.39997558519241921"/>
  </sheetPr>
  <dimension ref="A1:L47"/>
  <sheetViews>
    <sheetView topLeftCell="A2" workbookViewId="0">
      <selection activeCell="E41" sqref="E41"/>
    </sheetView>
  </sheetViews>
  <sheetFormatPr defaultRowHeight="10.5"/>
  <cols>
    <col min="1" max="1" width="45.83203125" customWidth="1"/>
    <col min="2" max="2" width="19.33203125" style="50" customWidth="1"/>
    <col min="3" max="3" width="18.83203125" style="50" customWidth="1"/>
    <col min="4" max="4" width="18.33203125" style="50" customWidth="1"/>
    <col min="5" max="5" width="18" customWidth="1"/>
    <col min="6" max="6" width="18.5" style="50" customWidth="1"/>
    <col min="7" max="7" width="17" style="50" customWidth="1"/>
    <col min="8" max="8" width="19.1640625" style="50" customWidth="1"/>
    <col min="9" max="9" width="19.83203125" hidden="1" customWidth="1"/>
    <col min="10" max="10" width="14.1640625" style="1128" hidden="1" customWidth="1"/>
    <col min="11" max="11" width="16" hidden="1" customWidth="1"/>
    <col min="12" max="12" width="11.83203125" hidden="1" customWidth="1"/>
    <col min="257" max="257" width="45.83203125" customWidth="1"/>
    <col min="258" max="258" width="19.33203125" customWidth="1"/>
    <col min="259" max="259" width="18.83203125" customWidth="1"/>
    <col min="260" max="260" width="18.33203125" customWidth="1"/>
    <col min="261" max="261" width="18" customWidth="1"/>
    <col min="262" max="262" width="18.5" customWidth="1"/>
    <col min="263" max="263" width="17" customWidth="1"/>
    <col min="264" max="264" width="19.1640625" customWidth="1"/>
    <col min="265" max="268" width="0" hidden="1" customWidth="1"/>
    <col min="513" max="513" width="45.83203125" customWidth="1"/>
    <col min="514" max="514" width="19.33203125" customWidth="1"/>
    <col min="515" max="515" width="18.83203125" customWidth="1"/>
    <col min="516" max="516" width="18.33203125" customWidth="1"/>
    <col min="517" max="517" width="18" customWidth="1"/>
    <col min="518" max="518" width="18.5" customWidth="1"/>
    <col min="519" max="519" width="17" customWidth="1"/>
    <col min="520" max="520" width="19.1640625" customWidth="1"/>
    <col min="521" max="524" width="0" hidden="1" customWidth="1"/>
    <col min="769" max="769" width="45.83203125" customWidth="1"/>
    <col min="770" max="770" width="19.33203125" customWidth="1"/>
    <col min="771" max="771" width="18.83203125" customWidth="1"/>
    <col min="772" max="772" width="18.33203125" customWidth="1"/>
    <col min="773" max="773" width="18" customWidth="1"/>
    <col min="774" max="774" width="18.5" customWidth="1"/>
    <col min="775" max="775" width="17" customWidth="1"/>
    <col min="776" max="776" width="19.1640625" customWidth="1"/>
    <col min="777" max="780" width="0" hidden="1" customWidth="1"/>
    <col min="1025" max="1025" width="45.83203125" customWidth="1"/>
    <col min="1026" max="1026" width="19.33203125" customWidth="1"/>
    <col min="1027" max="1027" width="18.83203125" customWidth="1"/>
    <col min="1028" max="1028" width="18.33203125" customWidth="1"/>
    <col min="1029" max="1029" width="18" customWidth="1"/>
    <col min="1030" max="1030" width="18.5" customWidth="1"/>
    <col min="1031" max="1031" width="17" customWidth="1"/>
    <col min="1032" max="1032" width="19.1640625" customWidth="1"/>
    <col min="1033" max="1036" width="0" hidden="1" customWidth="1"/>
    <col min="1281" max="1281" width="45.83203125" customWidth="1"/>
    <col min="1282" max="1282" width="19.33203125" customWidth="1"/>
    <col min="1283" max="1283" width="18.83203125" customWidth="1"/>
    <col min="1284" max="1284" width="18.33203125" customWidth="1"/>
    <col min="1285" max="1285" width="18" customWidth="1"/>
    <col min="1286" max="1286" width="18.5" customWidth="1"/>
    <col min="1287" max="1287" width="17" customWidth="1"/>
    <col min="1288" max="1288" width="19.1640625" customWidth="1"/>
    <col min="1289" max="1292" width="0" hidden="1" customWidth="1"/>
    <col min="1537" max="1537" width="45.83203125" customWidth="1"/>
    <col min="1538" max="1538" width="19.33203125" customWidth="1"/>
    <col min="1539" max="1539" width="18.83203125" customWidth="1"/>
    <col min="1540" max="1540" width="18.33203125" customWidth="1"/>
    <col min="1541" max="1541" width="18" customWidth="1"/>
    <col min="1542" max="1542" width="18.5" customWidth="1"/>
    <col min="1543" max="1543" width="17" customWidth="1"/>
    <col min="1544" max="1544" width="19.1640625" customWidth="1"/>
    <col min="1545" max="1548" width="0" hidden="1" customWidth="1"/>
    <col min="1793" max="1793" width="45.83203125" customWidth="1"/>
    <col min="1794" max="1794" width="19.33203125" customWidth="1"/>
    <col min="1795" max="1795" width="18.83203125" customWidth="1"/>
    <col min="1796" max="1796" width="18.33203125" customWidth="1"/>
    <col min="1797" max="1797" width="18" customWidth="1"/>
    <col min="1798" max="1798" width="18.5" customWidth="1"/>
    <col min="1799" max="1799" width="17" customWidth="1"/>
    <col min="1800" max="1800" width="19.1640625" customWidth="1"/>
    <col min="1801" max="1804" width="0" hidden="1" customWidth="1"/>
    <col min="2049" max="2049" width="45.83203125" customWidth="1"/>
    <col min="2050" max="2050" width="19.33203125" customWidth="1"/>
    <col min="2051" max="2051" width="18.83203125" customWidth="1"/>
    <col min="2052" max="2052" width="18.33203125" customWidth="1"/>
    <col min="2053" max="2053" width="18" customWidth="1"/>
    <col min="2054" max="2054" width="18.5" customWidth="1"/>
    <col min="2055" max="2055" width="17" customWidth="1"/>
    <col min="2056" max="2056" width="19.1640625" customWidth="1"/>
    <col min="2057" max="2060" width="0" hidden="1" customWidth="1"/>
    <col min="2305" max="2305" width="45.83203125" customWidth="1"/>
    <col min="2306" max="2306" width="19.33203125" customWidth="1"/>
    <col min="2307" max="2307" width="18.83203125" customWidth="1"/>
    <col min="2308" max="2308" width="18.33203125" customWidth="1"/>
    <col min="2309" max="2309" width="18" customWidth="1"/>
    <col min="2310" max="2310" width="18.5" customWidth="1"/>
    <col min="2311" max="2311" width="17" customWidth="1"/>
    <col min="2312" max="2312" width="19.1640625" customWidth="1"/>
    <col min="2313" max="2316" width="0" hidden="1" customWidth="1"/>
    <col min="2561" max="2561" width="45.83203125" customWidth="1"/>
    <col min="2562" max="2562" width="19.33203125" customWidth="1"/>
    <col min="2563" max="2563" width="18.83203125" customWidth="1"/>
    <col min="2564" max="2564" width="18.33203125" customWidth="1"/>
    <col min="2565" max="2565" width="18" customWidth="1"/>
    <col min="2566" max="2566" width="18.5" customWidth="1"/>
    <col min="2567" max="2567" width="17" customWidth="1"/>
    <col min="2568" max="2568" width="19.1640625" customWidth="1"/>
    <col min="2569" max="2572" width="0" hidden="1" customWidth="1"/>
    <col min="2817" max="2817" width="45.83203125" customWidth="1"/>
    <col min="2818" max="2818" width="19.33203125" customWidth="1"/>
    <col min="2819" max="2819" width="18.83203125" customWidth="1"/>
    <col min="2820" max="2820" width="18.33203125" customWidth="1"/>
    <col min="2821" max="2821" width="18" customWidth="1"/>
    <col min="2822" max="2822" width="18.5" customWidth="1"/>
    <col min="2823" max="2823" width="17" customWidth="1"/>
    <col min="2824" max="2824" width="19.1640625" customWidth="1"/>
    <col min="2825" max="2828" width="0" hidden="1" customWidth="1"/>
    <col min="3073" max="3073" width="45.83203125" customWidth="1"/>
    <col min="3074" max="3074" width="19.33203125" customWidth="1"/>
    <col min="3075" max="3075" width="18.83203125" customWidth="1"/>
    <col min="3076" max="3076" width="18.33203125" customWidth="1"/>
    <col min="3077" max="3077" width="18" customWidth="1"/>
    <col min="3078" max="3078" width="18.5" customWidth="1"/>
    <col min="3079" max="3079" width="17" customWidth="1"/>
    <col min="3080" max="3080" width="19.1640625" customWidth="1"/>
    <col min="3081" max="3084" width="0" hidden="1" customWidth="1"/>
    <col min="3329" max="3329" width="45.83203125" customWidth="1"/>
    <col min="3330" max="3330" width="19.33203125" customWidth="1"/>
    <col min="3331" max="3331" width="18.83203125" customWidth="1"/>
    <col min="3332" max="3332" width="18.33203125" customWidth="1"/>
    <col min="3333" max="3333" width="18" customWidth="1"/>
    <col min="3334" max="3334" width="18.5" customWidth="1"/>
    <col min="3335" max="3335" width="17" customWidth="1"/>
    <col min="3336" max="3336" width="19.1640625" customWidth="1"/>
    <col min="3337" max="3340" width="0" hidden="1" customWidth="1"/>
    <col min="3585" max="3585" width="45.83203125" customWidth="1"/>
    <col min="3586" max="3586" width="19.33203125" customWidth="1"/>
    <col min="3587" max="3587" width="18.83203125" customWidth="1"/>
    <col min="3588" max="3588" width="18.33203125" customWidth="1"/>
    <col min="3589" max="3589" width="18" customWidth="1"/>
    <col min="3590" max="3590" width="18.5" customWidth="1"/>
    <col min="3591" max="3591" width="17" customWidth="1"/>
    <col min="3592" max="3592" width="19.1640625" customWidth="1"/>
    <col min="3593" max="3596" width="0" hidden="1" customWidth="1"/>
    <col min="3841" max="3841" width="45.83203125" customWidth="1"/>
    <col min="3842" max="3842" width="19.33203125" customWidth="1"/>
    <col min="3843" max="3843" width="18.83203125" customWidth="1"/>
    <col min="3844" max="3844" width="18.33203125" customWidth="1"/>
    <col min="3845" max="3845" width="18" customWidth="1"/>
    <col min="3846" max="3846" width="18.5" customWidth="1"/>
    <col min="3847" max="3847" width="17" customWidth="1"/>
    <col min="3848" max="3848" width="19.1640625" customWidth="1"/>
    <col min="3849" max="3852" width="0" hidden="1" customWidth="1"/>
    <col min="4097" max="4097" width="45.83203125" customWidth="1"/>
    <col min="4098" max="4098" width="19.33203125" customWidth="1"/>
    <col min="4099" max="4099" width="18.83203125" customWidth="1"/>
    <col min="4100" max="4100" width="18.33203125" customWidth="1"/>
    <col min="4101" max="4101" width="18" customWidth="1"/>
    <col min="4102" max="4102" width="18.5" customWidth="1"/>
    <col min="4103" max="4103" width="17" customWidth="1"/>
    <col min="4104" max="4104" width="19.1640625" customWidth="1"/>
    <col min="4105" max="4108" width="0" hidden="1" customWidth="1"/>
    <col min="4353" max="4353" width="45.83203125" customWidth="1"/>
    <col min="4354" max="4354" width="19.33203125" customWidth="1"/>
    <col min="4355" max="4355" width="18.83203125" customWidth="1"/>
    <col min="4356" max="4356" width="18.33203125" customWidth="1"/>
    <col min="4357" max="4357" width="18" customWidth="1"/>
    <col min="4358" max="4358" width="18.5" customWidth="1"/>
    <col min="4359" max="4359" width="17" customWidth="1"/>
    <col min="4360" max="4360" width="19.1640625" customWidth="1"/>
    <col min="4361" max="4364" width="0" hidden="1" customWidth="1"/>
    <col min="4609" max="4609" width="45.83203125" customWidth="1"/>
    <col min="4610" max="4610" width="19.33203125" customWidth="1"/>
    <col min="4611" max="4611" width="18.83203125" customWidth="1"/>
    <col min="4612" max="4612" width="18.33203125" customWidth="1"/>
    <col min="4613" max="4613" width="18" customWidth="1"/>
    <col min="4614" max="4614" width="18.5" customWidth="1"/>
    <col min="4615" max="4615" width="17" customWidth="1"/>
    <col min="4616" max="4616" width="19.1640625" customWidth="1"/>
    <col min="4617" max="4620" width="0" hidden="1" customWidth="1"/>
    <col min="4865" max="4865" width="45.83203125" customWidth="1"/>
    <col min="4866" max="4866" width="19.33203125" customWidth="1"/>
    <col min="4867" max="4867" width="18.83203125" customWidth="1"/>
    <col min="4868" max="4868" width="18.33203125" customWidth="1"/>
    <col min="4869" max="4869" width="18" customWidth="1"/>
    <col min="4870" max="4870" width="18.5" customWidth="1"/>
    <col min="4871" max="4871" width="17" customWidth="1"/>
    <col min="4872" max="4872" width="19.1640625" customWidth="1"/>
    <col min="4873" max="4876" width="0" hidden="1" customWidth="1"/>
    <col min="5121" max="5121" width="45.83203125" customWidth="1"/>
    <col min="5122" max="5122" width="19.33203125" customWidth="1"/>
    <col min="5123" max="5123" width="18.83203125" customWidth="1"/>
    <col min="5124" max="5124" width="18.33203125" customWidth="1"/>
    <col min="5125" max="5125" width="18" customWidth="1"/>
    <col min="5126" max="5126" width="18.5" customWidth="1"/>
    <col min="5127" max="5127" width="17" customWidth="1"/>
    <col min="5128" max="5128" width="19.1640625" customWidth="1"/>
    <col min="5129" max="5132" width="0" hidden="1" customWidth="1"/>
    <col min="5377" max="5377" width="45.83203125" customWidth="1"/>
    <col min="5378" max="5378" width="19.33203125" customWidth="1"/>
    <col min="5379" max="5379" width="18.83203125" customWidth="1"/>
    <col min="5380" max="5380" width="18.33203125" customWidth="1"/>
    <col min="5381" max="5381" width="18" customWidth="1"/>
    <col min="5382" max="5382" width="18.5" customWidth="1"/>
    <col min="5383" max="5383" width="17" customWidth="1"/>
    <col min="5384" max="5384" width="19.1640625" customWidth="1"/>
    <col min="5385" max="5388" width="0" hidden="1" customWidth="1"/>
    <col min="5633" max="5633" width="45.83203125" customWidth="1"/>
    <col min="5634" max="5634" width="19.33203125" customWidth="1"/>
    <col min="5635" max="5635" width="18.83203125" customWidth="1"/>
    <col min="5636" max="5636" width="18.33203125" customWidth="1"/>
    <col min="5637" max="5637" width="18" customWidth="1"/>
    <col min="5638" max="5638" width="18.5" customWidth="1"/>
    <col min="5639" max="5639" width="17" customWidth="1"/>
    <col min="5640" max="5640" width="19.1640625" customWidth="1"/>
    <col min="5641" max="5644" width="0" hidden="1" customWidth="1"/>
    <col min="5889" max="5889" width="45.83203125" customWidth="1"/>
    <col min="5890" max="5890" width="19.33203125" customWidth="1"/>
    <col min="5891" max="5891" width="18.83203125" customWidth="1"/>
    <col min="5892" max="5892" width="18.33203125" customWidth="1"/>
    <col min="5893" max="5893" width="18" customWidth="1"/>
    <col min="5894" max="5894" width="18.5" customWidth="1"/>
    <col min="5895" max="5895" width="17" customWidth="1"/>
    <col min="5896" max="5896" width="19.1640625" customWidth="1"/>
    <col min="5897" max="5900" width="0" hidden="1" customWidth="1"/>
    <col min="6145" max="6145" width="45.83203125" customWidth="1"/>
    <col min="6146" max="6146" width="19.33203125" customWidth="1"/>
    <col min="6147" max="6147" width="18.83203125" customWidth="1"/>
    <col min="6148" max="6148" width="18.33203125" customWidth="1"/>
    <col min="6149" max="6149" width="18" customWidth="1"/>
    <col min="6150" max="6150" width="18.5" customWidth="1"/>
    <col min="6151" max="6151" width="17" customWidth="1"/>
    <col min="6152" max="6152" width="19.1640625" customWidth="1"/>
    <col min="6153" max="6156" width="0" hidden="1" customWidth="1"/>
    <col min="6401" max="6401" width="45.83203125" customWidth="1"/>
    <col min="6402" max="6402" width="19.33203125" customWidth="1"/>
    <col min="6403" max="6403" width="18.83203125" customWidth="1"/>
    <col min="6404" max="6404" width="18.33203125" customWidth="1"/>
    <col min="6405" max="6405" width="18" customWidth="1"/>
    <col min="6406" max="6406" width="18.5" customWidth="1"/>
    <col min="6407" max="6407" width="17" customWidth="1"/>
    <col min="6408" max="6408" width="19.1640625" customWidth="1"/>
    <col min="6409" max="6412" width="0" hidden="1" customWidth="1"/>
    <col min="6657" max="6657" width="45.83203125" customWidth="1"/>
    <col min="6658" max="6658" width="19.33203125" customWidth="1"/>
    <col min="6659" max="6659" width="18.83203125" customWidth="1"/>
    <col min="6660" max="6660" width="18.33203125" customWidth="1"/>
    <col min="6661" max="6661" width="18" customWidth="1"/>
    <col min="6662" max="6662" width="18.5" customWidth="1"/>
    <col min="6663" max="6663" width="17" customWidth="1"/>
    <col min="6664" max="6664" width="19.1640625" customWidth="1"/>
    <col min="6665" max="6668" width="0" hidden="1" customWidth="1"/>
    <col min="6913" max="6913" width="45.83203125" customWidth="1"/>
    <col min="6914" max="6914" width="19.33203125" customWidth="1"/>
    <col min="6915" max="6915" width="18.83203125" customWidth="1"/>
    <col min="6916" max="6916" width="18.33203125" customWidth="1"/>
    <col min="6917" max="6917" width="18" customWidth="1"/>
    <col min="6918" max="6918" width="18.5" customWidth="1"/>
    <col min="6919" max="6919" width="17" customWidth="1"/>
    <col min="6920" max="6920" width="19.1640625" customWidth="1"/>
    <col min="6921" max="6924" width="0" hidden="1" customWidth="1"/>
    <col min="7169" max="7169" width="45.83203125" customWidth="1"/>
    <col min="7170" max="7170" width="19.33203125" customWidth="1"/>
    <col min="7171" max="7171" width="18.83203125" customWidth="1"/>
    <col min="7172" max="7172" width="18.33203125" customWidth="1"/>
    <col min="7173" max="7173" width="18" customWidth="1"/>
    <col min="7174" max="7174" width="18.5" customWidth="1"/>
    <col min="7175" max="7175" width="17" customWidth="1"/>
    <col min="7176" max="7176" width="19.1640625" customWidth="1"/>
    <col min="7177" max="7180" width="0" hidden="1" customWidth="1"/>
    <col min="7425" max="7425" width="45.83203125" customWidth="1"/>
    <col min="7426" max="7426" width="19.33203125" customWidth="1"/>
    <col min="7427" max="7427" width="18.83203125" customWidth="1"/>
    <col min="7428" max="7428" width="18.33203125" customWidth="1"/>
    <col min="7429" max="7429" width="18" customWidth="1"/>
    <col min="7430" max="7430" width="18.5" customWidth="1"/>
    <col min="7431" max="7431" width="17" customWidth="1"/>
    <col min="7432" max="7432" width="19.1640625" customWidth="1"/>
    <col min="7433" max="7436" width="0" hidden="1" customWidth="1"/>
    <col min="7681" max="7681" width="45.83203125" customWidth="1"/>
    <col min="7682" max="7682" width="19.33203125" customWidth="1"/>
    <col min="7683" max="7683" width="18.83203125" customWidth="1"/>
    <col min="7684" max="7684" width="18.33203125" customWidth="1"/>
    <col min="7685" max="7685" width="18" customWidth="1"/>
    <col min="7686" max="7686" width="18.5" customWidth="1"/>
    <col min="7687" max="7687" width="17" customWidth="1"/>
    <col min="7688" max="7688" width="19.1640625" customWidth="1"/>
    <col min="7689" max="7692" width="0" hidden="1" customWidth="1"/>
    <col min="7937" max="7937" width="45.83203125" customWidth="1"/>
    <col min="7938" max="7938" width="19.33203125" customWidth="1"/>
    <col min="7939" max="7939" width="18.83203125" customWidth="1"/>
    <col min="7940" max="7940" width="18.33203125" customWidth="1"/>
    <col min="7941" max="7941" width="18" customWidth="1"/>
    <col min="7942" max="7942" width="18.5" customWidth="1"/>
    <col min="7943" max="7943" width="17" customWidth="1"/>
    <col min="7944" max="7944" width="19.1640625" customWidth="1"/>
    <col min="7945" max="7948" width="0" hidden="1" customWidth="1"/>
    <col min="8193" max="8193" width="45.83203125" customWidth="1"/>
    <col min="8194" max="8194" width="19.33203125" customWidth="1"/>
    <col min="8195" max="8195" width="18.83203125" customWidth="1"/>
    <col min="8196" max="8196" width="18.33203125" customWidth="1"/>
    <col min="8197" max="8197" width="18" customWidth="1"/>
    <col min="8198" max="8198" width="18.5" customWidth="1"/>
    <col min="8199" max="8199" width="17" customWidth="1"/>
    <col min="8200" max="8200" width="19.1640625" customWidth="1"/>
    <col min="8201" max="8204" width="0" hidden="1" customWidth="1"/>
    <col min="8449" max="8449" width="45.83203125" customWidth="1"/>
    <col min="8450" max="8450" width="19.33203125" customWidth="1"/>
    <col min="8451" max="8451" width="18.83203125" customWidth="1"/>
    <col min="8452" max="8452" width="18.33203125" customWidth="1"/>
    <col min="8453" max="8453" width="18" customWidth="1"/>
    <col min="8454" max="8454" width="18.5" customWidth="1"/>
    <col min="8455" max="8455" width="17" customWidth="1"/>
    <col min="8456" max="8456" width="19.1640625" customWidth="1"/>
    <col min="8457" max="8460" width="0" hidden="1" customWidth="1"/>
    <col min="8705" max="8705" width="45.83203125" customWidth="1"/>
    <col min="8706" max="8706" width="19.33203125" customWidth="1"/>
    <col min="8707" max="8707" width="18.83203125" customWidth="1"/>
    <col min="8708" max="8708" width="18.33203125" customWidth="1"/>
    <col min="8709" max="8709" width="18" customWidth="1"/>
    <col min="8710" max="8710" width="18.5" customWidth="1"/>
    <col min="8711" max="8711" width="17" customWidth="1"/>
    <col min="8712" max="8712" width="19.1640625" customWidth="1"/>
    <col min="8713" max="8716" width="0" hidden="1" customWidth="1"/>
    <col min="8961" max="8961" width="45.83203125" customWidth="1"/>
    <col min="8962" max="8962" width="19.33203125" customWidth="1"/>
    <col min="8963" max="8963" width="18.83203125" customWidth="1"/>
    <col min="8964" max="8964" width="18.33203125" customWidth="1"/>
    <col min="8965" max="8965" width="18" customWidth="1"/>
    <col min="8966" max="8966" width="18.5" customWidth="1"/>
    <col min="8967" max="8967" width="17" customWidth="1"/>
    <col min="8968" max="8968" width="19.1640625" customWidth="1"/>
    <col min="8969" max="8972" width="0" hidden="1" customWidth="1"/>
    <col min="9217" max="9217" width="45.83203125" customWidth="1"/>
    <col min="9218" max="9218" width="19.33203125" customWidth="1"/>
    <col min="9219" max="9219" width="18.83203125" customWidth="1"/>
    <col min="9220" max="9220" width="18.33203125" customWidth="1"/>
    <col min="9221" max="9221" width="18" customWidth="1"/>
    <col min="9222" max="9222" width="18.5" customWidth="1"/>
    <col min="9223" max="9223" width="17" customWidth="1"/>
    <col min="9224" max="9224" width="19.1640625" customWidth="1"/>
    <col min="9225" max="9228" width="0" hidden="1" customWidth="1"/>
    <col min="9473" max="9473" width="45.83203125" customWidth="1"/>
    <col min="9474" max="9474" width="19.33203125" customWidth="1"/>
    <col min="9475" max="9475" width="18.83203125" customWidth="1"/>
    <col min="9476" max="9476" width="18.33203125" customWidth="1"/>
    <col min="9477" max="9477" width="18" customWidth="1"/>
    <col min="9478" max="9478" width="18.5" customWidth="1"/>
    <col min="9479" max="9479" width="17" customWidth="1"/>
    <col min="9480" max="9480" width="19.1640625" customWidth="1"/>
    <col min="9481" max="9484" width="0" hidden="1" customWidth="1"/>
    <col min="9729" max="9729" width="45.83203125" customWidth="1"/>
    <col min="9730" max="9730" width="19.33203125" customWidth="1"/>
    <col min="9731" max="9731" width="18.83203125" customWidth="1"/>
    <col min="9732" max="9732" width="18.33203125" customWidth="1"/>
    <col min="9733" max="9733" width="18" customWidth="1"/>
    <col min="9734" max="9734" width="18.5" customWidth="1"/>
    <col min="9735" max="9735" width="17" customWidth="1"/>
    <col min="9736" max="9736" width="19.1640625" customWidth="1"/>
    <col min="9737" max="9740" width="0" hidden="1" customWidth="1"/>
    <col min="9985" max="9985" width="45.83203125" customWidth="1"/>
    <col min="9986" max="9986" width="19.33203125" customWidth="1"/>
    <col min="9987" max="9987" width="18.83203125" customWidth="1"/>
    <col min="9988" max="9988" width="18.33203125" customWidth="1"/>
    <col min="9989" max="9989" width="18" customWidth="1"/>
    <col min="9990" max="9990" width="18.5" customWidth="1"/>
    <col min="9991" max="9991" width="17" customWidth="1"/>
    <col min="9992" max="9992" width="19.1640625" customWidth="1"/>
    <col min="9993" max="9996" width="0" hidden="1" customWidth="1"/>
    <col min="10241" max="10241" width="45.83203125" customWidth="1"/>
    <col min="10242" max="10242" width="19.33203125" customWidth="1"/>
    <col min="10243" max="10243" width="18.83203125" customWidth="1"/>
    <col min="10244" max="10244" width="18.33203125" customWidth="1"/>
    <col min="10245" max="10245" width="18" customWidth="1"/>
    <col min="10246" max="10246" width="18.5" customWidth="1"/>
    <col min="10247" max="10247" width="17" customWidth="1"/>
    <col min="10248" max="10248" width="19.1640625" customWidth="1"/>
    <col min="10249" max="10252" width="0" hidden="1" customWidth="1"/>
    <col min="10497" max="10497" width="45.83203125" customWidth="1"/>
    <col min="10498" max="10498" width="19.33203125" customWidth="1"/>
    <col min="10499" max="10499" width="18.83203125" customWidth="1"/>
    <col min="10500" max="10500" width="18.33203125" customWidth="1"/>
    <col min="10501" max="10501" width="18" customWidth="1"/>
    <col min="10502" max="10502" width="18.5" customWidth="1"/>
    <col min="10503" max="10503" width="17" customWidth="1"/>
    <col min="10504" max="10504" width="19.1640625" customWidth="1"/>
    <col min="10505" max="10508" width="0" hidden="1" customWidth="1"/>
    <col min="10753" max="10753" width="45.83203125" customWidth="1"/>
    <col min="10754" max="10754" width="19.33203125" customWidth="1"/>
    <col min="10755" max="10755" width="18.83203125" customWidth="1"/>
    <col min="10756" max="10756" width="18.33203125" customWidth="1"/>
    <col min="10757" max="10757" width="18" customWidth="1"/>
    <col min="10758" max="10758" width="18.5" customWidth="1"/>
    <col min="10759" max="10759" width="17" customWidth="1"/>
    <col min="10760" max="10760" width="19.1640625" customWidth="1"/>
    <col min="10761" max="10764" width="0" hidden="1" customWidth="1"/>
    <col min="11009" max="11009" width="45.83203125" customWidth="1"/>
    <col min="11010" max="11010" width="19.33203125" customWidth="1"/>
    <col min="11011" max="11011" width="18.83203125" customWidth="1"/>
    <col min="11012" max="11012" width="18.33203125" customWidth="1"/>
    <col min="11013" max="11013" width="18" customWidth="1"/>
    <col min="11014" max="11014" width="18.5" customWidth="1"/>
    <col min="11015" max="11015" width="17" customWidth="1"/>
    <col min="11016" max="11016" width="19.1640625" customWidth="1"/>
    <col min="11017" max="11020" width="0" hidden="1" customWidth="1"/>
    <col min="11265" max="11265" width="45.83203125" customWidth="1"/>
    <col min="11266" max="11266" width="19.33203125" customWidth="1"/>
    <col min="11267" max="11267" width="18.83203125" customWidth="1"/>
    <col min="11268" max="11268" width="18.33203125" customWidth="1"/>
    <col min="11269" max="11269" width="18" customWidth="1"/>
    <col min="11270" max="11270" width="18.5" customWidth="1"/>
    <col min="11271" max="11271" width="17" customWidth="1"/>
    <col min="11272" max="11272" width="19.1640625" customWidth="1"/>
    <col min="11273" max="11276" width="0" hidden="1" customWidth="1"/>
    <col min="11521" max="11521" width="45.83203125" customWidth="1"/>
    <col min="11522" max="11522" width="19.33203125" customWidth="1"/>
    <col min="11523" max="11523" width="18.83203125" customWidth="1"/>
    <col min="11524" max="11524" width="18.33203125" customWidth="1"/>
    <col min="11525" max="11525" width="18" customWidth="1"/>
    <col min="11526" max="11526" width="18.5" customWidth="1"/>
    <col min="11527" max="11527" width="17" customWidth="1"/>
    <col min="11528" max="11528" width="19.1640625" customWidth="1"/>
    <col min="11529" max="11532" width="0" hidden="1" customWidth="1"/>
    <col min="11777" max="11777" width="45.83203125" customWidth="1"/>
    <col min="11778" max="11778" width="19.33203125" customWidth="1"/>
    <col min="11779" max="11779" width="18.83203125" customWidth="1"/>
    <col min="11780" max="11780" width="18.33203125" customWidth="1"/>
    <col min="11781" max="11781" width="18" customWidth="1"/>
    <col min="11782" max="11782" width="18.5" customWidth="1"/>
    <col min="11783" max="11783" width="17" customWidth="1"/>
    <col min="11784" max="11784" width="19.1640625" customWidth="1"/>
    <col min="11785" max="11788" width="0" hidden="1" customWidth="1"/>
    <col min="12033" max="12033" width="45.83203125" customWidth="1"/>
    <col min="12034" max="12034" width="19.33203125" customWidth="1"/>
    <col min="12035" max="12035" width="18.83203125" customWidth="1"/>
    <col min="12036" max="12036" width="18.33203125" customWidth="1"/>
    <col min="12037" max="12037" width="18" customWidth="1"/>
    <col min="12038" max="12038" width="18.5" customWidth="1"/>
    <col min="12039" max="12039" width="17" customWidth="1"/>
    <col min="12040" max="12040" width="19.1640625" customWidth="1"/>
    <col min="12041" max="12044" width="0" hidden="1" customWidth="1"/>
    <col min="12289" max="12289" width="45.83203125" customWidth="1"/>
    <col min="12290" max="12290" width="19.33203125" customWidth="1"/>
    <col min="12291" max="12291" width="18.83203125" customWidth="1"/>
    <col min="12292" max="12292" width="18.33203125" customWidth="1"/>
    <col min="12293" max="12293" width="18" customWidth="1"/>
    <col min="12294" max="12294" width="18.5" customWidth="1"/>
    <col min="12295" max="12295" width="17" customWidth="1"/>
    <col min="12296" max="12296" width="19.1640625" customWidth="1"/>
    <col min="12297" max="12300" width="0" hidden="1" customWidth="1"/>
    <col min="12545" max="12545" width="45.83203125" customWidth="1"/>
    <col min="12546" max="12546" width="19.33203125" customWidth="1"/>
    <col min="12547" max="12547" width="18.83203125" customWidth="1"/>
    <col min="12548" max="12548" width="18.33203125" customWidth="1"/>
    <col min="12549" max="12549" width="18" customWidth="1"/>
    <col min="12550" max="12550" width="18.5" customWidth="1"/>
    <col min="12551" max="12551" width="17" customWidth="1"/>
    <col min="12552" max="12552" width="19.1640625" customWidth="1"/>
    <col min="12553" max="12556" width="0" hidden="1" customWidth="1"/>
    <col min="12801" max="12801" width="45.83203125" customWidth="1"/>
    <col min="12802" max="12802" width="19.33203125" customWidth="1"/>
    <col min="12803" max="12803" width="18.83203125" customWidth="1"/>
    <col min="12804" max="12804" width="18.33203125" customWidth="1"/>
    <col min="12805" max="12805" width="18" customWidth="1"/>
    <col min="12806" max="12806" width="18.5" customWidth="1"/>
    <col min="12807" max="12807" width="17" customWidth="1"/>
    <col min="12808" max="12808" width="19.1640625" customWidth="1"/>
    <col min="12809" max="12812" width="0" hidden="1" customWidth="1"/>
    <col min="13057" max="13057" width="45.83203125" customWidth="1"/>
    <col min="13058" max="13058" width="19.33203125" customWidth="1"/>
    <col min="13059" max="13059" width="18.83203125" customWidth="1"/>
    <col min="13060" max="13060" width="18.33203125" customWidth="1"/>
    <col min="13061" max="13061" width="18" customWidth="1"/>
    <col min="13062" max="13062" width="18.5" customWidth="1"/>
    <col min="13063" max="13063" width="17" customWidth="1"/>
    <col min="13064" max="13064" width="19.1640625" customWidth="1"/>
    <col min="13065" max="13068" width="0" hidden="1" customWidth="1"/>
    <col min="13313" max="13313" width="45.83203125" customWidth="1"/>
    <col min="13314" max="13314" width="19.33203125" customWidth="1"/>
    <col min="13315" max="13315" width="18.83203125" customWidth="1"/>
    <col min="13316" max="13316" width="18.33203125" customWidth="1"/>
    <col min="13317" max="13317" width="18" customWidth="1"/>
    <col min="13318" max="13318" width="18.5" customWidth="1"/>
    <col min="13319" max="13319" width="17" customWidth="1"/>
    <col min="13320" max="13320" width="19.1640625" customWidth="1"/>
    <col min="13321" max="13324" width="0" hidden="1" customWidth="1"/>
    <col min="13569" max="13569" width="45.83203125" customWidth="1"/>
    <col min="13570" max="13570" width="19.33203125" customWidth="1"/>
    <col min="13571" max="13571" width="18.83203125" customWidth="1"/>
    <col min="13572" max="13572" width="18.33203125" customWidth="1"/>
    <col min="13573" max="13573" width="18" customWidth="1"/>
    <col min="13574" max="13574" width="18.5" customWidth="1"/>
    <col min="13575" max="13575" width="17" customWidth="1"/>
    <col min="13576" max="13576" width="19.1640625" customWidth="1"/>
    <col min="13577" max="13580" width="0" hidden="1" customWidth="1"/>
    <col min="13825" max="13825" width="45.83203125" customWidth="1"/>
    <col min="13826" max="13826" width="19.33203125" customWidth="1"/>
    <col min="13827" max="13827" width="18.83203125" customWidth="1"/>
    <col min="13828" max="13828" width="18.33203125" customWidth="1"/>
    <col min="13829" max="13829" width="18" customWidth="1"/>
    <col min="13830" max="13830" width="18.5" customWidth="1"/>
    <col min="13831" max="13831" width="17" customWidth="1"/>
    <col min="13832" max="13832" width="19.1640625" customWidth="1"/>
    <col min="13833" max="13836" width="0" hidden="1" customWidth="1"/>
    <col min="14081" max="14081" width="45.83203125" customWidth="1"/>
    <col min="14082" max="14082" width="19.33203125" customWidth="1"/>
    <col min="14083" max="14083" width="18.83203125" customWidth="1"/>
    <col min="14084" max="14084" width="18.33203125" customWidth="1"/>
    <col min="14085" max="14085" width="18" customWidth="1"/>
    <col min="14086" max="14086" width="18.5" customWidth="1"/>
    <col min="14087" max="14087" width="17" customWidth="1"/>
    <col min="14088" max="14088" width="19.1640625" customWidth="1"/>
    <col min="14089" max="14092" width="0" hidden="1" customWidth="1"/>
    <col min="14337" max="14337" width="45.83203125" customWidth="1"/>
    <col min="14338" max="14338" width="19.33203125" customWidth="1"/>
    <col min="14339" max="14339" width="18.83203125" customWidth="1"/>
    <col min="14340" max="14340" width="18.33203125" customWidth="1"/>
    <col min="14341" max="14341" width="18" customWidth="1"/>
    <col min="14342" max="14342" width="18.5" customWidth="1"/>
    <col min="14343" max="14343" width="17" customWidth="1"/>
    <col min="14344" max="14344" width="19.1640625" customWidth="1"/>
    <col min="14345" max="14348" width="0" hidden="1" customWidth="1"/>
    <col min="14593" max="14593" width="45.83203125" customWidth="1"/>
    <col min="14594" max="14594" width="19.33203125" customWidth="1"/>
    <col min="14595" max="14595" width="18.83203125" customWidth="1"/>
    <col min="14596" max="14596" width="18.33203125" customWidth="1"/>
    <col min="14597" max="14597" width="18" customWidth="1"/>
    <col min="14598" max="14598" width="18.5" customWidth="1"/>
    <col min="14599" max="14599" width="17" customWidth="1"/>
    <col min="14600" max="14600" width="19.1640625" customWidth="1"/>
    <col min="14601" max="14604" width="0" hidden="1" customWidth="1"/>
    <col min="14849" max="14849" width="45.83203125" customWidth="1"/>
    <col min="14850" max="14850" width="19.33203125" customWidth="1"/>
    <col min="14851" max="14851" width="18.83203125" customWidth="1"/>
    <col min="14852" max="14852" width="18.33203125" customWidth="1"/>
    <col min="14853" max="14853" width="18" customWidth="1"/>
    <col min="14854" max="14854" width="18.5" customWidth="1"/>
    <col min="14855" max="14855" width="17" customWidth="1"/>
    <col min="14856" max="14856" width="19.1640625" customWidth="1"/>
    <col min="14857" max="14860" width="0" hidden="1" customWidth="1"/>
    <col min="15105" max="15105" width="45.83203125" customWidth="1"/>
    <col min="15106" max="15106" width="19.33203125" customWidth="1"/>
    <col min="15107" max="15107" width="18.83203125" customWidth="1"/>
    <col min="15108" max="15108" width="18.33203125" customWidth="1"/>
    <col min="15109" max="15109" width="18" customWidth="1"/>
    <col min="15110" max="15110" width="18.5" customWidth="1"/>
    <col min="15111" max="15111" width="17" customWidth="1"/>
    <col min="15112" max="15112" width="19.1640625" customWidth="1"/>
    <col min="15113" max="15116" width="0" hidden="1" customWidth="1"/>
    <col min="15361" max="15361" width="45.83203125" customWidth="1"/>
    <col min="15362" max="15362" width="19.33203125" customWidth="1"/>
    <col min="15363" max="15363" width="18.83203125" customWidth="1"/>
    <col min="15364" max="15364" width="18.33203125" customWidth="1"/>
    <col min="15365" max="15365" width="18" customWidth="1"/>
    <col min="15366" max="15366" width="18.5" customWidth="1"/>
    <col min="15367" max="15367" width="17" customWidth="1"/>
    <col min="15368" max="15368" width="19.1640625" customWidth="1"/>
    <col min="15369" max="15372" width="0" hidden="1" customWidth="1"/>
    <col min="15617" max="15617" width="45.83203125" customWidth="1"/>
    <col min="15618" max="15618" width="19.33203125" customWidth="1"/>
    <col min="15619" max="15619" width="18.83203125" customWidth="1"/>
    <col min="15620" max="15620" width="18.33203125" customWidth="1"/>
    <col min="15621" max="15621" width="18" customWidth="1"/>
    <col min="15622" max="15622" width="18.5" customWidth="1"/>
    <col min="15623" max="15623" width="17" customWidth="1"/>
    <col min="15624" max="15624" width="19.1640625" customWidth="1"/>
    <col min="15625" max="15628" width="0" hidden="1" customWidth="1"/>
    <col min="15873" max="15873" width="45.83203125" customWidth="1"/>
    <col min="15874" max="15874" width="19.33203125" customWidth="1"/>
    <col min="15875" max="15875" width="18.83203125" customWidth="1"/>
    <col min="15876" max="15876" width="18.33203125" customWidth="1"/>
    <col min="15877" max="15877" width="18" customWidth="1"/>
    <col min="15878" max="15878" width="18.5" customWidth="1"/>
    <col min="15879" max="15879" width="17" customWidth="1"/>
    <col min="15880" max="15880" width="19.1640625" customWidth="1"/>
    <col min="15881" max="15884" width="0" hidden="1" customWidth="1"/>
    <col min="16129" max="16129" width="45.83203125" customWidth="1"/>
    <col min="16130" max="16130" width="19.33203125" customWidth="1"/>
    <col min="16131" max="16131" width="18.83203125" customWidth="1"/>
    <col min="16132" max="16132" width="18.33203125" customWidth="1"/>
    <col min="16133" max="16133" width="18" customWidth="1"/>
    <col min="16134" max="16134" width="18.5" customWidth="1"/>
    <col min="16135" max="16135" width="17" customWidth="1"/>
    <col min="16136" max="16136" width="19.1640625" customWidth="1"/>
    <col min="16137" max="16140" width="0" hidden="1" customWidth="1"/>
  </cols>
  <sheetData>
    <row r="1" spans="1:8" ht="12.75">
      <c r="A1" s="2893" t="s">
        <v>1063</v>
      </c>
      <c r="B1" s="2893"/>
      <c r="C1" s="2893"/>
      <c r="D1" s="2893"/>
      <c r="E1" s="2893"/>
      <c r="F1" s="2893"/>
      <c r="G1" s="2893"/>
      <c r="H1" s="2893"/>
    </row>
    <row r="2" spans="1:8" ht="12.75">
      <c r="A2" s="2893" t="s">
        <v>1287</v>
      </c>
      <c r="B2" s="2893"/>
      <c r="C2" s="2893"/>
      <c r="D2" s="2893"/>
      <c r="E2" s="2893"/>
      <c r="F2" s="2893"/>
      <c r="G2" s="2893"/>
      <c r="H2" s="2893"/>
    </row>
    <row r="3" spans="1:8" ht="12.75">
      <c r="A3" s="2893" t="s">
        <v>1288</v>
      </c>
      <c r="B3" s="2893"/>
      <c r="C3" s="2893"/>
      <c r="D3" s="2893"/>
      <c r="E3" s="2893"/>
      <c r="F3" s="2893"/>
      <c r="G3" s="2893"/>
      <c r="H3" s="2893"/>
    </row>
    <row r="4" spans="1:8" ht="11.25" thickBot="1"/>
    <row r="5" spans="1:8" ht="32.25" customHeight="1">
      <c r="A5" s="1106"/>
      <c r="B5" s="1107" t="s">
        <v>1289</v>
      </c>
      <c r="C5" s="1107" t="s">
        <v>1290</v>
      </c>
      <c r="D5" s="1108" t="s">
        <v>1291</v>
      </c>
      <c r="E5" s="1107" t="s">
        <v>1292</v>
      </c>
      <c r="F5" s="1107" t="s">
        <v>1293</v>
      </c>
      <c r="G5" s="1109" t="s">
        <v>1294</v>
      </c>
      <c r="H5" s="1110" t="s">
        <v>1066</v>
      </c>
    </row>
    <row r="6" spans="1:8" ht="12.75">
      <c r="A6" s="1111" t="s">
        <v>1295</v>
      </c>
      <c r="B6" s="1112"/>
      <c r="C6" s="1112"/>
      <c r="D6" s="1112"/>
      <c r="E6" s="1112"/>
      <c r="F6" s="1112"/>
      <c r="G6" s="1113"/>
      <c r="H6" s="1114"/>
    </row>
    <row r="7" spans="1:8" ht="12.75">
      <c r="A7" s="1112" t="s">
        <v>1296</v>
      </c>
      <c r="B7" s="1115">
        <v>2042334319.1199901</v>
      </c>
      <c r="C7" s="1115">
        <v>996817577.50999999</v>
      </c>
      <c r="D7" s="1116"/>
      <c r="E7" s="1116"/>
      <c r="F7" s="1116"/>
      <c r="G7" s="1117">
        <f t="shared" ref="G7:H10" si="0">B7+E7</f>
        <v>2042334319.1199901</v>
      </c>
      <c r="H7" s="1118">
        <f t="shared" si="0"/>
        <v>996817577.50999999</v>
      </c>
    </row>
    <row r="8" spans="1:8" ht="12.75">
      <c r="A8" s="1119" t="s">
        <v>1297</v>
      </c>
      <c r="B8" s="1115">
        <v>350182.38</v>
      </c>
      <c r="C8" s="1115">
        <v>0</v>
      </c>
      <c r="D8" s="1116"/>
      <c r="E8" s="1116"/>
      <c r="F8" s="1116"/>
      <c r="G8" s="1117">
        <f t="shared" si="0"/>
        <v>350182.38</v>
      </c>
      <c r="H8" s="1118">
        <f t="shared" si="0"/>
        <v>0</v>
      </c>
    </row>
    <row r="9" spans="1:8" ht="12.75">
      <c r="A9" s="1112" t="s">
        <v>1298</v>
      </c>
      <c r="B9" s="1115">
        <v>201262557</v>
      </c>
      <c r="C9" s="1115">
        <v>0</v>
      </c>
      <c r="D9" s="1116"/>
      <c r="E9" s="1116"/>
      <c r="F9" s="1116"/>
      <c r="G9" s="1117">
        <f t="shared" si="0"/>
        <v>201262557</v>
      </c>
      <c r="H9" s="1118">
        <f t="shared" si="0"/>
        <v>0</v>
      </c>
    </row>
    <row r="10" spans="1:8" ht="12.75">
      <c r="A10" s="1112" t="s">
        <v>1299</v>
      </c>
      <c r="B10" s="1120">
        <v>30706332.759999901</v>
      </c>
      <c r="C10" s="1120">
        <v>14712938.74</v>
      </c>
      <c r="D10" s="1121"/>
      <c r="E10" s="1121"/>
      <c r="F10" s="1121"/>
      <c r="G10" s="1122">
        <f t="shared" si="0"/>
        <v>30706332.759999901</v>
      </c>
      <c r="H10" s="1123">
        <f t="shared" si="0"/>
        <v>14712938.74</v>
      </c>
    </row>
    <row r="11" spans="1:8" ht="12.75">
      <c r="A11" s="1119" t="s">
        <v>1300</v>
      </c>
      <c r="B11" s="1124">
        <f t="shared" ref="B11:H11" si="1">SUM(B7:B10)</f>
        <v>2274653391.2599902</v>
      </c>
      <c r="C11" s="1124">
        <f t="shared" si="1"/>
        <v>1011530516.25</v>
      </c>
      <c r="D11" s="1125">
        <f t="shared" si="1"/>
        <v>0</v>
      </c>
      <c r="E11" s="1125">
        <f t="shared" si="1"/>
        <v>0</v>
      </c>
      <c r="F11" s="1125">
        <f t="shared" si="1"/>
        <v>0</v>
      </c>
      <c r="G11" s="1117">
        <f t="shared" si="1"/>
        <v>2274653391.2599902</v>
      </c>
      <c r="H11" s="1118">
        <f t="shared" si="1"/>
        <v>1011530516.25</v>
      </c>
    </row>
    <row r="12" spans="1:8" ht="12.75">
      <c r="A12" s="1119" t="s">
        <v>694</v>
      </c>
      <c r="B12" s="1124"/>
      <c r="C12" s="1124"/>
      <c r="D12" s="1124"/>
      <c r="E12" s="1124"/>
      <c r="F12" s="1124"/>
      <c r="G12" s="1117"/>
      <c r="H12" s="1118"/>
    </row>
    <row r="13" spans="1:8" ht="12.75">
      <c r="A13" s="1119" t="s">
        <v>1301</v>
      </c>
      <c r="B13" s="1124"/>
      <c r="C13" s="1124"/>
      <c r="D13" s="1124"/>
      <c r="E13" s="1124"/>
      <c r="F13" s="1124"/>
      <c r="G13" s="1117"/>
      <c r="H13" s="1118"/>
    </row>
    <row r="14" spans="1:8" ht="12.75">
      <c r="A14" s="1119" t="s">
        <v>1302</v>
      </c>
      <c r="B14" s="1124"/>
      <c r="C14" s="1124"/>
      <c r="D14" s="1124"/>
      <c r="E14" s="1124"/>
      <c r="F14" s="1124"/>
      <c r="G14" s="1117"/>
      <c r="H14" s="1118"/>
    </row>
    <row r="15" spans="1:8" ht="12.75">
      <c r="A15" s="1119" t="s">
        <v>1303</v>
      </c>
      <c r="B15" s="1124"/>
      <c r="C15" s="1124"/>
      <c r="D15" s="1124"/>
      <c r="E15" s="1124"/>
      <c r="F15" s="1124"/>
      <c r="G15" s="1117"/>
      <c r="H15" s="1118"/>
    </row>
    <row r="16" spans="1:8" ht="12.75">
      <c r="A16" s="1112" t="s">
        <v>1304</v>
      </c>
      <c r="B16" s="1126">
        <v>268147071.16</v>
      </c>
      <c r="C16" s="1126">
        <v>0</v>
      </c>
      <c r="D16" s="1124"/>
      <c r="E16" s="1127"/>
      <c r="F16" s="1124"/>
      <c r="G16" s="1117">
        <f t="shared" ref="G16:H19" si="2">B16+E16</f>
        <v>268147071.16</v>
      </c>
      <c r="H16" s="1118">
        <f t="shared" si="2"/>
        <v>0</v>
      </c>
    </row>
    <row r="17" spans="1:12" ht="12.75">
      <c r="A17" s="1112" t="s">
        <v>1305</v>
      </c>
      <c r="B17" s="1126">
        <v>832711096.74000001</v>
      </c>
      <c r="C17" s="1126">
        <v>535932510.26999903</v>
      </c>
      <c r="D17" s="1124"/>
      <c r="E17" s="1127"/>
      <c r="F17" s="1124"/>
      <c r="G17" s="1117">
        <f t="shared" si="2"/>
        <v>832711096.74000001</v>
      </c>
      <c r="H17" s="1118">
        <f t="shared" si="2"/>
        <v>535932510.26999903</v>
      </c>
    </row>
    <row r="18" spans="1:12" ht="12.75">
      <c r="A18" s="1112" t="s">
        <v>1306</v>
      </c>
      <c r="B18" s="1126">
        <v>78564669.039999902</v>
      </c>
      <c r="C18" s="1126">
        <v>0</v>
      </c>
      <c r="D18" s="1124"/>
      <c r="E18" s="1127"/>
      <c r="F18" s="1124"/>
      <c r="G18" s="1117">
        <f t="shared" si="2"/>
        <v>78564669.039999902</v>
      </c>
      <c r="H18" s="1118">
        <f t="shared" si="2"/>
        <v>0</v>
      </c>
    </row>
    <row r="19" spans="1:12" ht="12.75">
      <c r="A19" s="1112" t="s">
        <v>1307</v>
      </c>
      <c r="B19" s="1129">
        <v>-75109150.280000001</v>
      </c>
      <c r="C19" s="1129">
        <v>0</v>
      </c>
      <c r="D19" s="1130"/>
      <c r="E19" s="1131"/>
      <c r="F19" s="1130"/>
      <c r="G19" s="1122">
        <f t="shared" si="2"/>
        <v>-75109150.280000001</v>
      </c>
      <c r="H19" s="1123">
        <f t="shared" si="2"/>
        <v>0</v>
      </c>
    </row>
    <row r="20" spans="1:12" ht="12.75">
      <c r="A20" s="1119" t="s">
        <v>1308</v>
      </c>
      <c r="B20" s="1132">
        <f>SUM(B16:B19)</f>
        <v>1104313686.6600001</v>
      </c>
      <c r="C20" s="1132">
        <f>SUM(C16:C19)</f>
        <v>535932510.26999903</v>
      </c>
      <c r="D20" s="1133">
        <f>SUM(D16:D19)</f>
        <v>0</v>
      </c>
      <c r="E20" s="1133">
        <f>SUM(F16:F19)</f>
        <v>0</v>
      </c>
      <c r="F20" s="1133">
        <f>SUM(F16:F19)</f>
        <v>0</v>
      </c>
      <c r="G20" s="1134">
        <f>SUM(G16:G19)</f>
        <v>1104313686.6600001</v>
      </c>
      <c r="H20" s="1135">
        <f>SUM(H16:H19)</f>
        <v>535932510.26999903</v>
      </c>
    </row>
    <row r="21" spans="1:12" ht="12.75">
      <c r="A21" s="1119" t="s">
        <v>703</v>
      </c>
      <c r="B21" s="1124"/>
      <c r="C21" s="1124"/>
      <c r="D21" s="1124"/>
      <c r="E21" s="1124"/>
      <c r="F21" s="1124"/>
      <c r="G21" s="1117"/>
      <c r="H21" s="1118"/>
    </row>
    <row r="22" spans="1:12" ht="12.75">
      <c r="A22" s="1112" t="s">
        <v>1309</v>
      </c>
      <c r="B22" s="1136">
        <v>102409191.68000001</v>
      </c>
      <c r="C22" s="1136">
        <v>1937121.8</v>
      </c>
      <c r="D22" s="1136">
        <v>0</v>
      </c>
      <c r="E22" s="1136">
        <v>0</v>
      </c>
      <c r="F22" s="1136">
        <v>0</v>
      </c>
      <c r="G22" s="1117">
        <f t="shared" ref="G22:H36" si="3">B22+E22</f>
        <v>102409191.68000001</v>
      </c>
      <c r="H22" s="1118">
        <f t="shared" si="3"/>
        <v>1937121.8</v>
      </c>
    </row>
    <row r="23" spans="1:12" ht="12.75">
      <c r="A23" s="1112" t="s">
        <v>1310</v>
      </c>
      <c r="B23" s="1136">
        <v>11865442.939999999</v>
      </c>
      <c r="C23" s="1136">
        <v>226853.49999999901</v>
      </c>
      <c r="D23" s="1136">
        <v>0</v>
      </c>
      <c r="E23" s="1136">
        <v>0</v>
      </c>
      <c r="F23" s="1136">
        <v>0</v>
      </c>
      <c r="G23" s="1117">
        <f t="shared" si="3"/>
        <v>11865442.939999999</v>
      </c>
      <c r="H23" s="1118">
        <f t="shared" si="3"/>
        <v>226853.49999999901</v>
      </c>
      <c r="I23" s="1137">
        <v>9461008</v>
      </c>
      <c r="J23" s="1137">
        <v>819169.86999999895</v>
      </c>
      <c r="K23" s="1138">
        <f>+B23-I23</f>
        <v>2404434.9399999995</v>
      </c>
      <c r="L23" s="1138">
        <f>+C23-J23</f>
        <v>-592316.36999999988</v>
      </c>
    </row>
    <row r="24" spans="1:12" ht="12.75">
      <c r="A24" s="1112" t="s">
        <v>1311</v>
      </c>
      <c r="B24" s="1136">
        <v>82924735.199999794</v>
      </c>
      <c r="C24" s="1136">
        <v>50238405.469999999</v>
      </c>
      <c r="D24" s="1136">
        <v>0</v>
      </c>
      <c r="E24" s="1136">
        <v>0</v>
      </c>
      <c r="F24" s="1136">
        <v>0</v>
      </c>
      <c r="G24" s="1117">
        <f t="shared" si="3"/>
        <v>82924735.199999794</v>
      </c>
      <c r="H24" s="1118">
        <f t="shared" si="3"/>
        <v>50238405.469999999</v>
      </c>
      <c r="I24" s="1137">
        <v>77563469.129999906</v>
      </c>
      <c r="J24" s="1137">
        <v>49275442.899999999</v>
      </c>
      <c r="K24" s="1138">
        <f>+B24-I24</f>
        <v>5361266.0699998885</v>
      </c>
      <c r="L24" s="1138">
        <f>+C24-J24</f>
        <v>962962.5700000003</v>
      </c>
    </row>
    <row r="25" spans="1:12" ht="12.75">
      <c r="A25" s="1112" t="s">
        <v>1312</v>
      </c>
      <c r="B25" s="1139">
        <v>32060211.800000001</v>
      </c>
      <c r="C25" s="1139">
        <v>20062640.5</v>
      </c>
      <c r="D25" s="1139">
        <v>30678827.57</v>
      </c>
      <c r="E25" s="1139">
        <v>18111873.719204001</v>
      </c>
      <c r="F25" s="1140">
        <v>12566953.850795999</v>
      </c>
      <c r="G25" s="1117">
        <f t="shared" si="3"/>
        <v>50172085.519204006</v>
      </c>
      <c r="H25" s="1118">
        <f t="shared" si="3"/>
        <v>32629594.350795999</v>
      </c>
    </row>
    <row r="26" spans="1:12" ht="12.75">
      <c r="A26" s="1112" t="s">
        <v>1313</v>
      </c>
      <c r="B26" s="1139">
        <v>12035578.779999999</v>
      </c>
      <c r="C26" s="1139">
        <v>3482601.9299999899</v>
      </c>
      <c r="D26" s="1139">
        <v>2367797.12</v>
      </c>
      <c r="E26" s="1139">
        <v>1396053.1819519999</v>
      </c>
      <c r="F26" s="1140">
        <v>971743.93804799905</v>
      </c>
      <c r="G26" s="1117">
        <f t="shared" si="3"/>
        <v>13431631.961951999</v>
      </c>
      <c r="H26" s="1118">
        <f t="shared" si="3"/>
        <v>4454345.868047989</v>
      </c>
    </row>
    <row r="27" spans="1:12" ht="12.75">
      <c r="A27" s="1112" t="s">
        <v>1314</v>
      </c>
      <c r="B27" s="1139">
        <v>75336909.450000003</v>
      </c>
      <c r="C27" s="1139">
        <v>14771681.6299999</v>
      </c>
      <c r="D27" s="1139">
        <v>0</v>
      </c>
      <c r="E27" s="1139">
        <v>0</v>
      </c>
      <c r="F27" s="1140">
        <v>0</v>
      </c>
      <c r="G27" s="1117">
        <f t="shared" si="3"/>
        <v>75336909.450000003</v>
      </c>
      <c r="H27" s="1118">
        <f t="shared" si="3"/>
        <v>14771681.6299999</v>
      </c>
    </row>
    <row r="28" spans="1:12" ht="12.75">
      <c r="A28" s="1112" t="s">
        <v>1315</v>
      </c>
      <c r="B28" s="1139">
        <v>38556966.319999903</v>
      </c>
      <c r="C28" s="1139">
        <v>13936146.33</v>
      </c>
      <c r="D28" s="1139">
        <v>84968892.549999997</v>
      </c>
      <c r="E28" s="1139">
        <v>56086968.758652002</v>
      </c>
      <c r="F28" s="1140">
        <v>28881923.791347999</v>
      </c>
      <c r="G28" s="1117">
        <f t="shared" si="3"/>
        <v>94643935.078651905</v>
      </c>
      <c r="H28" s="1118">
        <f t="shared" si="3"/>
        <v>42818070.121348001</v>
      </c>
    </row>
    <row r="29" spans="1:12" ht="12.75">
      <c r="A29" s="1112" t="s">
        <v>1316</v>
      </c>
      <c r="B29" s="1139">
        <v>176246690.74000001</v>
      </c>
      <c r="C29" s="1139">
        <v>95338001.769999906</v>
      </c>
      <c r="D29" s="1139">
        <v>21047599.9099999</v>
      </c>
      <c r="E29" s="1139">
        <v>13998758.700141</v>
      </c>
      <c r="F29" s="1140">
        <v>7048841.2098589996</v>
      </c>
      <c r="G29" s="1117">
        <f t="shared" si="3"/>
        <v>190245449.44014102</v>
      </c>
      <c r="H29" s="1118">
        <f t="shared" si="3"/>
        <v>102386842.97985891</v>
      </c>
    </row>
    <row r="30" spans="1:12" ht="12.75">
      <c r="A30" s="1112" t="s">
        <v>1317</v>
      </c>
      <c r="B30" s="1139">
        <v>17669307.68</v>
      </c>
      <c r="C30" s="1139">
        <v>1441061.29999999</v>
      </c>
      <c r="D30" s="1139">
        <v>33852072.189999998</v>
      </c>
      <c r="E30" s="1139">
        <v>22515013.213569</v>
      </c>
      <c r="F30" s="1140">
        <v>11337058.976430999</v>
      </c>
      <c r="G30" s="1117">
        <f t="shared" si="3"/>
        <v>40184320.893569</v>
      </c>
      <c r="H30" s="1118">
        <f t="shared" si="3"/>
        <v>12778120.276430989</v>
      </c>
    </row>
    <row r="31" spans="1:12" ht="12.75">
      <c r="A31" s="1112" t="s">
        <v>1318</v>
      </c>
      <c r="B31" s="1139">
        <v>17493030.989999998</v>
      </c>
      <c r="C31" s="1139">
        <v>0</v>
      </c>
      <c r="D31" s="1139">
        <v>0</v>
      </c>
      <c r="E31" s="1139">
        <v>0</v>
      </c>
      <c r="F31" s="1140">
        <v>0</v>
      </c>
      <c r="G31" s="1117">
        <f t="shared" si="3"/>
        <v>17493030.989999998</v>
      </c>
      <c r="H31" s="1118">
        <f t="shared" si="3"/>
        <v>0</v>
      </c>
    </row>
    <row r="32" spans="1:12" ht="12.75">
      <c r="A32" s="1112" t="s">
        <v>1319</v>
      </c>
      <c r="B32" s="1139">
        <v>30169560.109999999</v>
      </c>
      <c r="C32" s="1139">
        <v>-187823.5</v>
      </c>
      <c r="D32" s="1139">
        <v>0</v>
      </c>
      <c r="E32" s="1139">
        <v>0</v>
      </c>
      <c r="F32" s="1140">
        <v>0</v>
      </c>
      <c r="G32" s="1117">
        <f t="shared" si="3"/>
        <v>30169560.109999999</v>
      </c>
      <c r="H32" s="1118">
        <f t="shared" si="3"/>
        <v>-187823.5</v>
      </c>
    </row>
    <row r="33" spans="1:8" ht="12.75">
      <c r="A33" s="1112" t="s">
        <v>1320</v>
      </c>
      <c r="B33" s="1139">
        <v>166953096.89999899</v>
      </c>
      <c r="C33" s="1139">
        <v>0</v>
      </c>
      <c r="D33" s="1139">
        <v>0</v>
      </c>
      <c r="E33" s="1139">
        <v>0</v>
      </c>
      <c r="F33" s="1140">
        <v>0</v>
      </c>
      <c r="G33" s="1117">
        <f t="shared" si="3"/>
        <v>166953096.89999899</v>
      </c>
      <c r="H33" s="1118">
        <f t="shared" si="3"/>
        <v>0</v>
      </c>
    </row>
    <row r="34" spans="1:8" ht="12.75">
      <c r="A34" s="1112" t="s">
        <v>1321</v>
      </c>
      <c r="B34" s="1139">
        <v>190250086.34999999</v>
      </c>
      <c r="C34" s="1139">
        <v>97233457.069999993</v>
      </c>
      <c r="D34" s="1139">
        <v>4519350.8599999901</v>
      </c>
      <c r="E34" s="1139">
        <v>3005820.2569860001</v>
      </c>
      <c r="F34" s="1140">
        <v>1513530.603014</v>
      </c>
      <c r="G34" s="1117">
        <f t="shared" si="3"/>
        <v>193255906.60698599</v>
      </c>
      <c r="H34" s="1118">
        <f t="shared" si="3"/>
        <v>98746987.673014</v>
      </c>
    </row>
    <row r="35" spans="1:8" ht="12.75">
      <c r="A35" s="1112" t="s">
        <v>1322</v>
      </c>
      <c r="B35" s="1139">
        <v>-17990152</v>
      </c>
      <c r="C35" s="1139">
        <v>-15204117</v>
      </c>
      <c r="D35" s="1139">
        <v>0</v>
      </c>
      <c r="E35" s="1139">
        <v>0</v>
      </c>
      <c r="F35" s="1140">
        <v>0</v>
      </c>
      <c r="G35" s="1117">
        <f t="shared" si="3"/>
        <v>-17990152</v>
      </c>
      <c r="H35" s="1118">
        <f t="shared" si="3"/>
        <v>-15204117</v>
      </c>
    </row>
    <row r="36" spans="1:8" ht="12.75">
      <c r="A36" s="1112" t="s">
        <v>1323</v>
      </c>
      <c r="B36" s="1120">
        <v>-5408125.1900000004</v>
      </c>
      <c r="C36" s="1120">
        <v>23702247</v>
      </c>
      <c r="D36" s="1120">
        <v>10863590</v>
      </c>
      <c r="E36" s="1120">
        <v>7225373.7089999896</v>
      </c>
      <c r="F36" s="1141">
        <v>3638216.2910000002</v>
      </c>
      <c r="G36" s="1122">
        <f t="shared" si="3"/>
        <v>1817248.5189999891</v>
      </c>
      <c r="H36" s="1123">
        <f t="shared" si="3"/>
        <v>27340463.291000001</v>
      </c>
    </row>
    <row r="37" spans="1:8" ht="12.75">
      <c r="A37" s="1119" t="s">
        <v>1324</v>
      </c>
      <c r="B37" s="1124">
        <f t="shared" ref="B37:H37" si="4">SUM(B20:B36)</f>
        <v>2034886218.4099987</v>
      </c>
      <c r="C37" s="1124">
        <f t="shared" si="4"/>
        <v>842910788.06999874</v>
      </c>
      <c r="D37" s="1124">
        <f t="shared" si="4"/>
        <v>188298130.19999987</v>
      </c>
      <c r="E37" s="1124">
        <f t="shared" si="4"/>
        <v>122339861.53950401</v>
      </c>
      <c r="F37" s="1124">
        <f t="shared" si="4"/>
        <v>65958268.660495996</v>
      </c>
      <c r="G37" s="1117">
        <f t="shared" si="4"/>
        <v>2157226079.9495025</v>
      </c>
      <c r="H37" s="1118">
        <f t="shared" si="4"/>
        <v>908869056.73049474</v>
      </c>
    </row>
    <row r="38" spans="1:8" ht="12.75">
      <c r="A38" s="1111" t="s">
        <v>1325</v>
      </c>
      <c r="B38" s="1132"/>
      <c r="C38" s="1132"/>
      <c r="D38" s="1132"/>
      <c r="E38" s="1132"/>
      <c r="F38" s="1132"/>
      <c r="G38" s="1142"/>
      <c r="H38" s="1135"/>
    </row>
    <row r="39" spans="1:8" ht="12.75">
      <c r="A39" s="1119" t="s">
        <v>1326</v>
      </c>
      <c r="B39" s="1132">
        <f t="shared" ref="B39:H39" si="5">B11-B37</f>
        <v>239767172.84999156</v>
      </c>
      <c r="C39" s="1132">
        <f t="shared" si="5"/>
        <v>168619728.18000126</v>
      </c>
      <c r="D39" s="1132">
        <f t="shared" si="5"/>
        <v>-188298130.19999987</v>
      </c>
      <c r="E39" s="1132">
        <f t="shared" si="5"/>
        <v>-122339861.53950401</v>
      </c>
      <c r="F39" s="1132">
        <f t="shared" si="5"/>
        <v>-65958268.660495996</v>
      </c>
      <c r="G39" s="1134">
        <f t="shared" si="5"/>
        <v>117427311.31048775</v>
      </c>
      <c r="H39" s="1135">
        <f t="shared" si="5"/>
        <v>102661459.51950526</v>
      </c>
    </row>
    <row r="40" spans="1:8" ht="13.5" thickBot="1">
      <c r="A40" s="1111"/>
      <c r="B40" s="1143"/>
      <c r="C40" s="1143"/>
      <c r="D40" s="1143"/>
      <c r="E40" s="1143"/>
      <c r="F40" s="1143"/>
      <c r="G40" s="1144"/>
      <c r="H40" s="1145"/>
    </row>
    <row r="41" spans="1:8" ht="12.75">
      <c r="A41" s="1146" t="s">
        <v>1327</v>
      </c>
      <c r="B41" s="1147">
        <f>+'3.05 - FERC Pg 354 &amp; 355'!M5</f>
        <v>24954096.66760711</v>
      </c>
      <c r="C41" s="1147">
        <f>+'3.05 - FERC Pg 354 &amp; 355'!M6</f>
        <v>22550435.783465069</v>
      </c>
    </row>
    <row r="42" spans="1:8" ht="12.75">
      <c r="A42" s="1146" t="s">
        <v>1328</v>
      </c>
      <c r="B42" s="1148">
        <f>+B23+B24</f>
        <v>94790178.139999792</v>
      </c>
      <c r="C42" s="1148">
        <f>+C23+C24</f>
        <v>50465258.969999999</v>
      </c>
    </row>
    <row r="43" spans="1:8" ht="12.75">
      <c r="A43" s="1146" t="s">
        <v>1329</v>
      </c>
      <c r="B43" s="1147">
        <f>+B42-B41</f>
        <v>69836081.472392678</v>
      </c>
      <c r="C43" s="1147">
        <f>+C42-C41</f>
        <v>27914823.18653493</v>
      </c>
    </row>
    <row r="44" spans="1:8" ht="12.75">
      <c r="A44" s="1149"/>
    </row>
    <row r="45" spans="1:8" ht="12.75">
      <c r="A45" s="1150"/>
      <c r="B45" s="1148"/>
      <c r="C45" s="1148"/>
      <c r="D45" s="1147"/>
      <c r="E45" s="1147"/>
      <c r="F45" s="1151"/>
    </row>
    <row r="46" spans="1:8">
      <c r="A46" s="1152"/>
      <c r="B46" s="1148"/>
      <c r="C46" s="1148"/>
      <c r="D46" s="1147"/>
      <c r="E46" s="1147"/>
      <c r="F46" s="1151"/>
    </row>
    <row r="47" spans="1:8">
      <c r="A47" s="1152"/>
      <c r="B47" s="1148"/>
      <c r="C47" s="1148"/>
      <c r="D47" s="1147"/>
      <c r="E47" s="1147"/>
      <c r="F47" s="1151"/>
    </row>
  </sheetData>
  <mergeCells count="3">
    <mergeCell ref="A1:H1"/>
    <mergeCell ref="A2:H2"/>
    <mergeCell ref="A3:H3"/>
  </mergeCells>
  <pageMargins left="0.66" right="0.24" top="0.47" bottom="0.31" header="0.16" footer="0.17"/>
  <pageSetup scale="9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U54"/>
  <sheetViews>
    <sheetView tabSelected="1" topLeftCell="A2" zoomScale="90" zoomScaleNormal="90" workbookViewId="0">
      <selection activeCell="B9" sqref="B9"/>
    </sheetView>
  </sheetViews>
  <sheetFormatPr defaultColWidth="10.6640625" defaultRowHeight="15.75"/>
  <cols>
    <col min="1" max="1" width="1.33203125" style="2964" customWidth="1"/>
    <col min="2" max="2" width="7.83203125" style="2964" bestFit="1" customWidth="1"/>
    <col min="3" max="3" width="38" style="2964" customWidth="1"/>
    <col min="4" max="4" width="17.83203125" style="2964" bestFit="1" customWidth="1"/>
    <col min="5" max="5" width="19.5" style="2964" bestFit="1" customWidth="1"/>
    <col min="6" max="6" width="16.83203125" style="2964" bestFit="1" customWidth="1"/>
    <col min="7" max="7" width="11.6640625" style="2964" bestFit="1" customWidth="1"/>
    <col min="8" max="8" width="2" style="2964" customWidth="1"/>
    <col min="9" max="9" width="17.83203125" style="2964" bestFit="1" customWidth="1"/>
    <col min="10" max="10" width="19.5" style="2964" bestFit="1" customWidth="1"/>
    <col min="11" max="11" width="16.83203125" style="2964" bestFit="1" customWidth="1"/>
    <col min="12" max="12" width="11.6640625" style="2964" bestFit="1" customWidth="1"/>
    <col min="13" max="13" width="2" style="2964" customWidth="1"/>
    <col min="14" max="14" width="16.1640625" style="2964" bestFit="1" customWidth="1"/>
    <col min="15" max="15" width="16" style="2964" bestFit="1" customWidth="1"/>
    <col min="16" max="16" width="16.5" style="2964" customWidth="1"/>
    <col min="17" max="17" width="17.83203125" style="2964" hidden="1" customWidth="1"/>
    <col min="18" max="18" width="0" style="2964" hidden="1" customWidth="1"/>
    <col min="19" max="16384" width="10.6640625" style="2964"/>
  </cols>
  <sheetData>
    <row r="1" spans="1:20" hidden="1">
      <c r="P1" s="2227">
        <v>1</v>
      </c>
    </row>
    <row r="2" spans="1:20">
      <c r="B2" s="2965" t="s">
        <v>1119</v>
      </c>
      <c r="C2" s="2966" t="s">
        <v>3021</v>
      </c>
      <c r="P2" s="2222" t="s">
        <v>3014</v>
      </c>
    </row>
    <row r="3" spans="1:20" ht="16.5" thickBot="1">
      <c r="P3" s="2223" t="s">
        <v>2889</v>
      </c>
    </row>
    <row r="4" spans="1:20" ht="17.25" thickTop="1" thickBot="1">
      <c r="P4" s="2224" t="str">
        <f>"Page "&amp;P1&amp;" of "&amp;'Exhibit No._(CTM-2), Pg. 32-34'!$N$1</f>
        <v>Page 1 of 34</v>
      </c>
    </row>
    <row r="5" spans="1:20" ht="16.5" thickTop="1">
      <c r="A5" s="2967" t="str">
        <f>'Compare GRCs'!A4:H4</f>
        <v>Puget Sound Energy - Gas</v>
      </c>
      <c r="B5" s="2967"/>
      <c r="C5" s="2967"/>
      <c r="D5" s="2967"/>
      <c r="E5" s="2967"/>
      <c r="F5" s="2967"/>
      <c r="G5" s="2967"/>
      <c r="H5" s="2967"/>
      <c r="I5" s="2967"/>
      <c r="J5" s="2967"/>
      <c r="K5" s="2967"/>
      <c r="L5" s="2967"/>
      <c r="M5" s="2967"/>
      <c r="N5" s="2967"/>
      <c r="O5" s="2967"/>
      <c r="P5" s="2967"/>
    </row>
    <row r="6" spans="1:20">
      <c r="A6" s="2967" t="str">
        <f>'Compare GRCs'!A5:H5</f>
        <v>RESULTS OF OPERATIONS</v>
      </c>
      <c r="B6" s="2967"/>
      <c r="C6" s="2967"/>
      <c r="D6" s="2967"/>
      <c r="E6" s="2967"/>
      <c r="F6" s="2967"/>
      <c r="G6" s="2967"/>
      <c r="H6" s="2967"/>
      <c r="I6" s="2967"/>
      <c r="J6" s="2967"/>
      <c r="K6" s="2967"/>
      <c r="L6" s="2967"/>
      <c r="M6" s="2967"/>
      <c r="N6" s="2967"/>
      <c r="O6" s="2967"/>
      <c r="P6" s="2967"/>
      <c r="Q6" s="2225"/>
    </row>
    <row r="7" spans="1:20">
      <c r="A7" s="2967" t="str">
        <f>'Compare GRCs'!A6:H6</f>
        <v>For the Twelve Months Ended December 31, 2010</v>
      </c>
      <c r="B7" s="2967"/>
      <c r="C7" s="2967"/>
      <c r="D7" s="2967"/>
      <c r="E7" s="2967"/>
      <c r="F7" s="2967"/>
      <c r="G7" s="2967"/>
      <c r="H7" s="2967"/>
      <c r="I7" s="2967"/>
      <c r="J7" s="2967"/>
      <c r="K7" s="2967"/>
      <c r="L7" s="2967"/>
      <c r="M7" s="2967"/>
      <c r="N7" s="2967"/>
      <c r="O7" s="2967"/>
      <c r="P7" s="2967"/>
    </row>
    <row r="8" spans="1:20">
      <c r="A8" s="2967" t="str">
        <f>'Exhibit No._(CTM-2), Pg. 2-6'!A8</f>
        <v>General Rate Case</v>
      </c>
      <c r="B8" s="2967"/>
      <c r="C8" s="2967"/>
      <c r="D8" s="2967"/>
      <c r="E8" s="2967"/>
      <c r="F8" s="2967"/>
      <c r="G8" s="2967"/>
      <c r="H8" s="2967"/>
      <c r="I8" s="2967"/>
      <c r="J8" s="2967"/>
      <c r="K8" s="2967"/>
      <c r="L8" s="2967"/>
      <c r="M8" s="2967"/>
      <c r="N8" s="2967"/>
      <c r="O8" s="2967"/>
      <c r="P8" s="2967"/>
    </row>
    <row r="10" spans="1:20">
      <c r="D10" s="2968" t="s">
        <v>3020</v>
      </c>
      <c r="E10" s="2887"/>
      <c r="F10" s="2887"/>
      <c r="G10" s="2887"/>
      <c r="H10" s="2226"/>
      <c r="I10" s="2969" t="s">
        <v>3013</v>
      </c>
      <c r="J10" s="2887"/>
      <c r="K10" s="2887"/>
      <c r="L10" s="2889"/>
      <c r="M10" s="2226"/>
      <c r="N10" s="2968" t="s">
        <v>3018</v>
      </c>
      <c r="O10" s="2887"/>
      <c r="P10" s="2889"/>
    </row>
    <row r="11" spans="1:20">
      <c r="B11" s="2970" t="s">
        <v>2591</v>
      </c>
      <c r="C11" s="2970"/>
      <c r="D11" s="2970" t="s">
        <v>2523</v>
      </c>
      <c r="E11" s="2970"/>
      <c r="F11" s="2971" t="s">
        <v>2593</v>
      </c>
      <c r="G11" s="2972" t="s">
        <v>2524</v>
      </c>
      <c r="H11" s="2973"/>
      <c r="I11" s="2974" t="s">
        <v>2523</v>
      </c>
      <c r="J11" s="2970"/>
      <c r="K11" s="2971" t="s">
        <v>2593</v>
      </c>
      <c r="L11" s="2975" t="s">
        <v>2524</v>
      </c>
      <c r="M11" s="2973"/>
      <c r="N11" s="2974" t="s">
        <v>2523</v>
      </c>
      <c r="O11" s="2970"/>
      <c r="P11" s="2970"/>
    </row>
    <row r="12" spans="1:20">
      <c r="B12" s="2976" t="s">
        <v>2549</v>
      </c>
      <c r="C12" s="2976" t="s">
        <v>523</v>
      </c>
      <c r="D12" s="2976" t="s">
        <v>268</v>
      </c>
      <c r="E12" s="2976" t="s">
        <v>2525</v>
      </c>
      <c r="F12" s="2977">
        <v>8.2600000000000007E-2</v>
      </c>
      <c r="G12" s="2978" t="s">
        <v>2525</v>
      </c>
      <c r="H12" s="2973"/>
      <c r="I12" s="2979" t="s">
        <v>268</v>
      </c>
      <c r="J12" s="2976" t="s">
        <v>2525</v>
      </c>
      <c r="K12" s="2980">
        <f>'Exhibit No._(CTM-2), Pg. 32-34'!J18</f>
        <v>7.5899999999999995E-2</v>
      </c>
      <c r="L12" s="2981" t="s">
        <v>2525</v>
      </c>
      <c r="M12" s="2973"/>
      <c r="N12" s="2979" t="s">
        <v>268</v>
      </c>
      <c r="O12" s="2976" t="s">
        <v>2525</v>
      </c>
      <c r="P12" s="2982" t="s">
        <v>3019</v>
      </c>
    </row>
    <row r="13" spans="1:20" ht="16.5" thickBot="1">
      <c r="B13" s="2983" t="s">
        <v>1112</v>
      </c>
      <c r="C13" s="2983" t="s">
        <v>1113</v>
      </c>
      <c r="D13" s="2983" t="s">
        <v>2526</v>
      </c>
      <c r="E13" s="2983" t="s">
        <v>1657</v>
      </c>
      <c r="F13" s="2984" t="s">
        <v>2527</v>
      </c>
      <c r="G13" s="2985" t="s">
        <v>2528</v>
      </c>
      <c r="H13" s="2986"/>
      <c r="I13" s="2987" t="s">
        <v>3015</v>
      </c>
      <c r="J13" s="2983" t="s">
        <v>3012</v>
      </c>
      <c r="K13" s="2984" t="s">
        <v>3011</v>
      </c>
      <c r="L13" s="2988" t="s">
        <v>3010</v>
      </c>
      <c r="M13" s="2986"/>
      <c r="N13" s="2987" t="s">
        <v>3016</v>
      </c>
      <c r="O13" s="2983" t="s">
        <v>3009</v>
      </c>
      <c r="P13" s="2983" t="s">
        <v>3017</v>
      </c>
    </row>
    <row r="14" spans="1:20">
      <c r="B14" s="2989"/>
      <c r="C14" s="2989" t="s">
        <v>2530</v>
      </c>
      <c r="D14" s="2990">
        <v>102661459.51950526</v>
      </c>
      <c r="E14" s="2991">
        <v>1660735111.2888539</v>
      </c>
      <c r="F14" s="2182">
        <f>ROUND((-+D14+(E14*$F$12))/'Exhibit No._(CTM-2), Pg. 32-34'!$N$22,2)</f>
        <v>55536308.990000002</v>
      </c>
      <c r="G14" s="2992">
        <f>+D14/E14</f>
        <v>6.1816877852261663E-2</v>
      </c>
      <c r="H14" s="2986"/>
      <c r="I14" s="2993">
        <f>'Exhibit No._(CTM-2), Pg. 2-6'!D47</f>
        <v>102661459.51950526</v>
      </c>
      <c r="J14" s="2991">
        <f>'Exhibit No._(CTM-2), Pg. 2-6'!D60</f>
        <v>1660735111.0538375</v>
      </c>
      <c r="K14" s="2182">
        <f>ROUND((-+I14+(J14*$K$12))/'Exhibit No._(CTM-2), Pg. 32-34'!$N$22,2)</f>
        <v>37632681.799999997</v>
      </c>
      <c r="L14" s="2992">
        <f>+I14/J14</f>
        <v>6.1816877861009582E-2</v>
      </c>
      <c r="M14" s="2986"/>
      <c r="N14" s="2993">
        <f>D14-I14</f>
        <v>0</v>
      </c>
      <c r="O14" s="2991">
        <f>E14-J14</f>
        <v>0.2350163459777832</v>
      </c>
      <c r="P14" s="2994">
        <f>F14-K14</f>
        <v>17903627.190000005</v>
      </c>
      <c r="T14" s="2995"/>
    </row>
    <row r="15" spans="1:20">
      <c r="B15" s="2996">
        <v>5.01</v>
      </c>
      <c r="C15" s="2997" t="s">
        <v>556</v>
      </c>
      <c r="D15" s="2998">
        <v>4071209.3688660329</v>
      </c>
      <c r="E15" s="2998">
        <v>-2218846.4496661704</v>
      </c>
      <c r="F15" s="2182">
        <f>ROUND((-+D15+(E15*$F$12))/'Exhibit No._(CTM-2), Pg. 32-34'!$N$22,2)</f>
        <v>-6845622.75</v>
      </c>
      <c r="G15" s="2999">
        <f>((+D15+D$14)/+(E15+E$14))-G$14</f>
        <v>2.5374315694311408E-3</v>
      </c>
      <c r="H15" s="2986"/>
      <c r="I15" s="3000">
        <f>'Exhibit No._(CTM-2), Pg. 2-6'!N47</f>
        <v>4071209.3688660329</v>
      </c>
      <c r="J15" s="2998">
        <f>'Exhibit No._(CTM-2), Pg. 2-6'!N49</f>
        <v>-2218846.4496661704</v>
      </c>
      <c r="K15" s="2182">
        <f>ROUND((-+I15+(J15*$K$12))/'Exhibit No._(CTM-2), Pg. 32-34'!$N$22,2)</f>
        <v>-6821702.3799999999</v>
      </c>
      <c r="L15" s="2999">
        <f>((+I15+I$14)/+(J15+J$14))-L$14</f>
        <v>2.5374315698023994E-3</v>
      </c>
      <c r="M15" s="2986"/>
      <c r="N15" s="3000">
        <f t="shared" ref="N15:N39" si="0">D15-I15</f>
        <v>0</v>
      </c>
      <c r="O15" s="2998">
        <f t="shared" ref="O15:O39" si="1">E15-J15</f>
        <v>0</v>
      </c>
      <c r="P15" s="2994">
        <f t="shared" ref="P15:P39" si="2">F15-K15</f>
        <v>-23920.370000000112</v>
      </c>
      <c r="T15" s="2995"/>
    </row>
    <row r="16" spans="1:20">
      <c r="B16" s="2996">
        <v>5.0199999999999996</v>
      </c>
      <c r="C16" s="2997" t="s">
        <v>2531</v>
      </c>
      <c r="D16" s="2998">
        <v>-195346.91595120012</v>
      </c>
      <c r="E16" s="2998">
        <v>-97673.45797560006</v>
      </c>
      <c r="F16" s="2182">
        <f>ROUND((-+D16+(E16*$F$12))/'Exhibit No._(CTM-2), Pg. 32-34'!$N$22,2)</f>
        <v>301338.86</v>
      </c>
      <c r="G16" s="2999">
        <f t="shared" ref="G16:G39" si="3">((+D16+D$14)/+(E16+E$14))-G$14</f>
        <v>-1.1399782000422187E-4</v>
      </c>
      <c r="H16" s="2986"/>
      <c r="I16" s="3000">
        <f>'Exhibit No._(CTM-2), Pg. 2-6'!O47</f>
        <v>-195346.91595120012</v>
      </c>
      <c r="J16" s="2998">
        <f>'Exhibit No._(CTM-2), Pg. 2-6'!O49</f>
        <v>-97673.45797560006</v>
      </c>
      <c r="K16" s="2182">
        <f>ROUND((-+I16+(J16*$K$12))/'Exhibit No._(CTM-2), Pg. 32-34'!$N$22,2)</f>
        <v>302391.83</v>
      </c>
      <c r="L16" s="2999">
        <f t="shared" ref="L16:L39" si="4">((+I16+I$14)/+(J16+J$14))-L$14</f>
        <v>-1.1399782001984132E-4</v>
      </c>
      <c r="M16" s="2986"/>
      <c r="N16" s="3000">
        <f t="shared" si="0"/>
        <v>0</v>
      </c>
      <c r="O16" s="2998">
        <f t="shared" si="1"/>
        <v>0</v>
      </c>
      <c r="P16" s="2994">
        <f t="shared" si="2"/>
        <v>-1052.9700000000303</v>
      </c>
      <c r="T16" s="2995"/>
    </row>
    <row r="17" spans="2:20">
      <c r="B17" s="2996">
        <v>5.03</v>
      </c>
      <c r="C17" s="2997" t="s">
        <v>2532</v>
      </c>
      <c r="D17" s="2998">
        <v>640160.54360740329</v>
      </c>
      <c r="E17" s="2998">
        <v>0</v>
      </c>
      <c r="F17" s="2182">
        <f>ROUND((-+D17+(E17*$F$12))/'Exhibit No._(CTM-2), Pg. 32-34'!$N$22,2)</f>
        <v>-1030041.58</v>
      </c>
      <c r="G17" s="2999">
        <f t="shared" si="3"/>
        <v>3.8546818168406355E-4</v>
      </c>
      <c r="H17" s="2986"/>
      <c r="I17" s="3000">
        <f>'Exhibit No._(CTM-2), Pg. 2-6'!P47</f>
        <v>640159.71843290189</v>
      </c>
      <c r="J17" s="2998">
        <f>'Exhibit No._(CTM-2), Pg. 2-6'!P49</f>
        <v>0</v>
      </c>
      <c r="K17" s="2182">
        <f>ROUND((-+I17+(J17*$K$12))/'Exhibit No._(CTM-2), Pg. 32-34'!$N$22,2)</f>
        <v>-1030040.26</v>
      </c>
      <c r="L17" s="2999">
        <f t="shared" si="4"/>
        <v>3.8546768486558136E-4</v>
      </c>
      <c r="M17" s="2986"/>
      <c r="N17" s="3000">
        <f t="shared" si="0"/>
        <v>0.82517450139857829</v>
      </c>
      <c r="O17" s="2998">
        <f t="shared" si="1"/>
        <v>0</v>
      </c>
      <c r="P17" s="2994">
        <f t="shared" si="2"/>
        <v>-1.3199999999487773</v>
      </c>
      <c r="T17" s="2995"/>
    </row>
    <row r="18" spans="2:20">
      <c r="B18" s="2996">
        <v>6.01</v>
      </c>
      <c r="C18" s="2997" t="s">
        <v>562</v>
      </c>
      <c r="D18" s="2998">
        <v>6651267.3144632801</v>
      </c>
      <c r="E18" s="2998">
        <v>0</v>
      </c>
      <c r="F18" s="2182">
        <f>ROUND((-+D18+(E18*$F$12))/'Exhibit No._(CTM-2), Pg. 32-34'!$N$22,2)</f>
        <v>-10702130.869999999</v>
      </c>
      <c r="G18" s="2999">
        <f t="shared" si="3"/>
        <v>4.0050139659547554E-3</v>
      </c>
      <c r="H18" s="2986"/>
      <c r="I18" s="3000">
        <f>'Exhibit No._(CTM-2), Pg. 2-6'!Q47</f>
        <v>6651267.3144632801</v>
      </c>
      <c r="J18" s="2998">
        <f>'Exhibit No._(CTM-2), Pg. 2-6'!Q49</f>
        <v>0</v>
      </c>
      <c r="K18" s="2182">
        <f>ROUND((-+I18+(J18*$K$12))/'Exhibit No._(CTM-2), Pg. 32-34'!$N$22,2)</f>
        <v>-10702130.869999999</v>
      </c>
      <c r="L18" s="2999">
        <f t="shared" si="4"/>
        <v>4.0050139665215242E-3</v>
      </c>
      <c r="M18" s="2986"/>
      <c r="N18" s="3000">
        <f t="shared" si="0"/>
        <v>0</v>
      </c>
      <c r="O18" s="2998">
        <f t="shared" si="1"/>
        <v>0</v>
      </c>
      <c r="P18" s="2994">
        <f t="shared" si="2"/>
        <v>0</v>
      </c>
      <c r="T18" s="2995"/>
    </row>
    <row r="19" spans="2:20">
      <c r="B19" s="2996">
        <v>6.02</v>
      </c>
      <c r="C19" s="2997" t="s">
        <v>2533</v>
      </c>
      <c r="D19" s="3001">
        <v>16913082.850892801</v>
      </c>
      <c r="E19" s="2998">
        <v>0</v>
      </c>
      <c r="F19" s="2182">
        <f>ROUND((-+D19+(E19*$F$12))/'Exhibit No._(CTM-2), Pg. 32-34'!$N$22,2)</f>
        <v>-27213765.07</v>
      </c>
      <c r="G19" s="2999">
        <f t="shared" si="3"/>
        <v>1.0184094221845526E-2</v>
      </c>
      <c r="H19" s="2986"/>
      <c r="I19" s="3002">
        <f>'Exhibit No._(CTM-2), Pg. 2-6'!R47</f>
        <v>16913082.850892801</v>
      </c>
      <c r="J19" s="2998">
        <f>'Exhibit No._(CTM-2), Pg. 2-6'!R49</f>
        <v>0</v>
      </c>
      <c r="K19" s="2182">
        <f>ROUND((-+I19+(J19*$K$12))/'Exhibit No._(CTM-2), Pg. 32-34'!$N$22,2)</f>
        <v>-27213765.07</v>
      </c>
      <c r="L19" s="2999">
        <f t="shared" si="4"/>
        <v>1.0184094223286706E-2</v>
      </c>
      <c r="M19" s="2986"/>
      <c r="N19" s="3002">
        <f t="shared" si="0"/>
        <v>0</v>
      </c>
      <c r="O19" s="2998">
        <f t="shared" si="1"/>
        <v>0</v>
      </c>
      <c r="P19" s="3038">
        <f t="shared" si="2"/>
        <v>0</v>
      </c>
      <c r="T19" s="2995"/>
    </row>
    <row r="20" spans="2:20">
      <c r="B20" s="2996">
        <v>6.03</v>
      </c>
      <c r="C20" s="2997" t="s">
        <v>2534</v>
      </c>
      <c r="D20" s="2998">
        <v>154724.02390249819</v>
      </c>
      <c r="E20" s="2998">
        <v>0</v>
      </c>
      <c r="F20" s="2182">
        <f>ROUND((-+D20+(E20*$F$12))/'Exhibit No._(CTM-2), Pg. 32-34'!$N$22,2)</f>
        <v>-248956.58</v>
      </c>
      <c r="G20" s="2999">
        <f t="shared" si="3"/>
        <v>9.3165985864195056E-5</v>
      </c>
      <c r="H20" s="2986"/>
      <c r="I20" s="3000">
        <f>'Exhibit No._(CTM-2), Pg. 2-6'!S47</f>
        <v>154723.67058743304</v>
      </c>
      <c r="J20" s="2998">
        <f>'Exhibit No._(CTM-2), Pg. 2-6'!S49</f>
        <v>0</v>
      </c>
      <c r="K20" s="2182">
        <f>ROUND((-+I20+(J20*$K$12))/'Exhibit No._(CTM-2), Pg. 32-34'!$N$22,2)</f>
        <v>-248956.01</v>
      </c>
      <c r="L20" s="2999">
        <f t="shared" si="4"/>
        <v>9.3165773131183294E-5</v>
      </c>
      <c r="M20" s="2986"/>
      <c r="N20" s="3000">
        <f t="shared" si="0"/>
        <v>0.35331506514921784</v>
      </c>
      <c r="O20" s="2998">
        <f t="shared" si="1"/>
        <v>0</v>
      </c>
      <c r="P20" s="2994">
        <f t="shared" si="2"/>
        <v>-0.56999999997788109</v>
      </c>
      <c r="T20" s="2995"/>
    </row>
    <row r="21" spans="2:20">
      <c r="B21" s="2996">
        <v>6.04</v>
      </c>
      <c r="C21" s="2997" t="s">
        <v>568</v>
      </c>
      <c r="D21" s="2998">
        <v>-28834101.259000003</v>
      </c>
      <c r="E21" s="2998">
        <v>0</v>
      </c>
      <c r="F21" s="2182">
        <f>ROUND((-+D21+(E21*$F$12))/'Exhibit No._(CTM-2), Pg. 32-34'!$N$22,2)</f>
        <v>46395116.990000002</v>
      </c>
      <c r="G21" s="2999">
        <f t="shared" si="3"/>
        <v>-1.7362251850400509E-2</v>
      </c>
      <c r="H21" s="2986"/>
      <c r="I21" s="3000">
        <f>'Exhibit No._(CTM-2), Pg. 2-6'!T47</f>
        <v>-28834101.259000003</v>
      </c>
      <c r="J21" s="2998">
        <f>'Exhibit No._(CTM-2), Pg. 2-6'!T49</f>
        <v>-24564298</v>
      </c>
      <c r="K21" s="2182">
        <f>ROUND((-+I21+(J21*$K$12))/'Exhibit No._(CTM-2), Pg. 32-34'!$N$22,2)</f>
        <v>43395181</v>
      </c>
      <c r="L21" s="2999">
        <f t="shared" si="4"/>
        <v>-1.6694841902728498E-2</v>
      </c>
      <c r="M21" s="2986"/>
      <c r="N21" s="3000">
        <f t="shared" si="0"/>
        <v>0</v>
      </c>
      <c r="O21" s="2998">
        <f t="shared" si="1"/>
        <v>24564298</v>
      </c>
      <c r="P21" s="2994">
        <f t="shared" si="2"/>
        <v>2999935.9900000021</v>
      </c>
      <c r="T21" s="2995"/>
    </row>
    <row r="22" spans="2:20">
      <c r="B22" s="2996">
        <v>6.05</v>
      </c>
      <c r="C22" s="2997" t="s">
        <v>570</v>
      </c>
      <c r="D22" s="3001">
        <v>17987051.625114352</v>
      </c>
      <c r="E22" s="2998">
        <v>0</v>
      </c>
      <c r="F22" s="2182">
        <f>ROUND((-+D22+(E22*$F$12))/'Exhibit No._(CTM-2), Pg. 32-34'!$N$22,2)</f>
        <v>-28941819.859999999</v>
      </c>
      <c r="G22" s="2999">
        <f t="shared" si="3"/>
        <v>1.0830776987159056E-2</v>
      </c>
      <c r="H22" s="2986"/>
      <c r="I22" s="3000">
        <f>'Exhibit No._(CTM-2), Pg. 2-6'!U47</f>
        <v>18265629.636268079</v>
      </c>
      <c r="J22" s="2998">
        <f>'Exhibit No._(CTM-2), Pg. 2-6'!U49</f>
        <v>0</v>
      </c>
      <c r="K22" s="2182">
        <f>ROUND((-+I22+(J22*$K$12))/'Exhibit No._(CTM-2), Pg. 32-34'!$N$22,2)</f>
        <v>-29390062.010000002</v>
      </c>
      <c r="L22" s="2999">
        <f t="shared" si="4"/>
        <v>1.099852078437568E-2</v>
      </c>
      <c r="M22" s="2986"/>
      <c r="N22" s="3002">
        <f t="shared" si="0"/>
        <v>-278578.01115372777</v>
      </c>
      <c r="O22" s="2998">
        <f t="shared" si="1"/>
        <v>0</v>
      </c>
      <c r="P22" s="2994">
        <f t="shared" si="2"/>
        <v>448242.15000000224</v>
      </c>
      <c r="T22" s="2995"/>
    </row>
    <row r="23" spans="2:20">
      <c r="B23" s="2996">
        <v>6.06</v>
      </c>
      <c r="C23" s="2997" t="s">
        <v>572</v>
      </c>
      <c r="D23" s="3001">
        <v>261609.35304539214</v>
      </c>
      <c r="E23" s="2998">
        <v>0</v>
      </c>
      <c r="F23" s="2182">
        <f>ROUND((-+D23+(E23*$F$12))/'Exhibit No._(CTM-2), Pg. 32-34'!$N$22,2)</f>
        <v>-420938.96</v>
      </c>
      <c r="G23" s="2999">
        <f t="shared" si="3"/>
        <v>1.5752623718683079E-4</v>
      </c>
      <c r="H23" s="2986"/>
      <c r="I23" s="3000">
        <f>'Exhibit No._(CTM-2), Pg. 2-6'!V47</f>
        <v>306609.78536743083</v>
      </c>
      <c r="J23" s="2998">
        <f>'Exhibit No._(CTM-2), Pg. 2-6'!V49</f>
        <v>0</v>
      </c>
      <c r="K23" s="2182">
        <f>ROUND((-+I23+(J23*$K$12))/'Exhibit No._(CTM-2), Pg. 32-34'!$N$22,2)</f>
        <v>-493346.29</v>
      </c>
      <c r="L23" s="2999">
        <f t="shared" si="4"/>
        <v>1.8462293193335921E-4</v>
      </c>
      <c r="M23" s="2986"/>
      <c r="N23" s="3002">
        <f t="shared" si="0"/>
        <v>-45000.432322038687</v>
      </c>
      <c r="O23" s="2998">
        <f t="shared" si="1"/>
        <v>0</v>
      </c>
      <c r="P23" s="2994">
        <f t="shared" si="2"/>
        <v>72407.329999999958</v>
      </c>
      <c r="T23" s="2995"/>
    </row>
    <row r="24" spans="2:20">
      <c r="B24" s="2996">
        <v>6.07</v>
      </c>
      <c r="C24" s="2997" t="s">
        <v>574</v>
      </c>
      <c r="D24" s="2998">
        <v>384999.03957129712</v>
      </c>
      <c r="E24" s="2998">
        <v>-113066.91905510958</v>
      </c>
      <c r="F24" s="2182">
        <f>ROUND((-+D24+(E24*$F$12))/'Exhibit No._(CTM-2), Pg. 32-34'!$N$22,2)</f>
        <v>-634504.77</v>
      </c>
      <c r="G24" s="2999">
        <f t="shared" si="3"/>
        <v>2.3604918700476096E-4</v>
      </c>
      <c r="H24" s="2986"/>
      <c r="I24" s="3000">
        <f>'Exhibit No._(CTM-2), Pg. 2-6'!W47</f>
        <v>384999.03957129712</v>
      </c>
      <c r="J24" s="2998">
        <f>'Exhibit No._(CTM-2), Pg. 2-6'!W49</f>
        <v>-113066.91905510958</v>
      </c>
      <c r="K24" s="2182">
        <f>ROUND((-+I24+(J24*$K$12))/'Exhibit No._(CTM-2), Pg. 32-34'!$N$22,2)</f>
        <v>-633285.84</v>
      </c>
      <c r="L24" s="2999">
        <f t="shared" si="4"/>
        <v>2.3604918703876154E-4</v>
      </c>
      <c r="M24" s="2986"/>
      <c r="N24" s="3000">
        <f t="shared" si="0"/>
        <v>0</v>
      </c>
      <c r="O24" s="2998">
        <f t="shared" si="1"/>
        <v>0</v>
      </c>
      <c r="P24" s="2994">
        <f t="shared" si="2"/>
        <v>-1218.9300000000512</v>
      </c>
      <c r="T24" s="2995"/>
    </row>
    <row r="25" spans="2:20">
      <c r="B25" s="2996">
        <v>6.08</v>
      </c>
      <c r="C25" s="2997" t="s">
        <v>2535</v>
      </c>
      <c r="D25" s="2998">
        <v>-54309.818279334067</v>
      </c>
      <c r="E25" s="2998">
        <v>0</v>
      </c>
      <c r="F25" s="2182">
        <f>ROUND((-+D25+(E25*$F$12))/'Exhibit No._(CTM-2), Pg. 32-34'!$N$22,2)</f>
        <v>87386.47</v>
      </c>
      <c r="G25" s="2999">
        <f t="shared" si="3"/>
        <v>-3.2702276184903845E-5</v>
      </c>
      <c r="H25" s="2986"/>
      <c r="I25" s="3000">
        <f>'Exhibit No._(CTM-2), Pg. 2-6'!X47</f>
        <v>-54309.818279334067</v>
      </c>
      <c r="J25" s="2998">
        <f>'Exhibit No._(CTM-2), Pg. 2-6'!X49</f>
        <v>0</v>
      </c>
      <c r="K25" s="2182">
        <f>ROUND((-+I25+(J25*$K$12))/'Exhibit No._(CTM-2), Pg. 32-34'!$N$22,2)</f>
        <v>87386.47</v>
      </c>
      <c r="L25" s="2999">
        <f t="shared" si="4"/>
        <v>-3.2702276189532087E-5</v>
      </c>
      <c r="M25" s="2986"/>
      <c r="N25" s="3000">
        <f t="shared" si="0"/>
        <v>0</v>
      </c>
      <c r="O25" s="2998">
        <f t="shared" si="1"/>
        <v>0</v>
      </c>
      <c r="P25" s="2994">
        <f t="shared" si="2"/>
        <v>0</v>
      </c>
      <c r="T25" s="2995"/>
    </row>
    <row r="26" spans="2:20">
      <c r="B26" s="2996">
        <v>6.09</v>
      </c>
      <c r="C26" s="3003" t="s">
        <v>2536</v>
      </c>
      <c r="D26" s="2998">
        <v>1574431</v>
      </c>
      <c r="E26" s="2998">
        <v>0</v>
      </c>
      <c r="F26" s="2182">
        <f>ROUND((-+D26+(E26*$F$12))/'Exhibit No._(CTM-2), Pg. 32-34'!$N$22,2)</f>
        <v>-2533316.71</v>
      </c>
      <c r="G26" s="2999">
        <f t="shared" si="3"/>
        <v>9.4803258466554657E-4</v>
      </c>
      <c r="H26" s="2986"/>
      <c r="I26" s="3000">
        <f>'Exhibit No._(CTM-2), Pg. 2-6'!Y47</f>
        <v>1574431</v>
      </c>
      <c r="J26" s="2998">
        <f>'Exhibit No._(CTM-2), Pg. 2-6'!Y49</f>
        <v>0</v>
      </c>
      <c r="K26" s="2182">
        <f>ROUND((-+I26+(J26*$K$12))/'Exhibit No._(CTM-2), Pg. 32-34'!$N$22,2)</f>
        <v>-2533316.71</v>
      </c>
      <c r="L26" s="2999">
        <f t="shared" si="4"/>
        <v>9.4803258479970315E-4</v>
      </c>
      <c r="M26" s="2986"/>
      <c r="N26" s="3000">
        <f t="shared" si="0"/>
        <v>0</v>
      </c>
      <c r="O26" s="2998">
        <f t="shared" si="1"/>
        <v>0</v>
      </c>
      <c r="P26" s="2994">
        <f t="shared" si="2"/>
        <v>0</v>
      </c>
      <c r="T26" s="2995"/>
    </row>
    <row r="27" spans="2:20">
      <c r="B27" s="2996">
        <v>6.1</v>
      </c>
      <c r="C27" s="3003" t="s">
        <v>580</v>
      </c>
      <c r="D27" s="2998">
        <v>246620.65198427474</v>
      </c>
      <c r="E27" s="2998">
        <v>0</v>
      </c>
      <c r="F27" s="2182">
        <f>ROUND((-+D27+(E27*$F$12))/'Exhibit No._(CTM-2), Pg. 32-34'!$N$22,2)</f>
        <v>-396821.59</v>
      </c>
      <c r="G27" s="2999">
        <f t="shared" si="3"/>
        <v>1.4850089596340349E-4</v>
      </c>
      <c r="H27" s="2986"/>
      <c r="I27" s="3000">
        <f>'Exhibit No._(CTM-2), Pg. 2-6'!Z47</f>
        <v>1117331.1629876194</v>
      </c>
      <c r="J27" s="2998">
        <f>'Exhibit No._(CTM-2), Pg. 2-6'!Z49</f>
        <v>0</v>
      </c>
      <c r="K27" s="2182">
        <f>ROUND((-+I27+(J27*$K$12))/'Exhibit No._(CTM-2), Pg. 32-34'!$N$22,2)</f>
        <v>-1797826.45</v>
      </c>
      <c r="L27" s="2999">
        <f t="shared" si="4"/>
        <v>6.7279312369002836E-4</v>
      </c>
      <c r="M27" s="2986"/>
      <c r="N27" s="3000">
        <f t="shared" si="0"/>
        <v>-870710.51100334467</v>
      </c>
      <c r="O27" s="2998">
        <f t="shared" si="1"/>
        <v>0</v>
      </c>
      <c r="P27" s="2994">
        <f t="shared" si="2"/>
        <v>1401004.8599999999</v>
      </c>
      <c r="T27" s="2995"/>
    </row>
    <row r="28" spans="2:20">
      <c r="B28" s="2996">
        <v>6.11</v>
      </c>
      <c r="C28" s="3003" t="s">
        <v>582</v>
      </c>
      <c r="D28" s="2998">
        <v>-1668295.6939999999</v>
      </c>
      <c r="E28" s="2998">
        <v>0</v>
      </c>
      <c r="F28" s="2182">
        <f>ROUND((-+D28+(E28*$F$12))/'Exhibit No._(CTM-2), Pg. 32-34'!$N$22,2)</f>
        <v>2684348.41</v>
      </c>
      <c r="G28" s="2999">
        <f t="shared" si="3"/>
        <v>-1.0045525518547552E-3</v>
      </c>
      <c r="H28" s="2986"/>
      <c r="I28" s="3000">
        <f>'Exhibit No._(CTM-2), Pg. 2-6'!AA47</f>
        <v>-545997.2374999976</v>
      </c>
      <c r="J28" s="2998">
        <f>'Exhibit No._(CTM-2), Pg. 2-6'!AA49</f>
        <v>0</v>
      </c>
      <c r="K28" s="2182">
        <f>ROUND((-+I28+(J28*$K$12))/'Exhibit No._(CTM-2), Pg. 32-34'!$N$22,2)</f>
        <v>878529.4</v>
      </c>
      <c r="L28" s="2999">
        <f t="shared" si="4"/>
        <v>-3.2876840735517748E-4</v>
      </c>
      <c r="M28" s="2986"/>
      <c r="N28" s="3000">
        <f t="shared" si="0"/>
        <v>-1122298.4565000022</v>
      </c>
      <c r="O28" s="2998">
        <f t="shared" si="1"/>
        <v>0</v>
      </c>
      <c r="P28" s="2994">
        <f t="shared" si="2"/>
        <v>1805819.0100000002</v>
      </c>
      <c r="T28" s="2995"/>
    </row>
    <row r="29" spans="2:20">
      <c r="B29" s="2996">
        <v>6.12</v>
      </c>
      <c r="C29" s="3003" t="s">
        <v>584</v>
      </c>
      <c r="D29" s="2998">
        <v>-49255.869715005392</v>
      </c>
      <c r="E29" s="2998">
        <v>0</v>
      </c>
      <c r="F29" s="2182">
        <f>ROUND((-+D29+(E29*$F$12))/'Exhibit No._(CTM-2), Pg. 32-34'!$N$22,2)</f>
        <v>79254.48</v>
      </c>
      <c r="G29" s="2999">
        <f t="shared" si="3"/>
        <v>-2.965907650183397E-5</v>
      </c>
      <c r="H29" s="2986"/>
      <c r="I29" s="3000">
        <f>'Exhibit No._(CTM-2), Pg. 2-6'!AB47</f>
        <v>-49255.614861004287</v>
      </c>
      <c r="J29" s="2998">
        <f>'Exhibit No._(CTM-2), Pg. 2-6'!AB49</f>
        <v>0</v>
      </c>
      <c r="K29" s="2182">
        <f>ROUND((-+I29+(J29*$K$12))/'Exhibit No._(CTM-2), Pg. 32-34'!$N$22,2)</f>
        <v>79254.070000000007</v>
      </c>
      <c r="L29" s="2999">
        <f t="shared" si="4"/>
        <v>-2.9658923047487518E-5</v>
      </c>
      <c r="M29" s="2986"/>
      <c r="N29" s="3000">
        <f t="shared" si="0"/>
        <v>-0.2548540011048317</v>
      </c>
      <c r="O29" s="2998">
        <f t="shared" si="1"/>
        <v>0</v>
      </c>
      <c r="P29" s="2994">
        <f t="shared" si="2"/>
        <v>0.40999999998894054</v>
      </c>
      <c r="T29" s="2995"/>
    </row>
    <row r="30" spans="2:20">
      <c r="B30" s="2996">
        <v>6.13</v>
      </c>
      <c r="C30" s="3003" t="s">
        <v>586</v>
      </c>
      <c r="D30" s="2998">
        <v>23376.49571431028</v>
      </c>
      <c r="E30" s="2998">
        <v>0</v>
      </c>
      <c r="F30" s="2182">
        <f>ROUND((-+D30+(E30*$F$12))/'Exhibit No._(CTM-2), Pg. 32-34'!$N$22,2)</f>
        <v>-37613.629999999997</v>
      </c>
      <c r="G30" s="2999">
        <f t="shared" si="3"/>
        <v>1.4075992947587546E-5</v>
      </c>
      <c r="H30" s="2986"/>
      <c r="I30" s="3000">
        <f>'Exhibit No._(CTM-2), Pg. 2-6'!AC47</f>
        <v>54008.693913882089</v>
      </c>
      <c r="J30" s="2998">
        <f>'Exhibit No._(CTM-2), Pg. 2-6'!AC49</f>
        <v>0</v>
      </c>
      <c r="K30" s="2182">
        <f>ROUND((-+I30+(J30*$K$12))/'Exhibit No._(CTM-2), Pg. 32-34'!$N$22,2)</f>
        <v>-86901.95</v>
      </c>
      <c r="L30" s="2999">
        <f t="shared" si="4"/>
        <v>3.2520956264728285E-5</v>
      </c>
      <c r="M30" s="2986"/>
      <c r="N30" s="3000">
        <f t="shared" si="0"/>
        <v>-30632.198199571809</v>
      </c>
      <c r="O30" s="2998">
        <f t="shared" si="1"/>
        <v>0</v>
      </c>
      <c r="P30" s="2994">
        <f t="shared" si="2"/>
        <v>49288.32</v>
      </c>
      <c r="T30" s="2995"/>
    </row>
    <row r="31" spans="2:20">
      <c r="B31" s="2996">
        <v>6.14</v>
      </c>
      <c r="C31" s="3003" t="s">
        <v>588</v>
      </c>
      <c r="D31" s="2998">
        <v>-21705.010131999999</v>
      </c>
      <c r="E31" s="2998">
        <v>0</v>
      </c>
      <c r="F31" s="2182">
        <f>ROUND((-+D31+(E31*$F$12))/'Exhibit No._(CTM-2), Pg. 32-34'!$N$22,2)</f>
        <v>34924.15</v>
      </c>
      <c r="G31" s="2999">
        <f t="shared" si="3"/>
        <v>-1.3069519626852932E-5</v>
      </c>
      <c r="H31" s="2986"/>
      <c r="I31" s="3000">
        <f>'Exhibit No._(CTM-2), Pg. 2-6'!AD47</f>
        <v>-21705.010131999999</v>
      </c>
      <c r="J31" s="2998">
        <f>'Exhibit No._(CTM-2), Pg. 2-6'!AD49</f>
        <v>0</v>
      </c>
      <c r="K31" s="2182">
        <f>ROUND((-+I31+(J31*$K$12))/'Exhibit No._(CTM-2), Pg. 32-34'!$N$22,2)</f>
        <v>34924.15</v>
      </c>
      <c r="L31" s="2999">
        <f t="shared" si="4"/>
        <v>-1.3069519628705617E-5</v>
      </c>
      <c r="M31" s="2986"/>
      <c r="N31" s="3000">
        <f t="shared" si="0"/>
        <v>0</v>
      </c>
      <c r="O31" s="2998">
        <f t="shared" si="1"/>
        <v>0</v>
      </c>
      <c r="P31" s="2994">
        <f t="shared" si="2"/>
        <v>0</v>
      </c>
      <c r="T31" s="2995"/>
    </row>
    <row r="32" spans="2:20">
      <c r="B32" s="2996">
        <v>6.15</v>
      </c>
      <c r="C32" s="3003" t="s">
        <v>2537</v>
      </c>
      <c r="D32" s="2998">
        <v>-142723.75</v>
      </c>
      <c r="E32" s="2998">
        <v>0</v>
      </c>
      <c r="F32" s="2182">
        <f>ROUND((-+D32+(E32*$F$12))/'Exhibit No._(CTM-2), Pg. 32-34'!$N$22,2)</f>
        <v>229647.7</v>
      </c>
      <c r="G32" s="2999">
        <f t="shared" si="3"/>
        <v>-8.5940105095529129E-5</v>
      </c>
      <c r="H32" s="2986"/>
      <c r="I32" s="3000">
        <f>'Exhibit No._(CTM-2), Pg. 2-6'!AE47</f>
        <v>0</v>
      </c>
      <c r="J32" s="2998">
        <f>'Exhibit No._(CTM-2), Pg. 2-6'!AE49</f>
        <v>0</v>
      </c>
      <c r="K32" s="2182">
        <f>ROUND((-+I32+(J32*$K$12))/'Exhibit No._(CTM-2), Pg. 32-34'!$N$22,2)</f>
        <v>0</v>
      </c>
      <c r="L32" s="2999">
        <f t="shared" si="4"/>
        <v>0</v>
      </c>
      <c r="M32" s="2986"/>
      <c r="N32" s="3000">
        <f t="shared" si="0"/>
        <v>-142723.75</v>
      </c>
      <c r="O32" s="2998">
        <f t="shared" si="1"/>
        <v>0</v>
      </c>
      <c r="P32" s="2994">
        <f t="shared" si="2"/>
        <v>229647.7</v>
      </c>
      <c r="T32" s="2995"/>
    </row>
    <row r="33" spans="2:21">
      <c r="B33" s="2996">
        <v>6.16</v>
      </c>
      <c r="C33" s="3003" t="s">
        <v>2538</v>
      </c>
      <c r="D33" s="2998">
        <v>-92594.597333333455</v>
      </c>
      <c r="E33" s="2998">
        <v>0</v>
      </c>
      <c r="F33" s="2182">
        <f>ROUND((-+D33+(E33*$F$12))/'Exhibit No._(CTM-2), Pg. 32-34'!$N$22,2)</f>
        <v>148988.07</v>
      </c>
      <c r="G33" s="2999">
        <f t="shared" si="3"/>
        <v>-5.5755187388956129E-5</v>
      </c>
      <c r="H33" s="2986"/>
      <c r="I33" s="3000">
        <f>'Exhibit No._(CTM-2), Pg. 2-6'!AF47</f>
        <v>-92594.597333333455</v>
      </c>
      <c r="J33" s="2998">
        <f>'Exhibit No._(CTM-2), Pg. 2-6'!AF49</f>
        <v>0</v>
      </c>
      <c r="K33" s="2182">
        <f>ROUND((-+I33+(J33*$K$12))/'Exhibit No._(CTM-2), Pg. 32-34'!$N$22,2)</f>
        <v>148988.07</v>
      </c>
      <c r="L33" s="2999">
        <f t="shared" si="4"/>
        <v>-5.5755187396845651E-5</v>
      </c>
      <c r="M33" s="2986"/>
      <c r="N33" s="3000">
        <f t="shared" si="0"/>
        <v>0</v>
      </c>
      <c r="O33" s="2998">
        <f t="shared" si="1"/>
        <v>0</v>
      </c>
      <c r="P33" s="2994">
        <f t="shared" si="2"/>
        <v>0</v>
      </c>
      <c r="T33" s="2995"/>
    </row>
    <row r="34" spans="2:21">
      <c r="B34" s="2996">
        <v>6.17</v>
      </c>
      <c r="C34" s="3003" t="s">
        <v>2539</v>
      </c>
      <c r="D34" s="2998">
        <v>35751.772271491849</v>
      </c>
      <c r="E34" s="2998">
        <v>0</v>
      </c>
      <c r="F34" s="2182">
        <f>ROUND((-+D34+(E34*$F$12))/'Exhibit No._(CTM-2), Pg. 32-34'!$N$22,2)</f>
        <v>-57525.9</v>
      </c>
      <c r="G34" s="2999">
        <f t="shared" si="3"/>
        <v>2.1527678934755989E-5</v>
      </c>
      <c r="H34" s="2986"/>
      <c r="I34" s="3000">
        <f>'Exhibit No._(CTM-2), Pg. 2-6'!AG47</f>
        <v>35751.772271491849</v>
      </c>
      <c r="J34" s="2998">
        <f>'Exhibit No._(CTM-2), Pg. 2-6'!AG49</f>
        <v>0</v>
      </c>
      <c r="K34" s="2182">
        <f>ROUND((-+I34+(J34*$K$12))/'Exhibit No._(CTM-2), Pg. 32-34'!$N$22,2)</f>
        <v>-57525.9</v>
      </c>
      <c r="L34" s="2999">
        <f t="shared" si="4"/>
        <v>2.1527678937802164E-5</v>
      </c>
      <c r="M34" s="2986"/>
      <c r="N34" s="3000">
        <f t="shared" si="0"/>
        <v>0</v>
      </c>
      <c r="O34" s="2998">
        <f t="shared" si="1"/>
        <v>0</v>
      </c>
      <c r="P34" s="2994">
        <f t="shared" si="2"/>
        <v>0</v>
      </c>
      <c r="T34" s="2995"/>
    </row>
    <row r="35" spans="2:21">
      <c r="B35" s="2996">
        <v>6.18</v>
      </c>
      <c r="C35" s="3003" t="s">
        <v>596</v>
      </c>
      <c r="D35" s="2998">
        <v>-582788.19274736056</v>
      </c>
      <c r="E35" s="2998">
        <v>0</v>
      </c>
      <c r="F35" s="2182">
        <f>ROUND((-+D35+(E35*$F$12))/'Exhibit No._(CTM-2), Pg. 32-34'!$N$22,2)</f>
        <v>937727.39</v>
      </c>
      <c r="G35" s="2999">
        <f t="shared" si="3"/>
        <v>-3.5092182298419872E-4</v>
      </c>
      <c r="H35" s="2986"/>
      <c r="I35" s="3000">
        <f>'Exhibit No._(CTM-2), Pg. 2-6'!AH47</f>
        <v>-582788.19274736056</v>
      </c>
      <c r="J35" s="2998">
        <f>'Exhibit No._(CTM-2), Pg. 2-6'!AH49</f>
        <v>0</v>
      </c>
      <c r="K35" s="2182">
        <f>ROUND((-+I35+(J35*$K$12))/'Exhibit No._(CTM-2), Pg. 32-34'!$N$22,2)</f>
        <v>937727.39</v>
      </c>
      <c r="L35" s="2999">
        <f t="shared" si="4"/>
        <v>-3.5092182303386038E-4</v>
      </c>
      <c r="M35" s="2986"/>
      <c r="N35" s="3000">
        <f t="shared" si="0"/>
        <v>0</v>
      </c>
      <c r="O35" s="2998">
        <f t="shared" si="1"/>
        <v>0</v>
      </c>
      <c r="P35" s="2994">
        <f t="shared" si="2"/>
        <v>0</v>
      </c>
      <c r="T35" s="2995"/>
    </row>
    <row r="36" spans="2:21">
      <c r="B36" s="2996">
        <v>6.19</v>
      </c>
      <c r="C36" s="3003" t="s">
        <v>598</v>
      </c>
      <c r="D36" s="3001">
        <v>-769422.55089827743</v>
      </c>
      <c r="E36" s="2998">
        <v>0</v>
      </c>
      <c r="F36" s="2182">
        <f>ROUND((-+D36+(E36*$F$12))/'Exhibit No._(CTM-2), Pg. 32-34'!$N$22,2)</f>
        <v>1238028.8500000001</v>
      </c>
      <c r="G36" s="2999">
        <f t="shared" si="3"/>
        <v>-4.6330239281877628E-4</v>
      </c>
      <c r="H36" s="2986"/>
      <c r="I36" s="3000">
        <f>'Exhibit No._(CTM-2), Pg. 2-6'!AI47</f>
        <v>-769422.55089827743</v>
      </c>
      <c r="J36" s="2998">
        <f>'Exhibit No._(CTM-2), Pg. 2-6'!AI49</f>
        <v>0</v>
      </c>
      <c r="K36" s="2182">
        <f>ROUND((-+I36+(J36*$K$12))/'Exhibit No._(CTM-2), Pg. 32-34'!$N$22,2)</f>
        <v>1238028.8500000001</v>
      </c>
      <c r="L36" s="2999">
        <f t="shared" si="4"/>
        <v>-4.6330239288434188E-4</v>
      </c>
      <c r="M36" s="2986"/>
      <c r="N36" s="3002">
        <f t="shared" si="0"/>
        <v>0</v>
      </c>
      <c r="O36" s="2998">
        <f t="shared" si="1"/>
        <v>0</v>
      </c>
      <c r="P36" s="2994">
        <f t="shared" si="2"/>
        <v>0</v>
      </c>
      <c r="T36" s="2995"/>
    </row>
    <row r="37" spans="2:21">
      <c r="B37" s="2996">
        <v>6.2</v>
      </c>
      <c r="C37" s="3003" t="s">
        <v>600</v>
      </c>
      <c r="D37" s="3001">
        <v>-40613.402413379867</v>
      </c>
      <c r="E37" s="2998">
        <v>0</v>
      </c>
      <c r="F37" s="2182">
        <f>ROUND((-+D37+(E37*$F$12))/'Exhibit No._(CTM-2), Pg. 32-34'!$N$22,2)</f>
        <v>65348.44</v>
      </c>
      <c r="G37" s="2999">
        <f t="shared" si="3"/>
        <v>-2.4455075428531092E-5</v>
      </c>
      <c r="H37" s="2986"/>
      <c r="I37" s="3000">
        <f>'Exhibit No._(CTM-2), Pg. 2-6'!AJ47</f>
        <v>-40613.402413379867</v>
      </c>
      <c r="J37" s="2998">
        <f>'Exhibit No._(CTM-2), Pg. 2-6'!AJ49</f>
        <v>0</v>
      </c>
      <c r="K37" s="2182">
        <f>ROUND((-+I37+(J37*$K$12))/'Exhibit No._(CTM-2), Pg. 32-34'!$N$22,2)</f>
        <v>65348.44</v>
      </c>
      <c r="L37" s="2999">
        <f t="shared" si="4"/>
        <v>-2.44550754319936E-5</v>
      </c>
      <c r="M37" s="2986"/>
      <c r="N37" s="3002">
        <f t="shared" si="0"/>
        <v>0</v>
      </c>
      <c r="O37" s="2998">
        <f t="shared" si="1"/>
        <v>0</v>
      </c>
      <c r="P37" s="2994">
        <f t="shared" si="2"/>
        <v>0</v>
      </c>
      <c r="T37" s="2995"/>
      <c r="U37" s="3004"/>
    </row>
    <row r="38" spans="2:21">
      <c r="B38" s="2996">
        <v>6.21</v>
      </c>
      <c r="C38" s="3003" t="s">
        <v>602</v>
      </c>
      <c r="D38" s="3001">
        <v>-5476.4460000643503</v>
      </c>
      <c r="E38" s="2998">
        <v>0</v>
      </c>
      <c r="F38" s="2182">
        <f>ROUND((-+D38+(E38*$F$12))/'Exhibit No._(CTM-2), Pg. 32-34'!$N$22,2)</f>
        <v>8811.7999999999993</v>
      </c>
      <c r="G38" s="2999">
        <f t="shared" si="3"/>
        <v>-3.2976035508891499E-6</v>
      </c>
      <c r="H38" s="2986"/>
      <c r="I38" s="3002">
        <f>'Exhibit No._(CTM-2), Pg. 2-6'!AK47</f>
        <v>-5476.4460000643503</v>
      </c>
      <c r="J38" s="2998">
        <f>'Exhibit No._(CTM-2), Pg. 2-6'!AK49</f>
        <v>0</v>
      </c>
      <c r="K38" s="2182">
        <f>ROUND((-+I38+(J38*$K$12))/'Exhibit No._(CTM-2), Pg. 32-34'!$N$22,2)</f>
        <v>8811.7999999999993</v>
      </c>
      <c r="L38" s="2999">
        <f t="shared" si="4"/>
        <v>-3.2976035513540558E-6</v>
      </c>
      <c r="M38" s="2986"/>
      <c r="N38" s="3002">
        <f t="shared" si="0"/>
        <v>0</v>
      </c>
      <c r="O38" s="3001">
        <f t="shared" si="1"/>
        <v>0</v>
      </c>
      <c r="P38" s="2994">
        <f t="shared" si="2"/>
        <v>0</v>
      </c>
      <c r="T38" s="2995"/>
      <c r="U38" s="3004"/>
    </row>
    <row r="39" spans="2:21" ht="16.5" thickBot="1">
      <c r="B39" s="3005">
        <v>6.22</v>
      </c>
      <c r="C39" s="3003" t="s">
        <v>2904</v>
      </c>
      <c r="D39" s="3006">
        <v>0</v>
      </c>
      <c r="E39" s="3007">
        <v>-512747.95392158628</v>
      </c>
      <c r="F39" s="3006">
        <f>ROUND((-+D39+(E39*$F$12))/'Exhibit No._(CTM-2), Pg. 32-34'!$N$22,2)</f>
        <v>-68147.490000000005</v>
      </c>
      <c r="G39" s="3008">
        <f t="shared" si="3"/>
        <v>1.9091706229580618E-5</v>
      </c>
      <c r="H39" s="2986"/>
      <c r="I39" s="3006">
        <f>'Exhibit No._(CTM-2), Pg. 2-6'!AL47</f>
        <v>0</v>
      </c>
      <c r="J39" s="3006">
        <f>'Exhibit No._(CTM-2), Pg. 2-6'!AL49</f>
        <v>-13011001.181170687</v>
      </c>
      <c r="K39" s="3006">
        <f>ROUND((-+I39+(J39*$K$12))/'Exhibit No._(CTM-2), Pg. 32-34'!$N$22,2)</f>
        <v>-1588979.69</v>
      </c>
      <c r="L39" s="3008">
        <f t="shared" si="4"/>
        <v>4.8812751239528385E-4</v>
      </c>
      <c r="M39" s="2986"/>
      <c r="N39" s="3006">
        <f t="shared" si="0"/>
        <v>0</v>
      </c>
      <c r="O39" s="3007">
        <f t="shared" si="1"/>
        <v>12498253.227249101</v>
      </c>
      <c r="P39" s="3007">
        <f>F39-K39</f>
        <v>1520832.2</v>
      </c>
      <c r="T39" s="2995"/>
      <c r="U39" s="3004"/>
    </row>
    <row r="40" spans="2:21">
      <c r="B40" s="3009"/>
      <c r="C40" s="3010" t="s">
        <v>2540</v>
      </c>
      <c r="D40" s="2991">
        <f>SUM(D15:D39)</f>
        <v>16487650.532963175</v>
      </c>
      <c r="E40" s="2991">
        <f>SUM(E15:E39)</f>
        <v>-2942334.780618466</v>
      </c>
      <c r="F40" s="2991">
        <f>SUM(F15:F39)</f>
        <v>-26920284.149999987</v>
      </c>
      <c r="G40" s="2992">
        <f t="shared" ref="G40:L40" si="5">SUM(G15:G39)</f>
        <v>1.0040849913031245E-2</v>
      </c>
      <c r="H40" s="2986"/>
      <c r="I40" s="3011">
        <f t="shared" si="5"/>
        <v>18977592.968506288</v>
      </c>
      <c r="J40" s="2991">
        <f>SUM(J15:J39)</f>
        <v>-40004886.00786756</v>
      </c>
      <c r="K40" s="2991">
        <f>SUM(K15:K39)</f>
        <v>-35421267.960000008</v>
      </c>
      <c r="L40" s="3012">
        <f t="shared" si="5"/>
        <v>1.2676597045775104E-2</v>
      </c>
      <c r="M40" s="2986"/>
      <c r="N40" s="3011">
        <f t="shared" ref="N40" si="6">SUM(N15:N39)</f>
        <v>-2489942.4355431199</v>
      </c>
      <c r="O40" s="2991">
        <f>SUM(O15:O39)</f>
        <v>37062551.227249101</v>
      </c>
      <c r="P40" s="2991">
        <f>SUM(P15:P39)</f>
        <v>8500983.8100000042</v>
      </c>
      <c r="Q40" s="3013">
        <f>K40-F40</f>
        <v>-8500983.810000021</v>
      </c>
      <c r="R40" s="2964" t="s">
        <v>2592</v>
      </c>
      <c r="T40" s="2995"/>
    </row>
    <row r="41" spans="2:21" ht="16.5" thickBot="1">
      <c r="B41" s="3009"/>
      <c r="C41" s="3014" t="s">
        <v>2541</v>
      </c>
      <c r="D41" s="3015">
        <f>+D40+D14</f>
        <v>119149110.05246843</v>
      </c>
      <c r="E41" s="3015">
        <f>+E40+E14</f>
        <v>1657792776.5082355</v>
      </c>
      <c r="F41" s="2212">
        <f>+F40+F14</f>
        <v>28616024.840000015</v>
      </c>
      <c r="G41" s="3016">
        <f>+D41/E41</f>
        <v>7.1872137302606068E-2</v>
      </c>
      <c r="H41" s="3017"/>
      <c r="I41" s="3018">
        <f>+I40+I14</f>
        <v>121639052.48801155</v>
      </c>
      <c r="J41" s="3015">
        <f>+J40+J14</f>
        <v>1620730225.04597</v>
      </c>
      <c r="K41" s="2216">
        <f>K14+K40</f>
        <v>2211413.8399999887</v>
      </c>
      <c r="L41" s="3019">
        <f>+I41/J41</f>
        <v>7.5052004712605036E-2</v>
      </c>
      <c r="M41" s="3017"/>
      <c r="N41" s="3018">
        <f>+N40+N14</f>
        <v>-2489942.4355431199</v>
      </c>
      <c r="O41" s="3015">
        <f>+O40+O14</f>
        <v>37062551.462265447</v>
      </c>
      <c r="P41" s="2216">
        <f>P14+P40</f>
        <v>26404611.000000007</v>
      </c>
      <c r="Q41" s="3013">
        <f>K41-F41</f>
        <v>-26404611.000000026</v>
      </c>
      <c r="R41" s="2964" t="s">
        <v>2592</v>
      </c>
      <c r="T41" s="2995"/>
    </row>
    <row r="42" spans="2:21" ht="16.5" thickTop="1">
      <c r="D42" s="3020"/>
      <c r="E42" s="3020"/>
      <c r="F42" s="3020"/>
      <c r="G42" s="3021"/>
      <c r="H42" s="3021"/>
      <c r="M42" s="3021"/>
    </row>
    <row r="43" spans="2:21">
      <c r="D43" s="3020"/>
      <c r="E43" s="3020"/>
      <c r="F43" s="3020"/>
      <c r="G43" s="3021"/>
      <c r="H43" s="3021"/>
      <c r="I43" s="3013"/>
      <c r="M43" s="3021"/>
    </row>
    <row r="44" spans="2:21">
      <c r="B44" s="2965"/>
      <c r="C44" s="2966"/>
      <c r="D44" s="3020"/>
      <c r="E44" s="3020"/>
      <c r="F44" s="3020"/>
      <c r="G44" s="3021"/>
      <c r="H44" s="3021"/>
      <c r="M44" s="3021"/>
    </row>
    <row r="45" spans="2:21">
      <c r="B45" s="2965"/>
      <c r="C45" s="2966"/>
      <c r="D45" s="3020"/>
      <c r="E45" s="3020"/>
      <c r="F45" s="3020"/>
      <c r="G45" s="3021"/>
      <c r="H45" s="3021"/>
      <c r="M45" s="3021"/>
    </row>
    <row r="46" spans="2:21">
      <c r="G46" s="3021"/>
      <c r="H46" s="3021"/>
      <c r="M46" s="3021"/>
    </row>
    <row r="47" spans="2:21">
      <c r="G47" s="3021"/>
      <c r="H47" s="3021"/>
      <c r="M47" s="3021"/>
    </row>
    <row r="48" spans="2:21">
      <c r="G48" s="3021"/>
      <c r="H48" s="3021"/>
      <c r="M48" s="3021"/>
    </row>
    <row r="49" spans="7:13">
      <c r="G49" s="3021"/>
      <c r="H49" s="3021"/>
      <c r="M49" s="3021"/>
    </row>
    <row r="50" spans="7:13">
      <c r="G50" s="3021"/>
      <c r="H50" s="3021"/>
      <c r="M50" s="3021"/>
    </row>
    <row r="51" spans="7:13">
      <c r="G51" s="3021"/>
      <c r="H51" s="3021"/>
      <c r="M51" s="3021"/>
    </row>
    <row r="52" spans="7:13">
      <c r="G52" s="3021"/>
      <c r="H52" s="3021"/>
      <c r="M52" s="3021"/>
    </row>
    <row r="53" spans="7:13">
      <c r="G53" s="3022"/>
      <c r="H53" s="3022"/>
      <c r="M53" s="3022"/>
    </row>
    <row r="54" spans="7:13">
      <c r="G54" s="3021"/>
      <c r="H54" s="3021"/>
      <c r="M54" s="3021"/>
    </row>
  </sheetData>
  <mergeCells count="7">
    <mergeCell ref="A5:P5"/>
    <mergeCell ref="A6:P6"/>
    <mergeCell ref="A7:P7"/>
    <mergeCell ref="A8:P8"/>
    <mergeCell ref="D10:G10"/>
    <mergeCell ref="I10:L10"/>
    <mergeCell ref="N10:P10"/>
  </mergeCells>
  <conditionalFormatting sqref="P1">
    <cfRule type="cellIs" dxfId="13" priority="1" stopIfTrue="1" operator="notEqual">
      <formula>0</formula>
    </cfRule>
  </conditionalFormatting>
  <printOptions horizontalCentered="1"/>
  <pageMargins left="0.25" right="0.25" top="0.25" bottom="0.25" header="0.5" footer="0.5"/>
  <pageSetup scale="72"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8" tint="0.39997558519241921"/>
  </sheetPr>
  <dimension ref="A1:R132"/>
  <sheetViews>
    <sheetView topLeftCell="C1" workbookViewId="0">
      <selection activeCell="O32" sqref="O32"/>
    </sheetView>
  </sheetViews>
  <sheetFormatPr defaultColWidth="10.6640625" defaultRowHeight="12.75"/>
  <cols>
    <col min="1" max="1" width="8.1640625" style="1167" customWidth="1"/>
    <col min="2" max="2" width="64.6640625" style="1154" bestFit="1" customWidth="1"/>
    <col min="3" max="3" width="11.83203125" style="1154" customWidth="1"/>
    <col min="4" max="4" width="18.6640625" style="1154" customWidth="1"/>
    <col min="5" max="5" width="15" style="1154" customWidth="1"/>
    <col min="6" max="6" width="20.1640625" style="1154" customWidth="1"/>
    <col min="7" max="7" width="15.1640625" style="1154" customWidth="1"/>
    <col min="8" max="8" width="20.1640625" style="1154" customWidth="1"/>
    <col min="9" max="9" width="17.6640625" style="1154" customWidth="1"/>
    <col min="10" max="10" width="20.6640625" style="1154" customWidth="1"/>
    <col min="11" max="11" width="15.83203125" style="1154" customWidth="1"/>
    <col min="12" max="12" width="4.1640625" style="1154" customWidth="1"/>
    <col min="13" max="13" width="22.1640625" style="1154" customWidth="1"/>
    <col min="14" max="14" width="10.1640625" style="1154" customWidth="1"/>
    <col min="15" max="15" width="14.1640625" style="1154" customWidth="1"/>
    <col min="16" max="16" width="14.83203125" style="1154" hidden="1" customWidth="1"/>
    <col min="17" max="17" width="20.1640625" style="1154" hidden="1" customWidth="1"/>
    <col min="18" max="256" width="10.6640625" style="1154"/>
    <col min="257" max="257" width="8.1640625" style="1154" customWidth="1"/>
    <col min="258" max="258" width="64.6640625" style="1154" bestFit="1" customWidth="1"/>
    <col min="259" max="259" width="11.83203125" style="1154" customWidth="1"/>
    <col min="260" max="260" width="18.6640625" style="1154" customWidth="1"/>
    <col min="261" max="261" width="15" style="1154" customWidth="1"/>
    <col min="262" max="262" width="20.1640625" style="1154" customWidth="1"/>
    <col min="263" max="263" width="15.1640625" style="1154" customWidth="1"/>
    <col min="264" max="264" width="20.1640625" style="1154" customWidth="1"/>
    <col min="265" max="265" width="17.6640625" style="1154" customWidth="1"/>
    <col min="266" max="266" width="20.6640625" style="1154" customWidth="1"/>
    <col min="267" max="267" width="15.83203125" style="1154" customWidth="1"/>
    <col min="268" max="268" width="4.1640625" style="1154" customWidth="1"/>
    <col min="269" max="269" width="22.1640625" style="1154" customWidth="1"/>
    <col min="270" max="270" width="10.1640625" style="1154" customWidth="1"/>
    <col min="271" max="271" width="14.1640625" style="1154" customWidth="1"/>
    <col min="272" max="273" width="0" style="1154" hidden="1" customWidth="1"/>
    <col min="274" max="512" width="10.6640625" style="1154"/>
    <col min="513" max="513" width="8.1640625" style="1154" customWidth="1"/>
    <col min="514" max="514" width="64.6640625" style="1154" bestFit="1" customWidth="1"/>
    <col min="515" max="515" width="11.83203125" style="1154" customWidth="1"/>
    <col min="516" max="516" width="18.6640625" style="1154" customWidth="1"/>
    <col min="517" max="517" width="15" style="1154" customWidth="1"/>
    <col min="518" max="518" width="20.1640625" style="1154" customWidth="1"/>
    <col min="519" max="519" width="15.1640625" style="1154" customWidth="1"/>
    <col min="520" max="520" width="20.1640625" style="1154" customWidth="1"/>
    <col min="521" max="521" width="17.6640625" style="1154" customWidth="1"/>
    <col min="522" max="522" width="20.6640625" style="1154" customWidth="1"/>
    <col min="523" max="523" width="15.83203125" style="1154" customWidth="1"/>
    <col min="524" max="524" width="4.1640625" style="1154" customWidth="1"/>
    <col min="525" max="525" width="22.1640625" style="1154" customWidth="1"/>
    <col min="526" max="526" width="10.1640625" style="1154" customWidth="1"/>
    <col min="527" max="527" width="14.1640625" style="1154" customWidth="1"/>
    <col min="528" max="529" width="0" style="1154" hidden="1" customWidth="1"/>
    <col min="530" max="768" width="10.6640625" style="1154"/>
    <col min="769" max="769" width="8.1640625" style="1154" customWidth="1"/>
    <col min="770" max="770" width="64.6640625" style="1154" bestFit="1" customWidth="1"/>
    <col min="771" max="771" width="11.83203125" style="1154" customWidth="1"/>
    <col min="772" max="772" width="18.6640625" style="1154" customWidth="1"/>
    <col min="773" max="773" width="15" style="1154" customWidth="1"/>
    <col min="774" max="774" width="20.1640625" style="1154" customWidth="1"/>
    <col min="775" max="775" width="15.1640625" style="1154" customWidth="1"/>
    <col min="776" max="776" width="20.1640625" style="1154" customWidth="1"/>
    <col min="777" max="777" width="17.6640625" style="1154" customWidth="1"/>
    <col min="778" max="778" width="20.6640625" style="1154" customWidth="1"/>
    <col min="779" max="779" width="15.83203125" style="1154" customWidth="1"/>
    <col min="780" max="780" width="4.1640625" style="1154" customWidth="1"/>
    <col min="781" max="781" width="22.1640625" style="1154" customWidth="1"/>
    <col min="782" max="782" width="10.1640625" style="1154" customWidth="1"/>
    <col min="783" max="783" width="14.1640625" style="1154" customWidth="1"/>
    <col min="784" max="785" width="0" style="1154" hidden="1" customWidth="1"/>
    <col min="786" max="1024" width="10.6640625" style="1154"/>
    <col min="1025" max="1025" width="8.1640625" style="1154" customWidth="1"/>
    <col min="1026" max="1026" width="64.6640625" style="1154" bestFit="1" customWidth="1"/>
    <col min="1027" max="1027" width="11.83203125" style="1154" customWidth="1"/>
    <col min="1028" max="1028" width="18.6640625" style="1154" customWidth="1"/>
    <col min="1029" max="1029" width="15" style="1154" customWidth="1"/>
    <col min="1030" max="1030" width="20.1640625" style="1154" customWidth="1"/>
    <col min="1031" max="1031" width="15.1640625" style="1154" customWidth="1"/>
    <col min="1032" max="1032" width="20.1640625" style="1154" customWidth="1"/>
    <col min="1033" max="1033" width="17.6640625" style="1154" customWidth="1"/>
    <col min="1034" max="1034" width="20.6640625" style="1154" customWidth="1"/>
    <col min="1035" max="1035" width="15.83203125" style="1154" customWidth="1"/>
    <col min="1036" max="1036" width="4.1640625" style="1154" customWidth="1"/>
    <col min="1037" max="1037" width="22.1640625" style="1154" customWidth="1"/>
    <col min="1038" max="1038" width="10.1640625" style="1154" customWidth="1"/>
    <col min="1039" max="1039" width="14.1640625" style="1154" customWidth="1"/>
    <col min="1040" max="1041" width="0" style="1154" hidden="1" customWidth="1"/>
    <col min="1042" max="1280" width="10.6640625" style="1154"/>
    <col min="1281" max="1281" width="8.1640625" style="1154" customWidth="1"/>
    <col min="1282" max="1282" width="64.6640625" style="1154" bestFit="1" customWidth="1"/>
    <col min="1283" max="1283" width="11.83203125" style="1154" customWidth="1"/>
    <col min="1284" max="1284" width="18.6640625" style="1154" customWidth="1"/>
    <col min="1285" max="1285" width="15" style="1154" customWidth="1"/>
    <col min="1286" max="1286" width="20.1640625" style="1154" customWidth="1"/>
    <col min="1287" max="1287" width="15.1640625" style="1154" customWidth="1"/>
    <col min="1288" max="1288" width="20.1640625" style="1154" customWidth="1"/>
    <col min="1289" max="1289" width="17.6640625" style="1154" customWidth="1"/>
    <col min="1290" max="1290" width="20.6640625" style="1154" customWidth="1"/>
    <col min="1291" max="1291" width="15.83203125" style="1154" customWidth="1"/>
    <col min="1292" max="1292" width="4.1640625" style="1154" customWidth="1"/>
    <col min="1293" max="1293" width="22.1640625" style="1154" customWidth="1"/>
    <col min="1294" max="1294" width="10.1640625" style="1154" customWidth="1"/>
    <col min="1295" max="1295" width="14.1640625" style="1154" customWidth="1"/>
    <col min="1296" max="1297" width="0" style="1154" hidden="1" customWidth="1"/>
    <col min="1298" max="1536" width="10.6640625" style="1154"/>
    <col min="1537" max="1537" width="8.1640625" style="1154" customWidth="1"/>
    <col min="1538" max="1538" width="64.6640625" style="1154" bestFit="1" customWidth="1"/>
    <col min="1539" max="1539" width="11.83203125" style="1154" customWidth="1"/>
    <col min="1540" max="1540" width="18.6640625" style="1154" customWidth="1"/>
    <col min="1541" max="1541" width="15" style="1154" customWidth="1"/>
    <col min="1542" max="1542" width="20.1640625" style="1154" customWidth="1"/>
    <col min="1543" max="1543" width="15.1640625" style="1154" customWidth="1"/>
    <col min="1544" max="1544" width="20.1640625" style="1154" customWidth="1"/>
    <col min="1545" max="1545" width="17.6640625" style="1154" customWidth="1"/>
    <col min="1546" max="1546" width="20.6640625" style="1154" customWidth="1"/>
    <col min="1547" max="1547" width="15.83203125" style="1154" customWidth="1"/>
    <col min="1548" max="1548" width="4.1640625" style="1154" customWidth="1"/>
    <col min="1549" max="1549" width="22.1640625" style="1154" customWidth="1"/>
    <col min="1550" max="1550" width="10.1640625" style="1154" customWidth="1"/>
    <col min="1551" max="1551" width="14.1640625" style="1154" customWidth="1"/>
    <col min="1552" max="1553" width="0" style="1154" hidden="1" customWidth="1"/>
    <col min="1554" max="1792" width="10.6640625" style="1154"/>
    <col min="1793" max="1793" width="8.1640625" style="1154" customWidth="1"/>
    <col min="1794" max="1794" width="64.6640625" style="1154" bestFit="1" customWidth="1"/>
    <col min="1795" max="1795" width="11.83203125" style="1154" customWidth="1"/>
    <col min="1796" max="1796" width="18.6640625" style="1154" customWidth="1"/>
    <col min="1797" max="1797" width="15" style="1154" customWidth="1"/>
    <col min="1798" max="1798" width="20.1640625" style="1154" customWidth="1"/>
    <col min="1799" max="1799" width="15.1640625" style="1154" customWidth="1"/>
    <col min="1800" max="1800" width="20.1640625" style="1154" customWidth="1"/>
    <col min="1801" max="1801" width="17.6640625" style="1154" customWidth="1"/>
    <col min="1802" max="1802" width="20.6640625" style="1154" customWidth="1"/>
    <col min="1803" max="1803" width="15.83203125" style="1154" customWidth="1"/>
    <col min="1804" max="1804" width="4.1640625" style="1154" customWidth="1"/>
    <col min="1805" max="1805" width="22.1640625" style="1154" customWidth="1"/>
    <col min="1806" max="1806" width="10.1640625" style="1154" customWidth="1"/>
    <col min="1807" max="1807" width="14.1640625" style="1154" customWidth="1"/>
    <col min="1808" max="1809" width="0" style="1154" hidden="1" customWidth="1"/>
    <col min="1810" max="2048" width="10.6640625" style="1154"/>
    <col min="2049" max="2049" width="8.1640625" style="1154" customWidth="1"/>
    <col min="2050" max="2050" width="64.6640625" style="1154" bestFit="1" customWidth="1"/>
    <col min="2051" max="2051" width="11.83203125" style="1154" customWidth="1"/>
    <col min="2052" max="2052" width="18.6640625" style="1154" customWidth="1"/>
    <col min="2053" max="2053" width="15" style="1154" customWidth="1"/>
    <col min="2054" max="2054" width="20.1640625" style="1154" customWidth="1"/>
    <col min="2055" max="2055" width="15.1640625" style="1154" customWidth="1"/>
    <col min="2056" max="2056" width="20.1640625" style="1154" customWidth="1"/>
    <col min="2057" max="2057" width="17.6640625" style="1154" customWidth="1"/>
    <col min="2058" max="2058" width="20.6640625" style="1154" customWidth="1"/>
    <col min="2059" max="2059" width="15.83203125" style="1154" customWidth="1"/>
    <col min="2060" max="2060" width="4.1640625" style="1154" customWidth="1"/>
    <col min="2061" max="2061" width="22.1640625" style="1154" customWidth="1"/>
    <col min="2062" max="2062" width="10.1640625" style="1154" customWidth="1"/>
    <col min="2063" max="2063" width="14.1640625" style="1154" customWidth="1"/>
    <col min="2064" max="2065" width="0" style="1154" hidden="1" customWidth="1"/>
    <col min="2066" max="2304" width="10.6640625" style="1154"/>
    <col min="2305" max="2305" width="8.1640625" style="1154" customWidth="1"/>
    <col min="2306" max="2306" width="64.6640625" style="1154" bestFit="1" customWidth="1"/>
    <col min="2307" max="2307" width="11.83203125" style="1154" customWidth="1"/>
    <col min="2308" max="2308" width="18.6640625" style="1154" customWidth="1"/>
    <col min="2309" max="2309" width="15" style="1154" customWidth="1"/>
    <col min="2310" max="2310" width="20.1640625" style="1154" customWidth="1"/>
    <col min="2311" max="2311" width="15.1640625" style="1154" customWidth="1"/>
    <col min="2312" max="2312" width="20.1640625" style="1154" customWidth="1"/>
    <col min="2313" max="2313" width="17.6640625" style="1154" customWidth="1"/>
    <col min="2314" max="2314" width="20.6640625" style="1154" customWidth="1"/>
    <col min="2315" max="2315" width="15.83203125" style="1154" customWidth="1"/>
    <col min="2316" max="2316" width="4.1640625" style="1154" customWidth="1"/>
    <col min="2317" max="2317" width="22.1640625" style="1154" customWidth="1"/>
    <col min="2318" max="2318" width="10.1640625" style="1154" customWidth="1"/>
    <col min="2319" max="2319" width="14.1640625" style="1154" customWidth="1"/>
    <col min="2320" max="2321" width="0" style="1154" hidden="1" customWidth="1"/>
    <col min="2322" max="2560" width="10.6640625" style="1154"/>
    <col min="2561" max="2561" width="8.1640625" style="1154" customWidth="1"/>
    <col min="2562" max="2562" width="64.6640625" style="1154" bestFit="1" customWidth="1"/>
    <col min="2563" max="2563" width="11.83203125" style="1154" customWidth="1"/>
    <col min="2564" max="2564" width="18.6640625" style="1154" customWidth="1"/>
    <col min="2565" max="2565" width="15" style="1154" customWidth="1"/>
    <col min="2566" max="2566" width="20.1640625" style="1154" customWidth="1"/>
    <col min="2567" max="2567" width="15.1640625" style="1154" customWidth="1"/>
    <col min="2568" max="2568" width="20.1640625" style="1154" customWidth="1"/>
    <col min="2569" max="2569" width="17.6640625" style="1154" customWidth="1"/>
    <col min="2570" max="2570" width="20.6640625" style="1154" customWidth="1"/>
    <col min="2571" max="2571" width="15.83203125" style="1154" customWidth="1"/>
    <col min="2572" max="2572" width="4.1640625" style="1154" customWidth="1"/>
    <col min="2573" max="2573" width="22.1640625" style="1154" customWidth="1"/>
    <col min="2574" max="2574" width="10.1640625" style="1154" customWidth="1"/>
    <col min="2575" max="2575" width="14.1640625" style="1154" customWidth="1"/>
    <col min="2576" max="2577" width="0" style="1154" hidden="1" customWidth="1"/>
    <col min="2578" max="2816" width="10.6640625" style="1154"/>
    <col min="2817" max="2817" width="8.1640625" style="1154" customWidth="1"/>
    <col min="2818" max="2818" width="64.6640625" style="1154" bestFit="1" customWidth="1"/>
    <col min="2819" max="2819" width="11.83203125" style="1154" customWidth="1"/>
    <col min="2820" max="2820" width="18.6640625" style="1154" customWidth="1"/>
    <col min="2821" max="2821" width="15" style="1154" customWidth="1"/>
    <col min="2822" max="2822" width="20.1640625" style="1154" customWidth="1"/>
    <col min="2823" max="2823" width="15.1640625" style="1154" customWidth="1"/>
    <col min="2824" max="2824" width="20.1640625" style="1154" customWidth="1"/>
    <col min="2825" max="2825" width="17.6640625" style="1154" customWidth="1"/>
    <col min="2826" max="2826" width="20.6640625" style="1154" customWidth="1"/>
    <col min="2827" max="2827" width="15.83203125" style="1154" customWidth="1"/>
    <col min="2828" max="2828" width="4.1640625" style="1154" customWidth="1"/>
    <col min="2829" max="2829" width="22.1640625" style="1154" customWidth="1"/>
    <col min="2830" max="2830" width="10.1640625" style="1154" customWidth="1"/>
    <col min="2831" max="2831" width="14.1640625" style="1154" customWidth="1"/>
    <col min="2832" max="2833" width="0" style="1154" hidden="1" customWidth="1"/>
    <col min="2834" max="3072" width="10.6640625" style="1154"/>
    <col min="3073" max="3073" width="8.1640625" style="1154" customWidth="1"/>
    <col min="3074" max="3074" width="64.6640625" style="1154" bestFit="1" customWidth="1"/>
    <col min="3075" max="3075" width="11.83203125" style="1154" customWidth="1"/>
    <col min="3076" max="3076" width="18.6640625" style="1154" customWidth="1"/>
    <col min="3077" max="3077" width="15" style="1154" customWidth="1"/>
    <col min="3078" max="3078" width="20.1640625" style="1154" customWidth="1"/>
    <col min="3079" max="3079" width="15.1640625" style="1154" customWidth="1"/>
    <col min="3080" max="3080" width="20.1640625" style="1154" customWidth="1"/>
    <col min="3081" max="3081" width="17.6640625" style="1154" customWidth="1"/>
    <col min="3082" max="3082" width="20.6640625" style="1154" customWidth="1"/>
    <col min="3083" max="3083" width="15.83203125" style="1154" customWidth="1"/>
    <col min="3084" max="3084" width="4.1640625" style="1154" customWidth="1"/>
    <col min="3085" max="3085" width="22.1640625" style="1154" customWidth="1"/>
    <col min="3086" max="3086" width="10.1640625" style="1154" customWidth="1"/>
    <col min="3087" max="3087" width="14.1640625" style="1154" customWidth="1"/>
    <col min="3088" max="3089" width="0" style="1154" hidden="1" customWidth="1"/>
    <col min="3090" max="3328" width="10.6640625" style="1154"/>
    <col min="3329" max="3329" width="8.1640625" style="1154" customWidth="1"/>
    <col min="3330" max="3330" width="64.6640625" style="1154" bestFit="1" customWidth="1"/>
    <col min="3331" max="3331" width="11.83203125" style="1154" customWidth="1"/>
    <col min="3332" max="3332" width="18.6640625" style="1154" customWidth="1"/>
    <col min="3333" max="3333" width="15" style="1154" customWidth="1"/>
    <col min="3334" max="3334" width="20.1640625" style="1154" customWidth="1"/>
    <col min="3335" max="3335" width="15.1640625" style="1154" customWidth="1"/>
    <col min="3336" max="3336" width="20.1640625" style="1154" customWidth="1"/>
    <col min="3337" max="3337" width="17.6640625" style="1154" customWidth="1"/>
    <col min="3338" max="3338" width="20.6640625" style="1154" customWidth="1"/>
    <col min="3339" max="3339" width="15.83203125" style="1154" customWidth="1"/>
    <col min="3340" max="3340" width="4.1640625" style="1154" customWidth="1"/>
    <col min="3341" max="3341" width="22.1640625" style="1154" customWidth="1"/>
    <col min="3342" max="3342" width="10.1640625" style="1154" customWidth="1"/>
    <col min="3343" max="3343" width="14.1640625" style="1154" customWidth="1"/>
    <col min="3344" max="3345" width="0" style="1154" hidden="1" customWidth="1"/>
    <col min="3346" max="3584" width="10.6640625" style="1154"/>
    <col min="3585" max="3585" width="8.1640625" style="1154" customWidth="1"/>
    <col min="3586" max="3586" width="64.6640625" style="1154" bestFit="1" customWidth="1"/>
    <col min="3587" max="3587" width="11.83203125" style="1154" customWidth="1"/>
    <col min="3588" max="3588" width="18.6640625" style="1154" customWidth="1"/>
    <col min="3589" max="3589" width="15" style="1154" customWidth="1"/>
    <col min="3590" max="3590" width="20.1640625" style="1154" customWidth="1"/>
    <col min="3591" max="3591" width="15.1640625" style="1154" customWidth="1"/>
    <col min="3592" max="3592" width="20.1640625" style="1154" customWidth="1"/>
    <col min="3593" max="3593" width="17.6640625" style="1154" customWidth="1"/>
    <col min="3594" max="3594" width="20.6640625" style="1154" customWidth="1"/>
    <col min="3595" max="3595" width="15.83203125" style="1154" customWidth="1"/>
    <col min="3596" max="3596" width="4.1640625" style="1154" customWidth="1"/>
    <col min="3597" max="3597" width="22.1640625" style="1154" customWidth="1"/>
    <col min="3598" max="3598" width="10.1640625" style="1154" customWidth="1"/>
    <col min="3599" max="3599" width="14.1640625" style="1154" customWidth="1"/>
    <col min="3600" max="3601" width="0" style="1154" hidden="1" customWidth="1"/>
    <col min="3602" max="3840" width="10.6640625" style="1154"/>
    <col min="3841" max="3841" width="8.1640625" style="1154" customWidth="1"/>
    <col min="3842" max="3842" width="64.6640625" style="1154" bestFit="1" customWidth="1"/>
    <col min="3843" max="3843" width="11.83203125" style="1154" customWidth="1"/>
    <col min="3844" max="3844" width="18.6640625" style="1154" customWidth="1"/>
    <col min="3845" max="3845" width="15" style="1154" customWidth="1"/>
    <col min="3846" max="3846" width="20.1640625" style="1154" customWidth="1"/>
    <col min="3847" max="3847" width="15.1640625" style="1154" customWidth="1"/>
    <col min="3848" max="3848" width="20.1640625" style="1154" customWidth="1"/>
    <col min="3849" max="3849" width="17.6640625" style="1154" customWidth="1"/>
    <col min="3850" max="3850" width="20.6640625" style="1154" customWidth="1"/>
    <col min="3851" max="3851" width="15.83203125" style="1154" customWidth="1"/>
    <col min="3852" max="3852" width="4.1640625" style="1154" customWidth="1"/>
    <col min="3853" max="3853" width="22.1640625" style="1154" customWidth="1"/>
    <col min="3854" max="3854" width="10.1640625" style="1154" customWidth="1"/>
    <col min="3855" max="3855" width="14.1640625" style="1154" customWidth="1"/>
    <col min="3856" max="3857" width="0" style="1154" hidden="1" customWidth="1"/>
    <col min="3858" max="4096" width="10.6640625" style="1154"/>
    <col min="4097" max="4097" width="8.1640625" style="1154" customWidth="1"/>
    <col min="4098" max="4098" width="64.6640625" style="1154" bestFit="1" customWidth="1"/>
    <col min="4099" max="4099" width="11.83203125" style="1154" customWidth="1"/>
    <col min="4100" max="4100" width="18.6640625" style="1154" customWidth="1"/>
    <col min="4101" max="4101" width="15" style="1154" customWidth="1"/>
    <col min="4102" max="4102" width="20.1640625" style="1154" customWidth="1"/>
    <col min="4103" max="4103" width="15.1640625" style="1154" customWidth="1"/>
    <col min="4104" max="4104" width="20.1640625" style="1154" customWidth="1"/>
    <col min="4105" max="4105" width="17.6640625" style="1154" customWidth="1"/>
    <col min="4106" max="4106" width="20.6640625" style="1154" customWidth="1"/>
    <col min="4107" max="4107" width="15.83203125" style="1154" customWidth="1"/>
    <col min="4108" max="4108" width="4.1640625" style="1154" customWidth="1"/>
    <col min="4109" max="4109" width="22.1640625" style="1154" customWidth="1"/>
    <col min="4110" max="4110" width="10.1640625" style="1154" customWidth="1"/>
    <col min="4111" max="4111" width="14.1640625" style="1154" customWidth="1"/>
    <col min="4112" max="4113" width="0" style="1154" hidden="1" customWidth="1"/>
    <col min="4114" max="4352" width="10.6640625" style="1154"/>
    <col min="4353" max="4353" width="8.1640625" style="1154" customWidth="1"/>
    <col min="4354" max="4354" width="64.6640625" style="1154" bestFit="1" customWidth="1"/>
    <col min="4355" max="4355" width="11.83203125" style="1154" customWidth="1"/>
    <col min="4356" max="4356" width="18.6640625" style="1154" customWidth="1"/>
    <col min="4357" max="4357" width="15" style="1154" customWidth="1"/>
    <col min="4358" max="4358" width="20.1640625" style="1154" customWidth="1"/>
    <col min="4359" max="4359" width="15.1640625" style="1154" customWidth="1"/>
    <col min="4360" max="4360" width="20.1640625" style="1154" customWidth="1"/>
    <col min="4361" max="4361" width="17.6640625" style="1154" customWidth="1"/>
    <col min="4362" max="4362" width="20.6640625" style="1154" customWidth="1"/>
    <col min="4363" max="4363" width="15.83203125" style="1154" customWidth="1"/>
    <col min="4364" max="4364" width="4.1640625" style="1154" customWidth="1"/>
    <col min="4365" max="4365" width="22.1640625" style="1154" customWidth="1"/>
    <col min="4366" max="4366" width="10.1640625" style="1154" customWidth="1"/>
    <col min="4367" max="4367" width="14.1640625" style="1154" customWidth="1"/>
    <col min="4368" max="4369" width="0" style="1154" hidden="1" customWidth="1"/>
    <col min="4370" max="4608" width="10.6640625" style="1154"/>
    <col min="4609" max="4609" width="8.1640625" style="1154" customWidth="1"/>
    <col min="4610" max="4610" width="64.6640625" style="1154" bestFit="1" customWidth="1"/>
    <col min="4611" max="4611" width="11.83203125" style="1154" customWidth="1"/>
    <col min="4612" max="4612" width="18.6640625" style="1154" customWidth="1"/>
    <col min="4613" max="4613" width="15" style="1154" customWidth="1"/>
    <col min="4614" max="4614" width="20.1640625" style="1154" customWidth="1"/>
    <col min="4615" max="4615" width="15.1640625" style="1154" customWidth="1"/>
    <col min="4616" max="4616" width="20.1640625" style="1154" customWidth="1"/>
    <col min="4617" max="4617" width="17.6640625" style="1154" customWidth="1"/>
    <col min="4618" max="4618" width="20.6640625" style="1154" customWidth="1"/>
    <col min="4619" max="4619" width="15.83203125" style="1154" customWidth="1"/>
    <col min="4620" max="4620" width="4.1640625" style="1154" customWidth="1"/>
    <col min="4621" max="4621" width="22.1640625" style="1154" customWidth="1"/>
    <col min="4622" max="4622" width="10.1640625" style="1154" customWidth="1"/>
    <col min="4623" max="4623" width="14.1640625" style="1154" customWidth="1"/>
    <col min="4624" max="4625" width="0" style="1154" hidden="1" customWidth="1"/>
    <col min="4626" max="4864" width="10.6640625" style="1154"/>
    <col min="4865" max="4865" width="8.1640625" style="1154" customWidth="1"/>
    <col min="4866" max="4866" width="64.6640625" style="1154" bestFit="1" customWidth="1"/>
    <col min="4867" max="4867" width="11.83203125" style="1154" customWidth="1"/>
    <col min="4868" max="4868" width="18.6640625" style="1154" customWidth="1"/>
    <col min="4869" max="4869" width="15" style="1154" customWidth="1"/>
    <col min="4870" max="4870" width="20.1640625" style="1154" customWidth="1"/>
    <col min="4871" max="4871" width="15.1640625" style="1154" customWidth="1"/>
    <col min="4872" max="4872" width="20.1640625" style="1154" customWidth="1"/>
    <col min="4873" max="4873" width="17.6640625" style="1154" customWidth="1"/>
    <col min="4874" max="4874" width="20.6640625" style="1154" customWidth="1"/>
    <col min="4875" max="4875" width="15.83203125" style="1154" customWidth="1"/>
    <col min="4876" max="4876" width="4.1640625" style="1154" customWidth="1"/>
    <col min="4877" max="4877" width="22.1640625" style="1154" customWidth="1"/>
    <col min="4878" max="4878" width="10.1640625" style="1154" customWidth="1"/>
    <col min="4879" max="4879" width="14.1640625" style="1154" customWidth="1"/>
    <col min="4880" max="4881" width="0" style="1154" hidden="1" customWidth="1"/>
    <col min="4882" max="5120" width="10.6640625" style="1154"/>
    <col min="5121" max="5121" width="8.1640625" style="1154" customWidth="1"/>
    <col min="5122" max="5122" width="64.6640625" style="1154" bestFit="1" customWidth="1"/>
    <col min="5123" max="5123" width="11.83203125" style="1154" customWidth="1"/>
    <col min="5124" max="5124" width="18.6640625" style="1154" customWidth="1"/>
    <col min="5125" max="5125" width="15" style="1154" customWidth="1"/>
    <col min="5126" max="5126" width="20.1640625" style="1154" customWidth="1"/>
    <col min="5127" max="5127" width="15.1640625" style="1154" customWidth="1"/>
    <col min="5128" max="5128" width="20.1640625" style="1154" customWidth="1"/>
    <col min="5129" max="5129" width="17.6640625" style="1154" customWidth="1"/>
    <col min="5130" max="5130" width="20.6640625" style="1154" customWidth="1"/>
    <col min="5131" max="5131" width="15.83203125" style="1154" customWidth="1"/>
    <col min="5132" max="5132" width="4.1640625" style="1154" customWidth="1"/>
    <col min="5133" max="5133" width="22.1640625" style="1154" customWidth="1"/>
    <col min="5134" max="5134" width="10.1640625" style="1154" customWidth="1"/>
    <col min="5135" max="5135" width="14.1640625" style="1154" customWidth="1"/>
    <col min="5136" max="5137" width="0" style="1154" hidden="1" customWidth="1"/>
    <col min="5138" max="5376" width="10.6640625" style="1154"/>
    <col min="5377" max="5377" width="8.1640625" style="1154" customWidth="1"/>
    <col min="5378" max="5378" width="64.6640625" style="1154" bestFit="1" customWidth="1"/>
    <col min="5379" max="5379" width="11.83203125" style="1154" customWidth="1"/>
    <col min="5380" max="5380" width="18.6640625" style="1154" customWidth="1"/>
    <col min="5381" max="5381" width="15" style="1154" customWidth="1"/>
    <col min="5382" max="5382" width="20.1640625" style="1154" customWidth="1"/>
    <col min="5383" max="5383" width="15.1640625" style="1154" customWidth="1"/>
    <col min="5384" max="5384" width="20.1640625" style="1154" customWidth="1"/>
    <col min="5385" max="5385" width="17.6640625" style="1154" customWidth="1"/>
    <col min="5386" max="5386" width="20.6640625" style="1154" customWidth="1"/>
    <col min="5387" max="5387" width="15.83203125" style="1154" customWidth="1"/>
    <col min="5388" max="5388" width="4.1640625" style="1154" customWidth="1"/>
    <col min="5389" max="5389" width="22.1640625" style="1154" customWidth="1"/>
    <col min="5390" max="5390" width="10.1640625" style="1154" customWidth="1"/>
    <col min="5391" max="5391" width="14.1640625" style="1154" customWidth="1"/>
    <col min="5392" max="5393" width="0" style="1154" hidden="1" customWidth="1"/>
    <col min="5394" max="5632" width="10.6640625" style="1154"/>
    <col min="5633" max="5633" width="8.1640625" style="1154" customWidth="1"/>
    <col min="5634" max="5634" width="64.6640625" style="1154" bestFit="1" customWidth="1"/>
    <col min="5635" max="5635" width="11.83203125" style="1154" customWidth="1"/>
    <col min="5636" max="5636" width="18.6640625" style="1154" customWidth="1"/>
    <col min="5637" max="5637" width="15" style="1154" customWidth="1"/>
    <col min="5638" max="5638" width="20.1640625" style="1154" customWidth="1"/>
    <col min="5639" max="5639" width="15.1640625" style="1154" customWidth="1"/>
    <col min="5640" max="5640" width="20.1640625" style="1154" customWidth="1"/>
    <col min="5641" max="5641" width="17.6640625" style="1154" customWidth="1"/>
    <col min="5642" max="5642" width="20.6640625" style="1154" customWidth="1"/>
    <col min="5643" max="5643" width="15.83203125" style="1154" customWidth="1"/>
    <col min="5644" max="5644" width="4.1640625" style="1154" customWidth="1"/>
    <col min="5645" max="5645" width="22.1640625" style="1154" customWidth="1"/>
    <col min="5646" max="5646" width="10.1640625" style="1154" customWidth="1"/>
    <col min="5647" max="5647" width="14.1640625" style="1154" customWidth="1"/>
    <col min="5648" max="5649" width="0" style="1154" hidden="1" customWidth="1"/>
    <col min="5650" max="5888" width="10.6640625" style="1154"/>
    <col min="5889" max="5889" width="8.1640625" style="1154" customWidth="1"/>
    <col min="5890" max="5890" width="64.6640625" style="1154" bestFit="1" customWidth="1"/>
    <col min="5891" max="5891" width="11.83203125" style="1154" customWidth="1"/>
    <col min="5892" max="5892" width="18.6640625" style="1154" customWidth="1"/>
    <col min="5893" max="5893" width="15" style="1154" customWidth="1"/>
    <col min="5894" max="5894" width="20.1640625" style="1154" customWidth="1"/>
    <col min="5895" max="5895" width="15.1640625" style="1154" customWidth="1"/>
    <col min="5896" max="5896" width="20.1640625" style="1154" customWidth="1"/>
    <col min="5897" max="5897" width="17.6640625" style="1154" customWidth="1"/>
    <col min="5898" max="5898" width="20.6640625" style="1154" customWidth="1"/>
    <col min="5899" max="5899" width="15.83203125" style="1154" customWidth="1"/>
    <col min="5900" max="5900" width="4.1640625" style="1154" customWidth="1"/>
    <col min="5901" max="5901" width="22.1640625" style="1154" customWidth="1"/>
    <col min="5902" max="5902" width="10.1640625" style="1154" customWidth="1"/>
    <col min="5903" max="5903" width="14.1640625" style="1154" customWidth="1"/>
    <col min="5904" max="5905" width="0" style="1154" hidden="1" customWidth="1"/>
    <col min="5906" max="6144" width="10.6640625" style="1154"/>
    <col min="6145" max="6145" width="8.1640625" style="1154" customWidth="1"/>
    <col min="6146" max="6146" width="64.6640625" style="1154" bestFit="1" customWidth="1"/>
    <col min="6147" max="6147" width="11.83203125" style="1154" customWidth="1"/>
    <col min="6148" max="6148" width="18.6640625" style="1154" customWidth="1"/>
    <col min="6149" max="6149" width="15" style="1154" customWidth="1"/>
    <col min="6150" max="6150" width="20.1640625" style="1154" customWidth="1"/>
    <col min="6151" max="6151" width="15.1640625" style="1154" customWidth="1"/>
    <col min="6152" max="6152" width="20.1640625" style="1154" customWidth="1"/>
    <col min="6153" max="6153" width="17.6640625" style="1154" customWidth="1"/>
    <col min="6154" max="6154" width="20.6640625" style="1154" customWidth="1"/>
    <col min="6155" max="6155" width="15.83203125" style="1154" customWidth="1"/>
    <col min="6156" max="6156" width="4.1640625" style="1154" customWidth="1"/>
    <col min="6157" max="6157" width="22.1640625" style="1154" customWidth="1"/>
    <col min="6158" max="6158" width="10.1640625" style="1154" customWidth="1"/>
    <col min="6159" max="6159" width="14.1640625" style="1154" customWidth="1"/>
    <col min="6160" max="6161" width="0" style="1154" hidden="1" customWidth="1"/>
    <col min="6162" max="6400" width="10.6640625" style="1154"/>
    <col min="6401" max="6401" width="8.1640625" style="1154" customWidth="1"/>
    <col min="6402" max="6402" width="64.6640625" style="1154" bestFit="1" customWidth="1"/>
    <col min="6403" max="6403" width="11.83203125" style="1154" customWidth="1"/>
    <col min="6404" max="6404" width="18.6640625" style="1154" customWidth="1"/>
    <col min="6405" max="6405" width="15" style="1154" customWidth="1"/>
    <col min="6406" max="6406" width="20.1640625" style="1154" customWidth="1"/>
    <col min="6407" max="6407" width="15.1640625" style="1154" customWidth="1"/>
    <col min="6408" max="6408" width="20.1640625" style="1154" customWidth="1"/>
    <col min="6409" max="6409" width="17.6640625" style="1154" customWidth="1"/>
    <col min="6410" max="6410" width="20.6640625" style="1154" customWidth="1"/>
    <col min="6411" max="6411" width="15.83203125" style="1154" customWidth="1"/>
    <col min="6412" max="6412" width="4.1640625" style="1154" customWidth="1"/>
    <col min="6413" max="6413" width="22.1640625" style="1154" customWidth="1"/>
    <col min="6414" max="6414" width="10.1640625" style="1154" customWidth="1"/>
    <col min="6415" max="6415" width="14.1640625" style="1154" customWidth="1"/>
    <col min="6416" max="6417" width="0" style="1154" hidden="1" customWidth="1"/>
    <col min="6418" max="6656" width="10.6640625" style="1154"/>
    <col min="6657" max="6657" width="8.1640625" style="1154" customWidth="1"/>
    <col min="6658" max="6658" width="64.6640625" style="1154" bestFit="1" customWidth="1"/>
    <col min="6659" max="6659" width="11.83203125" style="1154" customWidth="1"/>
    <col min="6660" max="6660" width="18.6640625" style="1154" customWidth="1"/>
    <col min="6661" max="6661" width="15" style="1154" customWidth="1"/>
    <col min="6662" max="6662" width="20.1640625" style="1154" customWidth="1"/>
    <col min="6663" max="6663" width="15.1640625" style="1154" customWidth="1"/>
    <col min="6664" max="6664" width="20.1640625" style="1154" customWidth="1"/>
    <col min="6665" max="6665" width="17.6640625" style="1154" customWidth="1"/>
    <col min="6666" max="6666" width="20.6640625" style="1154" customWidth="1"/>
    <col min="6667" max="6667" width="15.83203125" style="1154" customWidth="1"/>
    <col min="6668" max="6668" width="4.1640625" style="1154" customWidth="1"/>
    <col min="6669" max="6669" width="22.1640625" style="1154" customWidth="1"/>
    <col min="6670" max="6670" width="10.1640625" style="1154" customWidth="1"/>
    <col min="6671" max="6671" width="14.1640625" style="1154" customWidth="1"/>
    <col min="6672" max="6673" width="0" style="1154" hidden="1" customWidth="1"/>
    <col min="6674" max="6912" width="10.6640625" style="1154"/>
    <col min="6913" max="6913" width="8.1640625" style="1154" customWidth="1"/>
    <col min="6914" max="6914" width="64.6640625" style="1154" bestFit="1" customWidth="1"/>
    <col min="6915" max="6915" width="11.83203125" style="1154" customWidth="1"/>
    <col min="6916" max="6916" width="18.6640625" style="1154" customWidth="1"/>
    <col min="6917" max="6917" width="15" style="1154" customWidth="1"/>
    <col min="6918" max="6918" width="20.1640625" style="1154" customWidth="1"/>
    <col min="6919" max="6919" width="15.1640625" style="1154" customWidth="1"/>
    <col min="6920" max="6920" width="20.1640625" style="1154" customWidth="1"/>
    <col min="6921" max="6921" width="17.6640625" style="1154" customWidth="1"/>
    <col min="6922" max="6922" width="20.6640625" style="1154" customWidth="1"/>
    <col min="6923" max="6923" width="15.83203125" style="1154" customWidth="1"/>
    <col min="6924" max="6924" width="4.1640625" style="1154" customWidth="1"/>
    <col min="6925" max="6925" width="22.1640625" style="1154" customWidth="1"/>
    <col min="6926" max="6926" width="10.1640625" style="1154" customWidth="1"/>
    <col min="6927" max="6927" width="14.1640625" style="1154" customWidth="1"/>
    <col min="6928" max="6929" width="0" style="1154" hidden="1" customWidth="1"/>
    <col min="6930" max="7168" width="10.6640625" style="1154"/>
    <col min="7169" max="7169" width="8.1640625" style="1154" customWidth="1"/>
    <col min="7170" max="7170" width="64.6640625" style="1154" bestFit="1" customWidth="1"/>
    <col min="7171" max="7171" width="11.83203125" style="1154" customWidth="1"/>
    <col min="7172" max="7172" width="18.6640625" style="1154" customWidth="1"/>
    <col min="7173" max="7173" width="15" style="1154" customWidth="1"/>
    <col min="7174" max="7174" width="20.1640625" style="1154" customWidth="1"/>
    <col min="7175" max="7175" width="15.1640625" style="1154" customWidth="1"/>
    <col min="7176" max="7176" width="20.1640625" style="1154" customWidth="1"/>
    <col min="7177" max="7177" width="17.6640625" style="1154" customWidth="1"/>
    <col min="7178" max="7178" width="20.6640625" style="1154" customWidth="1"/>
    <col min="7179" max="7179" width="15.83203125" style="1154" customWidth="1"/>
    <col min="7180" max="7180" width="4.1640625" style="1154" customWidth="1"/>
    <col min="7181" max="7181" width="22.1640625" style="1154" customWidth="1"/>
    <col min="7182" max="7182" width="10.1640625" style="1154" customWidth="1"/>
    <col min="7183" max="7183" width="14.1640625" style="1154" customWidth="1"/>
    <col min="7184" max="7185" width="0" style="1154" hidden="1" customWidth="1"/>
    <col min="7186" max="7424" width="10.6640625" style="1154"/>
    <col min="7425" max="7425" width="8.1640625" style="1154" customWidth="1"/>
    <col min="7426" max="7426" width="64.6640625" style="1154" bestFit="1" customWidth="1"/>
    <col min="7427" max="7427" width="11.83203125" style="1154" customWidth="1"/>
    <col min="7428" max="7428" width="18.6640625" style="1154" customWidth="1"/>
    <col min="7429" max="7429" width="15" style="1154" customWidth="1"/>
    <col min="7430" max="7430" width="20.1640625" style="1154" customWidth="1"/>
    <col min="7431" max="7431" width="15.1640625" style="1154" customWidth="1"/>
    <col min="7432" max="7432" width="20.1640625" style="1154" customWidth="1"/>
    <col min="7433" max="7433" width="17.6640625" style="1154" customWidth="1"/>
    <col min="7434" max="7434" width="20.6640625" style="1154" customWidth="1"/>
    <col min="7435" max="7435" width="15.83203125" style="1154" customWidth="1"/>
    <col min="7436" max="7436" width="4.1640625" style="1154" customWidth="1"/>
    <col min="7437" max="7437" width="22.1640625" style="1154" customWidth="1"/>
    <col min="7438" max="7438" width="10.1640625" style="1154" customWidth="1"/>
    <col min="7439" max="7439" width="14.1640625" style="1154" customWidth="1"/>
    <col min="7440" max="7441" width="0" style="1154" hidden="1" customWidth="1"/>
    <col min="7442" max="7680" width="10.6640625" style="1154"/>
    <col min="7681" max="7681" width="8.1640625" style="1154" customWidth="1"/>
    <col min="7682" max="7682" width="64.6640625" style="1154" bestFit="1" customWidth="1"/>
    <col min="7683" max="7683" width="11.83203125" style="1154" customWidth="1"/>
    <col min="7684" max="7684" width="18.6640625" style="1154" customWidth="1"/>
    <col min="7685" max="7685" width="15" style="1154" customWidth="1"/>
    <col min="7686" max="7686" width="20.1640625" style="1154" customWidth="1"/>
    <col min="7687" max="7687" width="15.1640625" style="1154" customWidth="1"/>
    <col min="7688" max="7688" width="20.1640625" style="1154" customWidth="1"/>
    <col min="7689" max="7689" width="17.6640625" style="1154" customWidth="1"/>
    <col min="7690" max="7690" width="20.6640625" style="1154" customWidth="1"/>
    <col min="7691" max="7691" width="15.83203125" style="1154" customWidth="1"/>
    <col min="7692" max="7692" width="4.1640625" style="1154" customWidth="1"/>
    <col min="7693" max="7693" width="22.1640625" style="1154" customWidth="1"/>
    <col min="7694" max="7694" width="10.1640625" style="1154" customWidth="1"/>
    <col min="7695" max="7695" width="14.1640625" style="1154" customWidth="1"/>
    <col min="7696" max="7697" width="0" style="1154" hidden="1" customWidth="1"/>
    <col min="7698" max="7936" width="10.6640625" style="1154"/>
    <col min="7937" max="7937" width="8.1640625" style="1154" customWidth="1"/>
    <col min="7938" max="7938" width="64.6640625" style="1154" bestFit="1" customWidth="1"/>
    <col min="7939" max="7939" width="11.83203125" style="1154" customWidth="1"/>
    <col min="7940" max="7940" width="18.6640625" style="1154" customWidth="1"/>
    <col min="7941" max="7941" width="15" style="1154" customWidth="1"/>
    <col min="7942" max="7942" width="20.1640625" style="1154" customWidth="1"/>
    <col min="7943" max="7943" width="15.1640625" style="1154" customWidth="1"/>
    <col min="7944" max="7944" width="20.1640625" style="1154" customWidth="1"/>
    <col min="7945" max="7945" width="17.6640625" style="1154" customWidth="1"/>
    <col min="7946" max="7946" width="20.6640625" style="1154" customWidth="1"/>
    <col min="7947" max="7947" width="15.83203125" style="1154" customWidth="1"/>
    <col min="7948" max="7948" width="4.1640625" style="1154" customWidth="1"/>
    <col min="7949" max="7949" width="22.1640625" style="1154" customWidth="1"/>
    <col min="7950" max="7950" width="10.1640625" style="1154" customWidth="1"/>
    <col min="7951" max="7951" width="14.1640625" style="1154" customWidth="1"/>
    <col min="7952" max="7953" width="0" style="1154" hidden="1" customWidth="1"/>
    <col min="7954" max="8192" width="10.6640625" style="1154"/>
    <col min="8193" max="8193" width="8.1640625" style="1154" customWidth="1"/>
    <col min="8194" max="8194" width="64.6640625" style="1154" bestFit="1" customWidth="1"/>
    <col min="8195" max="8195" width="11.83203125" style="1154" customWidth="1"/>
    <col min="8196" max="8196" width="18.6640625" style="1154" customWidth="1"/>
    <col min="8197" max="8197" width="15" style="1154" customWidth="1"/>
    <col min="8198" max="8198" width="20.1640625" style="1154" customWidth="1"/>
    <col min="8199" max="8199" width="15.1640625" style="1154" customWidth="1"/>
    <col min="8200" max="8200" width="20.1640625" style="1154" customWidth="1"/>
    <col min="8201" max="8201" width="17.6640625" style="1154" customWidth="1"/>
    <col min="8202" max="8202" width="20.6640625" style="1154" customWidth="1"/>
    <col min="8203" max="8203" width="15.83203125" style="1154" customWidth="1"/>
    <col min="8204" max="8204" width="4.1640625" style="1154" customWidth="1"/>
    <col min="8205" max="8205" width="22.1640625" style="1154" customWidth="1"/>
    <col min="8206" max="8206" width="10.1640625" style="1154" customWidth="1"/>
    <col min="8207" max="8207" width="14.1640625" style="1154" customWidth="1"/>
    <col min="8208" max="8209" width="0" style="1154" hidden="1" customWidth="1"/>
    <col min="8210" max="8448" width="10.6640625" style="1154"/>
    <col min="8449" max="8449" width="8.1640625" style="1154" customWidth="1"/>
    <col min="8450" max="8450" width="64.6640625" style="1154" bestFit="1" customWidth="1"/>
    <col min="8451" max="8451" width="11.83203125" style="1154" customWidth="1"/>
    <col min="8452" max="8452" width="18.6640625" style="1154" customWidth="1"/>
    <col min="8453" max="8453" width="15" style="1154" customWidth="1"/>
    <col min="8454" max="8454" width="20.1640625" style="1154" customWidth="1"/>
    <col min="8455" max="8455" width="15.1640625" style="1154" customWidth="1"/>
    <col min="8456" max="8456" width="20.1640625" style="1154" customWidth="1"/>
    <col min="8457" max="8457" width="17.6640625" style="1154" customWidth="1"/>
    <col min="8458" max="8458" width="20.6640625" style="1154" customWidth="1"/>
    <col min="8459" max="8459" width="15.83203125" style="1154" customWidth="1"/>
    <col min="8460" max="8460" width="4.1640625" style="1154" customWidth="1"/>
    <col min="8461" max="8461" width="22.1640625" style="1154" customWidth="1"/>
    <col min="8462" max="8462" width="10.1640625" style="1154" customWidth="1"/>
    <col min="8463" max="8463" width="14.1640625" style="1154" customWidth="1"/>
    <col min="8464" max="8465" width="0" style="1154" hidden="1" customWidth="1"/>
    <col min="8466" max="8704" width="10.6640625" style="1154"/>
    <col min="8705" max="8705" width="8.1640625" style="1154" customWidth="1"/>
    <col min="8706" max="8706" width="64.6640625" style="1154" bestFit="1" customWidth="1"/>
    <col min="8707" max="8707" width="11.83203125" style="1154" customWidth="1"/>
    <col min="8708" max="8708" width="18.6640625" style="1154" customWidth="1"/>
    <col min="8709" max="8709" width="15" style="1154" customWidth="1"/>
    <col min="8710" max="8710" width="20.1640625" style="1154" customWidth="1"/>
    <col min="8711" max="8711" width="15.1640625" style="1154" customWidth="1"/>
    <col min="8712" max="8712" width="20.1640625" style="1154" customWidth="1"/>
    <col min="8713" max="8713" width="17.6640625" style="1154" customWidth="1"/>
    <col min="8714" max="8714" width="20.6640625" style="1154" customWidth="1"/>
    <col min="8715" max="8715" width="15.83203125" style="1154" customWidth="1"/>
    <col min="8716" max="8716" width="4.1640625" style="1154" customWidth="1"/>
    <col min="8717" max="8717" width="22.1640625" style="1154" customWidth="1"/>
    <col min="8718" max="8718" width="10.1640625" style="1154" customWidth="1"/>
    <col min="8719" max="8719" width="14.1640625" style="1154" customWidth="1"/>
    <col min="8720" max="8721" width="0" style="1154" hidden="1" customWidth="1"/>
    <col min="8722" max="8960" width="10.6640625" style="1154"/>
    <col min="8961" max="8961" width="8.1640625" style="1154" customWidth="1"/>
    <col min="8962" max="8962" width="64.6640625" style="1154" bestFit="1" customWidth="1"/>
    <col min="8963" max="8963" width="11.83203125" style="1154" customWidth="1"/>
    <col min="8964" max="8964" width="18.6640625" style="1154" customWidth="1"/>
    <col min="8965" max="8965" width="15" style="1154" customWidth="1"/>
    <col min="8966" max="8966" width="20.1640625" style="1154" customWidth="1"/>
    <col min="8967" max="8967" width="15.1640625" style="1154" customWidth="1"/>
    <col min="8968" max="8968" width="20.1640625" style="1154" customWidth="1"/>
    <col min="8969" max="8969" width="17.6640625" style="1154" customWidth="1"/>
    <col min="8970" max="8970" width="20.6640625" style="1154" customWidth="1"/>
    <col min="8971" max="8971" width="15.83203125" style="1154" customWidth="1"/>
    <col min="8972" max="8972" width="4.1640625" style="1154" customWidth="1"/>
    <col min="8973" max="8973" width="22.1640625" style="1154" customWidth="1"/>
    <col min="8974" max="8974" width="10.1640625" style="1154" customWidth="1"/>
    <col min="8975" max="8975" width="14.1640625" style="1154" customWidth="1"/>
    <col min="8976" max="8977" width="0" style="1154" hidden="1" customWidth="1"/>
    <col min="8978" max="9216" width="10.6640625" style="1154"/>
    <col min="9217" max="9217" width="8.1640625" style="1154" customWidth="1"/>
    <col min="9218" max="9218" width="64.6640625" style="1154" bestFit="1" customWidth="1"/>
    <col min="9219" max="9219" width="11.83203125" style="1154" customWidth="1"/>
    <col min="9220" max="9220" width="18.6640625" style="1154" customWidth="1"/>
    <col min="9221" max="9221" width="15" style="1154" customWidth="1"/>
    <col min="9222" max="9222" width="20.1640625" style="1154" customWidth="1"/>
    <col min="9223" max="9223" width="15.1640625" style="1154" customWidth="1"/>
    <col min="9224" max="9224" width="20.1640625" style="1154" customWidth="1"/>
    <col min="9225" max="9225" width="17.6640625" style="1154" customWidth="1"/>
    <col min="9226" max="9226" width="20.6640625" style="1154" customWidth="1"/>
    <col min="9227" max="9227" width="15.83203125" style="1154" customWidth="1"/>
    <col min="9228" max="9228" width="4.1640625" style="1154" customWidth="1"/>
    <col min="9229" max="9229" width="22.1640625" style="1154" customWidth="1"/>
    <col min="9230" max="9230" width="10.1640625" style="1154" customWidth="1"/>
    <col min="9231" max="9231" width="14.1640625" style="1154" customWidth="1"/>
    <col min="9232" max="9233" width="0" style="1154" hidden="1" customWidth="1"/>
    <col min="9234" max="9472" width="10.6640625" style="1154"/>
    <col min="9473" max="9473" width="8.1640625" style="1154" customWidth="1"/>
    <col min="9474" max="9474" width="64.6640625" style="1154" bestFit="1" customWidth="1"/>
    <col min="9475" max="9475" width="11.83203125" style="1154" customWidth="1"/>
    <col min="9476" max="9476" width="18.6640625" style="1154" customWidth="1"/>
    <col min="9477" max="9477" width="15" style="1154" customWidth="1"/>
    <col min="9478" max="9478" width="20.1640625" style="1154" customWidth="1"/>
    <col min="9479" max="9479" width="15.1640625" style="1154" customWidth="1"/>
    <col min="9480" max="9480" width="20.1640625" style="1154" customWidth="1"/>
    <col min="9481" max="9481" width="17.6640625" style="1154" customWidth="1"/>
    <col min="9482" max="9482" width="20.6640625" style="1154" customWidth="1"/>
    <col min="9483" max="9483" width="15.83203125" style="1154" customWidth="1"/>
    <col min="9484" max="9484" width="4.1640625" style="1154" customWidth="1"/>
    <col min="9485" max="9485" width="22.1640625" style="1154" customWidth="1"/>
    <col min="9486" max="9486" width="10.1640625" style="1154" customWidth="1"/>
    <col min="9487" max="9487" width="14.1640625" style="1154" customWidth="1"/>
    <col min="9488" max="9489" width="0" style="1154" hidden="1" customWidth="1"/>
    <col min="9490" max="9728" width="10.6640625" style="1154"/>
    <col min="9729" max="9729" width="8.1640625" style="1154" customWidth="1"/>
    <col min="9730" max="9730" width="64.6640625" style="1154" bestFit="1" customWidth="1"/>
    <col min="9731" max="9731" width="11.83203125" style="1154" customWidth="1"/>
    <col min="9732" max="9732" width="18.6640625" style="1154" customWidth="1"/>
    <col min="9733" max="9733" width="15" style="1154" customWidth="1"/>
    <col min="9734" max="9734" width="20.1640625" style="1154" customWidth="1"/>
    <col min="9735" max="9735" width="15.1640625" style="1154" customWidth="1"/>
    <col min="9736" max="9736" width="20.1640625" style="1154" customWidth="1"/>
    <col min="9737" max="9737" width="17.6640625" style="1154" customWidth="1"/>
    <col min="9738" max="9738" width="20.6640625" style="1154" customWidth="1"/>
    <col min="9739" max="9739" width="15.83203125" style="1154" customWidth="1"/>
    <col min="9740" max="9740" width="4.1640625" style="1154" customWidth="1"/>
    <col min="9741" max="9741" width="22.1640625" style="1154" customWidth="1"/>
    <col min="9742" max="9742" width="10.1640625" style="1154" customWidth="1"/>
    <col min="9743" max="9743" width="14.1640625" style="1154" customWidth="1"/>
    <col min="9744" max="9745" width="0" style="1154" hidden="1" customWidth="1"/>
    <col min="9746" max="9984" width="10.6640625" style="1154"/>
    <col min="9985" max="9985" width="8.1640625" style="1154" customWidth="1"/>
    <col min="9986" max="9986" width="64.6640625" style="1154" bestFit="1" customWidth="1"/>
    <col min="9987" max="9987" width="11.83203125" style="1154" customWidth="1"/>
    <col min="9988" max="9988" width="18.6640625" style="1154" customWidth="1"/>
    <col min="9989" max="9989" width="15" style="1154" customWidth="1"/>
    <col min="9990" max="9990" width="20.1640625" style="1154" customWidth="1"/>
    <col min="9991" max="9991" width="15.1640625" style="1154" customWidth="1"/>
    <col min="9992" max="9992" width="20.1640625" style="1154" customWidth="1"/>
    <col min="9993" max="9993" width="17.6640625" style="1154" customWidth="1"/>
    <col min="9994" max="9994" width="20.6640625" style="1154" customWidth="1"/>
    <col min="9995" max="9995" width="15.83203125" style="1154" customWidth="1"/>
    <col min="9996" max="9996" width="4.1640625" style="1154" customWidth="1"/>
    <col min="9997" max="9997" width="22.1640625" style="1154" customWidth="1"/>
    <col min="9998" max="9998" width="10.1640625" style="1154" customWidth="1"/>
    <col min="9999" max="9999" width="14.1640625" style="1154" customWidth="1"/>
    <col min="10000" max="10001" width="0" style="1154" hidden="1" customWidth="1"/>
    <col min="10002" max="10240" width="10.6640625" style="1154"/>
    <col min="10241" max="10241" width="8.1640625" style="1154" customWidth="1"/>
    <col min="10242" max="10242" width="64.6640625" style="1154" bestFit="1" customWidth="1"/>
    <col min="10243" max="10243" width="11.83203125" style="1154" customWidth="1"/>
    <col min="10244" max="10244" width="18.6640625" style="1154" customWidth="1"/>
    <col min="10245" max="10245" width="15" style="1154" customWidth="1"/>
    <col min="10246" max="10246" width="20.1640625" style="1154" customWidth="1"/>
    <col min="10247" max="10247" width="15.1640625" style="1154" customWidth="1"/>
    <col min="10248" max="10248" width="20.1640625" style="1154" customWidth="1"/>
    <col min="10249" max="10249" width="17.6640625" style="1154" customWidth="1"/>
    <col min="10250" max="10250" width="20.6640625" style="1154" customWidth="1"/>
    <col min="10251" max="10251" width="15.83203125" style="1154" customWidth="1"/>
    <col min="10252" max="10252" width="4.1640625" style="1154" customWidth="1"/>
    <col min="10253" max="10253" width="22.1640625" style="1154" customWidth="1"/>
    <col min="10254" max="10254" width="10.1640625" style="1154" customWidth="1"/>
    <col min="10255" max="10255" width="14.1640625" style="1154" customWidth="1"/>
    <col min="10256" max="10257" width="0" style="1154" hidden="1" customWidth="1"/>
    <col min="10258" max="10496" width="10.6640625" style="1154"/>
    <col min="10497" max="10497" width="8.1640625" style="1154" customWidth="1"/>
    <col min="10498" max="10498" width="64.6640625" style="1154" bestFit="1" customWidth="1"/>
    <col min="10499" max="10499" width="11.83203125" style="1154" customWidth="1"/>
    <col min="10500" max="10500" width="18.6640625" style="1154" customWidth="1"/>
    <col min="10501" max="10501" width="15" style="1154" customWidth="1"/>
    <col min="10502" max="10502" width="20.1640625" style="1154" customWidth="1"/>
    <col min="10503" max="10503" width="15.1640625" style="1154" customWidth="1"/>
    <col min="10504" max="10504" width="20.1640625" style="1154" customWidth="1"/>
    <col min="10505" max="10505" width="17.6640625" style="1154" customWidth="1"/>
    <col min="10506" max="10506" width="20.6640625" style="1154" customWidth="1"/>
    <col min="10507" max="10507" width="15.83203125" style="1154" customWidth="1"/>
    <col min="10508" max="10508" width="4.1640625" style="1154" customWidth="1"/>
    <col min="10509" max="10509" width="22.1640625" style="1154" customWidth="1"/>
    <col min="10510" max="10510" width="10.1640625" style="1154" customWidth="1"/>
    <col min="10511" max="10511" width="14.1640625" style="1154" customWidth="1"/>
    <col min="10512" max="10513" width="0" style="1154" hidden="1" customWidth="1"/>
    <col min="10514" max="10752" width="10.6640625" style="1154"/>
    <col min="10753" max="10753" width="8.1640625" style="1154" customWidth="1"/>
    <col min="10754" max="10754" width="64.6640625" style="1154" bestFit="1" customWidth="1"/>
    <col min="10755" max="10755" width="11.83203125" style="1154" customWidth="1"/>
    <col min="10756" max="10756" width="18.6640625" style="1154" customWidth="1"/>
    <col min="10757" max="10757" width="15" style="1154" customWidth="1"/>
    <col min="10758" max="10758" width="20.1640625" style="1154" customWidth="1"/>
    <col min="10759" max="10759" width="15.1640625" style="1154" customWidth="1"/>
    <col min="10760" max="10760" width="20.1640625" style="1154" customWidth="1"/>
    <col min="10761" max="10761" width="17.6640625" style="1154" customWidth="1"/>
    <col min="10762" max="10762" width="20.6640625" style="1154" customWidth="1"/>
    <col min="10763" max="10763" width="15.83203125" style="1154" customWidth="1"/>
    <col min="10764" max="10764" width="4.1640625" style="1154" customWidth="1"/>
    <col min="10765" max="10765" width="22.1640625" style="1154" customWidth="1"/>
    <col min="10766" max="10766" width="10.1640625" style="1154" customWidth="1"/>
    <col min="10767" max="10767" width="14.1640625" style="1154" customWidth="1"/>
    <col min="10768" max="10769" width="0" style="1154" hidden="1" customWidth="1"/>
    <col min="10770" max="11008" width="10.6640625" style="1154"/>
    <col min="11009" max="11009" width="8.1640625" style="1154" customWidth="1"/>
    <col min="11010" max="11010" width="64.6640625" style="1154" bestFit="1" customWidth="1"/>
    <col min="11011" max="11011" width="11.83203125" style="1154" customWidth="1"/>
    <col min="11012" max="11012" width="18.6640625" style="1154" customWidth="1"/>
    <col min="11013" max="11013" width="15" style="1154" customWidth="1"/>
    <col min="11014" max="11014" width="20.1640625" style="1154" customWidth="1"/>
    <col min="11015" max="11015" width="15.1640625" style="1154" customWidth="1"/>
    <col min="11016" max="11016" width="20.1640625" style="1154" customWidth="1"/>
    <col min="11017" max="11017" width="17.6640625" style="1154" customWidth="1"/>
    <col min="11018" max="11018" width="20.6640625" style="1154" customWidth="1"/>
    <col min="11019" max="11019" width="15.83203125" style="1154" customWidth="1"/>
    <col min="11020" max="11020" width="4.1640625" style="1154" customWidth="1"/>
    <col min="11021" max="11021" width="22.1640625" style="1154" customWidth="1"/>
    <col min="11022" max="11022" width="10.1640625" style="1154" customWidth="1"/>
    <col min="11023" max="11023" width="14.1640625" style="1154" customWidth="1"/>
    <col min="11024" max="11025" width="0" style="1154" hidden="1" customWidth="1"/>
    <col min="11026" max="11264" width="10.6640625" style="1154"/>
    <col min="11265" max="11265" width="8.1640625" style="1154" customWidth="1"/>
    <col min="11266" max="11266" width="64.6640625" style="1154" bestFit="1" customWidth="1"/>
    <col min="11267" max="11267" width="11.83203125" style="1154" customWidth="1"/>
    <col min="11268" max="11268" width="18.6640625" style="1154" customWidth="1"/>
    <col min="11269" max="11269" width="15" style="1154" customWidth="1"/>
    <col min="11270" max="11270" width="20.1640625" style="1154" customWidth="1"/>
    <col min="11271" max="11271" width="15.1640625" style="1154" customWidth="1"/>
    <col min="11272" max="11272" width="20.1640625" style="1154" customWidth="1"/>
    <col min="11273" max="11273" width="17.6640625" style="1154" customWidth="1"/>
    <col min="11274" max="11274" width="20.6640625" style="1154" customWidth="1"/>
    <col min="11275" max="11275" width="15.83203125" style="1154" customWidth="1"/>
    <col min="11276" max="11276" width="4.1640625" style="1154" customWidth="1"/>
    <col min="11277" max="11277" width="22.1640625" style="1154" customWidth="1"/>
    <col min="11278" max="11278" width="10.1640625" style="1154" customWidth="1"/>
    <col min="11279" max="11279" width="14.1640625" style="1154" customWidth="1"/>
    <col min="11280" max="11281" width="0" style="1154" hidden="1" customWidth="1"/>
    <col min="11282" max="11520" width="10.6640625" style="1154"/>
    <col min="11521" max="11521" width="8.1640625" style="1154" customWidth="1"/>
    <col min="11522" max="11522" width="64.6640625" style="1154" bestFit="1" customWidth="1"/>
    <col min="11523" max="11523" width="11.83203125" style="1154" customWidth="1"/>
    <col min="11524" max="11524" width="18.6640625" style="1154" customWidth="1"/>
    <col min="11525" max="11525" width="15" style="1154" customWidth="1"/>
    <col min="11526" max="11526" width="20.1640625" style="1154" customWidth="1"/>
    <col min="11527" max="11527" width="15.1640625" style="1154" customWidth="1"/>
    <col min="11528" max="11528" width="20.1640625" style="1154" customWidth="1"/>
    <col min="11529" max="11529" width="17.6640625" style="1154" customWidth="1"/>
    <col min="11530" max="11530" width="20.6640625" style="1154" customWidth="1"/>
    <col min="11531" max="11531" width="15.83203125" style="1154" customWidth="1"/>
    <col min="11532" max="11532" width="4.1640625" style="1154" customWidth="1"/>
    <col min="11533" max="11533" width="22.1640625" style="1154" customWidth="1"/>
    <col min="11534" max="11534" width="10.1640625" style="1154" customWidth="1"/>
    <col min="11535" max="11535" width="14.1640625" style="1154" customWidth="1"/>
    <col min="11536" max="11537" width="0" style="1154" hidden="1" customWidth="1"/>
    <col min="11538" max="11776" width="10.6640625" style="1154"/>
    <col min="11777" max="11777" width="8.1640625" style="1154" customWidth="1"/>
    <col min="11778" max="11778" width="64.6640625" style="1154" bestFit="1" customWidth="1"/>
    <col min="11779" max="11779" width="11.83203125" style="1154" customWidth="1"/>
    <col min="11780" max="11780" width="18.6640625" style="1154" customWidth="1"/>
    <col min="11781" max="11781" width="15" style="1154" customWidth="1"/>
    <col min="11782" max="11782" width="20.1640625" style="1154" customWidth="1"/>
    <col min="11783" max="11783" width="15.1640625" style="1154" customWidth="1"/>
    <col min="11784" max="11784" width="20.1640625" style="1154" customWidth="1"/>
    <col min="11785" max="11785" width="17.6640625" style="1154" customWidth="1"/>
    <col min="11786" max="11786" width="20.6640625" style="1154" customWidth="1"/>
    <col min="11787" max="11787" width="15.83203125" style="1154" customWidth="1"/>
    <col min="11788" max="11788" width="4.1640625" style="1154" customWidth="1"/>
    <col min="11789" max="11789" width="22.1640625" style="1154" customWidth="1"/>
    <col min="11790" max="11790" width="10.1640625" style="1154" customWidth="1"/>
    <col min="11791" max="11791" width="14.1640625" style="1154" customWidth="1"/>
    <col min="11792" max="11793" width="0" style="1154" hidden="1" customWidth="1"/>
    <col min="11794" max="12032" width="10.6640625" style="1154"/>
    <col min="12033" max="12033" width="8.1640625" style="1154" customWidth="1"/>
    <col min="12034" max="12034" width="64.6640625" style="1154" bestFit="1" customWidth="1"/>
    <col min="12035" max="12035" width="11.83203125" style="1154" customWidth="1"/>
    <col min="12036" max="12036" width="18.6640625" style="1154" customWidth="1"/>
    <col min="12037" max="12037" width="15" style="1154" customWidth="1"/>
    <col min="12038" max="12038" width="20.1640625" style="1154" customWidth="1"/>
    <col min="12039" max="12039" width="15.1640625" style="1154" customWidth="1"/>
    <col min="12040" max="12040" width="20.1640625" style="1154" customWidth="1"/>
    <col min="12041" max="12041" width="17.6640625" style="1154" customWidth="1"/>
    <col min="12042" max="12042" width="20.6640625" style="1154" customWidth="1"/>
    <col min="12043" max="12043" width="15.83203125" style="1154" customWidth="1"/>
    <col min="12044" max="12044" width="4.1640625" style="1154" customWidth="1"/>
    <col min="12045" max="12045" width="22.1640625" style="1154" customWidth="1"/>
    <col min="12046" max="12046" width="10.1640625" style="1154" customWidth="1"/>
    <col min="12047" max="12047" width="14.1640625" style="1154" customWidth="1"/>
    <col min="12048" max="12049" width="0" style="1154" hidden="1" customWidth="1"/>
    <col min="12050" max="12288" width="10.6640625" style="1154"/>
    <col min="12289" max="12289" width="8.1640625" style="1154" customWidth="1"/>
    <col min="12290" max="12290" width="64.6640625" style="1154" bestFit="1" customWidth="1"/>
    <col min="12291" max="12291" width="11.83203125" style="1154" customWidth="1"/>
    <col min="12292" max="12292" width="18.6640625" style="1154" customWidth="1"/>
    <col min="12293" max="12293" width="15" style="1154" customWidth="1"/>
    <col min="12294" max="12294" width="20.1640625" style="1154" customWidth="1"/>
    <col min="12295" max="12295" width="15.1640625" style="1154" customWidth="1"/>
    <col min="12296" max="12296" width="20.1640625" style="1154" customWidth="1"/>
    <col min="12297" max="12297" width="17.6640625" style="1154" customWidth="1"/>
    <col min="12298" max="12298" width="20.6640625" style="1154" customWidth="1"/>
    <col min="12299" max="12299" width="15.83203125" style="1154" customWidth="1"/>
    <col min="12300" max="12300" width="4.1640625" style="1154" customWidth="1"/>
    <col min="12301" max="12301" width="22.1640625" style="1154" customWidth="1"/>
    <col min="12302" max="12302" width="10.1640625" style="1154" customWidth="1"/>
    <col min="12303" max="12303" width="14.1640625" style="1154" customWidth="1"/>
    <col min="12304" max="12305" width="0" style="1154" hidden="1" customWidth="1"/>
    <col min="12306" max="12544" width="10.6640625" style="1154"/>
    <col min="12545" max="12545" width="8.1640625" style="1154" customWidth="1"/>
    <col min="12546" max="12546" width="64.6640625" style="1154" bestFit="1" customWidth="1"/>
    <col min="12547" max="12547" width="11.83203125" style="1154" customWidth="1"/>
    <col min="12548" max="12548" width="18.6640625" style="1154" customWidth="1"/>
    <col min="12549" max="12549" width="15" style="1154" customWidth="1"/>
    <col min="12550" max="12550" width="20.1640625" style="1154" customWidth="1"/>
    <col min="12551" max="12551" width="15.1640625" style="1154" customWidth="1"/>
    <col min="12552" max="12552" width="20.1640625" style="1154" customWidth="1"/>
    <col min="12553" max="12553" width="17.6640625" style="1154" customWidth="1"/>
    <col min="12554" max="12554" width="20.6640625" style="1154" customWidth="1"/>
    <col min="12555" max="12555" width="15.83203125" style="1154" customWidth="1"/>
    <col min="12556" max="12556" width="4.1640625" style="1154" customWidth="1"/>
    <col min="12557" max="12557" width="22.1640625" style="1154" customWidth="1"/>
    <col min="12558" max="12558" width="10.1640625" style="1154" customWidth="1"/>
    <col min="12559" max="12559" width="14.1640625" style="1154" customWidth="1"/>
    <col min="12560" max="12561" width="0" style="1154" hidden="1" customWidth="1"/>
    <col min="12562" max="12800" width="10.6640625" style="1154"/>
    <col min="12801" max="12801" width="8.1640625" style="1154" customWidth="1"/>
    <col min="12802" max="12802" width="64.6640625" style="1154" bestFit="1" customWidth="1"/>
    <col min="12803" max="12803" width="11.83203125" style="1154" customWidth="1"/>
    <col min="12804" max="12804" width="18.6640625" style="1154" customWidth="1"/>
    <col min="12805" max="12805" width="15" style="1154" customWidth="1"/>
    <col min="12806" max="12806" width="20.1640625" style="1154" customWidth="1"/>
    <col min="12807" max="12807" width="15.1640625" style="1154" customWidth="1"/>
    <col min="12808" max="12808" width="20.1640625" style="1154" customWidth="1"/>
    <col min="12809" max="12809" width="17.6640625" style="1154" customWidth="1"/>
    <col min="12810" max="12810" width="20.6640625" style="1154" customWidth="1"/>
    <col min="12811" max="12811" width="15.83203125" style="1154" customWidth="1"/>
    <col min="12812" max="12812" width="4.1640625" style="1154" customWidth="1"/>
    <col min="12813" max="12813" width="22.1640625" style="1154" customWidth="1"/>
    <col min="12814" max="12814" width="10.1640625" style="1154" customWidth="1"/>
    <col min="12815" max="12815" width="14.1640625" style="1154" customWidth="1"/>
    <col min="12816" max="12817" width="0" style="1154" hidden="1" customWidth="1"/>
    <col min="12818" max="13056" width="10.6640625" style="1154"/>
    <col min="13057" max="13057" width="8.1640625" style="1154" customWidth="1"/>
    <col min="13058" max="13058" width="64.6640625" style="1154" bestFit="1" customWidth="1"/>
    <col min="13059" max="13059" width="11.83203125" style="1154" customWidth="1"/>
    <col min="13060" max="13060" width="18.6640625" style="1154" customWidth="1"/>
    <col min="13061" max="13061" width="15" style="1154" customWidth="1"/>
    <col min="13062" max="13062" width="20.1640625" style="1154" customWidth="1"/>
    <col min="13063" max="13063" width="15.1640625" style="1154" customWidth="1"/>
    <col min="13064" max="13064" width="20.1640625" style="1154" customWidth="1"/>
    <col min="13065" max="13065" width="17.6640625" style="1154" customWidth="1"/>
    <col min="13066" max="13066" width="20.6640625" style="1154" customWidth="1"/>
    <col min="13067" max="13067" width="15.83203125" style="1154" customWidth="1"/>
    <col min="13068" max="13068" width="4.1640625" style="1154" customWidth="1"/>
    <col min="13069" max="13069" width="22.1640625" style="1154" customWidth="1"/>
    <col min="13070" max="13070" width="10.1640625" style="1154" customWidth="1"/>
    <col min="13071" max="13071" width="14.1640625" style="1154" customWidth="1"/>
    <col min="13072" max="13073" width="0" style="1154" hidden="1" customWidth="1"/>
    <col min="13074" max="13312" width="10.6640625" style="1154"/>
    <col min="13313" max="13313" width="8.1640625" style="1154" customWidth="1"/>
    <col min="13314" max="13314" width="64.6640625" style="1154" bestFit="1" customWidth="1"/>
    <col min="13315" max="13315" width="11.83203125" style="1154" customWidth="1"/>
    <col min="13316" max="13316" width="18.6640625" style="1154" customWidth="1"/>
    <col min="13317" max="13317" width="15" style="1154" customWidth="1"/>
    <col min="13318" max="13318" width="20.1640625" style="1154" customWidth="1"/>
    <col min="13319" max="13319" width="15.1640625" style="1154" customWidth="1"/>
    <col min="13320" max="13320" width="20.1640625" style="1154" customWidth="1"/>
    <col min="13321" max="13321" width="17.6640625" style="1154" customWidth="1"/>
    <col min="13322" max="13322" width="20.6640625" style="1154" customWidth="1"/>
    <col min="13323" max="13323" width="15.83203125" style="1154" customWidth="1"/>
    <col min="13324" max="13324" width="4.1640625" style="1154" customWidth="1"/>
    <col min="13325" max="13325" width="22.1640625" style="1154" customWidth="1"/>
    <col min="13326" max="13326" width="10.1640625" style="1154" customWidth="1"/>
    <col min="13327" max="13327" width="14.1640625" style="1154" customWidth="1"/>
    <col min="13328" max="13329" width="0" style="1154" hidden="1" customWidth="1"/>
    <col min="13330" max="13568" width="10.6640625" style="1154"/>
    <col min="13569" max="13569" width="8.1640625" style="1154" customWidth="1"/>
    <col min="13570" max="13570" width="64.6640625" style="1154" bestFit="1" customWidth="1"/>
    <col min="13571" max="13571" width="11.83203125" style="1154" customWidth="1"/>
    <col min="13572" max="13572" width="18.6640625" style="1154" customWidth="1"/>
    <col min="13573" max="13573" width="15" style="1154" customWidth="1"/>
    <col min="13574" max="13574" width="20.1640625" style="1154" customWidth="1"/>
    <col min="13575" max="13575" width="15.1640625" style="1154" customWidth="1"/>
    <col min="13576" max="13576" width="20.1640625" style="1154" customWidth="1"/>
    <col min="13577" max="13577" width="17.6640625" style="1154" customWidth="1"/>
    <col min="13578" max="13578" width="20.6640625" style="1154" customWidth="1"/>
    <col min="13579" max="13579" width="15.83203125" style="1154" customWidth="1"/>
    <col min="13580" max="13580" width="4.1640625" style="1154" customWidth="1"/>
    <col min="13581" max="13581" width="22.1640625" style="1154" customWidth="1"/>
    <col min="13582" max="13582" width="10.1640625" style="1154" customWidth="1"/>
    <col min="13583" max="13583" width="14.1640625" style="1154" customWidth="1"/>
    <col min="13584" max="13585" width="0" style="1154" hidden="1" customWidth="1"/>
    <col min="13586" max="13824" width="10.6640625" style="1154"/>
    <col min="13825" max="13825" width="8.1640625" style="1154" customWidth="1"/>
    <col min="13826" max="13826" width="64.6640625" style="1154" bestFit="1" customWidth="1"/>
    <col min="13827" max="13827" width="11.83203125" style="1154" customWidth="1"/>
    <col min="13828" max="13828" width="18.6640625" style="1154" customWidth="1"/>
    <col min="13829" max="13829" width="15" style="1154" customWidth="1"/>
    <col min="13830" max="13830" width="20.1640625" style="1154" customWidth="1"/>
    <col min="13831" max="13831" width="15.1640625" style="1154" customWidth="1"/>
    <col min="13832" max="13832" width="20.1640625" style="1154" customWidth="1"/>
    <col min="13833" max="13833" width="17.6640625" style="1154" customWidth="1"/>
    <col min="13834" max="13834" width="20.6640625" style="1154" customWidth="1"/>
    <col min="13835" max="13835" width="15.83203125" style="1154" customWidth="1"/>
    <col min="13836" max="13836" width="4.1640625" style="1154" customWidth="1"/>
    <col min="13837" max="13837" width="22.1640625" style="1154" customWidth="1"/>
    <col min="13838" max="13838" width="10.1640625" style="1154" customWidth="1"/>
    <col min="13839" max="13839" width="14.1640625" style="1154" customWidth="1"/>
    <col min="13840" max="13841" width="0" style="1154" hidden="1" customWidth="1"/>
    <col min="13842" max="14080" width="10.6640625" style="1154"/>
    <col min="14081" max="14081" width="8.1640625" style="1154" customWidth="1"/>
    <col min="14082" max="14082" width="64.6640625" style="1154" bestFit="1" customWidth="1"/>
    <col min="14083" max="14083" width="11.83203125" style="1154" customWidth="1"/>
    <col min="14084" max="14084" width="18.6640625" style="1154" customWidth="1"/>
    <col min="14085" max="14085" width="15" style="1154" customWidth="1"/>
    <col min="14086" max="14086" width="20.1640625" style="1154" customWidth="1"/>
    <col min="14087" max="14087" width="15.1640625" style="1154" customWidth="1"/>
    <col min="14088" max="14088" width="20.1640625" style="1154" customWidth="1"/>
    <col min="14089" max="14089" width="17.6640625" style="1154" customWidth="1"/>
    <col min="14090" max="14090" width="20.6640625" style="1154" customWidth="1"/>
    <col min="14091" max="14091" width="15.83203125" style="1154" customWidth="1"/>
    <col min="14092" max="14092" width="4.1640625" style="1154" customWidth="1"/>
    <col min="14093" max="14093" width="22.1640625" style="1154" customWidth="1"/>
    <col min="14094" max="14094" width="10.1640625" style="1154" customWidth="1"/>
    <col min="14095" max="14095" width="14.1640625" style="1154" customWidth="1"/>
    <col min="14096" max="14097" width="0" style="1154" hidden="1" customWidth="1"/>
    <col min="14098" max="14336" width="10.6640625" style="1154"/>
    <col min="14337" max="14337" width="8.1640625" style="1154" customWidth="1"/>
    <col min="14338" max="14338" width="64.6640625" style="1154" bestFit="1" customWidth="1"/>
    <col min="14339" max="14339" width="11.83203125" style="1154" customWidth="1"/>
    <col min="14340" max="14340" width="18.6640625" style="1154" customWidth="1"/>
    <col min="14341" max="14341" width="15" style="1154" customWidth="1"/>
    <col min="14342" max="14342" width="20.1640625" style="1154" customWidth="1"/>
    <col min="14343" max="14343" width="15.1640625" style="1154" customWidth="1"/>
    <col min="14344" max="14344" width="20.1640625" style="1154" customWidth="1"/>
    <col min="14345" max="14345" width="17.6640625" style="1154" customWidth="1"/>
    <col min="14346" max="14346" width="20.6640625" style="1154" customWidth="1"/>
    <col min="14347" max="14347" width="15.83203125" style="1154" customWidth="1"/>
    <col min="14348" max="14348" width="4.1640625" style="1154" customWidth="1"/>
    <col min="14349" max="14349" width="22.1640625" style="1154" customWidth="1"/>
    <col min="14350" max="14350" width="10.1640625" style="1154" customWidth="1"/>
    <col min="14351" max="14351" width="14.1640625" style="1154" customWidth="1"/>
    <col min="14352" max="14353" width="0" style="1154" hidden="1" customWidth="1"/>
    <col min="14354" max="14592" width="10.6640625" style="1154"/>
    <col min="14593" max="14593" width="8.1640625" style="1154" customWidth="1"/>
    <col min="14594" max="14594" width="64.6640625" style="1154" bestFit="1" customWidth="1"/>
    <col min="14595" max="14595" width="11.83203125" style="1154" customWidth="1"/>
    <col min="14596" max="14596" width="18.6640625" style="1154" customWidth="1"/>
    <col min="14597" max="14597" width="15" style="1154" customWidth="1"/>
    <col min="14598" max="14598" width="20.1640625" style="1154" customWidth="1"/>
    <col min="14599" max="14599" width="15.1640625" style="1154" customWidth="1"/>
    <col min="14600" max="14600" width="20.1640625" style="1154" customWidth="1"/>
    <col min="14601" max="14601" width="17.6640625" style="1154" customWidth="1"/>
    <col min="14602" max="14602" width="20.6640625" style="1154" customWidth="1"/>
    <col min="14603" max="14603" width="15.83203125" style="1154" customWidth="1"/>
    <col min="14604" max="14604" width="4.1640625" style="1154" customWidth="1"/>
    <col min="14605" max="14605" width="22.1640625" style="1154" customWidth="1"/>
    <col min="14606" max="14606" width="10.1640625" style="1154" customWidth="1"/>
    <col min="14607" max="14607" width="14.1640625" style="1154" customWidth="1"/>
    <col min="14608" max="14609" width="0" style="1154" hidden="1" customWidth="1"/>
    <col min="14610" max="14848" width="10.6640625" style="1154"/>
    <col min="14849" max="14849" width="8.1640625" style="1154" customWidth="1"/>
    <col min="14850" max="14850" width="64.6640625" style="1154" bestFit="1" customWidth="1"/>
    <col min="14851" max="14851" width="11.83203125" style="1154" customWidth="1"/>
    <col min="14852" max="14852" width="18.6640625" style="1154" customWidth="1"/>
    <col min="14853" max="14853" width="15" style="1154" customWidth="1"/>
    <col min="14854" max="14854" width="20.1640625" style="1154" customWidth="1"/>
    <col min="14855" max="14855" width="15.1640625" style="1154" customWidth="1"/>
    <col min="14856" max="14856" width="20.1640625" style="1154" customWidth="1"/>
    <col min="14857" max="14857" width="17.6640625" style="1154" customWidth="1"/>
    <col min="14858" max="14858" width="20.6640625" style="1154" customWidth="1"/>
    <col min="14859" max="14859" width="15.83203125" style="1154" customWidth="1"/>
    <col min="14860" max="14860" width="4.1640625" style="1154" customWidth="1"/>
    <col min="14861" max="14861" width="22.1640625" style="1154" customWidth="1"/>
    <col min="14862" max="14862" width="10.1640625" style="1154" customWidth="1"/>
    <col min="14863" max="14863" width="14.1640625" style="1154" customWidth="1"/>
    <col min="14864" max="14865" width="0" style="1154" hidden="1" customWidth="1"/>
    <col min="14866" max="15104" width="10.6640625" style="1154"/>
    <col min="15105" max="15105" width="8.1640625" style="1154" customWidth="1"/>
    <col min="15106" max="15106" width="64.6640625" style="1154" bestFit="1" customWidth="1"/>
    <col min="15107" max="15107" width="11.83203125" style="1154" customWidth="1"/>
    <col min="15108" max="15108" width="18.6640625" style="1154" customWidth="1"/>
    <col min="15109" max="15109" width="15" style="1154" customWidth="1"/>
    <col min="15110" max="15110" width="20.1640625" style="1154" customWidth="1"/>
    <col min="15111" max="15111" width="15.1640625" style="1154" customWidth="1"/>
    <col min="15112" max="15112" width="20.1640625" style="1154" customWidth="1"/>
    <col min="15113" max="15113" width="17.6640625" style="1154" customWidth="1"/>
    <col min="15114" max="15114" width="20.6640625" style="1154" customWidth="1"/>
    <col min="15115" max="15115" width="15.83203125" style="1154" customWidth="1"/>
    <col min="15116" max="15116" width="4.1640625" style="1154" customWidth="1"/>
    <col min="15117" max="15117" width="22.1640625" style="1154" customWidth="1"/>
    <col min="15118" max="15118" width="10.1640625" style="1154" customWidth="1"/>
    <col min="15119" max="15119" width="14.1640625" style="1154" customWidth="1"/>
    <col min="15120" max="15121" width="0" style="1154" hidden="1" customWidth="1"/>
    <col min="15122" max="15360" width="10.6640625" style="1154"/>
    <col min="15361" max="15361" width="8.1640625" style="1154" customWidth="1"/>
    <col min="15362" max="15362" width="64.6640625" style="1154" bestFit="1" customWidth="1"/>
    <col min="15363" max="15363" width="11.83203125" style="1154" customWidth="1"/>
    <col min="15364" max="15364" width="18.6640625" style="1154" customWidth="1"/>
    <col min="15365" max="15365" width="15" style="1154" customWidth="1"/>
    <col min="15366" max="15366" width="20.1640625" style="1154" customWidth="1"/>
    <col min="15367" max="15367" width="15.1640625" style="1154" customWidth="1"/>
    <col min="15368" max="15368" width="20.1640625" style="1154" customWidth="1"/>
    <col min="15369" max="15369" width="17.6640625" style="1154" customWidth="1"/>
    <col min="15370" max="15370" width="20.6640625" style="1154" customWidth="1"/>
    <col min="15371" max="15371" width="15.83203125" style="1154" customWidth="1"/>
    <col min="15372" max="15372" width="4.1640625" style="1154" customWidth="1"/>
    <col min="15373" max="15373" width="22.1640625" style="1154" customWidth="1"/>
    <col min="15374" max="15374" width="10.1640625" style="1154" customWidth="1"/>
    <col min="15375" max="15375" width="14.1640625" style="1154" customWidth="1"/>
    <col min="15376" max="15377" width="0" style="1154" hidden="1" customWidth="1"/>
    <col min="15378" max="15616" width="10.6640625" style="1154"/>
    <col min="15617" max="15617" width="8.1640625" style="1154" customWidth="1"/>
    <col min="15618" max="15618" width="64.6640625" style="1154" bestFit="1" customWidth="1"/>
    <col min="15619" max="15619" width="11.83203125" style="1154" customWidth="1"/>
    <col min="15620" max="15620" width="18.6640625" style="1154" customWidth="1"/>
    <col min="15621" max="15621" width="15" style="1154" customWidth="1"/>
    <col min="15622" max="15622" width="20.1640625" style="1154" customWidth="1"/>
    <col min="15623" max="15623" width="15.1640625" style="1154" customWidth="1"/>
    <col min="15624" max="15624" width="20.1640625" style="1154" customWidth="1"/>
    <col min="15625" max="15625" width="17.6640625" style="1154" customWidth="1"/>
    <col min="15626" max="15626" width="20.6640625" style="1154" customWidth="1"/>
    <col min="15627" max="15627" width="15.83203125" style="1154" customWidth="1"/>
    <col min="15628" max="15628" width="4.1640625" style="1154" customWidth="1"/>
    <col min="15629" max="15629" width="22.1640625" style="1154" customWidth="1"/>
    <col min="15630" max="15630" width="10.1640625" style="1154" customWidth="1"/>
    <col min="15631" max="15631" width="14.1640625" style="1154" customWidth="1"/>
    <col min="15632" max="15633" width="0" style="1154" hidden="1" customWidth="1"/>
    <col min="15634" max="15872" width="10.6640625" style="1154"/>
    <col min="15873" max="15873" width="8.1640625" style="1154" customWidth="1"/>
    <col min="15874" max="15874" width="64.6640625" style="1154" bestFit="1" customWidth="1"/>
    <col min="15875" max="15875" width="11.83203125" style="1154" customWidth="1"/>
    <col min="15876" max="15876" width="18.6640625" style="1154" customWidth="1"/>
    <col min="15877" max="15877" width="15" style="1154" customWidth="1"/>
    <col min="15878" max="15878" width="20.1640625" style="1154" customWidth="1"/>
    <col min="15879" max="15879" width="15.1640625" style="1154" customWidth="1"/>
    <col min="15880" max="15880" width="20.1640625" style="1154" customWidth="1"/>
    <col min="15881" max="15881" width="17.6640625" style="1154" customWidth="1"/>
    <col min="15882" max="15882" width="20.6640625" style="1154" customWidth="1"/>
    <col min="15883" max="15883" width="15.83203125" style="1154" customWidth="1"/>
    <col min="15884" max="15884" width="4.1640625" style="1154" customWidth="1"/>
    <col min="15885" max="15885" width="22.1640625" style="1154" customWidth="1"/>
    <col min="15886" max="15886" width="10.1640625" style="1154" customWidth="1"/>
    <col min="15887" max="15887" width="14.1640625" style="1154" customWidth="1"/>
    <col min="15888" max="15889" width="0" style="1154" hidden="1" customWidth="1"/>
    <col min="15890" max="16128" width="10.6640625" style="1154"/>
    <col min="16129" max="16129" width="8.1640625" style="1154" customWidth="1"/>
    <col min="16130" max="16130" width="64.6640625" style="1154" bestFit="1" customWidth="1"/>
    <col min="16131" max="16131" width="11.83203125" style="1154" customWidth="1"/>
    <col min="16132" max="16132" width="18.6640625" style="1154" customWidth="1"/>
    <col min="16133" max="16133" width="15" style="1154" customWidth="1"/>
    <col min="16134" max="16134" width="20.1640625" style="1154" customWidth="1"/>
    <col min="16135" max="16135" width="15.1640625" style="1154" customWidth="1"/>
    <col min="16136" max="16136" width="20.1640625" style="1154" customWidth="1"/>
    <col min="16137" max="16137" width="17.6640625" style="1154" customWidth="1"/>
    <col min="16138" max="16138" width="20.6640625" style="1154" customWidth="1"/>
    <col min="16139" max="16139" width="15.83203125" style="1154" customWidth="1"/>
    <col min="16140" max="16140" width="4.1640625" style="1154" customWidth="1"/>
    <col min="16141" max="16141" width="22.1640625" style="1154" customWidth="1"/>
    <col min="16142" max="16142" width="10.1640625" style="1154" customWidth="1"/>
    <col min="16143" max="16143" width="14.1640625" style="1154" customWidth="1"/>
    <col min="16144" max="16145" width="0" style="1154" hidden="1" customWidth="1"/>
    <col min="16146" max="16384" width="10.6640625" style="1154"/>
  </cols>
  <sheetData>
    <row r="1" spans="1:17" ht="13.5" thickBot="1">
      <c r="A1" s="1153" t="s">
        <v>1330</v>
      </c>
      <c r="O1" s="1155"/>
    </row>
    <row r="2" spans="1:17">
      <c r="A2" s="1153" t="s">
        <v>1331</v>
      </c>
      <c r="D2" s="1153" t="s">
        <v>1148</v>
      </c>
      <c r="H2" s="1156"/>
      <c r="I2" s="1157"/>
      <c r="J2" s="1157"/>
      <c r="K2" s="1157"/>
      <c r="L2" s="1157"/>
      <c r="M2" s="1158"/>
    </row>
    <row r="3" spans="1:17" ht="14.1" customHeight="1">
      <c r="A3" s="1153"/>
      <c r="D3" s="1159"/>
      <c r="H3" s="1146" t="s">
        <v>1332</v>
      </c>
      <c r="I3" s="1160"/>
      <c r="J3" s="1160"/>
      <c r="K3" s="1161" t="s">
        <v>1333</v>
      </c>
      <c r="L3" s="1161"/>
      <c r="M3" s="1162">
        <f>SUM(M29:M31)</f>
        <v>47628712.222444043</v>
      </c>
      <c r="N3" s="1163"/>
      <c r="O3" s="1164"/>
      <c r="P3" s="1165">
        <v>26929101.874986053</v>
      </c>
      <c r="Q3" s="1166">
        <f>M3-P3</f>
        <v>20699610.34745799</v>
      </c>
    </row>
    <row r="4" spans="1:17" ht="14.1" customHeight="1">
      <c r="D4" s="1168" t="s">
        <v>1027</v>
      </c>
      <c r="E4" s="1168" t="s">
        <v>1028</v>
      </c>
      <c r="F4" s="1168" t="s">
        <v>279</v>
      </c>
      <c r="H4" s="1146" t="s">
        <v>1334</v>
      </c>
      <c r="I4" s="1160"/>
      <c r="J4" s="1160"/>
      <c r="K4" s="1161" t="s">
        <v>1335</v>
      </c>
      <c r="L4" s="1161"/>
      <c r="M4" s="1169">
        <f>SUM($M$61:$M$66)</f>
        <v>23754416.951529805</v>
      </c>
      <c r="N4" s="1163"/>
      <c r="O4" s="1164"/>
      <c r="P4" s="1165">
        <v>17058458.588262837</v>
      </c>
      <c r="Q4" s="1166">
        <f>M4-P4</f>
        <v>6695958.3632669672</v>
      </c>
    </row>
    <row r="5" spans="1:17" ht="14.1" customHeight="1" thickBot="1">
      <c r="B5" s="1153" t="s">
        <v>1336</v>
      </c>
      <c r="C5" s="1608"/>
      <c r="D5" s="1605">
        <v>0.66510000000000002</v>
      </c>
      <c r="E5" s="1605">
        <v>0.33489999999999998</v>
      </c>
      <c r="F5" s="1170">
        <f>+D5+E5</f>
        <v>1</v>
      </c>
      <c r="H5" s="1146" t="s">
        <v>1337</v>
      </c>
      <c r="I5" s="1160"/>
      <c r="J5" s="1160"/>
      <c r="K5" s="1161" t="s">
        <v>1338</v>
      </c>
      <c r="L5" s="1161"/>
      <c r="M5" s="1169">
        <f>SUM($M$30:$M$31)</f>
        <v>24954096.66760711</v>
      </c>
      <c r="N5" s="1163"/>
      <c r="O5" s="1164"/>
      <c r="P5" s="1165">
        <v>18327028.335129719</v>
      </c>
      <c r="Q5" s="1166">
        <f>M5-P5</f>
        <v>6627068.3324773908</v>
      </c>
    </row>
    <row r="6" spans="1:17" ht="14.1" customHeight="1">
      <c r="B6" s="1167"/>
      <c r="H6" s="1146" t="s">
        <v>1339</v>
      </c>
      <c r="I6" s="1160"/>
      <c r="J6" s="1160"/>
      <c r="K6" s="1161" t="s">
        <v>1340</v>
      </c>
      <c r="L6" s="1161"/>
      <c r="M6" s="1169">
        <f>SUM(M65:M66)</f>
        <v>22550435.783465069</v>
      </c>
      <c r="N6" s="1163"/>
      <c r="O6" s="1164"/>
      <c r="P6" s="1165">
        <v>16460933.017452978</v>
      </c>
      <c r="Q6" s="1166">
        <f>M6-P6</f>
        <v>6089502.7660120912</v>
      </c>
    </row>
    <row r="7" spans="1:17" ht="14.1" customHeight="1" thickBot="1">
      <c r="B7" s="1167"/>
      <c r="D7" s="1171" t="s">
        <v>1341</v>
      </c>
      <c r="E7" s="1171" t="s">
        <v>1342</v>
      </c>
      <c r="F7" s="1171" t="s">
        <v>1343</v>
      </c>
      <c r="G7" s="1154" t="s">
        <v>279</v>
      </c>
      <c r="H7" s="1172"/>
      <c r="I7" s="1173"/>
      <c r="J7" s="1173"/>
      <c r="K7" s="1173"/>
      <c r="L7" s="1173"/>
      <c r="M7" s="1174"/>
    </row>
    <row r="8" spans="1:17" ht="14.1" customHeight="1" thickBot="1">
      <c r="B8" s="1153" t="s">
        <v>1344</v>
      </c>
      <c r="D8" s="1175">
        <f>+K116</f>
        <v>0.60560000000000003</v>
      </c>
      <c r="E8" s="1175">
        <f>+K118</f>
        <v>0.38779999999999998</v>
      </c>
      <c r="F8" s="1175">
        <f>+K117</f>
        <v>6.6E-3</v>
      </c>
      <c r="G8" s="1175">
        <f>ROUND(SUM(D8:F8),4)</f>
        <v>1</v>
      </c>
    </row>
    <row r="9" spans="1:17" ht="6.75" customHeight="1"/>
    <row r="10" spans="1:17" ht="14.1" customHeight="1">
      <c r="D10" s="1176" t="s">
        <v>1345</v>
      </c>
      <c r="E10" s="1177" t="s">
        <v>1346</v>
      </c>
      <c r="F10" s="1176" t="s">
        <v>1347</v>
      </c>
      <c r="G10" s="1176" t="s">
        <v>1348</v>
      </c>
      <c r="H10" s="1176" t="s">
        <v>1349</v>
      </c>
      <c r="I10" s="1176" t="s">
        <v>1350</v>
      </c>
      <c r="J10" s="1176" t="s">
        <v>1351</v>
      </c>
      <c r="K10" s="1176" t="s">
        <v>1352</v>
      </c>
      <c r="L10" s="1178" t="s">
        <v>1353</v>
      </c>
      <c r="M10" s="1178"/>
      <c r="N10" s="1176" t="s">
        <v>1354</v>
      </c>
      <c r="O10" s="1176" t="s">
        <v>1355</v>
      </c>
    </row>
    <row r="11" spans="1:17" s="1185" customFormat="1" ht="63.75">
      <c r="A11" s="1179" t="s">
        <v>1356</v>
      </c>
      <c r="B11" s="1180" t="s">
        <v>523</v>
      </c>
      <c r="C11" s="1179" t="s">
        <v>1357</v>
      </c>
      <c r="D11" s="1181" t="s">
        <v>1358</v>
      </c>
      <c r="E11" s="1181" t="s">
        <v>1359</v>
      </c>
      <c r="F11" s="1181" t="s">
        <v>1360</v>
      </c>
      <c r="G11" s="1181" t="s">
        <v>1361</v>
      </c>
      <c r="H11" s="1181" t="s">
        <v>1362</v>
      </c>
      <c r="I11" s="1182" t="s">
        <v>1363</v>
      </c>
      <c r="J11" s="1181" t="s">
        <v>1364</v>
      </c>
      <c r="K11" s="1182" t="s">
        <v>1365</v>
      </c>
      <c r="L11" s="1183" t="s">
        <v>1366</v>
      </c>
      <c r="M11" s="1184"/>
      <c r="N11" s="1181" t="s">
        <v>1367</v>
      </c>
      <c r="O11" s="1181" t="s">
        <v>1368</v>
      </c>
    </row>
    <row r="12" spans="1:17">
      <c r="A12" s="1186">
        <v>1</v>
      </c>
      <c r="B12" s="1187" t="s">
        <v>991</v>
      </c>
      <c r="C12" s="1188"/>
      <c r="D12" s="1189"/>
      <c r="E12" s="1190"/>
      <c r="F12" s="1189"/>
      <c r="G12" s="1190"/>
      <c r="H12" s="1189"/>
      <c r="I12" s="1191"/>
      <c r="J12" s="1189"/>
      <c r="K12" s="1191"/>
      <c r="L12" s="1192"/>
      <c r="M12" s="1193"/>
      <c r="N12" s="1191"/>
      <c r="O12" s="1191"/>
    </row>
    <row r="13" spans="1:17">
      <c r="A13" s="1186">
        <v>2</v>
      </c>
      <c r="B13" s="1194" t="s">
        <v>1369</v>
      </c>
      <c r="C13" s="1188"/>
      <c r="D13" s="1195"/>
      <c r="E13" s="1196"/>
      <c r="F13" s="1195"/>
      <c r="G13" s="1196"/>
      <c r="H13" s="1195"/>
      <c r="I13" s="1191"/>
      <c r="J13" s="1197"/>
      <c r="K13" s="1191"/>
      <c r="L13" s="1198"/>
      <c r="M13" s="1199"/>
      <c r="N13" s="1191"/>
      <c r="O13" s="1191"/>
    </row>
    <row r="14" spans="1:17">
      <c r="A14" s="1188">
        <v>3</v>
      </c>
      <c r="B14" s="1191" t="s">
        <v>1370</v>
      </c>
      <c r="C14" s="1188" t="s">
        <v>1371</v>
      </c>
      <c r="D14" s="1200">
        <f>VALUE(VLOOKUP(C14,'3.05 - SAP DL Download'!$C$9:$D$120,2,FALSE))</f>
        <v>15807257.810000001</v>
      </c>
      <c r="E14" s="1200"/>
      <c r="F14" s="1201">
        <f t="shared" ref="F14:F20" si="0">SUM(D14:E14)</f>
        <v>15807257.810000001</v>
      </c>
      <c r="G14" s="1200"/>
      <c r="H14" s="1201">
        <f t="shared" ref="H14:H20" si="1">SUM(F14:G14)</f>
        <v>15807257.810000001</v>
      </c>
      <c r="I14" s="1202"/>
      <c r="J14" s="1201">
        <f t="shared" ref="J14:J20" si="2">SUM(H14:I14)</f>
        <v>15807257.810000001</v>
      </c>
      <c r="K14" s="1203">
        <f t="shared" ref="K14:K20" si="3">J14/$J$74*$K$74</f>
        <v>2425454.625404696</v>
      </c>
      <c r="L14" s="1204"/>
      <c r="M14" s="1205">
        <f t="shared" ref="M14:M20" si="4">SUM(J14:K14)</f>
        <v>18232712.435404696</v>
      </c>
      <c r="N14" s="1206">
        <f t="shared" ref="N14:N77" si="5">M14/$M$113</f>
        <v>8.3484679103145679E-2</v>
      </c>
      <c r="O14" s="1206">
        <f t="shared" ref="O14:O74" si="6">M14/$M$74</f>
        <v>0.13785491893416205</v>
      </c>
    </row>
    <row r="15" spans="1:17">
      <c r="A15" s="1188">
        <v>4</v>
      </c>
      <c r="B15" s="1191" t="s">
        <v>1372</v>
      </c>
      <c r="C15" s="1188" t="s">
        <v>1373</v>
      </c>
      <c r="D15" s="1200">
        <f>VALUE(VLOOKUP(C15,'3.05 - SAP DL Download'!$C$9:$D$120,2,FALSE))</f>
        <v>2275610.7200000002</v>
      </c>
      <c r="E15" s="1200"/>
      <c r="F15" s="1201">
        <f t="shared" si="0"/>
        <v>2275610.7200000002</v>
      </c>
      <c r="G15" s="1200"/>
      <c r="H15" s="1201">
        <f t="shared" si="1"/>
        <v>2275610.7200000002</v>
      </c>
      <c r="I15" s="1202"/>
      <c r="J15" s="1201">
        <f t="shared" si="2"/>
        <v>2275610.7200000002</v>
      </c>
      <c r="K15" s="1203">
        <f t="shared" si="3"/>
        <v>349168.1234523062</v>
      </c>
      <c r="L15" s="1204"/>
      <c r="M15" s="1205">
        <f t="shared" si="4"/>
        <v>2624778.8434523065</v>
      </c>
      <c r="N15" s="1206">
        <f t="shared" si="5"/>
        <v>1.201844323704861E-2</v>
      </c>
      <c r="O15" s="1206">
        <f t="shared" si="6"/>
        <v>1.9845575690734571E-2</v>
      </c>
    </row>
    <row r="16" spans="1:17">
      <c r="A16" s="1188">
        <v>5</v>
      </c>
      <c r="B16" s="1191" t="s">
        <v>1224</v>
      </c>
      <c r="C16" s="1188" t="s">
        <v>1374</v>
      </c>
      <c r="D16" s="1200">
        <f>VALUE(VLOOKUP(C16,'3.05 - SAP DL Download'!$C$9:$D$120,2,FALSE))</f>
        <v>8068369.6299999999</v>
      </c>
      <c r="E16" s="1200"/>
      <c r="F16" s="1201">
        <f t="shared" si="0"/>
        <v>8068369.6299999999</v>
      </c>
      <c r="G16" s="1200"/>
      <c r="H16" s="1201">
        <f t="shared" si="1"/>
        <v>8068369.6299999999</v>
      </c>
      <c r="I16" s="1202"/>
      <c r="J16" s="1201">
        <f t="shared" si="2"/>
        <v>8068369.6299999999</v>
      </c>
      <c r="K16" s="1203">
        <f t="shared" si="3"/>
        <v>1238005.0147710138</v>
      </c>
      <c r="L16" s="1204"/>
      <c r="M16" s="1205">
        <f t="shared" si="4"/>
        <v>9306374.6447710134</v>
      </c>
      <c r="N16" s="1206">
        <f t="shared" si="5"/>
        <v>4.2612403589697395E-2</v>
      </c>
      <c r="O16" s="1206">
        <f t="shared" si="6"/>
        <v>7.0364161491113492E-2</v>
      </c>
    </row>
    <row r="17" spans="1:15">
      <c r="A17" s="1188">
        <v>6</v>
      </c>
      <c r="B17" s="1191" t="s">
        <v>1375</v>
      </c>
      <c r="C17" s="1188" t="s">
        <v>1376</v>
      </c>
      <c r="D17" s="1200">
        <f>VALUE(VLOOKUP(C17,'3.05 - SAP DL Download'!$C$9:$D$120,2,FALSE))</f>
        <v>2173524.94</v>
      </c>
      <c r="E17" s="1200"/>
      <c r="F17" s="1201">
        <f t="shared" si="0"/>
        <v>2173524.94</v>
      </c>
      <c r="G17" s="1200"/>
      <c r="H17" s="1201">
        <f t="shared" si="1"/>
        <v>2173524.94</v>
      </c>
      <c r="I17" s="1202">
        <f>+H101*$D$5</f>
        <v>10284588.233892001</v>
      </c>
      <c r="J17" s="1201">
        <f t="shared" si="2"/>
        <v>12458113.173892001</v>
      </c>
      <c r="K17" s="1203">
        <f t="shared" si="3"/>
        <v>1911564.2057989265</v>
      </c>
      <c r="L17" s="1204"/>
      <c r="M17" s="1207">
        <f t="shared" si="4"/>
        <v>14369677.379690927</v>
      </c>
      <c r="N17" s="1206">
        <f t="shared" si="5"/>
        <v>6.5796458377181705E-2</v>
      </c>
      <c r="O17" s="1206">
        <f t="shared" si="6"/>
        <v>0.10864706594290044</v>
      </c>
    </row>
    <row r="18" spans="1:15">
      <c r="A18" s="1188">
        <v>7</v>
      </c>
      <c r="B18" s="1191" t="s">
        <v>1377</v>
      </c>
      <c r="C18" s="1188" t="s">
        <v>1378</v>
      </c>
      <c r="D18" s="1200">
        <f>VALUE(VLOOKUP(C18,'3.05 - SAP DL Download'!$C$9:$D$120,2,FALSE))</f>
        <v>265785.59999999998</v>
      </c>
      <c r="E18" s="1200"/>
      <c r="F18" s="1201">
        <f t="shared" si="0"/>
        <v>265785.59999999998</v>
      </c>
      <c r="G18" s="1200"/>
      <c r="H18" s="1201">
        <f t="shared" si="1"/>
        <v>265785.59999999998</v>
      </c>
      <c r="I18" s="1202">
        <f>+H102*$D$5</f>
        <v>841904.31781799998</v>
      </c>
      <c r="J18" s="1201">
        <f t="shared" si="2"/>
        <v>1107689.9178180001</v>
      </c>
      <c r="K18" s="1203">
        <f t="shared" si="3"/>
        <v>169963.16925926169</v>
      </c>
      <c r="L18" s="1204"/>
      <c r="M18" s="1207">
        <f t="shared" si="4"/>
        <v>1277653.0870772619</v>
      </c>
      <c r="N18" s="1206">
        <f t="shared" si="5"/>
        <v>5.8501694883677964E-3</v>
      </c>
      <c r="O18" s="1206">
        <f t="shared" si="6"/>
        <v>9.6601514102204068E-3</v>
      </c>
    </row>
    <row r="19" spans="1:15">
      <c r="A19" s="1188">
        <v>8</v>
      </c>
      <c r="B19" s="1191" t="s">
        <v>1379</v>
      </c>
      <c r="C19" s="1188" t="s">
        <v>1380</v>
      </c>
      <c r="D19" s="1200">
        <f>VALUE(VLOOKUP(C19,'3.05 - SAP DL Download'!$C$9:$D$120,2,FALSE))</f>
        <v>98539.91</v>
      </c>
      <c r="E19" s="1200"/>
      <c r="F19" s="1201">
        <f t="shared" si="0"/>
        <v>98539.91</v>
      </c>
      <c r="G19" s="1200"/>
      <c r="H19" s="1201">
        <f t="shared" si="1"/>
        <v>98539.91</v>
      </c>
      <c r="I19" s="1202">
        <f>+H103*$D$5</f>
        <v>0</v>
      </c>
      <c r="J19" s="1201">
        <f t="shared" si="2"/>
        <v>98539.91</v>
      </c>
      <c r="K19" s="1203">
        <f t="shared" si="3"/>
        <v>15119.89513736301</v>
      </c>
      <c r="L19" s="1204"/>
      <c r="M19" s="1207">
        <f t="shared" si="4"/>
        <v>113659.80513736302</v>
      </c>
      <c r="N19" s="1206">
        <f t="shared" si="5"/>
        <v>5.2043010015301674E-4</v>
      </c>
      <c r="O19" s="1206">
        <f t="shared" si="6"/>
        <v>8.5936545529332546E-4</v>
      </c>
    </row>
    <row r="20" spans="1:15">
      <c r="A20" s="1188">
        <v>9</v>
      </c>
      <c r="B20" s="1191" t="s">
        <v>1381</v>
      </c>
      <c r="C20" s="1188" t="s">
        <v>1382</v>
      </c>
      <c r="D20" s="1200">
        <f>VALUE(VLOOKUP(C20,'3.05 - SAP DL Download'!$C$9:$D$120,2,FALSE))</f>
        <v>5773932.9699999997</v>
      </c>
      <c r="E20" s="1200"/>
      <c r="F20" s="1201">
        <f t="shared" si="0"/>
        <v>5773932.9699999997</v>
      </c>
      <c r="G20" s="1200"/>
      <c r="H20" s="1201">
        <f t="shared" si="1"/>
        <v>5773932.9699999997</v>
      </c>
      <c r="I20" s="1202">
        <f>+H104*$D$5</f>
        <v>15371375.712030003</v>
      </c>
      <c r="J20" s="1201">
        <f t="shared" si="2"/>
        <v>21145308.682030004</v>
      </c>
      <c r="K20" s="1203">
        <f t="shared" si="3"/>
        <v>3244521.4321736777</v>
      </c>
      <c r="L20" s="1204"/>
      <c r="M20" s="1207">
        <f t="shared" si="4"/>
        <v>24389830.11420368</v>
      </c>
      <c r="N20" s="1206">
        <f t="shared" si="5"/>
        <v>0.11167713787393685</v>
      </c>
      <c r="O20" s="1206">
        <f t="shared" si="6"/>
        <v>0.18440800101045984</v>
      </c>
    </row>
    <row r="21" spans="1:15">
      <c r="A21" s="1186">
        <v>10</v>
      </c>
      <c r="B21" s="1194" t="s">
        <v>1383</v>
      </c>
      <c r="C21" s="1188"/>
      <c r="D21" s="1200">
        <f t="shared" ref="D21:K21" si="7">SUM(D14:D20)</f>
        <v>34463021.580000006</v>
      </c>
      <c r="E21" s="1200"/>
      <c r="F21" s="1200">
        <f t="shared" si="7"/>
        <v>34463021.580000006</v>
      </c>
      <c r="G21" s="1200">
        <f t="shared" si="7"/>
        <v>0</v>
      </c>
      <c r="H21" s="1200">
        <f t="shared" si="7"/>
        <v>34463021.580000006</v>
      </c>
      <c r="I21" s="1200">
        <f t="shared" si="7"/>
        <v>26497868.263740003</v>
      </c>
      <c r="J21" s="1200">
        <f t="shared" si="7"/>
        <v>60960889.843740001</v>
      </c>
      <c r="K21" s="1200">
        <f t="shared" si="7"/>
        <v>9353796.4659972452</v>
      </c>
      <c r="L21" s="1208"/>
      <c r="M21" s="1207">
        <f>SUM(M14:M20)</f>
        <v>70314686.30973725</v>
      </c>
      <c r="N21" s="1206">
        <f t="shared" si="5"/>
        <v>0.32195972176953108</v>
      </c>
      <c r="O21" s="1206">
        <f t="shared" si="6"/>
        <v>0.53163923993488416</v>
      </c>
    </row>
    <row r="22" spans="1:15">
      <c r="A22" s="1186">
        <v>11</v>
      </c>
      <c r="B22" s="1194" t="s">
        <v>1384</v>
      </c>
      <c r="C22" s="1188"/>
      <c r="D22" s="1209"/>
      <c r="E22" s="1200"/>
      <c r="F22" s="1209"/>
      <c r="G22" s="1200"/>
      <c r="H22" s="1210"/>
      <c r="I22" s="1202"/>
      <c r="J22" s="1211"/>
      <c r="K22" s="1203"/>
      <c r="L22" s="1212"/>
      <c r="M22" s="1213"/>
      <c r="N22" s="1206">
        <f t="shared" si="5"/>
        <v>0</v>
      </c>
      <c r="O22" s="1206">
        <f t="shared" si="6"/>
        <v>0</v>
      </c>
    </row>
    <row r="23" spans="1:15">
      <c r="A23" s="1188">
        <v>12</v>
      </c>
      <c r="B23" s="1191" t="s">
        <v>1370</v>
      </c>
      <c r="C23" s="1188" t="s">
        <v>1385</v>
      </c>
      <c r="D23" s="1200">
        <f>VALUE(VLOOKUP(C23,'3.05 - SAP DL Download'!$C$9:$D$120,2,FALSE))</f>
        <v>3851007.25</v>
      </c>
      <c r="E23" s="1200"/>
      <c r="F23" s="1201">
        <f>SUM(D23:E23)</f>
        <v>3851007.25</v>
      </c>
      <c r="G23" s="1200"/>
      <c r="H23" s="1201">
        <f>SUM(F23:G23)</f>
        <v>3851007.25</v>
      </c>
      <c r="I23" s="1202"/>
      <c r="J23" s="1201">
        <f>SUM(H23:I23)</f>
        <v>3851007.25</v>
      </c>
      <c r="K23" s="1203">
        <f>J23/$J$74*$K$74</f>
        <v>590895.86943224014</v>
      </c>
      <c r="L23" s="1204"/>
      <c r="M23" s="1205">
        <f>SUM(J23:K23)</f>
        <v>4441903.1194322398</v>
      </c>
      <c r="N23" s="1206">
        <f t="shared" si="5"/>
        <v>2.0338765164363285E-2</v>
      </c>
      <c r="O23" s="1206">
        <f t="shared" si="6"/>
        <v>3.3584591245660232E-2</v>
      </c>
    </row>
    <row r="24" spans="1:15">
      <c r="A24" s="1188">
        <v>13</v>
      </c>
      <c r="B24" s="1191" t="s">
        <v>1372</v>
      </c>
      <c r="C24" s="1188" t="s">
        <v>1386</v>
      </c>
      <c r="D24" s="1200">
        <f>VALUE(VLOOKUP(C24,'3.05 - SAP DL Download'!$C$9:$D$120,2,FALSE))</f>
        <v>366490.89</v>
      </c>
      <c r="E24" s="1200"/>
      <c r="F24" s="1201">
        <f>SUM(D24:E24)</f>
        <v>366490.89</v>
      </c>
      <c r="G24" s="1200"/>
      <c r="H24" s="1201">
        <f>SUM(F24:G24)</f>
        <v>366490.89</v>
      </c>
      <c r="I24" s="1202"/>
      <c r="J24" s="1201">
        <f>SUM(H24:I24)</f>
        <v>366490.89</v>
      </c>
      <c r="K24" s="1203">
        <f>J24/$J$74*$K$74</f>
        <v>56234.106826349256</v>
      </c>
      <c r="L24" s="1204"/>
      <c r="M24" s="1205">
        <f>SUM(J24:K24)</f>
        <v>422724.99682634929</v>
      </c>
      <c r="N24" s="1206">
        <f t="shared" si="5"/>
        <v>1.9355902657904626E-3</v>
      </c>
      <c r="O24" s="1206">
        <f t="shared" si="6"/>
        <v>3.1961629612377979E-3</v>
      </c>
    </row>
    <row r="25" spans="1:15">
      <c r="A25" s="1188">
        <v>14</v>
      </c>
      <c r="B25" s="1191" t="s">
        <v>1224</v>
      </c>
      <c r="C25" s="1188" t="s">
        <v>1387</v>
      </c>
      <c r="D25" s="1200">
        <f>VALUE(VLOOKUP(C25,'3.05 - SAP DL Download'!$C$9:$D$120,2,FALSE))</f>
        <v>10924040.949999999</v>
      </c>
      <c r="E25" s="1200"/>
      <c r="F25" s="1201">
        <f>SUM(D25:E25)</f>
        <v>10924040.949999999</v>
      </c>
      <c r="G25" s="1200"/>
      <c r="H25" s="1201">
        <f>SUM(F25:G25)</f>
        <v>10924040.949999999</v>
      </c>
      <c r="I25" s="1202"/>
      <c r="J25" s="1201">
        <f>SUM(H25:I25)</f>
        <v>10924040.949999999</v>
      </c>
      <c r="K25" s="1203">
        <f>J25/$J$74*$K$74</f>
        <v>1676177.2325574418</v>
      </c>
      <c r="L25" s="1204"/>
      <c r="M25" s="1205">
        <f>SUM(J25:K25)</f>
        <v>12600218.182557441</v>
      </c>
      <c r="N25" s="1206">
        <f t="shared" si="5"/>
        <v>5.7694387235427309E-2</v>
      </c>
      <c r="O25" s="1206">
        <f t="shared" si="6"/>
        <v>9.5268439200316718E-2</v>
      </c>
    </row>
    <row r="26" spans="1:15">
      <c r="A26" s="1188">
        <v>15</v>
      </c>
      <c r="B26" s="1191" t="s">
        <v>1381</v>
      </c>
      <c r="C26" s="1188" t="s">
        <v>1388</v>
      </c>
      <c r="D26" s="1200">
        <f>VALUE(VLOOKUP(C26,'3.05 - SAP DL Download'!$C$9:$D$120,2,FALSE))</f>
        <v>73791</v>
      </c>
      <c r="E26" s="1200"/>
      <c r="F26" s="1201">
        <f>SUM(D26:E26)</f>
        <v>73791</v>
      </c>
      <c r="G26" s="1200"/>
      <c r="H26" s="1201">
        <f>SUM(F26:G26)</f>
        <v>73791</v>
      </c>
      <c r="I26" s="1202">
        <f>+H105*$D$5</f>
        <v>680817.084516</v>
      </c>
      <c r="J26" s="1201">
        <f>SUM(H26:I26)</f>
        <v>754608.084516</v>
      </c>
      <c r="K26" s="1203">
        <f>J26/$J$74*$K$74</f>
        <v>115786.53875052539</v>
      </c>
      <c r="L26" s="1204"/>
      <c r="M26" s="1207">
        <f>SUM(J26:K26)</f>
        <v>870394.62326652533</v>
      </c>
      <c r="N26" s="1206">
        <f t="shared" si="5"/>
        <v>3.9853980077811926E-3</v>
      </c>
      <c r="O26" s="1206">
        <f t="shared" si="6"/>
        <v>6.5809286827856498E-3</v>
      </c>
    </row>
    <row r="27" spans="1:15">
      <c r="A27" s="1186">
        <v>16</v>
      </c>
      <c r="B27" s="1194" t="s">
        <v>1389</v>
      </c>
      <c r="C27" s="1188"/>
      <c r="D27" s="1200">
        <f t="shared" ref="D27:K27" si="8">SUM(D23:D26)</f>
        <v>15215330.09</v>
      </c>
      <c r="E27" s="1200"/>
      <c r="F27" s="1200">
        <f t="shared" si="8"/>
        <v>15215330.09</v>
      </c>
      <c r="G27" s="1200">
        <f t="shared" si="8"/>
        <v>0</v>
      </c>
      <c r="H27" s="1200">
        <f t="shared" si="8"/>
        <v>15215330.09</v>
      </c>
      <c r="I27" s="1200">
        <f t="shared" si="8"/>
        <v>680817.084516</v>
      </c>
      <c r="J27" s="1200">
        <f t="shared" si="8"/>
        <v>15896147.174516</v>
      </c>
      <c r="K27" s="1200">
        <f t="shared" si="8"/>
        <v>2439093.7475665566</v>
      </c>
      <c r="L27" s="1204"/>
      <c r="M27" s="1207">
        <f>SUM(M23:M26)</f>
        <v>18335240.922082558</v>
      </c>
      <c r="N27" s="1206">
        <f t="shared" si="5"/>
        <v>8.3954140673362265E-2</v>
      </c>
      <c r="O27" s="1206">
        <f t="shared" si="6"/>
        <v>0.13863012209000042</v>
      </c>
    </row>
    <row r="28" spans="1:15">
      <c r="A28" s="1186">
        <v>17</v>
      </c>
      <c r="B28" s="1194" t="s">
        <v>1390</v>
      </c>
      <c r="C28" s="1188"/>
      <c r="D28" s="1209"/>
      <c r="E28" s="1200"/>
      <c r="F28" s="1209"/>
      <c r="G28" s="1200"/>
      <c r="H28" s="1210"/>
      <c r="I28" s="1202"/>
      <c r="J28" s="1211"/>
      <c r="K28" s="1203"/>
      <c r="L28" s="1212"/>
      <c r="M28" s="1213"/>
      <c r="N28" s="1206">
        <f t="shared" si="5"/>
        <v>0</v>
      </c>
      <c r="O28" s="1206">
        <f t="shared" si="6"/>
        <v>0</v>
      </c>
    </row>
    <row r="29" spans="1:15">
      <c r="A29" s="1188">
        <v>18</v>
      </c>
      <c r="B29" s="1191" t="s">
        <v>1391</v>
      </c>
      <c r="C29" s="1188"/>
      <c r="D29" s="1200">
        <f t="shared" ref="D29:J31" si="9">+D14+D23</f>
        <v>19658265.060000002</v>
      </c>
      <c r="E29" s="1200"/>
      <c r="F29" s="1200">
        <f t="shared" si="9"/>
        <v>19658265.060000002</v>
      </c>
      <c r="G29" s="1200">
        <f t="shared" si="9"/>
        <v>0</v>
      </c>
      <c r="H29" s="1200">
        <f t="shared" si="9"/>
        <v>19658265.060000002</v>
      </c>
      <c r="I29" s="1200">
        <f t="shared" si="9"/>
        <v>0</v>
      </c>
      <c r="J29" s="1200">
        <f t="shared" si="9"/>
        <v>19658265.060000002</v>
      </c>
      <c r="K29" s="1200">
        <f>+K14+K23</f>
        <v>3016350.4948369362</v>
      </c>
      <c r="L29" s="1214" t="s">
        <v>288</v>
      </c>
      <c r="M29" s="1215">
        <f>+M14+M23</f>
        <v>22674615.554836936</v>
      </c>
      <c r="N29" s="1206">
        <f t="shared" si="5"/>
        <v>0.10382344426750897</v>
      </c>
      <c r="O29" s="1206">
        <f t="shared" si="6"/>
        <v>0.17143951017982229</v>
      </c>
    </row>
    <row r="30" spans="1:15">
      <c r="A30" s="1188">
        <v>19</v>
      </c>
      <c r="B30" s="1191" t="s">
        <v>1392</v>
      </c>
      <c r="C30" s="1188"/>
      <c r="D30" s="1200">
        <f t="shared" si="9"/>
        <v>2642101.6100000003</v>
      </c>
      <c r="E30" s="1200"/>
      <c r="F30" s="1200">
        <f t="shared" si="9"/>
        <v>2642101.6100000003</v>
      </c>
      <c r="G30" s="1200">
        <f t="shared" si="9"/>
        <v>0</v>
      </c>
      <c r="H30" s="1200">
        <f t="shared" si="9"/>
        <v>2642101.6100000003</v>
      </c>
      <c r="I30" s="1200">
        <f t="shared" si="9"/>
        <v>0</v>
      </c>
      <c r="J30" s="1200">
        <f t="shared" si="9"/>
        <v>2642101.6100000003</v>
      </c>
      <c r="K30" s="1200">
        <f>+K15+K24</f>
        <v>405402.23027865548</v>
      </c>
      <c r="L30" s="1214" t="s">
        <v>289</v>
      </c>
      <c r="M30" s="1215">
        <f>+M15+M24</f>
        <v>3047503.8402786558</v>
      </c>
      <c r="N30" s="1206">
        <f t="shared" si="5"/>
        <v>1.3954033502839072E-2</v>
      </c>
      <c r="O30" s="1206">
        <f t="shared" si="6"/>
        <v>2.3041738651972368E-2</v>
      </c>
    </row>
    <row r="31" spans="1:15">
      <c r="A31" s="1188">
        <v>20</v>
      </c>
      <c r="B31" s="1191" t="s">
        <v>1393</v>
      </c>
      <c r="C31" s="1188"/>
      <c r="D31" s="1200">
        <f t="shared" si="9"/>
        <v>18992410.579999998</v>
      </c>
      <c r="E31" s="1200"/>
      <c r="F31" s="1200">
        <f t="shared" si="9"/>
        <v>18992410.579999998</v>
      </c>
      <c r="G31" s="1200">
        <f t="shared" si="9"/>
        <v>0</v>
      </c>
      <c r="H31" s="1200">
        <f t="shared" si="9"/>
        <v>18992410.579999998</v>
      </c>
      <c r="I31" s="1200">
        <f t="shared" si="9"/>
        <v>0</v>
      </c>
      <c r="J31" s="1200">
        <f t="shared" si="9"/>
        <v>18992410.579999998</v>
      </c>
      <c r="K31" s="1200">
        <f>+K16+K25</f>
        <v>2914182.2473284556</v>
      </c>
      <c r="L31" s="1214" t="s">
        <v>289</v>
      </c>
      <c r="M31" s="1215">
        <f>+M16+M25</f>
        <v>21906592.827328455</v>
      </c>
      <c r="N31" s="1206">
        <f t="shared" si="5"/>
        <v>0.10030679082512471</v>
      </c>
      <c r="O31" s="1206">
        <f t="shared" si="6"/>
        <v>0.16563260069143021</v>
      </c>
    </row>
    <row r="32" spans="1:15">
      <c r="A32" s="1188">
        <v>21</v>
      </c>
      <c r="B32" s="1191" t="s">
        <v>1394</v>
      </c>
      <c r="C32" s="1188"/>
      <c r="D32" s="1200">
        <f t="shared" ref="D32:J34" si="10">+D17</f>
        <v>2173524.94</v>
      </c>
      <c r="E32" s="1200"/>
      <c r="F32" s="1200">
        <f t="shared" si="10"/>
        <v>2173524.94</v>
      </c>
      <c r="G32" s="1200">
        <f t="shared" si="10"/>
        <v>0</v>
      </c>
      <c r="H32" s="1200">
        <f t="shared" si="10"/>
        <v>2173524.94</v>
      </c>
      <c r="I32" s="1200">
        <f t="shared" si="10"/>
        <v>10284588.233892001</v>
      </c>
      <c r="J32" s="1200">
        <f t="shared" si="10"/>
        <v>12458113.173892001</v>
      </c>
      <c r="K32" s="1200">
        <f>+K17</f>
        <v>1911564.2057989265</v>
      </c>
      <c r="L32" s="1214"/>
      <c r="M32" s="1205">
        <f>+M17</f>
        <v>14369677.379690927</v>
      </c>
      <c r="N32" s="1206">
        <f t="shared" si="5"/>
        <v>6.5796458377181705E-2</v>
      </c>
      <c r="O32" s="1206">
        <f t="shared" si="6"/>
        <v>0.10864706594290044</v>
      </c>
    </row>
    <row r="33" spans="1:15">
      <c r="A33" s="1188">
        <v>22</v>
      </c>
      <c r="B33" s="1191" t="s">
        <v>1395</v>
      </c>
      <c r="C33" s="1188"/>
      <c r="D33" s="1200">
        <f t="shared" si="10"/>
        <v>265785.59999999998</v>
      </c>
      <c r="E33" s="1200"/>
      <c r="F33" s="1200">
        <f t="shared" si="10"/>
        <v>265785.59999999998</v>
      </c>
      <c r="G33" s="1200">
        <f t="shared" si="10"/>
        <v>0</v>
      </c>
      <c r="H33" s="1200">
        <f t="shared" si="10"/>
        <v>265785.59999999998</v>
      </c>
      <c r="I33" s="1200">
        <f t="shared" si="10"/>
        <v>841904.31781799998</v>
      </c>
      <c r="J33" s="1200">
        <f t="shared" si="10"/>
        <v>1107689.9178180001</v>
      </c>
      <c r="K33" s="1200">
        <f>+K18</f>
        <v>169963.16925926169</v>
      </c>
      <c r="L33" s="1208"/>
      <c r="M33" s="1205">
        <f>+M18</f>
        <v>1277653.0870772619</v>
      </c>
      <c r="N33" s="1206">
        <f t="shared" si="5"/>
        <v>5.8501694883677964E-3</v>
      </c>
      <c r="O33" s="1206">
        <f t="shared" si="6"/>
        <v>9.6601514102204068E-3</v>
      </c>
    </row>
    <row r="34" spans="1:15">
      <c r="A34" s="1188">
        <v>23</v>
      </c>
      <c r="B34" s="1191" t="s">
        <v>1396</v>
      </c>
      <c r="C34" s="1188"/>
      <c r="D34" s="1200">
        <f t="shared" si="10"/>
        <v>98539.91</v>
      </c>
      <c r="E34" s="1200"/>
      <c r="F34" s="1200">
        <f t="shared" si="10"/>
        <v>98539.91</v>
      </c>
      <c r="G34" s="1200">
        <f t="shared" si="10"/>
        <v>0</v>
      </c>
      <c r="H34" s="1200">
        <f t="shared" si="10"/>
        <v>98539.91</v>
      </c>
      <c r="I34" s="1200">
        <f t="shared" si="10"/>
        <v>0</v>
      </c>
      <c r="J34" s="1200">
        <f t="shared" si="10"/>
        <v>98539.91</v>
      </c>
      <c r="K34" s="1200">
        <f>+K19</f>
        <v>15119.89513736301</v>
      </c>
      <c r="L34" s="1208"/>
      <c r="M34" s="1205">
        <f>+M19</f>
        <v>113659.80513736302</v>
      </c>
      <c r="N34" s="1206">
        <f t="shared" si="5"/>
        <v>5.2043010015301674E-4</v>
      </c>
      <c r="O34" s="1206">
        <f t="shared" si="6"/>
        <v>8.5936545529332546E-4</v>
      </c>
    </row>
    <row r="35" spans="1:15" ht="13.5" thickBot="1">
      <c r="A35" s="1188">
        <v>24</v>
      </c>
      <c r="B35" s="1191" t="s">
        <v>1397</v>
      </c>
      <c r="C35" s="1188"/>
      <c r="D35" s="1200">
        <f t="shared" ref="D35:J35" si="11">+D20+D26</f>
        <v>5847723.9699999997</v>
      </c>
      <c r="E35" s="1200"/>
      <c r="F35" s="1200">
        <f t="shared" si="11"/>
        <v>5847723.9699999997</v>
      </c>
      <c r="G35" s="1200">
        <f t="shared" si="11"/>
        <v>0</v>
      </c>
      <c r="H35" s="1200">
        <f t="shared" si="11"/>
        <v>5847723.9699999997</v>
      </c>
      <c r="I35" s="1200">
        <f t="shared" si="11"/>
        <v>16052192.796546003</v>
      </c>
      <c r="J35" s="1200">
        <f t="shared" si="11"/>
        <v>21899916.766546004</v>
      </c>
      <c r="K35" s="1200">
        <f>+K20+K26</f>
        <v>3360307.9709242033</v>
      </c>
      <c r="L35" s="1208"/>
      <c r="M35" s="1205">
        <f>+M20+M26</f>
        <v>25260224.737470206</v>
      </c>
      <c r="N35" s="1206">
        <f t="shared" si="5"/>
        <v>0.11566253588171804</v>
      </c>
      <c r="O35" s="1216">
        <f t="shared" si="6"/>
        <v>0.19098892969324549</v>
      </c>
    </row>
    <row r="36" spans="1:15" ht="14.25" thickTop="1" thickBot="1">
      <c r="A36" s="1186">
        <v>25</v>
      </c>
      <c r="B36" s="1194" t="s">
        <v>1398</v>
      </c>
      <c r="C36" s="1188"/>
      <c r="D36" s="1200">
        <f t="shared" ref="D36:K36" si="12">SUM(D29:D35)</f>
        <v>49678351.669999994</v>
      </c>
      <c r="E36" s="1200"/>
      <c r="F36" s="1200">
        <f t="shared" si="12"/>
        <v>49678351.669999994</v>
      </c>
      <c r="G36" s="1200">
        <f t="shared" si="12"/>
        <v>0</v>
      </c>
      <c r="H36" s="1200">
        <f t="shared" si="12"/>
        <v>49678351.669999994</v>
      </c>
      <c r="I36" s="1200">
        <f t="shared" si="12"/>
        <v>27178685.348256007</v>
      </c>
      <c r="J36" s="1200">
        <f t="shared" si="12"/>
        <v>76857037.018256009</v>
      </c>
      <c r="K36" s="1200">
        <f t="shared" si="12"/>
        <v>11792890.2135638</v>
      </c>
      <c r="L36" s="1204"/>
      <c r="M36" s="1205">
        <f>M27+M21</f>
        <v>88649927.231819808</v>
      </c>
      <c r="N36" s="1217">
        <f t="shared" si="5"/>
        <v>0.40591386244289335</v>
      </c>
      <c r="O36" s="1218">
        <f t="shared" si="6"/>
        <v>0.67026936202488452</v>
      </c>
    </row>
    <row r="37" spans="1:15" ht="13.5" thickTop="1">
      <c r="A37" s="1186">
        <v>26</v>
      </c>
      <c r="B37" s="1187" t="s">
        <v>940</v>
      </c>
      <c r="C37" s="1188"/>
      <c r="D37" s="1219"/>
      <c r="E37" s="1200"/>
      <c r="F37" s="1219"/>
      <c r="G37" s="1200"/>
      <c r="H37" s="1219"/>
      <c r="I37" s="1202"/>
      <c r="J37" s="1220"/>
      <c r="K37" s="1203"/>
      <c r="L37" s="1221"/>
      <c r="M37" s="1222"/>
      <c r="N37" s="1206">
        <f t="shared" si="5"/>
        <v>0</v>
      </c>
      <c r="O37" s="1223">
        <f t="shared" si="6"/>
        <v>0</v>
      </c>
    </row>
    <row r="38" spans="1:15">
      <c r="A38" s="1186">
        <v>27</v>
      </c>
      <c r="B38" s="1194" t="s">
        <v>1369</v>
      </c>
      <c r="C38" s="1188"/>
      <c r="D38" s="1224"/>
      <c r="E38" s="1200"/>
      <c r="F38" s="1224"/>
      <c r="G38" s="1200"/>
      <c r="H38" s="1224"/>
      <c r="I38" s="1202"/>
      <c r="J38" s="1225"/>
      <c r="K38" s="1203"/>
      <c r="L38" s="1212"/>
      <c r="M38" s="1213"/>
      <c r="N38" s="1206">
        <f t="shared" si="5"/>
        <v>0</v>
      </c>
      <c r="O38" s="1206">
        <f t="shared" si="6"/>
        <v>0</v>
      </c>
    </row>
    <row r="39" spans="1:15">
      <c r="A39" s="1188">
        <v>28</v>
      </c>
      <c r="B39" s="1191" t="s">
        <v>1399</v>
      </c>
      <c r="C39" s="1188" t="s">
        <v>1400</v>
      </c>
      <c r="D39" s="1200">
        <f>VALUE(VLOOKUP(C39,'3.05 - SAP DL Download'!$C$9:$D$120,2,FALSE))</f>
        <v>118238.97</v>
      </c>
      <c r="E39" s="1200"/>
      <c r="F39" s="1201">
        <f t="shared" ref="F39:F48" si="13">SUM(D39:E39)</f>
        <v>118238.97</v>
      </c>
      <c r="G39" s="1200"/>
      <c r="H39" s="1201">
        <f t="shared" ref="H39:H48" si="14">SUM(F39:G39)</f>
        <v>118238.97</v>
      </c>
      <c r="I39" s="1202"/>
      <c r="J39" s="1201">
        <f t="shared" ref="J39:J48" si="15">SUM(H39:I39)</f>
        <v>118238.97</v>
      </c>
      <c r="K39" s="1203">
        <f t="shared" ref="K39:K48" si="16">J39/$J$74*$K$74</f>
        <v>18142.505179371594</v>
      </c>
      <c r="L39" s="1204"/>
      <c r="M39" s="1207">
        <f t="shared" ref="M39:M48" si="17">SUM(J39:K39)</f>
        <v>136381.4751793716</v>
      </c>
      <c r="N39" s="1206">
        <f t="shared" si="5"/>
        <v>6.2446899940429769E-4</v>
      </c>
      <c r="O39" s="1206">
        <f t="shared" si="6"/>
        <v>1.0311607376895702E-3</v>
      </c>
    </row>
    <row r="40" spans="1:15">
      <c r="A40" s="1188">
        <v>29</v>
      </c>
      <c r="B40" s="1191" t="s">
        <v>1401</v>
      </c>
      <c r="C40" s="1188"/>
      <c r="D40" s="1200"/>
      <c r="E40" s="1200"/>
      <c r="F40" s="1201">
        <f t="shared" si="13"/>
        <v>0</v>
      </c>
      <c r="G40" s="1200"/>
      <c r="H40" s="1201">
        <f t="shared" si="14"/>
        <v>0</v>
      </c>
      <c r="I40" s="1202"/>
      <c r="J40" s="1201">
        <f t="shared" si="15"/>
        <v>0</v>
      </c>
      <c r="K40" s="1203">
        <f t="shared" si="16"/>
        <v>0</v>
      </c>
      <c r="L40" s="1204"/>
      <c r="M40" s="1207">
        <f t="shared" si="17"/>
        <v>0</v>
      </c>
      <c r="N40" s="1206">
        <f t="shared" si="5"/>
        <v>0</v>
      </c>
      <c r="O40" s="1206">
        <f t="shared" si="6"/>
        <v>0</v>
      </c>
    </row>
    <row r="41" spans="1:15">
      <c r="A41" s="1188">
        <v>30</v>
      </c>
      <c r="B41" s="1191" t="s">
        <v>1402</v>
      </c>
      <c r="C41" s="1188" t="s">
        <v>1403</v>
      </c>
      <c r="D41" s="1200">
        <f>VALUE(VLOOKUP(C41,'3.05 - SAP DL Download'!$C$9:$D$120,2,FALSE))</f>
        <v>387523.67</v>
      </c>
      <c r="E41" s="1200"/>
      <c r="F41" s="1201">
        <f t="shared" si="13"/>
        <v>387523.67</v>
      </c>
      <c r="G41" s="1200"/>
      <c r="H41" s="1201">
        <f t="shared" si="14"/>
        <v>387523.67</v>
      </c>
      <c r="I41" s="1202"/>
      <c r="J41" s="1201">
        <f t="shared" si="15"/>
        <v>387523.67</v>
      </c>
      <c r="K41" s="1203">
        <f t="shared" si="16"/>
        <v>59461.361935951303</v>
      </c>
      <c r="L41" s="1204"/>
      <c r="M41" s="1207">
        <f t="shared" si="17"/>
        <v>446985.03193595127</v>
      </c>
      <c r="N41" s="1206">
        <f t="shared" si="5"/>
        <v>2.0466730930621367E-3</v>
      </c>
      <c r="O41" s="1206">
        <f t="shared" si="6"/>
        <v>3.3795896008682207E-3</v>
      </c>
    </row>
    <row r="42" spans="1:15">
      <c r="A42" s="1188">
        <v>31</v>
      </c>
      <c r="B42" s="1191" t="s">
        <v>1404</v>
      </c>
      <c r="C42" s="1188" t="s">
        <v>1405</v>
      </c>
      <c r="D42" s="1200">
        <f>VALUE(VLOOKUP(C42,'3.05 - SAP DL Download'!$C$9:$D$120,2,FALSE))</f>
        <v>331624.21000000002</v>
      </c>
      <c r="E42" s="1200"/>
      <c r="F42" s="1201">
        <f t="shared" si="13"/>
        <v>331624.21000000002</v>
      </c>
      <c r="G42" s="1200"/>
      <c r="H42" s="1201">
        <f t="shared" si="14"/>
        <v>331624.21000000002</v>
      </c>
      <c r="I42" s="1202"/>
      <c r="J42" s="1201">
        <f t="shared" si="15"/>
        <v>331624.21000000002</v>
      </c>
      <c r="K42" s="1203">
        <f t="shared" si="16"/>
        <v>50884.187738864894</v>
      </c>
      <c r="L42" s="1204"/>
      <c r="M42" s="1207">
        <f t="shared" si="17"/>
        <v>382508.39773886494</v>
      </c>
      <c r="N42" s="1206">
        <f t="shared" si="5"/>
        <v>1.751444879779828E-3</v>
      </c>
      <c r="O42" s="1206">
        <f t="shared" si="6"/>
        <v>2.8920910341093207E-3</v>
      </c>
    </row>
    <row r="43" spans="1:15">
      <c r="A43" s="1188">
        <v>32</v>
      </c>
      <c r="B43" s="1191" t="s">
        <v>1372</v>
      </c>
      <c r="C43" s="1188" t="s">
        <v>1406</v>
      </c>
      <c r="D43" s="1200">
        <f>VALUE(VLOOKUP(C43,'3.05 - SAP DL Download'!$C$9:$D$120,2,FALSE))</f>
        <v>0</v>
      </c>
      <c r="E43" s="1200"/>
      <c r="F43" s="1201">
        <f t="shared" si="13"/>
        <v>0</v>
      </c>
      <c r="G43" s="1200"/>
      <c r="H43" s="1201">
        <f t="shared" si="14"/>
        <v>0</v>
      </c>
      <c r="I43" s="1202"/>
      <c r="J43" s="1201">
        <f t="shared" si="15"/>
        <v>0</v>
      </c>
      <c r="K43" s="1203">
        <f t="shared" si="16"/>
        <v>0</v>
      </c>
      <c r="L43" s="1204"/>
      <c r="M43" s="1207">
        <f t="shared" si="17"/>
        <v>0</v>
      </c>
      <c r="N43" s="1206">
        <f t="shared" si="5"/>
        <v>0</v>
      </c>
      <c r="O43" s="1206">
        <f t="shared" si="6"/>
        <v>0</v>
      </c>
    </row>
    <row r="44" spans="1:15">
      <c r="A44" s="1188">
        <v>33</v>
      </c>
      <c r="B44" s="1191" t="s">
        <v>1224</v>
      </c>
      <c r="C44" s="1188" t="s">
        <v>1407</v>
      </c>
      <c r="D44" s="1200">
        <f>VALUE(VLOOKUP(C44,'3.05 - SAP DL Download'!$C$9:$D$120,2,FALSE))</f>
        <v>14976862.67</v>
      </c>
      <c r="E44" s="1200"/>
      <c r="F44" s="1201">
        <f t="shared" si="13"/>
        <v>14976862.67</v>
      </c>
      <c r="G44" s="1200"/>
      <c r="H44" s="1201">
        <f t="shared" si="14"/>
        <v>14976862.67</v>
      </c>
      <c r="I44" s="1202"/>
      <c r="J44" s="1201">
        <f t="shared" si="15"/>
        <v>14976862.67</v>
      </c>
      <c r="K44" s="1203">
        <f t="shared" si="16"/>
        <v>2298039.373661764</v>
      </c>
      <c r="L44" s="1204"/>
      <c r="M44" s="1207">
        <f t="shared" si="17"/>
        <v>17274902.043661766</v>
      </c>
      <c r="N44" s="1206">
        <f t="shared" si="5"/>
        <v>7.9099018248809827E-2</v>
      </c>
      <c r="O44" s="1206">
        <f t="shared" si="6"/>
        <v>0.13061305218636957</v>
      </c>
    </row>
    <row r="45" spans="1:15">
      <c r="A45" s="1188">
        <v>34</v>
      </c>
      <c r="B45" s="1191" t="s">
        <v>1375</v>
      </c>
      <c r="C45" s="1188" t="s">
        <v>1408</v>
      </c>
      <c r="D45" s="1200">
        <f>VALUE(VLOOKUP(C45,'3.05 - SAP DL Download'!$C$9:$D$120,2,FALSE))</f>
        <v>1548579.93</v>
      </c>
      <c r="E45" s="1200"/>
      <c r="F45" s="1201">
        <f t="shared" si="13"/>
        <v>1548579.93</v>
      </c>
      <c r="G45" s="1200"/>
      <c r="H45" s="1201">
        <f t="shared" si="14"/>
        <v>1548579.93</v>
      </c>
      <c r="I45" s="1202">
        <f>+H101*$E$5</f>
        <v>5178632.6861079996</v>
      </c>
      <c r="J45" s="1201">
        <f t="shared" si="15"/>
        <v>6727212.6161079993</v>
      </c>
      <c r="K45" s="1203">
        <f t="shared" si="16"/>
        <v>1032218.816947351</v>
      </c>
      <c r="L45" s="1204"/>
      <c r="M45" s="1207">
        <f t="shared" si="17"/>
        <v>7759431.4330553506</v>
      </c>
      <c r="N45" s="1206">
        <f t="shared" si="5"/>
        <v>3.5529197617003343E-2</v>
      </c>
      <c r="O45" s="1206">
        <f t="shared" si="6"/>
        <v>5.8667946141788177E-2</v>
      </c>
    </row>
    <row r="46" spans="1:15">
      <c r="A46" s="1188">
        <v>35</v>
      </c>
      <c r="B46" s="1191" t="s">
        <v>1377</v>
      </c>
      <c r="C46" s="1188" t="s">
        <v>1409</v>
      </c>
      <c r="D46" s="1200">
        <f>VALUE(VLOOKUP(C46,'3.05 - SAP DL Download'!$C$9:$D$120,2,FALSE))</f>
        <v>224575.46</v>
      </c>
      <c r="E46" s="1200"/>
      <c r="F46" s="1201">
        <f t="shared" si="13"/>
        <v>224575.46</v>
      </c>
      <c r="G46" s="1200"/>
      <c r="H46" s="1201">
        <f t="shared" si="14"/>
        <v>224575.46</v>
      </c>
      <c r="I46" s="1202">
        <f>+H102*$E$5</f>
        <v>423926.86218199995</v>
      </c>
      <c r="J46" s="1201">
        <f t="shared" si="15"/>
        <v>648502.32218199992</v>
      </c>
      <c r="K46" s="1203">
        <f t="shared" si="16"/>
        <v>99505.744502184345</v>
      </c>
      <c r="L46" s="1204"/>
      <c r="M46" s="1207">
        <f t="shared" si="17"/>
        <v>748008.06668418425</v>
      </c>
      <c r="N46" s="1206">
        <f t="shared" si="5"/>
        <v>3.425009506124393E-3</v>
      </c>
      <c r="O46" s="1206">
        <f t="shared" si="6"/>
        <v>5.6555815137309664E-3</v>
      </c>
    </row>
    <row r="47" spans="1:15">
      <c r="A47" s="1188">
        <v>36</v>
      </c>
      <c r="B47" s="1191" t="s">
        <v>1379</v>
      </c>
      <c r="C47" s="1188" t="s">
        <v>1410</v>
      </c>
      <c r="D47" s="1200">
        <f>VALUE(VLOOKUP(C47,'3.05 - SAP DL Download'!$C$9:$D$120,2,FALSE))</f>
        <v>125670.33</v>
      </c>
      <c r="E47" s="1200"/>
      <c r="F47" s="1201">
        <f t="shared" si="13"/>
        <v>125670.33</v>
      </c>
      <c r="G47" s="1200"/>
      <c r="H47" s="1201">
        <f t="shared" si="14"/>
        <v>125670.33</v>
      </c>
      <c r="I47" s="1202">
        <f>+H103*$E$5</f>
        <v>0</v>
      </c>
      <c r="J47" s="1201">
        <f t="shared" si="15"/>
        <v>125670.33</v>
      </c>
      <c r="K47" s="1203">
        <f t="shared" si="16"/>
        <v>19282.767880321837</v>
      </c>
      <c r="L47" s="1204"/>
      <c r="M47" s="1207">
        <f t="shared" si="17"/>
        <v>144953.09788032185</v>
      </c>
      <c r="N47" s="1206">
        <f t="shared" si="5"/>
        <v>6.6371709115791431E-4</v>
      </c>
      <c r="O47" s="1206">
        <f t="shared" si="6"/>
        <v>1.0959695453072005E-3</v>
      </c>
    </row>
    <row r="48" spans="1:15">
      <c r="A48" s="1188">
        <v>37</v>
      </c>
      <c r="B48" s="1191" t="s">
        <v>1381</v>
      </c>
      <c r="C48" s="1188" t="s">
        <v>1411</v>
      </c>
      <c r="D48" s="1201">
        <f>VALUE(VLOOKUP(C48,'3.05 - SAP DL Download'!$C$9:$D$120,2,FALSE))</f>
        <v>1588519.2</v>
      </c>
      <c r="E48" s="1200"/>
      <c r="F48" s="1201">
        <f t="shared" si="13"/>
        <v>1588519.2</v>
      </c>
      <c r="G48" s="1200"/>
      <c r="H48" s="1201">
        <f t="shared" si="14"/>
        <v>1588519.2</v>
      </c>
      <c r="I48" s="1202">
        <f>+H104*$E$5</f>
        <v>7739999.5879700007</v>
      </c>
      <c r="J48" s="1201">
        <f t="shared" si="15"/>
        <v>9328518.7879700009</v>
      </c>
      <c r="K48" s="1203">
        <f t="shared" si="16"/>
        <v>1431361.42362041</v>
      </c>
      <c r="L48" s="1204"/>
      <c r="M48" s="1207">
        <f t="shared" si="17"/>
        <v>10759880.211590411</v>
      </c>
      <c r="N48" s="1206">
        <f t="shared" si="5"/>
        <v>4.9267773505197295E-2</v>
      </c>
      <c r="O48" s="1206">
        <f t="shared" si="6"/>
        <v>8.1353908233082209E-2</v>
      </c>
    </row>
    <row r="49" spans="1:15">
      <c r="A49" s="1188">
        <v>38</v>
      </c>
      <c r="B49" s="1194" t="s">
        <v>1412</v>
      </c>
      <c r="C49" s="1188"/>
      <c r="D49" s="1200">
        <f t="shared" ref="D49:K49" si="18">SUM(D39:D48)</f>
        <v>19301594.439999998</v>
      </c>
      <c r="E49" s="1200"/>
      <c r="F49" s="1200">
        <f t="shared" si="18"/>
        <v>19301594.439999998</v>
      </c>
      <c r="G49" s="1200">
        <f t="shared" si="18"/>
        <v>0</v>
      </c>
      <c r="H49" s="1200">
        <f t="shared" si="18"/>
        <v>19301594.439999998</v>
      </c>
      <c r="I49" s="1200">
        <f>SUM(I39:I48)</f>
        <v>13342559.136259999</v>
      </c>
      <c r="J49" s="1200">
        <f t="shared" si="18"/>
        <v>32644153.57626</v>
      </c>
      <c r="K49" s="1200">
        <f t="shared" si="18"/>
        <v>5008896.181466219</v>
      </c>
      <c r="L49" s="1208"/>
      <c r="M49" s="1207">
        <f>SUM(M39:M48)</f>
        <v>37653049.757726215</v>
      </c>
      <c r="N49" s="1206">
        <f t="shared" si="5"/>
        <v>0.17240730294053902</v>
      </c>
      <c r="O49" s="1206">
        <f t="shared" si="6"/>
        <v>0.28468929899294521</v>
      </c>
    </row>
    <row r="50" spans="1:15">
      <c r="A50" s="1188">
        <v>39</v>
      </c>
      <c r="B50" s="1194" t="s">
        <v>1384</v>
      </c>
      <c r="C50" s="1188"/>
      <c r="D50" s="1210"/>
      <c r="E50" s="1200"/>
      <c r="F50" s="1210"/>
      <c r="G50" s="1200"/>
      <c r="H50" s="1210"/>
      <c r="I50" s="1202"/>
      <c r="J50" s="1211"/>
      <c r="K50" s="1203"/>
      <c r="L50" s="1212"/>
      <c r="M50" s="1213"/>
      <c r="N50" s="1206">
        <f t="shared" si="5"/>
        <v>0</v>
      </c>
      <c r="O50" s="1206">
        <f t="shared" si="6"/>
        <v>0</v>
      </c>
    </row>
    <row r="51" spans="1:15">
      <c r="A51" s="1188">
        <v>40</v>
      </c>
      <c r="B51" s="1191" t="s">
        <v>1399</v>
      </c>
      <c r="C51" s="1188" t="s">
        <v>1413</v>
      </c>
      <c r="D51" s="1200">
        <f>VALUE(VLOOKUP(C51,'3.05 - SAP DL Download'!$C$9:$D$120,2,FALSE))</f>
        <v>14.76</v>
      </c>
      <c r="E51" s="1200"/>
      <c r="F51" s="1201">
        <f t="shared" ref="F51:F57" si="19">SUM(D51:E51)</f>
        <v>14.76</v>
      </c>
      <c r="G51" s="1200"/>
      <c r="H51" s="1201">
        <f t="shared" ref="H51:H57" si="20">SUM(F51:G51)</f>
        <v>14.76</v>
      </c>
      <c r="I51" s="1202"/>
      <c r="J51" s="1201">
        <f t="shared" ref="J51:J57" si="21">SUM(H51:I51)</f>
        <v>14.76</v>
      </c>
      <c r="K51" s="1203">
        <f t="shared" ref="K51:K57" si="22">J51/$J$74*$K$74</f>
        <v>2.2647641166658059</v>
      </c>
      <c r="L51" s="1204"/>
      <c r="M51" s="1207">
        <f t="shared" ref="M51:M57" si="23">SUM(J51:K51)</f>
        <v>17.024764116665807</v>
      </c>
      <c r="N51" s="1206">
        <f t="shared" si="5"/>
        <v>7.7953676619539512E-8</v>
      </c>
      <c r="O51" s="1206">
        <f t="shared" si="6"/>
        <v>1.2872179526173186E-7</v>
      </c>
    </row>
    <row r="52" spans="1:15">
      <c r="A52" s="1188">
        <v>41</v>
      </c>
      <c r="B52" s="1191" t="s">
        <v>1401</v>
      </c>
      <c r="C52" s="1188"/>
      <c r="D52" s="1200"/>
      <c r="E52" s="1200"/>
      <c r="F52" s="1201">
        <f t="shared" si="19"/>
        <v>0</v>
      </c>
      <c r="G52" s="1200"/>
      <c r="H52" s="1201">
        <f t="shared" si="20"/>
        <v>0</v>
      </c>
      <c r="I52" s="1202"/>
      <c r="J52" s="1201">
        <f t="shared" si="21"/>
        <v>0</v>
      </c>
      <c r="K52" s="1203">
        <f t="shared" si="22"/>
        <v>0</v>
      </c>
      <c r="L52" s="1204"/>
      <c r="M52" s="1207">
        <f t="shared" si="23"/>
        <v>0</v>
      </c>
      <c r="N52" s="1206">
        <f t="shared" si="5"/>
        <v>0</v>
      </c>
      <c r="O52" s="1206">
        <f t="shared" si="6"/>
        <v>0</v>
      </c>
    </row>
    <row r="53" spans="1:15">
      <c r="A53" s="1188">
        <v>42</v>
      </c>
      <c r="B53" s="1191" t="s">
        <v>1402</v>
      </c>
      <c r="C53" s="1188"/>
      <c r="D53" s="1200"/>
      <c r="E53" s="1200"/>
      <c r="F53" s="1201">
        <f t="shared" si="19"/>
        <v>0</v>
      </c>
      <c r="G53" s="1200"/>
      <c r="H53" s="1201">
        <f t="shared" si="20"/>
        <v>0</v>
      </c>
      <c r="I53" s="1202"/>
      <c r="J53" s="1201">
        <f t="shared" si="21"/>
        <v>0</v>
      </c>
      <c r="K53" s="1203">
        <f t="shared" si="22"/>
        <v>0</v>
      </c>
      <c r="L53" s="1204"/>
      <c r="M53" s="1207">
        <f t="shared" si="23"/>
        <v>0</v>
      </c>
      <c r="N53" s="1206">
        <f t="shared" si="5"/>
        <v>0</v>
      </c>
      <c r="O53" s="1206">
        <f t="shared" si="6"/>
        <v>0</v>
      </c>
    </row>
    <row r="54" spans="1:15">
      <c r="A54" s="1188">
        <v>43</v>
      </c>
      <c r="B54" s="1191" t="s">
        <v>1404</v>
      </c>
      <c r="C54" s="1188" t="s">
        <v>1414</v>
      </c>
      <c r="D54" s="1200">
        <f>VALUE(VLOOKUP(C54,'3.05 - SAP DL Download'!$C$9:$D$120,2,FALSE))</f>
        <v>206416.79</v>
      </c>
      <c r="E54" s="1200"/>
      <c r="F54" s="1201">
        <f t="shared" si="19"/>
        <v>206416.79</v>
      </c>
      <c r="G54" s="1200"/>
      <c r="H54" s="1201">
        <f t="shared" si="20"/>
        <v>206416.79</v>
      </c>
      <c r="I54" s="1202"/>
      <c r="J54" s="1201">
        <f t="shared" si="21"/>
        <v>206416.79</v>
      </c>
      <c r="K54" s="1203">
        <f t="shared" si="22"/>
        <v>31672.448446432332</v>
      </c>
      <c r="L54" s="1204"/>
      <c r="M54" s="1207">
        <f t="shared" si="23"/>
        <v>238089.23844643234</v>
      </c>
      <c r="N54" s="1206">
        <f t="shared" si="5"/>
        <v>1.0901726081641867E-3</v>
      </c>
      <c r="O54" s="1206">
        <f t="shared" si="6"/>
        <v>1.8001585217455218E-3</v>
      </c>
    </row>
    <row r="55" spans="1:15">
      <c r="A55" s="1188">
        <v>44</v>
      </c>
      <c r="B55" s="1191" t="s">
        <v>1372</v>
      </c>
      <c r="C55" s="1188" t="s">
        <v>1415</v>
      </c>
      <c r="D55" s="1200">
        <f>VALUE(VLOOKUP(C55,'3.05 - SAP DL Download'!$C$9:$D$120,2,FALSE))</f>
        <v>83053.83</v>
      </c>
      <c r="E55" s="1200"/>
      <c r="F55" s="1201">
        <f t="shared" si="19"/>
        <v>83053.83</v>
      </c>
      <c r="G55" s="1200"/>
      <c r="H55" s="1201">
        <f t="shared" si="20"/>
        <v>83053.83</v>
      </c>
      <c r="I55" s="1200"/>
      <c r="J55" s="1201">
        <f t="shared" si="21"/>
        <v>83053.83</v>
      </c>
      <c r="K55" s="1203">
        <f t="shared" si="22"/>
        <v>12743.721811359215</v>
      </c>
      <c r="L55" s="1204"/>
      <c r="M55" s="1207">
        <f t="shared" si="23"/>
        <v>95797.551811359212</v>
      </c>
      <c r="N55" s="1206">
        <f t="shared" si="5"/>
        <v>4.3864169416220924E-4</v>
      </c>
      <c r="O55" s="1206">
        <f t="shared" si="6"/>
        <v>7.243115244554663E-4</v>
      </c>
    </row>
    <row r="56" spans="1:15">
      <c r="A56" s="1188">
        <v>45</v>
      </c>
      <c r="B56" s="1191" t="s">
        <v>1224</v>
      </c>
      <c r="C56" s="1188" t="s">
        <v>1416</v>
      </c>
      <c r="D56" s="1200">
        <f>VALUE(VLOOKUP(C56,'3.05 - SAP DL Download'!$C$9:$D$120,2,FALSE))</f>
        <v>4490688.13</v>
      </c>
      <c r="E56" s="1200"/>
      <c r="F56" s="1201">
        <f t="shared" si="19"/>
        <v>4490688.13</v>
      </c>
      <c r="G56" s="1200"/>
      <c r="H56" s="1201">
        <f t="shared" si="20"/>
        <v>4490688.13</v>
      </c>
      <c r="I56" s="1202"/>
      <c r="J56" s="1201">
        <f t="shared" si="21"/>
        <v>4490688.13</v>
      </c>
      <c r="K56" s="1203">
        <f t="shared" si="22"/>
        <v>689048.05799194239</v>
      </c>
      <c r="L56" s="1204"/>
      <c r="M56" s="1207">
        <f t="shared" si="23"/>
        <v>5179736.1879919423</v>
      </c>
      <c r="N56" s="1206">
        <f t="shared" si="5"/>
        <v>2.3717184978673752E-2</v>
      </c>
      <c r="O56" s="1206">
        <f t="shared" si="6"/>
        <v>3.9163241060579231E-2</v>
      </c>
    </row>
    <row r="57" spans="1:15">
      <c r="A57" s="1188">
        <v>46</v>
      </c>
      <c r="B57" s="1191" t="s">
        <v>1381</v>
      </c>
      <c r="C57" s="1188" t="s">
        <v>1417</v>
      </c>
      <c r="D57" s="1201">
        <f>VALUE(VLOOKUP(C57,'3.05 - SAP DL Download'!$C$9:$D$120,2,FALSE))</f>
        <v>41717.910000000003</v>
      </c>
      <c r="E57" s="1200"/>
      <c r="F57" s="1201">
        <f t="shared" si="19"/>
        <v>41717.910000000003</v>
      </c>
      <c r="G57" s="1200"/>
      <c r="H57" s="1201">
        <f t="shared" si="20"/>
        <v>41717.910000000003</v>
      </c>
      <c r="I57" s="1202">
        <f>+H105*$E$5</f>
        <v>342814.07548399997</v>
      </c>
      <c r="J57" s="1201">
        <f t="shared" si="21"/>
        <v>384531.98548399995</v>
      </c>
      <c r="K57" s="1203">
        <f t="shared" si="22"/>
        <v>59002.319948131415</v>
      </c>
      <c r="L57" s="1204"/>
      <c r="M57" s="1207">
        <f t="shared" si="23"/>
        <v>443534.30543213134</v>
      </c>
      <c r="N57" s="1206">
        <f t="shared" si="5"/>
        <v>2.0308727673637663E-3</v>
      </c>
      <c r="O57" s="1206">
        <f t="shared" si="6"/>
        <v>3.3534991535947617E-3</v>
      </c>
    </row>
    <row r="58" spans="1:15">
      <c r="A58" s="1188">
        <v>47</v>
      </c>
      <c r="B58" s="1194" t="s">
        <v>1418</v>
      </c>
      <c r="C58" s="1188"/>
      <c r="D58" s="1200">
        <f t="shared" ref="D58:K58" si="24">SUM(D51:D57)</f>
        <v>4821891.42</v>
      </c>
      <c r="E58" s="1200"/>
      <c r="F58" s="1200">
        <f t="shared" si="24"/>
        <v>4821891.42</v>
      </c>
      <c r="G58" s="1200">
        <f t="shared" si="24"/>
        <v>0</v>
      </c>
      <c r="H58" s="1200">
        <f t="shared" si="24"/>
        <v>4821891.42</v>
      </c>
      <c r="I58" s="1200">
        <f t="shared" si="24"/>
        <v>342814.07548399997</v>
      </c>
      <c r="J58" s="1200">
        <f t="shared" si="24"/>
        <v>5164705.4954840001</v>
      </c>
      <c r="K58" s="1200">
        <f t="shared" si="24"/>
        <v>792468.8129619821</v>
      </c>
      <c r="L58" s="1208"/>
      <c r="M58" s="1207">
        <f>SUM(M51:M57)</f>
        <v>5957174.3084459817</v>
      </c>
      <c r="N58" s="1206">
        <f t="shared" si="5"/>
        <v>2.7276950002040532E-2</v>
      </c>
      <c r="O58" s="1206">
        <f t="shared" si="6"/>
        <v>4.5041338982170241E-2</v>
      </c>
    </row>
    <row r="59" spans="1:15">
      <c r="A59" s="1188">
        <v>48</v>
      </c>
      <c r="B59" s="1187" t="s">
        <v>1419</v>
      </c>
      <c r="C59" s="1188"/>
      <c r="D59" s="1219"/>
      <c r="E59" s="1200"/>
      <c r="F59" s="1219"/>
      <c r="G59" s="1200"/>
      <c r="H59" s="1219"/>
      <c r="I59" s="1202"/>
      <c r="J59" s="1220"/>
      <c r="K59" s="1203"/>
      <c r="L59" s="1212"/>
      <c r="M59" s="1213"/>
      <c r="N59" s="1206">
        <f t="shared" si="5"/>
        <v>0</v>
      </c>
      <c r="O59" s="1206">
        <f t="shared" si="6"/>
        <v>0</v>
      </c>
    </row>
    <row r="60" spans="1:15">
      <c r="A60" s="1188">
        <v>49</v>
      </c>
      <c r="B60" s="1194" t="s">
        <v>1390</v>
      </c>
      <c r="C60" s="1188"/>
      <c r="D60" s="1224"/>
      <c r="E60" s="1200"/>
      <c r="F60" s="1224"/>
      <c r="G60" s="1200"/>
      <c r="H60" s="1224"/>
      <c r="I60" s="1202"/>
      <c r="J60" s="1225"/>
      <c r="K60" s="1203"/>
      <c r="L60" s="1212"/>
      <c r="M60" s="1213"/>
      <c r="N60" s="1206">
        <f t="shared" si="5"/>
        <v>0</v>
      </c>
      <c r="O60" s="1206">
        <f t="shared" si="6"/>
        <v>0</v>
      </c>
    </row>
    <row r="61" spans="1:15">
      <c r="A61" s="1188">
        <v>50</v>
      </c>
      <c r="B61" s="1191" t="s">
        <v>1420</v>
      </c>
      <c r="C61" s="1188"/>
      <c r="D61" s="1200">
        <f t="shared" ref="D61:K66" si="25">+D39+D51</f>
        <v>118253.73</v>
      </c>
      <c r="E61" s="1200"/>
      <c r="F61" s="1200">
        <f t="shared" si="25"/>
        <v>118253.73</v>
      </c>
      <c r="G61" s="1200">
        <f t="shared" si="25"/>
        <v>0</v>
      </c>
      <c r="H61" s="1200">
        <f t="shared" si="25"/>
        <v>118253.73</v>
      </c>
      <c r="I61" s="1200">
        <f t="shared" si="25"/>
        <v>0</v>
      </c>
      <c r="J61" s="1200">
        <f t="shared" si="25"/>
        <v>118253.73</v>
      </c>
      <c r="K61" s="1200">
        <f t="shared" si="25"/>
        <v>18144.76994348826</v>
      </c>
      <c r="L61" s="1214" t="s">
        <v>290</v>
      </c>
      <c r="M61" s="1207">
        <f t="shared" ref="M61:M66" si="26">+M39+M51</f>
        <v>136398.49994348828</v>
      </c>
      <c r="N61" s="1206">
        <f t="shared" si="5"/>
        <v>6.2454695308091727E-4</v>
      </c>
      <c r="O61" s="1206">
        <f t="shared" si="6"/>
        <v>1.031289459484832E-3</v>
      </c>
    </row>
    <row r="62" spans="1:15">
      <c r="A62" s="1188">
        <v>51</v>
      </c>
      <c r="B62" s="1191" t="s">
        <v>1421</v>
      </c>
      <c r="C62" s="1188"/>
      <c r="D62" s="1200">
        <f t="shared" si="25"/>
        <v>0</v>
      </c>
      <c r="E62" s="1200"/>
      <c r="F62" s="1200">
        <f t="shared" si="25"/>
        <v>0</v>
      </c>
      <c r="G62" s="1200">
        <f t="shared" si="25"/>
        <v>0</v>
      </c>
      <c r="H62" s="1200">
        <f t="shared" si="25"/>
        <v>0</v>
      </c>
      <c r="I62" s="1200">
        <f t="shared" si="25"/>
        <v>0</v>
      </c>
      <c r="J62" s="1200">
        <f t="shared" si="25"/>
        <v>0</v>
      </c>
      <c r="K62" s="1200">
        <f t="shared" si="25"/>
        <v>0</v>
      </c>
      <c r="L62" s="1214" t="s">
        <v>290</v>
      </c>
      <c r="M62" s="1207">
        <f t="shared" si="26"/>
        <v>0</v>
      </c>
      <c r="N62" s="1206">
        <f t="shared" si="5"/>
        <v>0</v>
      </c>
      <c r="O62" s="1206">
        <f t="shared" si="6"/>
        <v>0</v>
      </c>
    </row>
    <row r="63" spans="1:15">
      <c r="A63" s="1188">
        <v>52</v>
      </c>
      <c r="B63" s="1226" t="s">
        <v>1422</v>
      </c>
      <c r="C63" s="1188"/>
      <c r="D63" s="1200">
        <f t="shared" si="25"/>
        <v>387523.67</v>
      </c>
      <c r="E63" s="1200"/>
      <c r="F63" s="1200">
        <f t="shared" si="25"/>
        <v>387523.67</v>
      </c>
      <c r="G63" s="1200">
        <f t="shared" si="25"/>
        <v>0</v>
      </c>
      <c r="H63" s="1200">
        <f t="shared" si="25"/>
        <v>387523.67</v>
      </c>
      <c r="I63" s="1200">
        <f t="shared" si="25"/>
        <v>0</v>
      </c>
      <c r="J63" s="1200">
        <f t="shared" si="25"/>
        <v>387523.67</v>
      </c>
      <c r="K63" s="1200">
        <f t="shared" si="25"/>
        <v>59461.361935951303</v>
      </c>
      <c r="L63" s="1214" t="s">
        <v>290</v>
      </c>
      <c r="M63" s="1207">
        <f t="shared" si="26"/>
        <v>446985.03193595127</v>
      </c>
      <c r="N63" s="1206">
        <f t="shared" si="5"/>
        <v>2.0466730930621367E-3</v>
      </c>
      <c r="O63" s="1206">
        <f t="shared" si="6"/>
        <v>3.3795896008682207E-3</v>
      </c>
    </row>
    <row r="64" spans="1:15">
      <c r="A64" s="1188">
        <v>53</v>
      </c>
      <c r="B64" s="1191" t="s">
        <v>1423</v>
      </c>
      <c r="C64" s="1188"/>
      <c r="D64" s="1200">
        <f t="shared" si="25"/>
        <v>538041</v>
      </c>
      <c r="E64" s="1200"/>
      <c r="F64" s="1200">
        <f t="shared" si="25"/>
        <v>538041</v>
      </c>
      <c r="G64" s="1200">
        <f t="shared" si="25"/>
        <v>0</v>
      </c>
      <c r="H64" s="1200">
        <f t="shared" si="25"/>
        <v>538041</v>
      </c>
      <c r="I64" s="1200">
        <f t="shared" si="25"/>
        <v>0</v>
      </c>
      <c r="J64" s="1200">
        <f t="shared" si="25"/>
        <v>538041</v>
      </c>
      <c r="K64" s="1200">
        <f t="shared" si="25"/>
        <v>82556.636185297219</v>
      </c>
      <c r="L64" s="1214" t="s">
        <v>290</v>
      </c>
      <c r="M64" s="1207">
        <f t="shared" si="26"/>
        <v>620597.63618529728</v>
      </c>
      <c r="N64" s="1206">
        <f t="shared" si="5"/>
        <v>2.8416174879440149E-3</v>
      </c>
      <c r="O64" s="1206">
        <f t="shared" si="6"/>
        <v>4.692249555854843E-3</v>
      </c>
    </row>
    <row r="65" spans="1:16">
      <c r="A65" s="1188">
        <v>54</v>
      </c>
      <c r="B65" s="1191" t="s">
        <v>1424</v>
      </c>
      <c r="C65" s="1188"/>
      <c r="D65" s="1200">
        <f t="shared" si="25"/>
        <v>83053.83</v>
      </c>
      <c r="E65" s="1200"/>
      <c r="F65" s="1200">
        <f t="shared" si="25"/>
        <v>83053.83</v>
      </c>
      <c r="G65" s="1200">
        <f t="shared" si="25"/>
        <v>0</v>
      </c>
      <c r="H65" s="1200">
        <f t="shared" si="25"/>
        <v>83053.83</v>
      </c>
      <c r="I65" s="1200">
        <f t="shared" si="25"/>
        <v>0</v>
      </c>
      <c r="J65" s="1200">
        <f t="shared" si="25"/>
        <v>83053.83</v>
      </c>
      <c r="K65" s="1200">
        <f t="shared" si="25"/>
        <v>12743.721811359215</v>
      </c>
      <c r="L65" s="1214" t="s">
        <v>291</v>
      </c>
      <c r="M65" s="1207">
        <f t="shared" si="26"/>
        <v>95797.551811359212</v>
      </c>
      <c r="N65" s="1206">
        <f t="shared" si="5"/>
        <v>4.3864169416220924E-4</v>
      </c>
      <c r="O65" s="1206">
        <f t="shared" si="6"/>
        <v>7.243115244554663E-4</v>
      </c>
    </row>
    <row r="66" spans="1:16">
      <c r="A66" s="1188">
        <v>55</v>
      </c>
      <c r="B66" s="1191" t="s">
        <v>1425</v>
      </c>
      <c r="C66" s="1188"/>
      <c r="D66" s="1200">
        <f t="shared" si="25"/>
        <v>19467550.800000001</v>
      </c>
      <c r="E66" s="1200"/>
      <c r="F66" s="1200">
        <f t="shared" si="25"/>
        <v>19467550.800000001</v>
      </c>
      <c r="G66" s="1200">
        <f t="shared" si="25"/>
        <v>0</v>
      </c>
      <c r="H66" s="1200">
        <f t="shared" si="25"/>
        <v>19467550.800000001</v>
      </c>
      <c r="I66" s="1200">
        <f t="shared" si="25"/>
        <v>0</v>
      </c>
      <c r="J66" s="1200">
        <f t="shared" si="25"/>
        <v>19467550.800000001</v>
      </c>
      <c r="K66" s="1200">
        <f t="shared" si="25"/>
        <v>2987087.4316537064</v>
      </c>
      <c r="L66" s="1214" t="s">
        <v>291</v>
      </c>
      <c r="M66" s="1207">
        <f t="shared" si="26"/>
        <v>22454638.231653709</v>
      </c>
      <c r="N66" s="1206">
        <f t="shared" si="5"/>
        <v>0.10281620322748358</v>
      </c>
      <c r="O66" s="1206">
        <f t="shared" si="6"/>
        <v>0.16977629324694882</v>
      </c>
    </row>
    <row r="67" spans="1:16">
      <c r="A67" s="1188">
        <v>56</v>
      </c>
      <c r="B67" s="1191" t="s">
        <v>1426</v>
      </c>
      <c r="C67" s="1188"/>
      <c r="D67" s="1200">
        <f t="shared" ref="D67:J69" si="27">+D45</f>
        <v>1548579.93</v>
      </c>
      <c r="E67" s="1200"/>
      <c r="F67" s="1200">
        <f t="shared" si="27"/>
        <v>1548579.93</v>
      </c>
      <c r="G67" s="1200">
        <f t="shared" si="27"/>
        <v>0</v>
      </c>
      <c r="H67" s="1200">
        <f t="shared" si="27"/>
        <v>1548579.93</v>
      </c>
      <c r="I67" s="1200">
        <f t="shared" si="27"/>
        <v>5178632.6861079996</v>
      </c>
      <c r="J67" s="1200">
        <f t="shared" si="27"/>
        <v>6727212.6161079993</v>
      </c>
      <c r="K67" s="1200">
        <f>+K45</f>
        <v>1032218.816947351</v>
      </c>
      <c r="L67" s="1208"/>
      <c r="M67" s="1207">
        <f>+M45</f>
        <v>7759431.4330553506</v>
      </c>
      <c r="N67" s="1206">
        <f t="shared" si="5"/>
        <v>3.5529197617003343E-2</v>
      </c>
      <c r="O67" s="1206">
        <f t="shared" si="6"/>
        <v>5.8667946141788177E-2</v>
      </c>
    </row>
    <row r="68" spans="1:16">
      <c r="A68" s="1188">
        <v>57</v>
      </c>
      <c r="B68" s="1191" t="s">
        <v>1427</v>
      </c>
      <c r="C68" s="1188"/>
      <c r="D68" s="1200">
        <f t="shared" si="27"/>
        <v>224575.46</v>
      </c>
      <c r="E68" s="1200"/>
      <c r="F68" s="1200">
        <f t="shared" si="27"/>
        <v>224575.46</v>
      </c>
      <c r="G68" s="1200">
        <f t="shared" si="27"/>
        <v>0</v>
      </c>
      <c r="H68" s="1200">
        <f t="shared" si="27"/>
        <v>224575.46</v>
      </c>
      <c r="I68" s="1200">
        <f t="shared" si="27"/>
        <v>423926.86218199995</v>
      </c>
      <c r="J68" s="1200">
        <f t="shared" si="27"/>
        <v>648502.32218199992</v>
      </c>
      <c r="K68" s="1200">
        <f>+K46</f>
        <v>99505.744502184345</v>
      </c>
      <c r="L68" s="1208"/>
      <c r="M68" s="1207">
        <f>+M46</f>
        <v>748008.06668418425</v>
      </c>
      <c r="N68" s="1206">
        <f t="shared" si="5"/>
        <v>3.425009506124393E-3</v>
      </c>
      <c r="O68" s="1206">
        <f t="shared" si="6"/>
        <v>5.6555815137309664E-3</v>
      </c>
    </row>
    <row r="69" spans="1:16">
      <c r="A69" s="1188">
        <v>58</v>
      </c>
      <c r="B69" s="1191" t="s">
        <v>1428</v>
      </c>
      <c r="C69" s="1188"/>
      <c r="D69" s="1200">
        <f t="shared" si="27"/>
        <v>125670.33</v>
      </c>
      <c r="E69" s="1200"/>
      <c r="F69" s="1200">
        <f t="shared" si="27"/>
        <v>125670.33</v>
      </c>
      <c r="G69" s="1200">
        <f t="shared" si="27"/>
        <v>0</v>
      </c>
      <c r="H69" s="1200">
        <f t="shared" si="27"/>
        <v>125670.33</v>
      </c>
      <c r="I69" s="1200">
        <f t="shared" si="27"/>
        <v>0</v>
      </c>
      <c r="J69" s="1200">
        <f t="shared" si="27"/>
        <v>125670.33</v>
      </c>
      <c r="K69" s="1200">
        <f>+K47</f>
        <v>19282.767880321837</v>
      </c>
      <c r="L69" s="1208"/>
      <c r="M69" s="1207">
        <f>+M47</f>
        <v>144953.09788032185</v>
      </c>
      <c r="N69" s="1206">
        <f t="shared" si="5"/>
        <v>6.6371709115791431E-4</v>
      </c>
      <c r="O69" s="1206">
        <f t="shared" si="6"/>
        <v>1.0959695453072005E-3</v>
      </c>
    </row>
    <row r="70" spans="1:16" ht="13.5" thickBot="1">
      <c r="A70" s="1188" t="s">
        <v>1429</v>
      </c>
      <c r="B70" s="1191" t="s">
        <v>1430</v>
      </c>
      <c r="C70" s="1188"/>
      <c r="D70" s="1200">
        <f t="shared" ref="D70:J70" si="28">+D48+D57</f>
        <v>1630237.1099999999</v>
      </c>
      <c r="E70" s="1200"/>
      <c r="F70" s="1200">
        <f t="shared" si="28"/>
        <v>1630237.1099999999</v>
      </c>
      <c r="G70" s="1200">
        <f t="shared" si="28"/>
        <v>0</v>
      </c>
      <c r="H70" s="1200">
        <f t="shared" si="28"/>
        <v>1630237.1099999999</v>
      </c>
      <c r="I70" s="1200">
        <f t="shared" si="28"/>
        <v>8082813.6634540008</v>
      </c>
      <c r="J70" s="1200">
        <f t="shared" si="28"/>
        <v>9713050.7734540012</v>
      </c>
      <c r="K70" s="1200">
        <f>+K48+K57</f>
        <v>1490363.7435685415</v>
      </c>
      <c r="L70" s="1208"/>
      <c r="M70" s="1207">
        <f>+M48+M57</f>
        <v>11203414.517022543</v>
      </c>
      <c r="N70" s="1206">
        <f t="shared" si="5"/>
        <v>5.129864627256106E-2</v>
      </c>
      <c r="O70" s="1216">
        <f t="shared" si="6"/>
        <v>8.4707407386676981E-2</v>
      </c>
    </row>
    <row r="71" spans="1:16" ht="14.25" thickTop="1" thickBot="1">
      <c r="A71" s="1186" t="s">
        <v>1431</v>
      </c>
      <c r="B71" s="1194" t="s">
        <v>1432</v>
      </c>
      <c r="C71" s="1188"/>
      <c r="D71" s="1200">
        <f t="shared" ref="D71:K71" si="29">SUM(D61:D70)</f>
        <v>24123485.859999999</v>
      </c>
      <c r="E71" s="1200"/>
      <c r="F71" s="1200">
        <f t="shared" si="29"/>
        <v>24123485.859999999</v>
      </c>
      <c r="G71" s="1200">
        <f t="shared" si="29"/>
        <v>0</v>
      </c>
      <c r="H71" s="1200">
        <f t="shared" si="29"/>
        <v>24123485.859999999</v>
      </c>
      <c r="I71" s="1200">
        <f t="shared" si="29"/>
        <v>13685373.211743999</v>
      </c>
      <c r="J71" s="1200">
        <f t="shared" si="29"/>
        <v>37808859.071744002</v>
      </c>
      <c r="K71" s="1200">
        <f t="shared" si="29"/>
        <v>5801364.9944282006</v>
      </c>
      <c r="L71" s="1204"/>
      <c r="M71" s="1205">
        <f>SUM(J71:K71)</f>
        <v>43610224.066172205</v>
      </c>
      <c r="N71" s="1217">
        <f t="shared" si="5"/>
        <v>0.19968425294257958</v>
      </c>
      <c r="O71" s="1218">
        <f t="shared" si="6"/>
        <v>0.32973063797511548</v>
      </c>
    </row>
    <row r="72" spans="1:16" ht="13.5" thickTop="1">
      <c r="A72" s="1186" t="s">
        <v>1433</v>
      </c>
      <c r="B72" s="1187" t="s">
        <v>1434</v>
      </c>
      <c r="C72" s="1188"/>
      <c r="D72" s="1210"/>
      <c r="E72" s="1200"/>
      <c r="F72" s="1210"/>
      <c r="G72" s="1200"/>
      <c r="H72" s="1210"/>
      <c r="I72" s="1202"/>
      <c r="J72" s="1211"/>
      <c r="K72" s="1203"/>
      <c r="L72" s="1227"/>
      <c r="M72" s="1228"/>
      <c r="N72" s="1206">
        <f t="shared" si="5"/>
        <v>0</v>
      </c>
      <c r="O72" s="1223">
        <f t="shared" si="6"/>
        <v>0</v>
      </c>
    </row>
    <row r="73" spans="1:16" ht="13.5" thickBot="1">
      <c r="A73" s="1188" t="s">
        <v>1435</v>
      </c>
      <c r="B73" s="1191" t="s">
        <v>1436</v>
      </c>
      <c r="C73" s="1188"/>
      <c r="D73" s="1200"/>
      <c r="E73" s="1200"/>
      <c r="F73" s="1201">
        <f>SUM(D73:E73)</f>
        <v>0</v>
      </c>
      <c r="G73" s="1200"/>
      <c r="H73" s="1201">
        <f>SUM(F73:G73)</f>
        <v>0</v>
      </c>
      <c r="I73" s="1202"/>
      <c r="J73" s="1201">
        <f>SUM(H73:I73)</f>
        <v>0</v>
      </c>
      <c r="K73" s="1201">
        <f>SUM(I73:J73)</f>
        <v>0</v>
      </c>
      <c r="L73" s="1229"/>
      <c r="M73" s="1207">
        <f>SUM(J73:K73)</f>
        <v>0</v>
      </c>
      <c r="N73" s="1216">
        <f t="shared" si="5"/>
        <v>0</v>
      </c>
      <c r="O73" s="1206">
        <f t="shared" si="6"/>
        <v>0</v>
      </c>
    </row>
    <row r="74" spans="1:16" ht="14.25" thickTop="1" thickBot="1">
      <c r="A74" s="1186">
        <v>62</v>
      </c>
      <c r="B74" s="1194" t="s">
        <v>1437</v>
      </c>
      <c r="C74" s="1188"/>
      <c r="D74" s="1200">
        <f t="shared" ref="D74:J74" si="30">+D36+D71+D73</f>
        <v>73801837.530000001</v>
      </c>
      <c r="E74" s="1200">
        <f t="shared" si="30"/>
        <v>0</v>
      </c>
      <c r="F74" s="1200">
        <f t="shared" si="30"/>
        <v>73801837.530000001</v>
      </c>
      <c r="G74" s="1200">
        <f t="shared" si="30"/>
        <v>0</v>
      </c>
      <c r="H74" s="1200">
        <f t="shared" si="30"/>
        <v>73801837.530000001</v>
      </c>
      <c r="I74" s="1200">
        <f t="shared" si="30"/>
        <v>40864058.560000002</v>
      </c>
      <c r="J74" s="1200">
        <f t="shared" si="30"/>
        <v>114665896.09</v>
      </c>
      <c r="K74" s="1200">
        <f>J74/$J$116*$N$127</f>
        <v>17594255.207992002</v>
      </c>
      <c r="L74" s="1230"/>
      <c r="M74" s="1229">
        <f>SUM(J74:K74)</f>
        <v>132260151.29799201</v>
      </c>
      <c r="N74" s="1218">
        <f t="shared" si="5"/>
        <v>0.60559811538547292</v>
      </c>
      <c r="O74" s="1231">
        <f t="shared" si="6"/>
        <v>1</v>
      </c>
      <c r="P74" s="1154">
        <f>(87924877+296497)/141560129</f>
        <v>0.6232077819030527</v>
      </c>
    </row>
    <row r="75" spans="1:16" ht="13.5" thickTop="1">
      <c r="A75" s="1186">
        <v>63</v>
      </c>
      <c r="B75" s="1187" t="s">
        <v>1438</v>
      </c>
      <c r="C75" s="1188"/>
      <c r="D75" s="1219"/>
      <c r="E75" s="1200"/>
      <c r="F75" s="1219"/>
      <c r="G75" s="1200"/>
      <c r="H75" s="1219"/>
      <c r="I75" s="1202"/>
      <c r="J75" s="1220"/>
      <c r="K75" s="1203"/>
      <c r="L75" s="1221"/>
      <c r="M75" s="1222"/>
      <c r="N75" s="1223">
        <f t="shared" si="5"/>
        <v>0</v>
      </c>
      <c r="O75" s="1206"/>
    </row>
    <row r="76" spans="1:16">
      <c r="A76" s="1186">
        <v>64</v>
      </c>
      <c r="B76" s="1194" t="s">
        <v>1439</v>
      </c>
      <c r="C76" s="1188"/>
      <c r="D76" s="1224"/>
      <c r="E76" s="1200"/>
      <c r="F76" s="1224"/>
      <c r="G76" s="1200"/>
      <c r="H76" s="1224"/>
      <c r="I76" s="1202"/>
      <c r="J76" s="1225"/>
      <c r="K76" s="1203"/>
      <c r="L76" s="1232"/>
      <c r="M76" s="1233"/>
      <c r="N76" s="1206">
        <f t="shared" si="5"/>
        <v>0</v>
      </c>
      <c r="O76" s="1206"/>
    </row>
    <row r="77" spans="1:16">
      <c r="A77" s="1188">
        <v>65</v>
      </c>
      <c r="B77" s="1191" t="s">
        <v>1440</v>
      </c>
      <c r="C77" s="1188" t="s">
        <v>1441</v>
      </c>
      <c r="D77" s="1201">
        <f>VALUE(VLOOKUP(C77,'3.05 - SAP DL Download'!$C$9:$D$120,2,FALSE))</f>
        <v>19043382.43</v>
      </c>
      <c r="E77" s="1200"/>
      <c r="F77" s="1201">
        <f>SUM(D77:E77)</f>
        <v>19043382.43</v>
      </c>
      <c r="G77" s="1200">
        <f>F77/$F$80*$F$109</f>
        <v>12600081.926795023</v>
      </c>
      <c r="H77" s="1201">
        <f>SUM(F77:G77)</f>
        <v>31643464.35679502</v>
      </c>
      <c r="I77" s="1202"/>
      <c r="J77" s="1201">
        <f>SUM(H77:I77)</f>
        <v>31643464.35679502</v>
      </c>
      <c r="K77" s="1203">
        <f>J77/$J$80*$K$80</f>
        <v>4854989.71254721</v>
      </c>
      <c r="L77" s="1229"/>
      <c r="M77" s="1207">
        <f>SUM(J77:K77)</f>
        <v>36498454.069342233</v>
      </c>
      <c r="N77" s="1206">
        <f t="shared" si="5"/>
        <v>0.16712059363274354</v>
      </c>
      <c r="O77" s="1206"/>
    </row>
    <row r="78" spans="1:16">
      <c r="A78" s="1188">
        <v>66</v>
      </c>
      <c r="B78" s="1191" t="s">
        <v>1442</v>
      </c>
      <c r="C78" s="1188" t="s">
        <v>1443</v>
      </c>
      <c r="D78" s="1201">
        <f>VALUE(VLOOKUP(C78,'3.05 - SAP DL Download'!$C$9:$D$120,2,FALSE))</f>
        <v>7930797.6500000004</v>
      </c>
      <c r="E78" s="1200"/>
      <c r="F78" s="1201">
        <f>SUM(D78:E78)</f>
        <v>7930797.6500000004</v>
      </c>
      <c r="G78" s="1200">
        <f>F78/$F$80*$F$109</f>
        <v>5247423.9018280031</v>
      </c>
      <c r="H78" s="1201">
        <f>SUM(F78:G78)</f>
        <v>13178221.551828004</v>
      </c>
      <c r="I78" s="1202"/>
      <c r="J78" s="1201">
        <f>SUM(H78:I78)</f>
        <v>13178221.551828004</v>
      </c>
      <c r="K78" s="1203">
        <f>J78/$J$80*$K$80</f>
        <v>2021906.6200333405</v>
      </c>
      <c r="L78" s="1229"/>
      <c r="M78" s="1207">
        <f>SUM(J78:K78)</f>
        <v>15200128.171861345</v>
      </c>
      <c r="N78" s="1206">
        <f t="shared" ref="N78:N109" si="31">M78/$M$113</f>
        <v>6.9598959960033083E-2</v>
      </c>
      <c r="O78" s="1206"/>
    </row>
    <row r="79" spans="1:16">
      <c r="A79" s="1188">
        <v>67</v>
      </c>
      <c r="B79" s="1191" t="s">
        <v>1444</v>
      </c>
      <c r="C79" s="1188" t="s">
        <v>1445</v>
      </c>
      <c r="D79" s="1201">
        <f>VALUE(VLOOKUP(C79,'3.05 - SAP DL Download'!$C$9:$D$120,2,FALSE))</f>
        <v>3652305.83</v>
      </c>
      <c r="E79" s="1200"/>
      <c r="F79" s="1201">
        <f>SUM(D79:E79)</f>
        <v>3652305.83</v>
      </c>
      <c r="G79" s="1200">
        <f>F79/$F$80*$F$109</f>
        <v>2416553.5113769756</v>
      </c>
      <c r="H79" s="1201">
        <f>SUM(F79:G79)</f>
        <v>6068859.3413769752</v>
      </c>
      <c r="I79" s="1202"/>
      <c r="J79" s="1201">
        <f>SUM(H79:I79)</f>
        <v>6068859.3413769752</v>
      </c>
      <c r="K79" s="1203">
        <f>J79/$J$80*$K$80</f>
        <v>931132.23435518658</v>
      </c>
      <c r="L79" s="1229"/>
      <c r="M79" s="1207">
        <f>SUM(J79:K79)</f>
        <v>6999991.5757321622</v>
      </c>
      <c r="N79" s="1206">
        <f t="shared" si="31"/>
        <v>3.2051843766807669E-2</v>
      </c>
      <c r="O79" s="1206"/>
    </row>
    <row r="80" spans="1:16">
      <c r="A80" s="1188">
        <v>68</v>
      </c>
      <c r="B80" s="1191" t="s">
        <v>1446</v>
      </c>
      <c r="C80" s="1188"/>
      <c r="D80" s="1200">
        <f>SUM(D77:D79)</f>
        <v>30626485.909999996</v>
      </c>
      <c r="E80" s="1200"/>
      <c r="F80" s="1200">
        <f>SUM(F77:F79)</f>
        <v>30626485.909999996</v>
      </c>
      <c r="G80" s="1200">
        <f>SUM(G77:G79)</f>
        <v>20264059.340000004</v>
      </c>
      <c r="H80" s="1200">
        <f>SUM(H77:H79)</f>
        <v>50890545.25</v>
      </c>
      <c r="I80" s="1200">
        <f>SUM(I77:I79)</f>
        <v>0</v>
      </c>
      <c r="J80" s="1200">
        <f>SUM(J77:J79)</f>
        <v>50890545.25</v>
      </c>
      <c r="K80" s="1200">
        <f>J80/$J$118*$O$125</f>
        <v>7808028.5669357376</v>
      </c>
      <c r="L80" s="1230"/>
      <c r="M80" s="1207">
        <f>SUM(M77:M79)</f>
        <v>58698573.81693574</v>
      </c>
      <c r="N80" s="1206">
        <f t="shared" si="31"/>
        <v>0.26877139735958427</v>
      </c>
      <c r="O80" s="1206"/>
    </row>
    <row r="81" spans="1:15">
      <c r="A81" s="1186">
        <v>69</v>
      </c>
      <c r="B81" s="1194" t="s">
        <v>1447</v>
      </c>
      <c r="C81" s="1188"/>
      <c r="D81" s="1210"/>
      <c r="E81" s="1200"/>
      <c r="F81" s="1210"/>
      <c r="G81" s="1200"/>
      <c r="H81" s="1210"/>
      <c r="I81" s="1202"/>
      <c r="J81" s="1211"/>
      <c r="K81" s="1203"/>
      <c r="L81" s="1227"/>
      <c r="M81" s="1228"/>
      <c r="N81" s="1206">
        <f t="shared" si="31"/>
        <v>0</v>
      </c>
      <c r="O81" s="1206"/>
    </row>
    <row r="82" spans="1:15">
      <c r="A82" s="1188">
        <v>70</v>
      </c>
      <c r="B82" s="1191" t="s">
        <v>1440</v>
      </c>
      <c r="C82" s="1188" t="s">
        <v>1448</v>
      </c>
      <c r="D82" s="1201">
        <f>VALUE(VLOOKUP(C82,'3.05 - SAP DL Download'!$C$9:$D$120,2,FALSE))</f>
        <v>4377661.22</v>
      </c>
      <c r="E82" s="1200"/>
      <c r="F82" s="1201">
        <f>SUM(D82:E82)</f>
        <v>4377661.22</v>
      </c>
      <c r="G82" s="1200"/>
      <c r="H82" s="1201">
        <f>SUM(F82:G82)</f>
        <v>4377661.22</v>
      </c>
      <c r="I82" s="1202"/>
      <c r="J82" s="1201">
        <f>SUM(H82:I82)</f>
        <v>4377661.22</v>
      </c>
      <c r="K82" s="1203">
        <f>J82/$J$85*$K$85</f>
        <v>671655.28870270366</v>
      </c>
      <c r="L82" s="1229"/>
      <c r="M82" s="1207">
        <f>SUM(J82:K82)</f>
        <v>5049316.5087027038</v>
      </c>
      <c r="N82" s="1206">
        <f t="shared" si="31"/>
        <v>2.3120014090756133E-2</v>
      </c>
      <c r="O82" s="1206"/>
    </row>
    <row r="83" spans="1:15">
      <c r="A83" s="1188">
        <v>71</v>
      </c>
      <c r="B83" s="1191" t="s">
        <v>1442</v>
      </c>
      <c r="C83" s="1188" t="s">
        <v>1449</v>
      </c>
      <c r="D83" s="1201">
        <f>VALUE(VLOOKUP(C83,'3.05 - SAP DL Download'!$C$9:$D$120,2,FALSE))</f>
        <v>735754.26</v>
      </c>
      <c r="E83" s="1200"/>
      <c r="F83" s="1201">
        <f>SUM(D83:E83)</f>
        <v>735754.26</v>
      </c>
      <c r="G83" s="1200"/>
      <c r="H83" s="1201">
        <f>SUM(F83:G83)</f>
        <v>735754.26</v>
      </c>
      <c r="I83" s="1202"/>
      <c r="J83" s="1201">
        <f>SUM(H83:I83)</f>
        <v>735754.26</v>
      </c>
      <c r="K83" s="1203">
        <f>J83/$J$85*$K$85</f>
        <v>112885.21771781694</v>
      </c>
      <c r="L83" s="1229"/>
      <c r="M83" s="1207">
        <f>SUM(J83:K83)</f>
        <v>848639.47771781695</v>
      </c>
      <c r="N83" s="1206">
        <f t="shared" si="31"/>
        <v>3.8857846698639349E-3</v>
      </c>
      <c r="O83" s="1206"/>
    </row>
    <row r="84" spans="1:15">
      <c r="A84" s="1234">
        <v>72</v>
      </c>
      <c r="B84" s="1191" t="s">
        <v>1444</v>
      </c>
      <c r="C84" s="1188" t="s">
        <v>1450</v>
      </c>
      <c r="D84" s="1201">
        <f>VALUE(VLOOKUP(C84,'3.05 - SAP DL Download'!$C$9:$D$120,2,FALSE))</f>
        <v>564721.38</v>
      </c>
      <c r="E84" s="1200"/>
      <c r="F84" s="1201">
        <f>SUM(D84:E84)</f>
        <v>564721.38</v>
      </c>
      <c r="G84" s="1200"/>
      <c r="H84" s="1201">
        <f>SUM(F84:G84)</f>
        <v>564721.38</v>
      </c>
      <c r="I84" s="1202"/>
      <c r="J84" s="1201">
        <f>SUM(H84:I84)</f>
        <v>564721.38</v>
      </c>
      <c r="K84" s="1203">
        <f>J84/$J$85*$K$85</f>
        <v>86644.005202506101</v>
      </c>
      <c r="L84" s="1229"/>
      <c r="M84" s="1207">
        <f>SUM(J84:K84)</f>
        <v>651365.38520250609</v>
      </c>
      <c r="N84" s="1206">
        <f t="shared" si="31"/>
        <v>2.9824980981400036E-3</v>
      </c>
      <c r="O84" s="1206"/>
    </row>
    <row r="85" spans="1:15">
      <c r="A85" s="1186">
        <v>73</v>
      </c>
      <c r="B85" s="1194" t="s">
        <v>1451</v>
      </c>
      <c r="C85" s="1188"/>
      <c r="D85" s="1200">
        <f>SUM(D82:D84)</f>
        <v>5678136.8599999994</v>
      </c>
      <c r="E85" s="1200"/>
      <c r="F85" s="1200">
        <f>SUM(F82:F84)</f>
        <v>5678136.8599999994</v>
      </c>
      <c r="G85" s="1200">
        <f>SUM(G82:G84)</f>
        <v>0</v>
      </c>
      <c r="H85" s="1200">
        <f>SUM(H82:H84)</f>
        <v>5678136.8599999994</v>
      </c>
      <c r="I85" s="1200">
        <f>SUM(I82:I84)</f>
        <v>0</v>
      </c>
      <c r="J85" s="1200">
        <f>SUM(J82:J84)</f>
        <v>5678136.8599999994</v>
      </c>
      <c r="K85" s="1200">
        <f>J85/$J$118*$O$125</f>
        <v>871184.51162302657</v>
      </c>
      <c r="L85" s="1230"/>
      <c r="M85" s="1207">
        <f>SUM(M82:M84)</f>
        <v>6549321.3716230262</v>
      </c>
      <c r="N85" s="1206">
        <f t="shared" si="31"/>
        <v>2.9988296858760068E-2</v>
      </c>
      <c r="O85" s="1206"/>
    </row>
    <row r="86" spans="1:15">
      <c r="A86" s="1186">
        <v>74</v>
      </c>
      <c r="B86" s="1194" t="s">
        <v>1452</v>
      </c>
      <c r="C86" s="1188"/>
      <c r="D86" s="1210"/>
      <c r="E86" s="1200"/>
      <c r="F86" s="1210"/>
      <c r="G86" s="1200"/>
      <c r="H86" s="1210"/>
      <c r="I86" s="1202"/>
      <c r="J86" s="1211"/>
      <c r="K86" s="1203"/>
      <c r="L86" s="1227"/>
      <c r="M86" s="1228"/>
      <c r="N86" s="1206">
        <f t="shared" si="31"/>
        <v>0</v>
      </c>
      <c r="O86" s="1206"/>
    </row>
    <row r="87" spans="1:15">
      <c r="A87" s="1234">
        <v>74.010000000000005</v>
      </c>
      <c r="B87" s="1191" t="s">
        <v>1453</v>
      </c>
      <c r="C87" s="1188" t="s">
        <v>1454</v>
      </c>
      <c r="D87" s="1201">
        <f>VALUE(VLOOKUP(C87,'3.05 - SAP DL Download'!$C$9:$D$120,2,FALSE))</f>
        <v>161647.1</v>
      </c>
      <c r="E87" s="1200"/>
      <c r="F87" s="1201">
        <f t="shared" ref="F87:F96" si="32">SUM(D87:E87)</f>
        <v>161647.1</v>
      </c>
      <c r="G87" s="1200"/>
      <c r="H87" s="1201">
        <f t="shared" ref="H87:H96" si="33">SUM(F87:G87)</f>
        <v>161647.1</v>
      </c>
      <c r="I87" s="1202"/>
      <c r="J87" s="1201">
        <f t="shared" ref="J87:J96" si="34">SUM(H87:I87)</f>
        <v>161647.1</v>
      </c>
      <c r="K87" s="1202">
        <f>J87/$J$117*$F$8*$J$108</f>
        <v>24898.382557891735</v>
      </c>
      <c r="L87" s="1229"/>
      <c r="M87" s="1207">
        <f t="shared" ref="M87:M96" si="35">SUM(J87:K87)</f>
        <v>186545.48255789175</v>
      </c>
      <c r="N87" s="1206">
        <f t="shared" si="31"/>
        <v>8.5416197971979789E-4</v>
      </c>
      <c r="O87" s="1206"/>
    </row>
    <row r="88" spans="1:15">
      <c r="A88" s="1188">
        <v>74.02</v>
      </c>
      <c r="B88" s="1191" t="s">
        <v>1455</v>
      </c>
      <c r="C88" s="1188" t="s">
        <v>1456</v>
      </c>
      <c r="D88" s="1201">
        <f>VALUE(VLOOKUP(C88,'3.05 - SAP DL Download'!$C$9:$D$120,2,FALSE))</f>
        <v>3134892.07</v>
      </c>
      <c r="E88" s="1200"/>
      <c r="F88" s="1201">
        <f t="shared" si="32"/>
        <v>3134892.07</v>
      </c>
      <c r="G88" s="1200"/>
      <c r="H88" s="1201">
        <f t="shared" si="33"/>
        <v>3134892.07</v>
      </c>
      <c r="I88" s="1202"/>
      <c r="J88" s="1201">
        <f t="shared" si="34"/>
        <v>3134892.07</v>
      </c>
      <c r="K88" s="1200">
        <f>J88/$J$118*$O$125</f>
        <v>480979.85031552217</v>
      </c>
      <c r="L88" s="1229"/>
      <c r="M88" s="1207">
        <f t="shared" si="35"/>
        <v>3615871.9203155218</v>
      </c>
      <c r="N88" s="1206">
        <f t="shared" si="31"/>
        <v>1.6556500192447428E-2</v>
      </c>
      <c r="O88" s="1206"/>
    </row>
    <row r="89" spans="1:15">
      <c r="A89" s="1234">
        <v>74.03</v>
      </c>
      <c r="B89" s="1191" t="s">
        <v>1457</v>
      </c>
      <c r="C89" s="1188" t="s">
        <v>1458</v>
      </c>
      <c r="D89" s="1201">
        <f>VALUE(VLOOKUP(C89,'3.05 - SAP DL Download'!$C$9:$D$120,2,FALSE))</f>
        <v>8987537.9299999997</v>
      </c>
      <c r="F89" s="1201">
        <f t="shared" si="32"/>
        <v>8987537.9299999997</v>
      </c>
      <c r="G89" s="1200"/>
      <c r="H89" s="1201">
        <f t="shared" si="33"/>
        <v>8987537.9299999997</v>
      </c>
      <c r="I89" s="1202"/>
      <c r="J89" s="1201">
        <f t="shared" si="34"/>
        <v>8987537.9299999997</v>
      </c>
      <c r="K89" s="1200">
        <f>J89/$J$118*$O$125</f>
        <v>1378938.9081827234</v>
      </c>
      <c r="L89" s="1229"/>
      <c r="M89" s="1207">
        <f t="shared" si="35"/>
        <v>10366476.838182723</v>
      </c>
      <c r="N89" s="1206">
        <f t="shared" si="31"/>
        <v>4.7466442271383712E-2</v>
      </c>
      <c r="O89" s="1206"/>
    </row>
    <row r="90" spans="1:15">
      <c r="A90" s="1188">
        <v>74.040000000000006</v>
      </c>
      <c r="B90" s="1191" t="s">
        <v>1459</v>
      </c>
      <c r="C90" s="1188" t="s">
        <v>1460</v>
      </c>
      <c r="D90" s="1201">
        <f>VALUE(VLOOKUP(C90,'3.05 - SAP DL Download'!$C$9:$D$120,2,FALSE))</f>
        <v>21049.69</v>
      </c>
      <c r="E90" s="1200"/>
      <c r="F90" s="1201">
        <f t="shared" si="32"/>
        <v>21049.69</v>
      </c>
      <c r="G90" s="1200"/>
      <c r="H90" s="1201">
        <f t="shared" si="33"/>
        <v>21049.69</v>
      </c>
      <c r="I90" s="1202"/>
      <c r="J90" s="1201">
        <f t="shared" si="34"/>
        <v>21049.69</v>
      </c>
      <c r="K90" s="1200">
        <f>J90/$J$118*$O$125</f>
        <v>3229.6093515551702</v>
      </c>
      <c r="L90" s="1229"/>
      <c r="M90" s="1207">
        <f t="shared" si="35"/>
        <v>24279.299351555168</v>
      </c>
      <c r="N90" s="1206">
        <f t="shared" si="31"/>
        <v>1.1117103515973956E-4</v>
      </c>
      <c r="O90" s="1206"/>
    </row>
    <row r="91" spans="1:15">
      <c r="A91" s="1234">
        <v>74.05</v>
      </c>
      <c r="B91" s="1191" t="s">
        <v>1461</v>
      </c>
      <c r="C91" s="1188" t="s">
        <v>1462</v>
      </c>
      <c r="D91" s="1201">
        <f>VALUE(VLOOKUP(C91,'3.05 - SAP DL Download'!$C$9:$D$120,2,FALSE))</f>
        <v>3026289.8</v>
      </c>
      <c r="E91" s="1200"/>
      <c r="F91" s="1201">
        <f t="shared" si="32"/>
        <v>3026289.8</v>
      </c>
      <c r="G91" s="1200"/>
      <c r="H91" s="1201">
        <f t="shared" si="33"/>
        <v>3026289.8</v>
      </c>
      <c r="I91" s="1202"/>
      <c r="J91" s="1201">
        <f t="shared" si="34"/>
        <v>3026289.8</v>
      </c>
      <c r="K91" s="1200">
        <f>J91/$J$118*$O$125</f>
        <v>464317.23405884003</v>
      </c>
      <c r="L91" s="1229"/>
      <c r="M91" s="1207">
        <f t="shared" si="35"/>
        <v>3490607.03405884</v>
      </c>
      <c r="N91" s="1206">
        <f t="shared" si="31"/>
        <v>1.5982932278782312E-2</v>
      </c>
      <c r="O91" s="1206"/>
    </row>
    <row r="92" spans="1:15">
      <c r="A92" s="1188">
        <v>74.06</v>
      </c>
      <c r="B92" s="1235" t="s">
        <v>1463</v>
      </c>
      <c r="C92" s="1188" t="s">
        <v>1464</v>
      </c>
      <c r="D92" s="1201">
        <f>VALUE(VLOOKUP(C92,'3.05 - SAP DL Download'!$C$9:$D$120,2,FALSE))</f>
        <v>1083227.8799999999</v>
      </c>
      <c r="E92" s="1200"/>
      <c r="F92" s="1201">
        <f t="shared" si="32"/>
        <v>1083227.8799999999</v>
      </c>
      <c r="G92" s="1200"/>
      <c r="H92" s="1201">
        <f t="shared" si="33"/>
        <v>1083227.8799999999</v>
      </c>
      <c r="I92" s="1202"/>
      <c r="J92" s="1201">
        <f t="shared" si="34"/>
        <v>1083227.8799999999</v>
      </c>
      <c r="K92" s="1202">
        <f>J92/$J$117*$F$8*$J$108</f>
        <v>166848.78450410828</v>
      </c>
      <c r="L92" s="1229"/>
      <c r="M92" s="1207">
        <f t="shared" si="35"/>
        <v>1250076.6645041083</v>
      </c>
      <c r="N92" s="1206">
        <f t="shared" si="31"/>
        <v>5.7239014524138052E-3</v>
      </c>
      <c r="O92" s="1206"/>
    </row>
    <row r="93" spans="1:15">
      <c r="A93" s="1234">
        <v>74.069999999999993</v>
      </c>
      <c r="B93" s="1191" t="s">
        <v>1465</v>
      </c>
      <c r="C93" s="1188" t="s">
        <v>1466</v>
      </c>
      <c r="D93" s="1201">
        <f>VALUE(VLOOKUP(C93,'3.05 - SAP DL Download'!$C$9:$D$120,2))</f>
        <v>10577.99</v>
      </c>
      <c r="E93" s="1200">
        <f>'3.05 - SAP DL Download'!D146</f>
        <v>1672983.7499999972</v>
      </c>
      <c r="F93" s="1201">
        <f t="shared" si="32"/>
        <v>1683561.7399999972</v>
      </c>
      <c r="G93" s="1200"/>
      <c r="H93" s="1201">
        <f t="shared" si="33"/>
        <v>1683561.7399999972</v>
      </c>
      <c r="I93" s="1202"/>
      <c r="J93" s="1201">
        <f t="shared" si="34"/>
        <v>1683561.7399999972</v>
      </c>
      <c r="K93" s="1200">
        <f>J93/$J$118*$O$125</f>
        <v>258305.3118323588</v>
      </c>
      <c r="L93" s="1229"/>
      <c r="M93" s="1207">
        <f t="shared" si="35"/>
        <v>1941867.051832356</v>
      </c>
      <c r="N93" s="1206">
        <f t="shared" si="31"/>
        <v>8.8914991808018082E-3</v>
      </c>
      <c r="O93" s="1206"/>
    </row>
    <row r="94" spans="1:15">
      <c r="A94" s="1234">
        <v>74.079999999999899</v>
      </c>
      <c r="B94" s="1191" t="s">
        <v>1467</v>
      </c>
      <c r="C94" s="1188" t="s">
        <v>1468</v>
      </c>
      <c r="D94" s="1201">
        <f>VALUE(VLOOKUP(C94,'3.05 - SAP DL Download'!$C$9:$D$120,2,FALSE))</f>
        <v>5235.18</v>
      </c>
      <c r="E94" s="1200"/>
      <c r="F94" s="1201">
        <f t="shared" si="32"/>
        <v>5235.18</v>
      </c>
      <c r="G94" s="1200"/>
      <c r="H94" s="1201">
        <f t="shared" si="33"/>
        <v>5235.18</v>
      </c>
      <c r="I94" s="1202"/>
      <c r="J94" s="1201">
        <f t="shared" si="34"/>
        <v>5235.18</v>
      </c>
      <c r="K94" s="1200">
        <f>J94/$J$118*$O$125</f>
        <v>803.22257881586825</v>
      </c>
      <c r="L94" s="1229"/>
      <c r="M94" s="1207">
        <f t="shared" si="35"/>
        <v>6038.4025788158688</v>
      </c>
      <c r="N94" s="1206">
        <f t="shared" si="31"/>
        <v>2.7648881282696582E-5</v>
      </c>
      <c r="O94" s="1206"/>
    </row>
    <row r="95" spans="1:15">
      <c r="A95" s="1188" t="s">
        <v>1469</v>
      </c>
      <c r="B95" s="1191" t="s">
        <v>1470</v>
      </c>
      <c r="C95" s="1188" t="s">
        <v>1471</v>
      </c>
      <c r="D95" s="1201">
        <f>VALUE(VLOOKUP(C95,'3.05 - SAP DL Download'!$C$9:$D$120,2,FALSE))</f>
        <v>5289</v>
      </c>
      <c r="E95" s="1200"/>
      <c r="F95" s="1201">
        <f t="shared" si="32"/>
        <v>5289</v>
      </c>
      <c r="G95" s="1200"/>
      <c r="H95" s="1201">
        <f t="shared" si="33"/>
        <v>5289</v>
      </c>
      <c r="I95" s="1202"/>
      <c r="J95" s="1201">
        <f t="shared" si="34"/>
        <v>5289</v>
      </c>
      <c r="K95" s="1200">
        <f>J95/$J$118*$O$125</f>
        <v>811.48006742024677</v>
      </c>
      <c r="L95" s="1229"/>
      <c r="M95" s="1207">
        <f t="shared" si="35"/>
        <v>6100.480067420247</v>
      </c>
      <c r="N95" s="1206">
        <f t="shared" si="31"/>
        <v>2.7933124191371114E-5</v>
      </c>
      <c r="O95" s="1206"/>
    </row>
    <row r="96" spans="1:15">
      <c r="A96" s="1234" t="s">
        <v>1472</v>
      </c>
      <c r="B96" s="1191" t="s">
        <v>1473</v>
      </c>
      <c r="C96" s="1188" t="s">
        <v>1474</v>
      </c>
      <c r="D96" s="1201">
        <f>VALUE(VLOOKUP(C96,'3.05 - SAP DL Download'!$C$9:$D$120,2,FALSE))</f>
        <v>0</v>
      </c>
      <c r="E96" s="1200"/>
      <c r="F96" s="1201">
        <f t="shared" si="32"/>
        <v>0</v>
      </c>
      <c r="G96" s="1200"/>
      <c r="H96" s="1201">
        <f t="shared" si="33"/>
        <v>0</v>
      </c>
      <c r="I96" s="1202"/>
      <c r="J96" s="1201">
        <f t="shared" si="34"/>
        <v>0</v>
      </c>
      <c r="K96" s="1200">
        <f>J96/$J$116*$N$127</f>
        <v>0</v>
      </c>
      <c r="L96" s="1229"/>
      <c r="M96" s="1207">
        <f t="shared" si="35"/>
        <v>0</v>
      </c>
      <c r="N96" s="1206">
        <f t="shared" si="31"/>
        <v>0</v>
      </c>
      <c r="O96" s="1206"/>
    </row>
    <row r="97" spans="1:15">
      <c r="A97" s="1186" t="s">
        <v>1475</v>
      </c>
      <c r="B97" s="1194" t="s">
        <v>1476</v>
      </c>
      <c r="C97" s="1188"/>
      <c r="D97" s="1201">
        <f t="shared" ref="D97:K97" si="36">SUM(D87:D96)</f>
        <v>16435746.639999999</v>
      </c>
      <c r="E97" s="1200">
        <f t="shared" si="36"/>
        <v>1672983.7499999972</v>
      </c>
      <c r="F97" s="1201">
        <f t="shared" si="36"/>
        <v>18108730.389999997</v>
      </c>
      <c r="G97" s="1201"/>
      <c r="H97" s="1201">
        <f t="shared" si="36"/>
        <v>18108730.389999997</v>
      </c>
      <c r="I97" s="1200"/>
      <c r="J97" s="1201">
        <f t="shared" si="36"/>
        <v>18108730.389999997</v>
      </c>
      <c r="K97" s="1201">
        <f t="shared" si="36"/>
        <v>2779132.7834492354</v>
      </c>
      <c r="L97" s="1229"/>
      <c r="M97" s="1207">
        <f>SUM(M87:M96)</f>
        <v>20887863.173449229</v>
      </c>
      <c r="N97" s="1206">
        <f t="shared" si="31"/>
        <v>9.5642190396182658E-2</v>
      </c>
      <c r="O97" s="1206"/>
    </row>
    <row r="98" spans="1:15">
      <c r="A98" s="1186" t="s">
        <v>1477</v>
      </c>
      <c r="B98" s="1194" t="s">
        <v>1478</v>
      </c>
      <c r="C98" s="1188"/>
      <c r="D98" s="1201">
        <f>D74+D80+D85+D97</f>
        <v>126542206.94</v>
      </c>
      <c r="E98" s="1200">
        <f>+E74+E77+E78+E79+E82+E83+E84+E97</f>
        <v>1672983.7499999972</v>
      </c>
      <c r="F98" s="1201">
        <f>F74+F80+F85+F97</f>
        <v>128215190.69</v>
      </c>
      <c r="G98" s="1201">
        <f>G74+G80+G85+G97</f>
        <v>20264059.340000004</v>
      </c>
      <c r="H98" s="1201">
        <f>+H74+H77+H78+H79+H85+H97</f>
        <v>148479250.02999997</v>
      </c>
      <c r="I98" s="1200">
        <f>+I74+I77+I78+I79+I85+I97</f>
        <v>40864058.560000002</v>
      </c>
      <c r="J98" s="1201">
        <f>+J74+J77+J78+J79+J85+J97</f>
        <v>189343308.58999997</v>
      </c>
      <c r="K98" s="1201">
        <f>+K74+K77+K78+K79+K85+K97</f>
        <v>29052601.07</v>
      </c>
      <c r="L98" s="1229"/>
      <c r="M98" s="1207">
        <f>+M74+M77+M78+M79+M85+M97</f>
        <v>218395909.66000003</v>
      </c>
      <c r="N98" s="1206">
        <f t="shared" si="31"/>
        <v>1</v>
      </c>
      <c r="O98" s="1206"/>
    </row>
    <row r="99" spans="1:15">
      <c r="A99" s="1188" t="s">
        <v>1479</v>
      </c>
      <c r="B99" s="1191"/>
      <c r="C99" s="1188"/>
      <c r="D99" s="1219"/>
      <c r="E99" s="1200"/>
      <c r="F99" s="1219"/>
      <c r="G99" s="1200"/>
      <c r="H99" s="1219"/>
      <c r="I99" s="1202"/>
      <c r="J99" s="1220"/>
      <c r="K99" s="1203"/>
      <c r="L99" s="1221"/>
      <c r="M99" s="1222"/>
      <c r="N99" s="1206">
        <f t="shared" si="31"/>
        <v>0</v>
      </c>
      <c r="O99" s="1206"/>
    </row>
    <row r="100" spans="1:15">
      <c r="A100" s="1186" t="s">
        <v>1480</v>
      </c>
      <c r="B100" s="1194" t="s">
        <v>1481</v>
      </c>
      <c r="C100" s="1188"/>
      <c r="D100" s="1224"/>
      <c r="E100" s="1200"/>
      <c r="F100" s="1224"/>
      <c r="G100" s="1200"/>
      <c r="H100" s="1224"/>
      <c r="I100" s="1202"/>
      <c r="J100" s="1225"/>
      <c r="K100" s="1203"/>
      <c r="L100" s="1232"/>
      <c r="M100" s="1233"/>
      <c r="N100" s="1206">
        <f t="shared" si="31"/>
        <v>0</v>
      </c>
      <c r="O100" s="1206"/>
    </row>
    <row r="101" spans="1:15">
      <c r="A101" s="1188" t="s">
        <v>1482</v>
      </c>
      <c r="B101" s="1191" t="s">
        <v>1483</v>
      </c>
      <c r="C101" s="1188" t="s">
        <v>1484</v>
      </c>
      <c r="D101" s="1201">
        <f>VALUE(VLOOKUP(C101,'3.05 - SAP DL Download'!$C$9:$D$120,2,FALSE))</f>
        <v>15463220.92</v>
      </c>
      <c r="E101" s="1201"/>
      <c r="F101" s="1201">
        <f>SUM(D101:E101)</f>
        <v>15463220.92</v>
      </c>
      <c r="G101" s="1201"/>
      <c r="H101" s="1201">
        <f>SUM(F101:G101)</f>
        <v>15463220.92</v>
      </c>
      <c r="I101" s="1202">
        <f>-H101</f>
        <v>-15463220.92</v>
      </c>
      <c r="J101" s="1201">
        <f>SUM(H101:I101)</f>
        <v>0</v>
      </c>
      <c r="K101" s="1203"/>
      <c r="L101" s="1229"/>
      <c r="M101" s="1207">
        <f>SUM(J101:K101)</f>
        <v>0</v>
      </c>
      <c r="N101" s="1206">
        <f t="shared" si="31"/>
        <v>0</v>
      </c>
      <c r="O101" s="1206"/>
    </row>
    <row r="102" spans="1:15">
      <c r="A102" s="1188" t="s">
        <v>1485</v>
      </c>
      <c r="B102" s="1191" t="s">
        <v>1486</v>
      </c>
      <c r="C102" s="1188" t="s">
        <v>1487</v>
      </c>
      <c r="D102" s="1201">
        <f>VALUE(VLOOKUP(C102,'3.05 - SAP DL Download'!$C$9:$D$120,2,FALSE))</f>
        <v>1265831.18</v>
      </c>
      <c r="E102" s="1201"/>
      <c r="F102" s="1201">
        <f>SUM(D102:E102)</f>
        <v>1265831.18</v>
      </c>
      <c r="G102" s="1201"/>
      <c r="H102" s="1201">
        <f>SUM(F102:G102)</f>
        <v>1265831.18</v>
      </c>
      <c r="I102" s="1202">
        <f>-H102</f>
        <v>-1265831.18</v>
      </c>
      <c r="J102" s="1201">
        <f>SUM(H102:I102)</f>
        <v>0</v>
      </c>
      <c r="K102" s="1203"/>
      <c r="L102" s="1229"/>
      <c r="M102" s="1207">
        <f>SUM(J102:K102)</f>
        <v>0</v>
      </c>
      <c r="N102" s="1206">
        <f t="shared" si="31"/>
        <v>0</v>
      </c>
      <c r="O102" s="1206"/>
    </row>
    <row r="103" spans="1:15">
      <c r="A103" s="1188" t="s">
        <v>1488</v>
      </c>
      <c r="B103" s="1191" t="s">
        <v>1489</v>
      </c>
      <c r="C103" s="1188" t="s">
        <v>1490</v>
      </c>
      <c r="D103" s="1201">
        <f>VALUE(VLOOKUP(C103,'3.05 - SAP DL Download'!$C$9:$D$120,2,FALSE))</f>
        <v>0</v>
      </c>
      <c r="E103" s="1201"/>
      <c r="F103" s="1201">
        <f>SUM(D103:E103)</f>
        <v>0</v>
      </c>
      <c r="G103" s="1201"/>
      <c r="H103" s="1201">
        <f>SUM(F103:G103)</f>
        <v>0</v>
      </c>
      <c r="I103" s="1202">
        <f>-H103</f>
        <v>0</v>
      </c>
      <c r="J103" s="1201">
        <f>SUM(H103:I103)</f>
        <v>0</v>
      </c>
      <c r="K103" s="1203"/>
      <c r="L103" s="1229"/>
      <c r="M103" s="1207">
        <f>SUM(J103:K103)</f>
        <v>0</v>
      </c>
      <c r="N103" s="1206">
        <f t="shared" si="31"/>
        <v>0</v>
      </c>
      <c r="O103" s="1206"/>
    </row>
    <row r="104" spans="1:15">
      <c r="A104" s="1188" t="s">
        <v>1491</v>
      </c>
      <c r="B104" s="1191" t="s">
        <v>1492</v>
      </c>
      <c r="C104" s="1188" t="s">
        <v>1493</v>
      </c>
      <c r="D104" s="1201">
        <f>VALUE(VLOOKUP(C104,'3.05 - SAP DL Download'!$C$9:$D$120,2,FALSE))</f>
        <v>22764791.670000002</v>
      </c>
      <c r="E104" s="1200">
        <f>'3.05 - SAP DL Download'!D147</f>
        <v>346583.63000000268</v>
      </c>
      <c r="F104" s="1201">
        <f>SUM(D104:E104)</f>
        <v>23111375.300000004</v>
      </c>
      <c r="G104" s="1201"/>
      <c r="H104" s="1201">
        <f>SUM(F104:G104)</f>
        <v>23111375.300000004</v>
      </c>
      <c r="I104" s="1202">
        <f>-H104</f>
        <v>-23111375.300000004</v>
      </c>
      <c r="J104" s="1201">
        <f>SUM(H104:I104)</f>
        <v>0</v>
      </c>
      <c r="K104" s="1203"/>
      <c r="L104" s="1229"/>
      <c r="M104" s="1207">
        <f>SUM(J104:K104)</f>
        <v>0</v>
      </c>
      <c r="N104" s="1206">
        <f t="shared" si="31"/>
        <v>0</v>
      </c>
      <c r="O104" s="1206"/>
    </row>
    <row r="105" spans="1:15">
      <c r="A105" s="1188" t="s">
        <v>1494</v>
      </c>
      <c r="B105" s="1191" t="s">
        <v>1495</v>
      </c>
      <c r="C105" s="1188" t="s">
        <v>1496</v>
      </c>
      <c r="D105" s="1201">
        <f>VALUE(VLOOKUP(C105,'3.05 - SAP DL Download'!$C$9:$D$120,2,FALSE))</f>
        <v>1023631.16</v>
      </c>
      <c r="E105" s="1201"/>
      <c r="F105" s="1201">
        <f>SUM(D105:E105)</f>
        <v>1023631.16</v>
      </c>
      <c r="G105" s="1201"/>
      <c r="H105" s="1201">
        <f>SUM(F105:G105)</f>
        <v>1023631.16</v>
      </c>
      <c r="I105" s="1202">
        <f>-H105</f>
        <v>-1023631.16</v>
      </c>
      <c r="J105" s="1201">
        <f>SUM(H105:I105)</f>
        <v>0</v>
      </c>
      <c r="K105" s="1203"/>
      <c r="L105" s="1229"/>
      <c r="M105" s="1207">
        <f>SUM(J105:K105)</f>
        <v>0</v>
      </c>
      <c r="N105" s="1206">
        <f t="shared" si="31"/>
        <v>0</v>
      </c>
      <c r="O105" s="1206"/>
    </row>
    <row r="106" spans="1:15">
      <c r="A106" s="1188" t="s">
        <v>1497</v>
      </c>
      <c r="B106" s="1191" t="s">
        <v>1498</v>
      </c>
      <c r="C106" s="1188"/>
      <c r="D106" s="1201">
        <f>SUM(D101:D105)</f>
        <v>40517474.93</v>
      </c>
      <c r="E106" s="1201"/>
      <c r="F106" s="1201">
        <f>SUM(F101:F105)</f>
        <v>40864058.560000002</v>
      </c>
      <c r="G106" s="1201"/>
      <c r="H106" s="1201">
        <f>SUM(H101:H105)</f>
        <v>40864058.560000002</v>
      </c>
      <c r="I106" s="1202">
        <f>SUM(I101:I105)</f>
        <v>-40864058.560000002</v>
      </c>
      <c r="J106" s="1201">
        <f>SUM(J101:J105)</f>
        <v>0</v>
      </c>
      <c r="K106" s="1201">
        <f>SUM(K101:K105)</f>
        <v>0</v>
      </c>
      <c r="L106" s="1229"/>
      <c r="M106" s="1207">
        <f>SUM(M101:M105)</f>
        <v>0</v>
      </c>
      <c r="N106" s="1206">
        <f t="shared" si="31"/>
        <v>0</v>
      </c>
      <c r="O106" s="1206"/>
    </row>
    <row r="107" spans="1:15">
      <c r="A107" s="1186" t="s">
        <v>1499</v>
      </c>
      <c r="B107" s="1194" t="s">
        <v>1500</v>
      </c>
      <c r="C107" s="1188"/>
      <c r="D107" s="1201"/>
      <c r="E107" s="1201"/>
      <c r="F107" s="1201"/>
      <c r="G107" s="1201"/>
      <c r="H107" s="1201"/>
      <c r="I107" s="1202"/>
      <c r="J107" s="1201"/>
      <c r="K107" s="1203"/>
      <c r="L107" s="1229"/>
      <c r="M107" s="1207"/>
      <c r="N107" s="1206">
        <f t="shared" si="31"/>
        <v>0</v>
      </c>
      <c r="O107" s="1206"/>
    </row>
    <row r="108" spans="1:15">
      <c r="A108" s="1188" t="s">
        <v>1501</v>
      </c>
      <c r="B108" s="1191" t="s">
        <v>1502</v>
      </c>
      <c r="C108" s="1188" t="s">
        <v>1502</v>
      </c>
      <c r="D108" s="1201">
        <f>VALUE(VLOOKUP(C108,'3.05 - SAP DL Download'!$C$9:$D$120,2,FALSE))</f>
        <v>29052601.07</v>
      </c>
      <c r="E108" s="1201"/>
      <c r="F108" s="1201">
        <f>SUM(D108:E108)</f>
        <v>29052601.07</v>
      </c>
      <c r="G108" s="1201"/>
      <c r="H108" s="1201">
        <f>SUM(F108:G108)</f>
        <v>29052601.07</v>
      </c>
      <c r="I108" s="1202"/>
      <c r="J108" s="1201">
        <f>SUM(H108:I108)</f>
        <v>29052601.07</v>
      </c>
      <c r="K108" s="1203">
        <f>-J108</f>
        <v>-29052601.07</v>
      </c>
      <c r="L108" s="1229"/>
      <c r="M108" s="1207">
        <f>SUM(J108:K108)</f>
        <v>0</v>
      </c>
      <c r="N108" s="1206">
        <f t="shared" si="31"/>
        <v>0</v>
      </c>
      <c r="O108" s="1206"/>
    </row>
    <row r="109" spans="1:15">
      <c r="A109" s="1188" t="s">
        <v>1503</v>
      </c>
      <c r="B109" s="1191" t="s">
        <v>1504</v>
      </c>
      <c r="C109" s="1188" t="s">
        <v>1505</v>
      </c>
      <c r="D109" s="1201">
        <f>VALUE(VLOOKUP(C109,'3.05 - SAP DL Download'!$C$9:$D$120,2,FALSE))</f>
        <v>20264059.34</v>
      </c>
      <c r="E109" s="1201"/>
      <c r="F109" s="1201">
        <f>SUM(D109:E109)</f>
        <v>20264059.34</v>
      </c>
      <c r="G109" s="1201">
        <f>-F109</f>
        <v>-20264059.34</v>
      </c>
      <c r="H109" s="1201">
        <f>SUM(F109:G109)</f>
        <v>0</v>
      </c>
      <c r="I109" s="1202"/>
      <c r="J109" s="1201">
        <f>SUM(H109:I109)</f>
        <v>0</v>
      </c>
      <c r="K109" s="1203"/>
      <c r="L109" s="1229"/>
      <c r="M109" s="1207">
        <f>SUM(J109:K109)</f>
        <v>0</v>
      </c>
      <c r="N109" s="1206">
        <f t="shared" si="31"/>
        <v>0</v>
      </c>
      <c r="O109" s="1206"/>
    </row>
    <row r="110" spans="1:15">
      <c r="A110" s="1188" t="s">
        <v>1506</v>
      </c>
      <c r="B110" s="1191" t="s">
        <v>1507</v>
      </c>
      <c r="C110" s="1188" t="s">
        <v>1508</v>
      </c>
      <c r="D110" s="1201">
        <f>VALUE(VLOOKUP(C110,'3.05 - SAP DL Download'!$C$9:$D$120,2,FALSE))</f>
        <v>2019567.38</v>
      </c>
      <c r="E110" s="1201">
        <f>-D110</f>
        <v>-2019567.38</v>
      </c>
      <c r="F110" s="1201">
        <f>SUM(D110:E110)</f>
        <v>0</v>
      </c>
      <c r="G110" s="1201"/>
      <c r="H110" s="1201">
        <f>SUM(F110:G110)</f>
        <v>0</v>
      </c>
      <c r="I110" s="1202"/>
      <c r="J110" s="1201">
        <f>SUM(H110:I110)</f>
        <v>0</v>
      </c>
      <c r="K110" s="1203">
        <f>-J110</f>
        <v>0</v>
      </c>
      <c r="L110" s="1229"/>
      <c r="M110" s="1207">
        <f>SUM(J110:K110)</f>
        <v>0</v>
      </c>
      <c r="N110" s="1206">
        <f>M110/$M$113</f>
        <v>0</v>
      </c>
      <c r="O110" s="1206"/>
    </row>
    <row r="111" spans="1:15">
      <c r="A111" s="1188"/>
      <c r="B111" s="1191"/>
      <c r="C111" s="1188"/>
      <c r="D111" s="1201"/>
      <c r="E111" s="1201"/>
      <c r="F111" s="1201"/>
      <c r="G111" s="1201"/>
      <c r="H111" s="1201"/>
      <c r="I111" s="1202"/>
      <c r="J111" s="1201"/>
      <c r="K111" s="1203"/>
      <c r="L111" s="1229"/>
      <c r="M111" s="1207"/>
      <c r="N111" s="1206">
        <f>M111/$M$113</f>
        <v>0</v>
      </c>
      <c r="O111" s="1206"/>
    </row>
    <row r="112" spans="1:15">
      <c r="A112" s="1188"/>
      <c r="B112" s="1191"/>
      <c r="C112" s="1188"/>
      <c r="D112" s="1201">
        <f t="shared" ref="D112:K112" si="37">SUM(D108:D111)</f>
        <v>51336227.789999999</v>
      </c>
      <c r="E112" s="1201">
        <f t="shared" si="37"/>
        <v>-2019567.38</v>
      </c>
      <c r="F112" s="1201">
        <f t="shared" si="37"/>
        <v>49316660.409999996</v>
      </c>
      <c r="G112" s="1201">
        <f t="shared" si="37"/>
        <v>-20264059.34</v>
      </c>
      <c r="H112" s="1201">
        <f t="shared" si="37"/>
        <v>29052601.07</v>
      </c>
      <c r="I112" s="1200">
        <f t="shared" si="37"/>
        <v>0</v>
      </c>
      <c r="J112" s="1201">
        <f t="shared" si="37"/>
        <v>29052601.07</v>
      </c>
      <c r="K112" s="1201">
        <f t="shared" si="37"/>
        <v>-29052601.07</v>
      </c>
      <c r="L112" s="1229"/>
      <c r="M112" s="1207">
        <f>SUM(M108:M111)</f>
        <v>0</v>
      </c>
      <c r="N112" s="1206">
        <f>M112/$M$113</f>
        <v>0</v>
      </c>
      <c r="O112" s="1206"/>
    </row>
    <row r="113" spans="1:16" ht="13.5" thickBot="1">
      <c r="A113" s="1167" t="s">
        <v>1509</v>
      </c>
      <c r="C113" s="1167"/>
      <c r="D113" s="1236">
        <f t="shared" ref="D113:K113" si="38">+D98+D106+D112</f>
        <v>218395909.66</v>
      </c>
      <c r="E113" s="1236">
        <f>E110+E104+E98</f>
        <v>0</v>
      </c>
      <c r="F113" s="1236">
        <f t="shared" si="38"/>
        <v>218395909.66</v>
      </c>
      <c r="G113" s="1236">
        <f t="shared" si="38"/>
        <v>0</v>
      </c>
      <c r="H113" s="1236">
        <f t="shared" si="38"/>
        <v>218395909.65999997</v>
      </c>
      <c r="I113" s="1237">
        <f t="shared" si="38"/>
        <v>0</v>
      </c>
      <c r="J113" s="1236">
        <f t="shared" si="38"/>
        <v>218395909.65999997</v>
      </c>
      <c r="K113" s="1236">
        <f t="shared" si="38"/>
        <v>0</v>
      </c>
      <c r="L113" s="1236"/>
      <c r="M113" s="1236">
        <f>+M98+M106+M112</f>
        <v>218395909.66000003</v>
      </c>
      <c r="N113" s="1238">
        <f>M113/$M$113</f>
        <v>1</v>
      </c>
      <c r="O113" s="1238"/>
    </row>
    <row r="114" spans="1:16">
      <c r="B114" s="1239"/>
      <c r="C114" s="1167"/>
      <c r="D114" s="1097"/>
      <c r="F114" s="1239"/>
      <c r="G114" s="1239"/>
      <c r="I114" s="1240"/>
    </row>
    <row r="115" spans="1:16">
      <c r="C115" s="1167"/>
      <c r="D115" s="1097"/>
      <c r="F115" s="1239"/>
      <c r="G115" s="1239" t="s">
        <v>1510</v>
      </c>
      <c r="I115" s="1240" t="s">
        <v>1511</v>
      </c>
      <c r="K115" s="1154" t="s">
        <v>1512</v>
      </c>
      <c r="N115" s="1154" t="s">
        <v>1513</v>
      </c>
    </row>
    <row r="116" spans="1:16">
      <c r="C116" s="1167"/>
      <c r="D116" s="1097"/>
      <c r="E116" s="1241" t="str">
        <f>"Utility O&amp;M (Lines "&amp;A74&amp;" + "&amp;A96&amp;" + "&amp;A106&amp;")"</f>
        <v>Utility O&amp;M (Lines 62 + 74.10 + 84)</v>
      </c>
      <c r="F116" s="1239">
        <f>F74+F106+F96</f>
        <v>114665896.09</v>
      </c>
      <c r="G116" s="1103">
        <f>ROUND(F116/F$119,4)</f>
        <v>0.60560000000000003</v>
      </c>
      <c r="H116" s="1239">
        <f>H74+H106+H96</f>
        <v>114665896.09</v>
      </c>
      <c r="I116" s="1103">
        <f>ROUND(H116/H$119,4)</f>
        <v>0.60560000000000003</v>
      </c>
      <c r="J116" s="1239">
        <f>J74+J106+J96</f>
        <v>114665896.09</v>
      </c>
      <c r="K116" s="1103">
        <f>ROUND(J116/J$119,4)</f>
        <v>0.60560000000000003</v>
      </c>
      <c r="M116" s="1239">
        <f>M74+M106+M96</f>
        <v>132260151.29799201</v>
      </c>
      <c r="O116" s="1242">
        <f>ROUND(M116/M$119,4)</f>
        <v>0.60560000000000003</v>
      </c>
      <c r="P116" s="1243"/>
    </row>
    <row r="117" spans="1:16">
      <c r="D117" s="1097"/>
      <c r="E117" s="1241" t="str">
        <f>"Non-Utility (Line "&amp;A87&amp;" + Line "&amp;A92&amp;")"</f>
        <v>Non-Utility (Line 74.01 + Line 74.06)</v>
      </c>
      <c r="F117" s="1165">
        <f>F92+F87</f>
        <v>1244874.98</v>
      </c>
      <c r="G117" s="1103">
        <f>ROUND(F117/F$119,4)</f>
        <v>6.6E-3</v>
      </c>
      <c r="H117" s="1165">
        <f>H92+H87</f>
        <v>1244874.98</v>
      </c>
      <c r="I117" s="1103">
        <f>ROUND(H117/H$119,4)</f>
        <v>6.6E-3</v>
      </c>
      <c r="J117" s="1165">
        <f>J92+J87</f>
        <v>1244874.98</v>
      </c>
      <c r="K117" s="1103">
        <f>ROUND(J117/J$119,4)</f>
        <v>6.6E-3</v>
      </c>
      <c r="M117" s="1165">
        <f>M92+M87</f>
        <v>1436622.1470619999</v>
      </c>
      <c r="O117" s="1242">
        <f>ROUND(M117/M$119,4)</f>
        <v>6.6E-3</v>
      </c>
      <c r="P117" s="1244"/>
    </row>
    <row r="118" spans="1:16">
      <c r="D118" s="1097"/>
      <c r="E118" s="1241" t="str">
        <f>"Capital (Lines "&amp;A80&amp;" + "&amp;A85&amp;" + "&amp;A88&amp;" thru "&amp;A91&amp;" + "&amp;A93&amp;" thru "&amp;A95&amp;" + "&amp;A109&amp;")"</f>
        <v>Capital (Lines 68 + 73 + 74.02 thru 74.05 + 74.07 thru 74.09 + 87)</v>
      </c>
      <c r="F118" s="1245">
        <f>F80+F85+SUM(F88:F91)+SUM(F93:F95)+F109</f>
        <v>73432537.519999981</v>
      </c>
      <c r="G118" s="1246">
        <f>ROUND(F118/F$119,4)</f>
        <v>0.38779999999999998</v>
      </c>
      <c r="H118" s="1245">
        <f>H80+H85+SUM(H88:H91)+SUM(H93:H95)+H109</f>
        <v>73432537.519999996</v>
      </c>
      <c r="I118" s="1246">
        <f>ROUND(H118/H$119,4)</f>
        <v>0.38779999999999998</v>
      </c>
      <c r="J118" s="1245">
        <f>J80+J85+SUM(J88:J91)+SUM(J93:J95)+J109</f>
        <v>73432537.519999996</v>
      </c>
      <c r="K118" s="1103">
        <f>ROUND(J118/J$119,4)</f>
        <v>0.38779999999999998</v>
      </c>
      <c r="L118" s="1247"/>
      <c r="M118" s="1245">
        <f>M80+M85+SUM(M88:M91)+SUM(M93:M95)+M109</f>
        <v>84699136.214946002</v>
      </c>
      <c r="O118" s="1242">
        <f>ROUND(M118/M$119,4)</f>
        <v>0.38779999999999998</v>
      </c>
      <c r="P118" s="1244"/>
    </row>
    <row r="119" spans="1:16">
      <c r="E119" s="1241" t="s">
        <v>1514</v>
      </c>
      <c r="F119" s="1248">
        <f>SUM(F116:F118)</f>
        <v>189343308.58999997</v>
      </c>
      <c r="G119" s="1249">
        <f>ROUND(F119/F$119,4)</f>
        <v>1</v>
      </c>
      <c r="H119" s="1248">
        <f>SUM(H116:H118)</f>
        <v>189343308.59</v>
      </c>
      <c r="I119" s="1249">
        <f>ROUND(H119/H$119,4)</f>
        <v>1</v>
      </c>
      <c r="J119" s="1248">
        <f>SUM(J116:J118)</f>
        <v>189343308.59</v>
      </c>
      <c r="K119" s="1249">
        <f>ROUND(J119/J$119,4)</f>
        <v>1</v>
      </c>
      <c r="L119" s="1250"/>
      <c r="M119" s="1248">
        <f>SUM(M116:M118)</f>
        <v>218395909.66000003</v>
      </c>
      <c r="N119" s="2896">
        <f>ROUND(M119/M$119,4)</f>
        <v>1</v>
      </c>
      <c r="O119" s="2896"/>
      <c r="P119" s="1244"/>
    </row>
    <row r="120" spans="1:16">
      <c r="E120" s="1241" t="s">
        <v>1502</v>
      </c>
      <c r="F120" s="1251">
        <f>F108</f>
        <v>29052601.07</v>
      </c>
      <c r="G120" s="1252"/>
      <c r="H120" s="1251">
        <f>H108</f>
        <v>29052601.07</v>
      </c>
      <c r="I120" s="1252"/>
      <c r="J120" s="1251">
        <f>J108</f>
        <v>29052601.07</v>
      </c>
      <c r="K120" s="1252"/>
      <c r="M120" s="1251">
        <f>M108</f>
        <v>0</v>
      </c>
      <c r="N120" s="2897"/>
      <c r="O120" s="2897"/>
    </row>
    <row r="121" spans="1:16" ht="13.5" thickBot="1">
      <c r="E121" s="1154" t="s">
        <v>1515</v>
      </c>
      <c r="F121" s="1253">
        <f>SUM(F119:F120)</f>
        <v>218395909.65999997</v>
      </c>
      <c r="H121" s="1253">
        <f>SUM(H119:H120)</f>
        <v>218395909.66</v>
      </c>
      <c r="J121" s="1253">
        <f>SUM(J119:J120)</f>
        <v>218395909.66</v>
      </c>
      <c r="M121" s="1253">
        <f>SUM(M119:M120)</f>
        <v>218395909.66000003</v>
      </c>
    </row>
    <row r="122" spans="1:16" ht="13.5" thickTop="1">
      <c r="F122" s="1251"/>
      <c r="H122" s="1251"/>
      <c r="J122" s="1251"/>
      <c r="M122" s="1251"/>
    </row>
    <row r="123" spans="1:16">
      <c r="H123" s="1154" t="s">
        <v>1516</v>
      </c>
      <c r="K123" s="1154" t="s">
        <v>1517</v>
      </c>
    </row>
    <row r="124" spans="1:16">
      <c r="A124" s="1167" t="s">
        <v>991</v>
      </c>
      <c r="C124" s="1154" t="s">
        <v>940</v>
      </c>
      <c r="H124" s="1254" t="s">
        <v>1518</v>
      </c>
      <c r="I124" s="1250"/>
      <c r="J124" s="1250"/>
      <c r="K124" s="1254" t="s">
        <v>1519</v>
      </c>
      <c r="L124" s="1250"/>
      <c r="M124" s="1250"/>
      <c r="N124" s="1250"/>
      <c r="O124" s="1255"/>
    </row>
    <row r="125" spans="1:16">
      <c r="A125" s="1256" t="s">
        <v>1520</v>
      </c>
      <c r="B125" s="1154" t="str">
        <f>"Col-2 L25 = Col-1 L84 x "&amp;FIXED(D5*100)&amp;"% (Electric 4 Factor)"</f>
        <v>Col-2 L25 = Col-1 L84 x 66.51% (Electric 4 Factor)</v>
      </c>
      <c r="C125" s="1257" t="s">
        <v>1520</v>
      </c>
      <c r="D125" s="1154" t="str">
        <f>"Col-2 L59b = Col-1 L84 x "&amp;FIXED(E5*100)&amp;"% (Gas 4 Factor)"</f>
        <v>Col-2 L59b = Col-1 L84 x 33.49% (Gas 4 Factor)</v>
      </c>
      <c r="H125" s="1258" t="s">
        <v>1521</v>
      </c>
      <c r="I125" s="1259">
        <f>H106*D5</f>
        <v>27178685.348256003</v>
      </c>
      <c r="J125" s="1160"/>
      <c r="K125" s="1258" t="s">
        <v>1342</v>
      </c>
      <c r="L125" s="1160"/>
      <c r="M125" s="1260">
        <f>E8</f>
        <v>0.38779999999999998</v>
      </c>
      <c r="O125" s="1261">
        <f>H108*E8</f>
        <v>11266598.694946</v>
      </c>
      <c r="P125" s="1262"/>
    </row>
    <row r="126" spans="1:16">
      <c r="A126" s="1256" t="s">
        <v>1522</v>
      </c>
      <c r="B126" s="1154" t="s">
        <v>1523</v>
      </c>
      <c r="C126" s="1257" t="s">
        <v>1522</v>
      </c>
      <c r="D126" s="1154" t="s">
        <v>1524</v>
      </c>
      <c r="H126" s="1258" t="s">
        <v>1525</v>
      </c>
      <c r="I126" s="1259">
        <f>H106*E5</f>
        <v>13685373.211743999</v>
      </c>
      <c r="J126" s="1259"/>
      <c r="K126" s="1258" t="s">
        <v>1526</v>
      </c>
      <c r="L126" s="1160"/>
      <c r="M126" s="1260">
        <f>F8</f>
        <v>6.6E-3</v>
      </c>
      <c r="N126" s="2898">
        <f>H108*F8</f>
        <v>191747.16706199999</v>
      </c>
      <c r="O126" s="2899"/>
      <c r="P126" s="1244"/>
    </row>
    <row r="127" spans="1:16" ht="13.5" thickBot="1">
      <c r="A127" s="1256" t="s">
        <v>1527</v>
      </c>
      <c r="B127" s="1154" t="str">
        <f>"Col-4 L62 = Col-3 L86 x "&amp;FIXED(D8*100)&amp;"% (O&amp;M Direct Labor Split)"</f>
        <v>Col-4 L62 = Col-3 L86 x 60.56% (O&amp;M Direct Labor Split)</v>
      </c>
      <c r="C127" s="1257" t="s">
        <v>1527</v>
      </c>
      <c r="D127" s="1154" t="str">
        <f>"Col-4 L62 = Col-3 L86 x "&amp;FIXED(D8*100)&amp;"% (O&amp;M Direct Labor Split)"</f>
        <v>Col-4 L62 = Col-3 L86 x 60.56% (O&amp;M Direct Labor Split)</v>
      </c>
      <c r="H127" s="1258"/>
      <c r="I127" s="1263">
        <f>SUM(I125:I126)</f>
        <v>40864058.560000002</v>
      </c>
      <c r="J127" s="1259"/>
      <c r="K127" s="1258" t="s">
        <v>1341</v>
      </c>
      <c r="L127" s="1160"/>
      <c r="M127" s="1260">
        <f>D8</f>
        <v>0.60560000000000003</v>
      </c>
      <c r="N127" s="2898">
        <f>H108*D8</f>
        <v>17594255.207992002</v>
      </c>
      <c r="O127" s="2899"/>
      <c r="P127" s="1244"/>
    </row>
    <row r="128" spans="1:16" ht="14.25" thickTop="1" thickBot="1">
      <c r="A128" s="1256" t="s">
        <v>1528</v>
      </c>
      <c r="B128" s="1154" t="s">
        <v>1529</v>
      </c>
      <c r="C128" s="1257" t="s">
        <v>1528</v>
      </c>
      <c r="D128" s="1154" t="s">
        <v>1530</v>
      </c>
      <c r="H128" s="1258" t="s">
        <v>1531</v>
      </c>
      <c r="I128" s="1259"/>
      <c r="J128" s="1259"/>
      <c r="K128" s="1258"/>
      <c r="L128" s="1160"/>
      <c r="M128" s="1264">
        <f>SUM(M125:M127)</f>
        <v>1</v>
      </c>
      <c r="N128" s="2900">
        <f>SUM(N125:O127)</f>
        <v>29052601.07</v>
      </c>
      <c r="O128" s="2901"/>
      <c r="P128" s="1244"/>
    </row>
    <row r="129" spans="1:18" ht="13.5" thickTop="1">
      <c r="A129" s="1256" t="s">
        <v>1532</v>
      </c>
      <c r="B129" s="1154" t="s">
        <v>1533</v>
      </c>
      <c r="C129" s="1257" t="s">
        <v>1532</v>
      </c>
      <c r="D129" s="1154" t="s">
        <v>1533</v>
      </c>
      <c r="H129" s="1258" t="s">
        <v>1027</v>
      </c>
      <c r="I129" s="1265">
        <f>SUM(H17:H20)+H26</f>
        <v>8385574.4199999999</v>
      </c>
      <c r="J129" s="1160"/>
      <c r="K129" s="1258"/>
      <c r="L129" s="1160"/>
      <c r="M129" s="1266"/>
      <c r="N129" s="2894"/>
      <c r="O129" s="2895"/>
    </row>
    <row r="130" spans="1:18">
      <c r="A130" s="1256" t="s">
        <v>1534</v>
      </c>
      <c r="B130" s="1154" t="s">
        <v>1535</v>
      </c>
      <c r="C130" s="1257" t="s">
        <v>1534</v>
      </c>
      <c r="D130" s="1154" t="s">
        <v>1536</v>
      </c>
      <c r="H130" s="1258" t="s">
        <v>1028</v>
      </c>
      <c r="I130" s="1265">
        <f>SUM(H45:H48)+H57</f>
        <v>3529062.83</v>
      </c>
      <c r="J130" s="1160"/>
      <c r="K130" s="1258"/>
      <c r="L130" s="1160"/>
      <c r="M130" s="1160"/>
      <c r="N130" s="1160"/>
      <c r="O130" s="1267"/>
    </row>
    <row r="131" spans="1:18">
      <c r="A131" s="1256"/>
      <c r="C131" s="1257"/>
      <c r="H131" s="1268"/>
      <c r="I131" s="1269">
        <f>SUM(I129:I130)</f>
        <v>11914637.25</v>
      </c>
      <c r="J131" s="1247"/>
      <c r="K131" s="1268"/>
      <c r="L131" s="1247"/>
      <c r="M131" s="1247"/>
      <c r="N131" s="1247"/>
      <c r="O131" s="1270"/>
    </row>
    <row r="132" spans="1:18">
      <c r="C132" s="1256"/>
      <c r="G132" s="1271"/>
      <c r="H132" s="1160"/>
      <c r="I132" s="1265"/>
      <c r="J132" s="1160"/>
      <c r="K132" s="1160"/>
      <c r="L132" s="1160"/>
      <c r="M132" s="1160"/>
      <c r="N132" s="1160"/>
      <c r="O132" s="1160"/>
      <c r="P132" s="1160"/>
      <c r="Q132" s="1160"/>
      <c r="R132" s="1160"/>
    </row>
  </sheetData>
  <mergeCells count="6">
    <mergeCell ref="N129:O129"/>
    <mergeCell ref="N119:O119"/>
    <mergeCell ref="N120:O120"/>
    <mergeCell ref="N126:O126"/>
    <mergeCell ref="N127:O127"/>
    <mergeCell ref="N128:O128"/>
  </mergeCells>
  <printOptions horizontalCentered="1"/>
  <pageMargins left="0" right="0" top="0.36" bottom="0.26" header="0.16" footer="0"/>
  <pageSetup scale="60" fitToWidth="2" fitToHeight="2"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8" tint="0.39997558519241921"/>
  </sheetPr>
  <dimension ref="A1:H150"/>
  <sheetViews>
    <sheetView workbookViewId="0">
      <selection activeCell="I16" sqref="I16"/>
    </sheetView>
  </sheetViews>
  <sheetFormatPr defaultRowHeight="15"/>
  <cols>
    <col min="1" max="1" width="9.33203125" style="1272"/>
    <col min="2" max="2" width="46.33203125" style="1272" customWidth="1"/>
    <col min="3" max="3" width="17.33203125" style="1272" customWidth="1"/>
    <col min="4" max="4" width="23.1640625" style="1272" customWidth="1"/>
    <col min="5" max="5" width="2" style="1272" customWidth="1"/>
    <col min="6" max="6" width="23.1640625" style="1272" hidden="1" customWidth="1"/>
    <col min="7" max="7" width="2.6640625" style="1272" customWidth="1"/>
    <col min="8" max="8" width="18.6640625" style="1272" hidden="1" customWidth="1"/>
    <col min="9" max="257" width="9.33203125" style="1272"/>
    <col min="258" max="258" width="46.33203125" style="1272" customWidth="1"/>
    <col min="259" max="259" width="17.33203125" style="1272" customWidth="1"/>
    <col min="260" max="260" width="23.1640625" style="1272" customWidth="1"/>
    <col min="261" max="261" width="2" style="1272" customWidth="1"/>
    <col min="262" max="262" width="0" style="1272" hidden="1" customWidth="1"/>
    <col min="263" max="263" width="2.6640625" style="1272" customWidth="1"/>
    <col min="264" max="264" width="0" style="1272" hidden="1" customWidth="1"/>
    <col min="265" max="513" width="9.33203125" style="1272"/>
    <col min="514" max="514" width="46.33203125" style="1272" customWidth="1"/>
    <col min="515" max="515" width="17.33203125" style="1272" customWidth="1"/>
    <col min="516" max="516" width="23.1640625" style="1272" customWidth="1"/>
    <col min="517" max="517" width="2" style="1272" customWidth="1"/>
    <col min="518" max="518" width="0" style="1272" hidden="1" customWidth="1"/>
    <col min="519" max="519" width="2.6640625" style="1272" customWidth="1"/>
    <col min="520" max="520" width="0" style="1272" hidden="1" customWidth="1"/>
    <col min="521" max="769" width="9.33203125" style="1272"/>
    <col min="770" max="770" width="46.33203125" style="1272" customWidth="1"/>
    <col min="771" max="771" width="17.33203125" style="1272" customWidth="1"/>
    <col min="772" max="772" width="23.1640625" style="1272" customWidth="1"/>
    <col min="773" max="773" width="2" style="1272" customWidth="1"/>
    <col min="774" max="774" width="0" style="1272" hidden="1" customWidth="1"/>
    <col min="775" max="775" width="2.6640625" style="1272" customWidth="1"/>
    <col min="776" max="776" width="0" style="1272" hidden="1" customWidth="1"/>
    <col min="777" max="1025" width="9.33203125" style="1272"/>
    <col min="1026" max="1026" width="46.33203125" style="1272" customWidth="1"/>
    <col min="1027" max="1027" width="17.33203125" style="1272" customWidth="1"/>
    <col min="1028" max="1028" width="23.1640625" style="1272" customWidth="1"/>
    <col min="1029" max="1029" width="2" style="1272" customWidth="1"/>
    <col min="1030" max="1030" width="0" style="1272" hidden="1" customWidth="1"/>
    <col min="1031" max="1031" width="2.6640625" style="1272" customWidth="1"/>
    <col min="1032" max="1032" width="0" style="1272" hidden="1" customWidth="1"/>
    <col min="1033" max="1281" width="9.33203125" style="1272"/>
    <col min="1282" max="1282" width="46.33203125" style="1272" customWidth="1"/>
    <col min="1283" max="1283" width="17.33203125" style="1272" customWidth="1"/>
    <col min="1284" max="1284" width="23.1640625" style="1272" customWidth="1"/>
    <col min="1285" max="1285" width="2" style="1272" customWidth="1"/>
    <col min="1286" max="1286" width="0" style="1272" hidden="1" customWidth="1"/>
    <col min="1287" max="1287" width="2.6640625" style="1272" customWidth="1"/>
    <col min="1288" max="1288" width="0" style="1272" hidden="1" customWidth="1"/>
    <col min="1289" max="1537" width="9.33203125" style="1272"/>
    <col min="1538" max="1538" width="46.33203125" style="1272" customWidth="1"/>
    <col min="1539" max="1539" width="17.33203125" style="1272" customWidth="1"/>
    <col min="1540" max="1540" width="23.1640625" style="1272" customWidth="1"/>
    <col min="1541" max="1541" width="2" style="1272" customWidth="1"/>
    <col min="1542" max="1542" width="0" style="1272" hidden="1" customWidth="1"/>
    <col min="1543" max="1543" width="2.6640625" style="1272" customWidth="1"/>
    <col min="1544" max="1544" width="0" style="1272" hidden="1" customWidth="1"/>
    <col min="1545" max="1793" width="9.33203125" style="1272"/>
    <col min="1794" max="1794" width="46.33203125" style="1272" customWidth="1"/>
    <col min="1795" max="1795" width="17.33203125" style="1272" customWidth="1"/>
    <col min="1796" max="1796" width="23.1640625" style="1272" customWidth="1"/>
    <col min="1797" max="1797" width="2" style="1272" customWidth="1"/>
    <col min="1798" max="1798" width="0" style="1272" hidden="1" customWidth="1"/>
    <col min="1799" max="1799" width="2.6640625" style="1272" customWidth="1"/>
    <col min="1800" max="1800" width="0" style="1272" hidden="1" customWidth="1"/>
    <col min="1801" max="2049" width="9.33203125" style="1272"/>
    <col min="2050" max="2050" width="46.33203125" style="1272" customWidth="1"/>
    <col min="2051" max="2051" width="17.33203125" style="1272" customWidth="1"/>
    <col min="2052" max="2052" width="23.1640625" style="1272" customWidth="1"/>
    <col min="2053" max="2053" width="2" style="1272" customWidth="1"/>
    <col min="2054" max="2054" width="0" style="1272" hidden="1" customWidth="1"/>
    <col min="2055" max="2055" width="2.6640625" style="1272" customWidth="1"/>
    <col min="2056" max="2056" width="0" style="1272" hidden="1" customWidth="1"/>
    <col min="2057" max="2305" width="9.33203125" style="1272"/>
    <col min="2306" max="2306" width="46.33203125" style="1272" customWidth="1"/>
    <col min="2307" max="2307" width="17.33203125" style="1272" customWidth="1"/>
    <col min="2308" max="2308" width="23.1640625" style="1272" customWidth="1"/>
    <col min="2309" max="2309" width="2" style="1272" customWidth="1"/>
    <col min="2310" max="2310" width="0" style="1272" hidden="1" customWidth="1"/>
    <col min="2311" max="2311" width="2.6640625" style="1272" customWidth="1"/>
    <col min="2312" max="2312" width="0" style="1272" hidden="1" customWidth="1"/>
    <col min="2313" max="2561" width="9.33203125" style="1272"/>
    <col min="2562" max="2562" width="46.33203125" style="1272" customWidth="1"/>
    <col min="2563" max="2563" width="17.33203125" style="1272" customWidth="1"/>
    <col min="2564" max="2564" width="23.1640625" style="1272" customWidth="1"/>
    <col min="2565" max="2565" width="2" style="1272" customWidth="1"/>
    <col min="2566" max="2566" width="0" style="1272" hidden="1" customWidth="1"/>
    <col min="2567" max="2567" width="2.6640625" style="1272" customWidth="1"/>
    <col min="2568" max="2568" width="0" style="1272" hidden="1" customWidth="1"/>
    <col min="2569" max="2817" width="9.33203125" style="1272"/>
    <col min="2818" max="2818" width="46.33203125" style="1272" customWidth="1"/>
    <col min="2819" max="2819" width="17.33203125" style="1272" customWidth="1"/>
    <col min="2820" max="2820" width="23.1640625" style="1272" customWidth="1"/>
    <col min="2821" max="2821" width="2" style="1272" customWidth="1"/>
    <col min="2822" max="2822" width="0" style="1272" hidden="1" customWidth="1"/>
    <col min="2823" max="2823" width="2.6640625" style="1272" customWidth="1"/>
    <col min="2824" max="2824" width="0" style="1272" hidden="1" customWidth="1"/>
    <col min="2825" max="3073" width="9.33203125" style="1272"/>
    <col min="3074" max="3074" width="46.33203125" style="1272" customWidth="1"/>
    <col min="3075" max="3075" width="17.33203125" style="1272" customWidth="1"/>
    <col min="3076" max="3076" width="23.1640625" style="1272" customWidth="1"/>
    <col min="3077" max="3077" width="2" style="1272" customWidth="1"/>
    <col min="3078" max="3078" width="0" style="1272" hidden="1" customWidth="1"/>
    <col min="3079" max="3079" width="2.6640625" style="1272" customWidth="1"/>
    <col min="3080" max="3080" width="0" style="1272" hidden="1" customWidth="1"/>
    <col min="3081" max="3329" width="9.33203125" style="1272"/>
    <col min="3330" max="3330" width="46.33203125" style="1272" customWidth="1"/>
    <col min="3331" max="3331" width="17.33203125" style="1272" customWidth="1"/>
    <col min="3332" max="3332" width="23.1640625" style="1272" customWidth="1"/>
    <col min="3333" max="3333" width="2" style="1272" customWidth="1"/>
    <col min="3334" max="3334" width="0" style="1272" hidden="1" customWidth="1"/>
    <col min="3335" max="3335" width="2.6640625" style="1272" customWidth="1"/>
    <col min="3336" max="3336" width="0" style="1272" hidden="1" customWidth="1"/>
    <col min="3337" max="3585" width="9.33203125" style="1272"/>
    <col min="3586" max="3586" width="46.33203125" style="1272" customWidth="1"/>
    <col min="3587" max="3587" width="17.33203125" style="1272" customWidth="1"/>
    <col min="3588" max="3588" width="23.1640625" style="1272" customWidth="1"/>
    <col min="3589" max="3589" width="2" style="1272" customWidth="1"/>
    <col min="3590" max="3590" width="0" style="1272" hidden="1" customWidth="1"/>
    <col min="3591" max="3591" width="2.6640625" style="1272" customWidth="1"/>
    <col min="3592" max="3592" width="0" style="1272" hidden="1" customWidth="1"/>
    <col min="3593" max="3841" width="9.33203125" style="1272"/>
    <col min="3842" max="3842" width="46.33203125" style="1272" customWidth="1"/>
    <col min="3843" max="3843" width="17.33203125" style="1272" customWidth="1"/>
    <col min="3844" max="3844" width="23.1640625" style="1272" customWidth="1"/>
    <col min="3845" max="3845" width="2" style="1272" customWidth="1"/>
    <col min="3846" max="3846" width="0" style="1272" hidden="1" customWidth="1"/>
    <col min="3847" max="3847" width="2.6640625" style="1272" customWidth="1"/>
    <col min="3848" max="3848" width="0" style="1272" hidden="1" customWidth="1"/>
    <col min="3849" max="4097" width="9.33203125" style="1272"/>
    <col min="4098" max="4098" width="46.33203125" style="1272" customWidth="1"/>
    <col min="4099" max="4099" width="17.33203125" style="1272" customWidth="1"/>
    <col min="4100" max="4100" width="23.1640625" style="1272" customWidth="1"/>
    <col min="4101" max="4101" width="2" style="1272" customWidth="1"/>
    <col min="4102" max="4102" width="0" style="1272" hidden="1" customWidth="1"/>
    <col min="4103" max="4103" width="2.6640625" style="1272" customWidth="1"/>
    <col min="4104" max="4104" width="0" style="1272" hidden="1" customWidth="1"/>
    <col min="4105" max="4353" width="9.33203125" style="1272"/>
    <col min="4354" max="4354" width="46.33203125" style="1272" customWidth="1"/>
    <col min="4355" max="4355" width="17.33203125" style="1272" customWidth="1"/>
    <col min="4356" max="4356" width="23.1640625" style="1272" customWidth="1"/>
    <col min="4357" max="4357" width="2" style="1272" customWidth="1"/>
    <col min="4358" max="4358" width="0" style="1272" hidden="1" customWidth="1"/>
    <col min="4359" max="4359" width="2.6640625" style="1272" customWidth="1"/>
    <col min="4360" max="4360" width="0" style="1272" hidden="1" customWidth="1"/>
    <col min="4361" max="4609" width="9.33203125" style="1272"/>
    <col min="4610" max="4610" width="46.33203125" style="1272" customWidth="1"/>
    <col min="4611" max="4611" width="17.33203125" style="1272" customWidth="1"/>
    <col min="4612" max="4612" width="23.1640625" style="1272" customWidth="1"/>
    <col min="4613" max="4613" width="2" style="1272" customWidth="1"/>
    <col min="4614" max="4614" width="0" style="1272" hidden="1" customWidth="1"/>
    <col min="4615" max="4615" width="2.6640625" style="1272" customWidth="1"/>
    <col min="4616" max="4616" width="0" style="1272" hidden="1" customWidth="1"/>
    <col min="4617" max="4865" width="9.33203125" style="1272"/>
    <col min="4866" max="4866" width="46.33203125" style="1272" customWidth="1"/>
    <col min="4867" max="4867" width="17.33203125" style="1272" customWidth="1"/>
    <col min="4868" max="4868" width="23.1640625" style="1272" customWidth="1"/>
    <col min="4869" max="4869" width="2" style="1272" customWidth="1"/>
    <col min="4870" max="4870" width="0" style="1272" hidden="1" customWidth="1"/>
    <col min="4871" max="4871" width="2.6640625" style="1272" customWidth="1"/>
    <col min="4872" max="4872" width="0" style="1272" hidden="1" customWidth="1"/>
    <col min="4873" max="5121" width="9.33203125" style="1272"/>
    <col min="5122" max="5122" width="46.33203125" style="1272" customWidth="1"/>
    <col min="5123" max="5123" width="17.33203125" style="1272" customWidth="1"/>
    <col min="5124" max="5124" width="23.1640625" style="1272" customWidth="1"/>
    <col min="5125" max="5125" width="2" style="1272" customWidth="1"/>
    <col min="5126" max="5126" width="0" style="1272" hidden="1" customWidth="1"/>
    <col min="5127" max="5127" width="2.6640625" style="1272" customWidth="1"/>
    <col min="5128" max="5128" width="0" style="1272" hidden="1" customWidth="1"/>
    <col min="5129" max="5377" width="9.33203125" style="1272"/>
    <col min="5378" max="5378" width="46.33203125" style="1272" customWidth="1"/>
    <col min="5379" max="5379" width="17.33203125" style="1272" customWidth="1"/>
    <col min="5380" max="5380" width="23.1640625" style="1272" customWidth="1"/>
    <col min="5381" max="5381" width="2" style="1272" customWidth="1"/>
    <col min="5382" max="5382" width="0" style="1272" hidden="1" customWidth="1"/>
    <col min="5383" max="5383" width="2.6640625" style="1272" customWidth="1"/>
    <col min="5384" max="5384" width="0" style="1272" hidden="1" customWidth="1"/>
    <col min="5385" max="5633" width="9.33203125" style="1272"/>
    <col min="5634" max="5634" width="46.33203125" style="1272" customWidth="1"/>
    <col min="5635" max="5635" width="17.33203125" style="1272" customWidth="1"/>
    <col min="5636" max="5636" width="23.1640625" style="1272" customWidth="1"/>
    <col min="5637" max="5637" width="2" style="1272" customWidth="1"/>
    <col min="5638" max="5638" width="0" style="1272" hidden="1" customWidth="1"/>
    <col min="5639" max="5639" width="2.6640625" style="1272" customWidth="1"/>
    <col min="5640" max="5640" width="0" style="1272" hidden="1" customWidth="1"/>
    <col min="5641" max="5889" width="9.33203125" style="1272"/>
    <col min="5890" max="5890" width="46.33203125" style="1272" customWidth="1"/>
    <col min="5891" max="5891" width="17.33203125" style="1272" customWidth="1"/>
    <col min="5892" max="5892" width="23.1640625" style="1272" customWidth="1"/>
    <col min="5893" max="5893" width="2" style="1272" customWidth="1"/>
    <col min="5894" max="5894" width="0" style="1272" hidden="1" customWidth="1"/>
    <col min="5895" max="5895" width="2.6640625" style="1272" customWidth="1"/>
    <col min="5896" max="5896" width="0" style="1272" hidden="1" customWidth="1"/>
    <col min="5897" max="6145" width="9.33203125" style="1272"/>
    <col min="6146" max="6146" width="46.33203125" style="1272" customWidth="1"/>
    <col min="6147" max="6147" width="17.33203125" style="1272" customWidth="1"/>
    <col min="6148" max="6148" width="23.1640625" style="1272" customWidth="1"/>
    <col min="6149" max="6149" width="2" style="1272" customWidth="1"/>
    <col min="6150" max="6150" width="0" style="1272" hidden="1" customWidth="1"/>
    <col min="6151" max="6151" width="2.6640625" style="1272" customWidth="1"/>
    <col min="6152" max="6152" width="0" style="1272" hidden="1" customWidth="1"/>
    <col min="6153" max="6401" width="9.33203125" style="1272"/>
    <col min="6402" max="6402" width="46.33203125" style="1272" customWidth="1"/>
    <col min="6403" max="6403" width="17.33203125" style="1272" customWidth="1"/>
    <col min="6404" max="6404" width="23.1640625" style="1272" customWidth="1"/>
    <col min="6405" max="6405" width="2" style="1272" customWidth="1"/>
    <col min="6406" max="6406" width="0" style="1272" hidden="1" customWidth="1"/>
    <col min="6407" max="6407" width="2.6640625" style="1272" customWidth="1"/>
    <col min="6408" max="6408" width="0" style="1272" hidden="1" customWidth="1"/>
    <col min="6409" max="6657" width="9.33203125" style="1272"/>
    <col min="6658" max="6658" width="46.33203125" style="1272" customWidth="1"/>
    <col min="6659" max="6659" width="17.33203125" style="1272" customWidth="1"/>
    <col min="6660" max="6660" width="23.1640625" style="1272" customWidth="1"/>
    <col min="6661" max="6661" width="2" style="1272" customWidth="1"/>
    <col min="6662" max="6662" width="0" style="1272" hidden="1" customWidth="1"/>
    <col min="6663" max="6663" width="2.6640625" style="1272" customWidth="1"/>
    <col min="6664" max="6664" width="0" style="1272" hidden="1" customWidth="1"/>
    <col min="6665" max="6913" width="9.33203125" style="1272"/>
    <col min="6914" max="6914" width="46.33203125" style="1272" customWidth="1"/>
    <col min="6915" max="6915" width="17.33203125" style="1272" customWidth="1"/>
    <col min="6916" max="6916" width="23.1640625" style="1272" customWidth="1"/>
    <col min="6917" max="6917" width="2" style="1272" customWidth="1"/>
    <col min="6918" max="6918" width="0" style="1272" hidden="1" customWidth="1"/>
    <col min="6919" max="6919" width="2.6640625" style="1272" customWidth="1"/>
    <col min="6920" max="6920" width="0" style="1272" hidden="1" customWidth="1"/>
    <col min="6921" max="7169" width="9.33203125" style="1272"/>
    <col min="7170" max="7170" width="46.33203125" style="1272" customWidth="1"/>
    <col min="7171" max="7171" width="17.33203125" style="1272" customWidth="1"/>
    <col min="7172" max="7172" width="23.1640625" style="1272" customWidth="1"/>
    <col min="7173" max="7173" width="2" style="1272" customWidth="1"/>
    <col min="7174" max="7174" width="0" style="1272" hidden="1" customWidth="1"/>
    <col min="7175" max="7175" width="2.6640625" style="1272" customWidth="1"/>
    <col min="7176" max="7176" width="0" style="1272" hidden="1" customWidth="1"/>
    <col min="7177" max="7425" width="9.33203125" style="1272"/>
    <col min="7426" max="7426" width="46.33203125" style="1272" customWidth="1"/>
    <col min="7427" max="7427" width="17.33203125" style="1272" customWidth="1"/>
    <col min="7428" max="7428" width="23.1640625" style="1272" customWidth="1"/>
    <col min="7429" max="7429" width="2" style="1272" customWidth="1"/>
    <col min="7430" max="7430" width="0" style="1272" hidden="1" customWidth="1"/>
    <col min="7431" max="7431" width="2.6640625" style="1272" customWidth="1"/>
    <col min="7432" max="7432" width="0" style="1272" hidden="1" customWidth="1"/>
    <col min="7433" max="7681" width="9.33203125" style="1272"/>
    <col min="7682" max="7682" width="46.33203125" style="1272" customWidth="1"/>
    <col min="7683" max="7683" width="17.33203125" style="1272" customWidth="1"/>
    <col min="7684" max="7684" width="23.1640625" style="1272" customWidth="1"/>
    <col min="7685" max="7685" width="2" style="1272" customWidth="1"/>
    <col min="7686" max="7686" width="0" style="1272" hidden="1" customWidth="1"/>
    <col min="7687" max="7687" width="2.6640625" style="1272" customWidth="1"/>
    <col min="7688" max="7688" width="0" style="1272" hidden="1" customWidth="1"/>
    <col min="7689" max="7937" width="9.33203125" style="1272"/>
    <col min="7938" max="7938" width="46.33203125" style="1272" customWidth="1"/>
    <col min="7939" max="7939" width="17.33203125" style="1272" customWidth="1"/>
    <col min="7940" max="7940" width="23.1640625" style="1272" customWidth="1"/>
    <col min="7941" max="7941" width="2" style="1272" customWidth="1"/>
    <col min="7942" max="7942" width="0" style="1272" hidden="1" customWidth="1"/>
    <col min="7943" max="7943" width="2.6640625" style="1272" customWidth="1"/>
    <col min="7944" max="7944" width="0" style="1272" hidden="1" customWidth="1"/>
    <col min="7945" max="8193" width="9.33203125" style="1272"/>
    <col min="8194" max="8194" width="46.33203125" style="1272" customWidth="1"/>
    <col min="8195" max="8195" width="17.33203125" style="1272" customWidth="1"/>
    <col min="8196" max="8196" width="23.1640625" style="1272" customWidth="1"/>
    <col min="8197" max="8197" width="2" style="1272" customWidth="1"/>
    <col min="8198" max="8198" width="0" style="1272" hidden="1" customWidth="1"/>
    <col min="8199" max="8199" width="2.6640625" style="1272" customWidth="1"/>
    <col min="8200" max="8200" width="0" style="1272" hidden="1" customWidth="1"/>
    <col min="8201" max="8449" width="9.33203125" style="1272"/>
    <col min="8450" max="8450" width="46.33203125" style="1272" customWidth="1"/>
    <col min="8451" max="8451" width="17.33203125" style="1272" customWidth="1"/>
    <col min="8452" max="8452" width="23.1640625" style="1272" customWidth="1"/>
    <col min="8453" max="8453" width="2" style="1272" customWidth="1"/>
    <col min="8454" max="8454" width="0" style="1272" hidden="1" customWidth="1"/>
    <col min="8455" max="8455" width="2.6640625" style="1272" customWidth="1"/>
    <col min="8456" max="8456" width="0" style="1272" hidden="1" customWidth="1"/>
    <col min="8457" max="8705" width="9.33203125" style="1272"/>
    <col min="8706" max="8706" width="46.33203125" style="1272" customWidth="1"/>
    <col min="8707" max="8707" width="17.33203125" style="1272" customWidth="1"/>
    <col min="8708" max="8708" width="23.1640625" style="1272" customWidth="1"/>
    <col min="8709" max="8709" width="2" style="1272" customWidth="1"/>
    <col min="8710" max="8710" width="0" style="1272" hidden="1" customWidth="1"/>
    <col min="8711" max="8711" width="2.6640625" style="1272" customWidth="1"/>
    <col min="8712" max="8712" width="0" style="1272" hidden="1" customWidth="1"/>
    <col min="8713" max="8961" width="9.33203125" style="1272"/>
    <col min="8962" max="8962" width="46.33203125" style="1272" customWidth="1"/>
    <col min="8963" max="8963" width="17.33203125" style="1272" customWidth="1"/>
    <col min="8964" max="8964" width="23.1640625" style="1272" customWidth="1"/>
    <col min="8965" max="8965" width="2" style="1272" customWidth="1"/>
    <col min="8966" max="8966" width="0" style="1272" hidden="1" customWidth="1"/>
    <col min="8967" max="8967" width="2.6640625" style="1272" customWidth="1"/>
    <col min="8968" max="8968" width="0" style="1272" hidden="1" customWidth="1"/>
    <col min="8969" max="9217" width="9.33203125" style="1272"/>
    <col min="9218" max="9218" width="46.33203125" style="1272" customWidth="1"/>
    <col min="9219" max="9219" width="17.33203125" style="1272" customWidth="1"/>
    <col min="9220" max="9220" width="23.1640625" style="1272" customWidth="1"/>
    <col min="9221" max="9221" width="2" style="1272" customWidth="1"/>
    <col min="9222" max="9222" width="0" style="1272" hidden="1" customWidth="1"/>
    <col min="9223" max="9223" width="2.6640625" style="1272" customWidth="1"/>
    <col min="9224" max="9224" width="0" style="1272" hidden="1" customWidth="1"/>
    <col min="9225" max="9473" width="9.33203125" style="1272"/>
    <col min="9474" max="9474" width="46.33203125" style="1272" customWidth="1"/>
    <col min="9475" max="9475" width="17.33203125" style="1272" customWidth="1"/>
    <col min="9476" max="9476" width="23.1640625" style="1272" customWidth="1"/>
    <col min="9477" max="9477" width="2" style="1272" customWidth="1"/>
    <col min="9478" max="9478" width="0" style="1272" hidden="1" customWidth="1"/>
    <col min="9479" max="9479" width="2.6640625" style="1272" customWidth="1"/>
    <col min="9480" max="9480" width="0" style="1272" hidden="1" customWidth="1"/>
    <col min="9481" max="9729" width="9.33203125" style="1272"/>
    <col min="9730" max="9730" width="46.33203125" style="1272" customWidth="1"/>
    <col min="9731" max="9731" width="17.33203125" style="1272" customWidth="1"/>
    <col min="9732" max="9732" width="23.1640625" style="1272" customWidth="1"/>
    <col min="9733" max="9733" width="2" style="1272" customWidth="1"/>
    <col min="9734" max="9734" width="0" style="1272" hidden="1" customWidth="1"/>
    <col min="9735" max="9735" width="2.6640625" style="1272" customWidth="1"/>
    <col min="9736" max="9736" width="0" style="1272" hidden="1" customWidth="1"/>
    <col min="9737" max="9985" width="9.33203125" style="1272"/>
    <col min="9986" max="9986" width="46.33203125" style="1272" customWidth="1"/>
    <col min="9987" max="9987" width="17.33203125" style="1272" customWidth="1"/>
    <col min="9988" max="9988" width="23.1640625" style="1272" customWidth="1"/>
    <col min="9989" max="9989" width="2" style="1272" customWidth="1"/>
    <col min="9990" max="9990" width="0" style="1272" hidden="1" customWidth="1"/>
    <col min="9991" max="9991" width="2.6640625" style="1272" customWidth="1"/>
    <col min="9992" max="9992" width="0" style="1272" hidden="1" customWidth="1"/>
    <col min="9993" max="10241" width="9.33203125" style="1272"/>
    <col min="10242" max="10242" width="46.33203125" style="1272" customWidth="1"/>
    <col min="10243" max="10243" width="17.33203125" style="1272" customWidth="1"/>
    <col min="10244" max="10244" width="23.1640625" style="1272" customWidth="1"/>
    <col min="10245" max="10245" width="2" style="1272" customWidth="1"/>
    <col min="10246" max="10246" width="0" style="1272" hidden="1" customWidth="1"/>
    <col min="10247" max="10247" width="2.6640625" style="1272" customWidth="1"/>
    <col min="10248" max="10248" width="0" style="1272" hidden="1" customWidth="1"/>
    <col min="10249" max="10497" width="9.33203125" style="1272"/>
    <col min="10498" max="10498" width="46.33203125" style="1272" customWidth="1"/>
    <col min="10499" max="10499" width="17.33203125" style="1272" customWidth="1"/>
    <col min="10500" max="10500" width="23.1640625" style="1272" customWidth="1"/>
    <col min="10501" max="10501" width="2" style="1272" customWidth="1"/>
    <col min="10502" max="10502" width="0" style="1272" hidden="1" customWidth="1"/>
    <col min="10503" max="10503" width="2.6640625" style="1272" customWidth="1"/>
    <col min="10504" max="10504" width="0" style="1272" hidden="1" customWidth="1"/>
    <col min="10505" max="10753" width="9.33203125" style="1272"/>
    <col min="10754" max="10754" width="46.33203125" style="1272" customWidth="1"/>
    <col min="10755" max="10755" width="17.33203125" style="1272" customWidth="1"/>
    <col min="10756" max="10756" width="23.1640625" style="1272" customWidth="1"/>
    <col min="10757" max="10757" width="2" style="1272" customWidth="1"/>
    <col min="10758" max="10758" width="0" style="1272" hidden="1" customWidth="1"/>
    <col min="10759" max="10759" width="2.6640625" style="1272" customWidth="1"/>
    <col min="10760" max="10760" width="0" style="1272" hidden="1" customWidth="1"/>
    <col min="10761" max="11009" width="9.33203125" style="1272"/>
    <col min="11010" max="11010" width="46.33203125" style="1272" customWidth="1"/>
    <col min="11011" max="11011" width="17.33203125" style="1272" customWidth="1"/>
    <col min="11012" max="11012" width="23.1640625" style="1272" customWidth="1"/>
    <col min="11013" max="11013" width="2" style="1272" customWidth="1"/>
    <col min="11014" max="11014" width="0" style="1272" hidden="1" customWidth="1"/>
    <col min="11015" max="11015" width="2.6640625" style="1272" customWidth="1"/>
    <col min="11016" max="11016" width="0" style="1272" hidden="1" customWidth="1"/>
    <col min="11017" max="11265" width="9.33203125" style="1272"/>
    <col min="11266" max="11266" width="46.33203125" style="1272" customWidth="1"/>
    <col min="11267" max="11267" width="17.33203125" style="1272" customWidth="1"/>
    <col min="11268" max="11268" width="23.1640625" style="1272" customWidth="1"/>
    <col min="11269" max="11269" width="2" style="1272" customWidth="1"/>
    <col min="11270" max="11270" width="0" style="1272" hidden="1" customWidth="1"/>
    <col min="11271" max="11271" width="2.6640625" style="1272" customWidth="1"/>
    <col min="11272" max="11272" width="0" style="1272" hidden="1" customWidth="1"/>
    <col min="11273" max="11521" width="9.33203125" style="1272"/>
    <col min="11522" max="11522" width="46.33203125" style="1272" customWidth="1"/>
    <col min="11523" max="11523" width="17.33203125" style="1272" customWidth="1"/>
    <col min="11524" max="11524" width="23.1640625" style="1272" customWidth="1"/>
    <col min="11525" max="11525" width="2" style="1272" customWidth="1"/>
    <col min="11526" max="11526" width="0" style="1272" hidden="1" customWidth="1"/>
    <col min="11527" max="11527" width="2.6640625" style="1272" customWidth="1"/>
    <col min="11528" max="11528" width="0" style="1272" hidden="1" customWidth="1"/>
    <col min="11529" max="11777" width="9.33203125" style="1272"/>
    <col min="11778" max="11778" width="46.33203125" style="1272" customWidth="1"/>
    <col min="11779" max="11779" width="17.33203125" style="1272" customWidth="1"/>
    <col min="11780" max="11780" width="23.1640625" style="1272" customWidth="1"/>
    <col min="11781" max="11781" width="2" style="1272" customWidth="1"/>
    <col min="11782" max="11782" width="0" style="1272" hidden="1" customWidth="1"/>
    <col min="11783" max="11783" width="2.6640625" style="1272" customWidth="1"/>
    <col min="11784" max="11784" width="0" style="1272" hidden="1" customWidth="1"/>
    <col min="11785" max="12033" width="9.33203125" style="1272"/>
    <col min="12034" max="12034" width="46.33203125" style="1272" customWidth="1"/>
    <col min="12035" max="12035" width="17.33203125" style="1272" customWidth="1"/>
    <col min="12036" max="12036" width="23.1640625" style="1272" customWidth="1"/>
    <col min="12037" max="12037" width="2" style="1272" customWidth="1"/>
    <col min="12038" max="12038" width="0" style="1272" hidden="1" customWidth="1"/>
    <col min="12039" max="12039" width="2.6640625" style="1272" customWidth="1"/>
    <col min="12040" max="12040" width="0" style="1272" hidden="1" customWidth="1"/>
    <col min="12041" max="12289" width="9.33203125" style="1272"/>
    <col min="12290" max="12290" width="46.33203125" style="1272" customWidth="1"/>
    <col min="12291" max="12291" width="17.33203125" style="1272" customWidth="1"/>
    <col min="12292" max="12292" width="23.1640625" style="1272" customWidth="1"/>
    <col min="12293" max="12293" width="2" style="1272" customWidth="1"/>
    <col min="12294" max="12294" width="0" style="1272" hidden="1" customWidth="1"/>
    <col min="12295" max="12295" width="2.6640625" style="1272" customWidth="1"/>
    <col min="12296" max="12296" width="0" style="1272" hidden="1" customWidth="1"/>
    <col min="12297" max="12545" width="9.33203125" style="1272"/>
    <col min="12546" max="12546" width="46.33203125" style="1272" customWidth="1"/>
    <col min="12547" max="12547" width="17.33203125" style="1272" customWidth="1"/>
    <col min="12548" max="12548" width="23.1640625" style="1272" customWidth="1"/>
    <col min="12549" max="12549" width="2" style="1272" customWidth="1"/>
    <col min="12550" max="12550" width="0" style="1272" hidden="1" customWidth="1"/>
    <col min="12551" max="12551" width="2.6640625" style="1272" customWidth="1"/>
    <col min="12552" max="12552" width="0" style="1272" hidden="1" customWidth="1"/>
    <col min="12553" max="12801" width="9.33203125" style="1272"/>
    <col min="12802" max="12802" width="46.33203125" style="1272" customWidth="1"/>
    <col min="12803" max="12803" width="17.33203125" style="1272" customWidth="1"/>
    <col min="12804" max="12804" width="23.1640625" style="1272" customWidth="1"/>
    <col min="12805" max="12805" width="2" style="1272" customWidth="1"/>
    <col min="12806" max="12806" width="0" style="1272" hidden="1" customWidth="1"/>
    <col min="12807" max="12807" width="2.6640625" style="1272" customWidth="1"/>
    <col min="12808" max="12808" width="0" style="1272" hidden="1" customWidth="1"/>
    <col min="12809" max="13057" width="9.33203125" style="1272"/>
    <col min="13058" max="13058" width="46.33203125" style="1272" customWidth="1"/>
    <col min="13059" max="13059" width="17.33203125" style="1272" customWidth="1"/>
    <col min="13060" max="13060" width="23.1640625" style="1272" customWidth="1"/>
    <col min="13061" max="13061" width="2" style="1272" customWidth="1"/>
    <col min="13062" max="13062" width="0" style="1272" hidden="1" customWidth="1"/>
    <col min="13063" max="13063" width="2.6640625" style="1272" customWidth="1"/>
    <col min="13064" max="13064" width="0" style="1272" hidden="1" customWidth="1"/>
    <col min="13065" max="13313" width="9.33203125" style="1272"/>
    <col min="13314" max="13314" width="46.33203125" style="1272" customWidth="1"/>
    <col min="13315" max="13315" width="17.33203125" style="1272" customWidth="1"/>
    <col min="13316" max="13316" width="23.1640625" style="1272" customWidth="1"/>
    <col min="13317" max="13317" width="2" style="1272" customWidth="1"/>
    <col min="13318" max="13318" width="0" style="1272" hidden="1" customWidth="1"/>
    <col min="13319" max="13319" width="2.6640625" style="1272" customWidth="1"/>
    <col min="13320" max="13320" width="0" style="1272" hidden="1" customWidth="1"/>
    <col min="13321" max="13569" width="9.33203125" style="1272"/>
    <col min="13570" max="13570" width="46.33203125" style="1272" customWidth="1"/>
    <col min="13571" max="13571" width="17.33203125" style="1272" customWidth="1"/>
    <col min="13572" max="13572" width="23.1640625" style="1272" customWidth="1"/>
    <col min="13573" max="13573" width="2" style="1272" customWidth="1"/>
    <col min="13574" max="13574" width="0" style="1272" hidden="1" customWidth="1"/>
    <col min="13575" max="13575" width="2.6640625" style="1272" customWidth="1"/>
    <col min="13576" max="13576" width="0" style="1272" hidden="1" customWidth="1"/>
    <col min="13577" max="13825" width="9.33203125" style="1272"/>
    <col min="13826" max="13826" width="46.33203125" style="1272" customWidth="1"/>
    <col min="13827" max="13827" width="17.33203125" style="1272" customWidth="1"/>
    <col min="13828" max="13828" width="23.1640625" style="1272" customWidth="1"/>
    <col min="13829" max="13829" width="2" style="1272" customWidth="1"/>
    <col min="13830" max="13830" width="0" style="1272" hidden="1" customWidth="1"/>
    <col min="13831" max="13831" width="2.6640625" style="1272" customWidth="1"/>
    <col min="13832" max="13832" width="0" style="1272" hidden="1" customWidth="1"/>
    <col min="13833" max="14081" width="9.33203125" style="1272"/>
    <col min="14082" max="14082" width="46.33203125" style="1272" customWidth="1"/>
    <col min="14083" max="14083" width="17.33203125" style="1272" customWidth="1"/>
    <col min="14084" max="14084" width="23.1640625" style="1272" customWidth="1"/>
    <col min="14085" max="14085" width="2" style="1272" customWidth="1"/>
    <col min="14086" max="14086" width="0" style="1272" hidden="1" customWidth="1"/>
    <col min="14087" max="14087" width="2.6640625" style="1272" customWidth="1"/>
    <col min="14088" max="14088" width="0" style="1272" hidden="1" customWidth="1"/>
    <col min="14089" max="14337" width="9.33203125" style="1272"/>
    <col min="14338" max="14338" width="46.33203125" style="1272" customWidth="1"/>
    <col min="14339" max="14339" width="17.33203125" style="1272" customWidth="1"/>
    <col min="14340" max="14340" width="23.1640625" style="1272" customWidth="1"/>
    <col min="14341" max="14341" width="2" style="1272" customWidth="1"/>
    <col min="14342" max="14342" width="0" style="1272" hidden="1" customWidth="1"/>
    <col min="14343" max="14343" width="2.6640625" style="1272" customWidth="1"/>
    <col min="14344" max="14344" width="0" style="1272" hidden="1" customWidth="1"/>
    <col min="14345" max="14593" width="9.33203125" style="1272"/>
    <col min="14594" max="14594" width="46.33203125" style="1272" customWidth="1"/>
    <col min="14595" max="14595" width="17.33203125" style="1272" customWidth="1"/>
    <col min="14596" max="14596" width="23.1640625" style="1272" customWidth="1"/>
    <col min="14597" max="14597" width="2" style="1272" customWidth="1"/>
    <col min="14598" max="14598" width="0" style="1272" hidden="1" customWidth="1"/>
    <col min="14599" max="14599" width="2.6640625" style="1272" customWidth="1"/>
    <col min="14600" max="14600" width="0" style="1272" hidden="1" customWidth="1"/>
    <col min="14601" max="14849" width="9.33203125" style="1272"/>
    <col min="14850" max="14850" width="46.33203125" style="1272" customWidth="1"/>
    <col min="14851" max="14851" width="17.33203125" style="1272" customWidth="1"/>
    <col min="14852" max="14852" width="23.1640625" style="1272" customWidth="1"/>
    <col min="14853" max="14853" width="2" style="1272" customWidth="1"/>
    <col min="14854" max="14854" width="0" style="1272" hidden="1" customWidth="1"/>
    <col min="14855" max="14855" width="2.6640625" style="1272" customWidth="1"/>
    <col min="14856" max="14856" width="0" style="1272" hidden="1" customWidth="1"/>
    <col min="14857" max="15105" width="9.33203125" style="1272"/>
    <col min="15106" max="15106" width="46.33203125" style="1272" customWidth="1"/>
    <col min="15107" max="15107" width="17.33203125" style="1272" customWidth="1"/>
    <col min="15108" max="15108" width="23.1640625" style="1272" customWidth="1"/>
    <col min="15109" max="15109" width="2" style="1272" customWidth="1"/>
    <col min="15110" max="15110" width="0" style="1272" hidden="1" customWidth="1"/>
    <col min="15111" max="15111" width="2.6640625" style="1272" customWidth="1"/>
    <col min="15112" max="15112" width="0" style="1272" hidden="1" customWidth="1"/>
    <col min="15113" max="15361" width="9.33203125" style="1272"/>
    <col min="15362" max="15362" width="46.33203125" style="1272" customWidth="1"/>
    <col min="15363" max="15363" width="17.33203125" style="1272" customWidth="1"/>
    <col min="15364" max="15364" width="23.1640625" style="1272" customWidth="1"/>
    <col min="15365" max="15365" width="2" style="1272" customWidth="1"/>
    <col min="15366" max="15366" width="0" style="1272" hidden="1" customWidth="1"/>
    <col min="15367" max="15367" width="2.6640625" style="1272" customWidth="1"/>
    <col min="15368" max="15368" width="0" style="1272" hidden="1" customWidth="1"/>
    <col min="15369" max="15617" width="9.33203125" style="1272"/>
    <col min="15618" max="15618" width="46.33203125" style="1272" customWidth="1"/>
    <col min="15619" max="15619" width="17.33203125" style="1272" customWidth="1"/>
    <col min="15620" max="15620" width="23.1640625" style="1272" customWidth="1"/>
    <col min="15621" max="15621" width="2" style="1272" customWidth="1"/>
    <col min="15622" max="15622" width="0" style="1272" hidden="1" customWidth="1"/>
    <col min="15623" max="15623" width="2.6640625" style="1272" customWidth="1"/>
    <col min="15624" max="15624" width="0" style="1272" hidden="1" customWidth="1"/>
    <col min="15625" max="15873" width="9.33203125" style="1272"/>
    <col min="15874" max="15874" width="46.33203125" style="1272" customWidth="1"/>
    <col min="15875" max="15875" width="17.33203125" style="1272" customWidth="1"/>
    <col min="15876" max="15876" width="23.1640625" style="1272" customWidth="1"/>
    <col min="15877" max="15877" width="2" style="1272" customWidth="1"/>
    <col min="15878" max="15878" width="0" style="1272" hidden="1" customWidth="1"/>
    <col min="15879" max="15879" width="2.6640625" style="1272" customWidth="1"/>
    <col min="15880" max="15880" width="0" style="1272" hidden="1" customWidth="1"/>
    <col min="15881" max="16129" width="9.33203125" style="1272"/>
    <col min="16130" max="16130" width="46.33203125" style="1272" customWidth="1"/>
    <col min="16131" max="16131" width="17.33203125" style="1272" customWidth="1"/>
    <col min="16132" max="16132" width="23.1640625" style="1272" customWidth="1"/>
    <col min="16133" max="16133" width="2" style="1272" customWidth="1"/>
    <col min="16134" max="16134" width="0" style="1272" hidden="1" customWidth="1"/>
    <col min="16135" max="16135" width="2.6640625" style="1272" customWidth="1"/>
    <col min="16136" max="16136" width="0" style="1272" hidden="1" customWidth="1"/>
    <col min="16137" max="16384" width="9.33203125" style="1272"/>
  </cols>
  <sheetData>
    <row r="1" spans="1:8">
      <c r="B1" s="1273" t="s">
        <v>1063</v>
      </c>
      <c r="C1" s="1273"/>
      <c r="D1" s="1274"/>
      <c r="E1" s="1274"/>
      <c r="F1" s="1274"/>
    </row>
    <row r="2" spans="1:8">
      <c r="B2" s="1273" t="s">
        <v>1537</v>
      </c>
      <c r="C2" s="1273"/>
      <c r="D2" s="1274"/>
      <c r="E2" s="1274"/>
      <c r="F2" s="1274"/>
    </row>
    <row r="3" spans="1:8">
      <c r="B3" s="2902" t="str">
        <f>'3.05'!A3</f>
        <v>FOR THE TWELVE MONTHS ENDED DECEMBER 31, 2010</v>
      </c>
      <c r="C3" s="2902"/>
      <c r="D3" s="2902"/>
      <c r="E3" s="2902"/>
    </row>
    <row r="4" spans="1:8">
      <c r="B4" s="2903"/>
      <c r="C4" s="2903"/>
      <c r="D4" s="2903"/>
      <c r="E4" s="2903"/>
    </row>
    <row r="5" spans="1:8">
      <c r="D5" s="1275" t="s">
        <v>1538</v>
      </c>
      <c r="E5" s="1276"/>
      <c r="F5" s="1275" t="s">
        <v>1538</v>
      </c>
    </row>
    <row r="6" spans="1:8">
      <c r="D6" s="1276" t="s">
        <v>1539</v>
      </c>
      <c r="E6" s="1276"/>
      <c r="F6" s="1276" t="s">
        <v>1539</v>
      </c>
    </row>
    <row r="7" spans="1:8">
      <c r="B7" s="1277" t="s">
        <v>1540</v>
      </c>
      <c r="C7" s="1277" t="s">
        <v>1541</v>
      </c>
      <c r="D7" s="1277" t="s">
        <v>1542</v>
      </c>
      <c r="E7" s="1278"/>
      <c r="F7" s="1277" t="s">
        <v>1543</v>
      </c>
    </row>
    <row r="8" spans="1:8">
      <c r="C8" s="1276"/>
    </row>
    <row r="9" spans="1:8">
      <c r="A9" s="1279">
        <v>500</v>
      </c>
      <c r="B9" s="1280" t="s">
        <v>1544</v>
      </c>
      <c r="C9" s="1281" t="s">
        <v>1371</v>
      </c>
      <c r="D9" s="1282">
        <f>'3.05 - SAP DL'!F6</f>
        <v>15807257.810000001</v>
      </c>
      <c r="E9" s="1283"/>
      <c r="F9" s="1282">
        <v>15536513.140000001</v>
      </c>
      <c r="H9" s="1284">
        <f t="shared" ref="H9:H27" si="0">+D9-F9</f>
        <v>270744.66999999993</v>
      </c>
    </row>
    <row r="10" spans="1:8">
      <c r="A10" s="1279">
        <v>500</v>
      </c>
      <c r="B10" s="1280" t="s">
        <v>1545</v>
      </c>
      <c r="C10" s="1281" t="s">
        <v>1373</v>
      </c>
      <c r="D10" s="1285">
        <f>'3.05 - SAP DL'!F7</f>
        <v>2275610.7200000002</v>
      </c>
      <c r="E10" s="1286"/>
      <c r="F10" s="1285">
        <v>2274122.13</v>
      </c>
      <c r="H10" s="1284">
        <f t="shared" si="0"/>
        <v>1488.5900000003166</v>
      </c>
    </row>
    <row r="11" spans="1:8">
      <c r="A11" s="1279">
        <v>500</v>
      </c>
      <c r="B11" s="1280" t="s">
        <v>1546</v>
      </c>
      <c r="C11" s="1281" t="s">
        <v>1374</v>
      </c>
      <c r="D11" s="1287">
        <f>'3.05 - SAP DL'!F8</f>
        <v>8068369.6299999999</v>
      </c>
      <c r="E11" s="1286"/>
      <c r="F11" s="1287">
        <v>9825390.8399999999</v>
      </c>
      <c r="H11" s="1284">
        <f t="shared" si="0"/>
        <v>-1757021.21</v>
      </c>
    </row>
    <row r="12" spans="1:8">
      <c r="B12" s="1280"/>
      <c r="C12" s="1281"/>
      <c r="D12" s="1288">
        <f>SUM(D9:D11)</f>
        <v>26151238.16</v>
      </c>
      <c r="E12" s="1286"/>
      <c r="F12" s="1288">
        <v>27636026.109999999</v>
      </c>
      <c r="H12" s="1284">
        <f t="shared" si="0"/>
        <v>-1484787.9499999993</v>
      </c>
    </row>
    <row r="13" spans="1:8">
      <c r="B13" s="1280"/>
      <c r="C13" s="1281"/>
      <c r="D13" s="1285"/>
      <c r="E13" s="1286"/>
      <c r="F13" s="1285"/>
    </row>
    <row r="14" spans="1:8">
      <c r="A14" s="1279">
        <v>900</v>
      </c>
      <c r="B14" s="1280" t="s">
        <v>1547</v>
      </c>
      <c r="C14" s="1281" t="s">
        <v>1376</v>
      </c>
      <c r="D14" s="1285">
        <f>'3.05 - SAP DL'!F9</f>
        <v>2173524.94</v>
      </c>
      <c r="E14" s="1286"/>
      <c r="F14" s="1285">
        <v>2105464.31</v>
      </c>
      <c r="H14" s="1284">
        <f t="shared" si="0"/>
        <v>68060.629999999888</v>
      </c>
    </row>
    <row r="15" spans="1:8">
      <c r="A15" s="1279">
        <v>900</v>
      </c>
      <c r="B15" s="1280" t="s">
        <v>1548</v>
      </c>
      <c r="C15" s="1281" t="s">
        <v>1378</v>
      </c>
      <c r="D15" s="1285">
        <f>'3.05 - SAP DL'!F10</f>
        <v>265785.59999999998</v>
      </c>
      <c r="E15" s="1286"/>
      <c r="F15" s="1285">
        <v>251937.81</v>
      </c>
      <c r="H15" s="1284">
        <f t="shared" si="0"/>
        <v>13847.789999999979</v>
      </c>
    </row>
    <row r="16" spans="1:8">
      <c r="A16" s="1279">
        <v>900</v>
      </c>
      <c r="B16" s="1280" t="s">
        <v>1549</v>
      </c>
      <c r="C16" s="1281" t="s">
        <v>1380</v>
      </c>
      <c r="D16" s="1285">
        <f>'3.05 - SAP DL'!F11</f>
        <v>98539.91</v>
      </c>
      <c r="E16" s="1286"/>
      <c r="F16" s="1285">
        <v>208511.92</v>
      </c>
      <c r="H16" s="1284">
        <f t="shared" si="0"/>
        <v>-109972.01000000001</v>
      </c>
    </row>
    <row r="17" spans="1:8">
      <c r="A17" s="1279">
        <v>900</v>
      </c>
      <c r="B17" s="1280" t="s">
        <v>1550</v>
      </c>
      <c r="C17" s="1281" t="s">
        <v>1382</v>
      </c>
      <c r="D17" s="1287">
        <f>'3.05 - SAP DL'!F12</f>
        <v>5773932.9699999997</v>
      </c>
      <c r="E17" s="1286"/>
      <c r="F17" s="1287">
        <v>5781588.1600000001</v>
      </c>
      <c r="H17" s="1284">
        <f t="shared" si="0"/>
        <v>-7655.1900000004098</v>
      </c>
    </row>
    <row r="18" spans="1:8">
      <c r="B18" s="1280"/>
      <c r="C18" s="1281"/>
      <c r="D18" s="1288">
        <f>SUM(D14:D17)</f>
        <v>8311783.4199999999</v>
      </c>
      <c r="E18" s="1286"/>
      <c r="F18" s="1288">
        <v>8347502.2000000002</v>
      </c>
      <c r="H18" s="1284">
        <f t="shared" si="0"/>
        <v>-35718.780000000261</v>
      </c>
    </row>
    <row r="19" spans="1:8">
      <c r="B19" s="1280"/>
      <c r="C19" s="1281"/>
      <c r="D19" s="1285"/>
      <c r="E19" s="1286"/>
      <c r="F19" s="1285"/>
      <c r="H19" s="1284">
        <f t="shared" si="0"/>
        <v>0</v>
      </c>
    </row>
    <row r="20" spans="1:8">
      <c r="A20" s="1279">
        <v>500</v>
      </c>
      <c r="B20" s="1280" t="s">
        <v>1551</v>
      </c>
      <c r="C20" s="1281" t="s">
        <v>1385</v>
      </c>
      <c r="D20" s="1285">
        <f>'3.05 - SAP DL'!F13</f>
        <v>3851007.25</v>
      </c>
      <c r="E20" s="1286"/>
      <c r="F20" s="1285">
        <v>4141172.51</v>
      </c>
      <c r="H20" s="1284">
        <f t="shared" si="0"/>
        <v>-290165.25999999978</v>
      </c>
    </row>
    <row r="21" spans="1:8">
      <c r="A21" s="1279">
        <v>500</v>
      </c>
      <c r="B21" s="1280" t="s">
        <v>1552</v>
      </c>
      <c r="C21" s="1281" t="s">
        <v>1386</v>
      </c>
      <c r="D21" s="1285">
        <f>'3.05 - SAP DL'!F14</f>
        <v>366490.89</v>
      </c>
      <c r="E21" s="1286"/>
      <c r="F21" s="1285">
        <v>394038.27</v>
      </c>
      <c r="H21" s="1284">
        <f t="shared" si="0"/>
        <v>-27547.380000000005</v>
      </c>
    </row>
    <row r="22" spans="1:8">
      <c r="A22" s="1279">
        <v>500</v>
      </c>
      <c r="B22" s="1280" t="s">
        <v>1553</v>
      </c>
      <c r="C22" s="1281" t="s">
        <v>1387</v>
      </c>
      <c r="D22" s="1287">
        <f>'3.05 - SAP DL'!F15</f>
        <v>10924040.949999999</v>
      </c>
      <c r="E22" s="1286"/>
      <c r="F22" s="1287">
        <v>9414242.0800000001</v>
      </c>
      <c r="H22" s="1284">
        <f t="shared" si="0"/>
        <v>1509798.8699999992</v>
      </c>
    </row>
    <row r="23" spans="1:8">
      <c r="A23" s="1279"/>
      <c r="B23" s="1280"/>
      <c r="C23" s="1281"/>
      <c r="D23" s="1288">
        <f>SUM(D20:D22)</f>
        <v>15141539.09</v>
      </c>
      <c r="E23" s="1286"/>
      <c r="F23" s="1288">
        <v>13949452.859999999</v>
      </c>
      <c r="H23" s="1284">
        <f t="shared" si="0"/>
        <v>1192086.2300000004</v>
      </c>
    </row>
    <row r="24" spans="1:8">
      <c r="A24" s="1279">
        <v>900</v>
      </c>
      <c r="B24" s="1280" t="s">
        <v>1554</v>
      </c>
      <c r="C24" s="1281" t="s">
        <v>1388</v>
      </c>
      <c r="D24" s="1285">
        <f>'3.05 - SAP DL'!F16</f>
        <v>73791</v>
      </c>
      <c r="E24" s="1286"/>
      <c r="F24" s="1285">
        <v>73576.45</v>
      </c>
      <c r="H24" s="1284">
        <f t="shared" si="0"/>
        <v>214.55000000000291</v>
      </c>
    </row>
    <row r="25" spans="1:8" ht="15.75" thickBot="1">
      <c r="B25" s="1280"/>
      <c r="C25" s="1281"/>
      <c r="D25" s="1289">
        <f>SUM(D23:D24)</f>
        <v>15215330.09</v>
      </c>
      <c r="E25" s="1286"/>
      <c r="F25" s="1289">
        <v>14023029.309999999</v>
      </c>
      <c r="H25" s="1284">
        <f t="shared" si="0"/>
        <v>1192300.7800000012</v>
      </c>
    </row>
    <row r="26" spans="1:8" ht="15.75" thickTop="1">
      <c r="B26" s="1280"/>
      <c r="C26" s="1281"/>
      <c r="D26" s="1285"/>
      <c r="E26" s="1286"/>
      <c r="F26" s="1285"/>
    </row>
    <row r="27" spans="1:8">
      <c r="A27" s="1279">
        <v>500</v>
      </c>
      <c r="B27" s="1279" t="s">
        <v>1555</v>
      </c>
      <c r="C27" s="1281"/>
      <c r="D27" s="1290">
        <f>+D12+D18+D25</f>
        <v>49678351.670000002</v>
      </c>
      <c r="E27" s="1286"/>
      <c r="F27" s="1290">
        <v>41585478.969999999</v>
      </c>
      <c r="H27" s="1284">
        <f t="shared" si="0"/>
        <v>8092872.700000003</v>
      </c>
    </row>
    <row r="28" spans="1:8">
      <c r="B28" s="1280"/>
      <c r="C28" s="1281"/>
      <c r="D28" s="1285"/>
      <c r="E28" s="1286"/>
      <c r="F28" s="1285"/>
    </row>
    <row r="29" spans="1:8">
      <c r="A29" s="1279">
        <v>700800</v>
      </c>
      <c r="B29" s="1280" t="s">
        <v>1556</v>
      </c>
      <c r="C29" s="1281" t="s">
        <v>1400</v>
      </c>
      <c r="D29" s="1291">
        <f>'3.05 - SAP DL'!F17</f>
        <v>118238.97</v>
      </c>
      <c r="E29" s="1286"/>
      <c r="F29" s="1291">
        <v>125921</v>
      </c>
      <c r="H29" s="1284">
        <f t="shared" ref="H29:H34" si="1">+D29-F29</f>
        <v>-7682.0299999999988</v>
      </c>
    </row>
    <row r="30" spans="1:8">
      <c r="A30" s="1279">
        <v>700800</v>
      </c>
      <c r="B30" s="1280" t="s">
        <v>1557</v>
      </c>
      <c r="C30" s="1281" t="s">
        <v>1403</v>
      </c>
      <c r="D30" s="1291">
        <f>'3.05 - SAP DL'!F18</f>
        <v>387523.67</v>
      </c>
      <c r="E30" s="1286"/>
      <c r="F30" s="1291">
        <v>450997.4</v>
      </c>
      <c r="H30" s="1284">
        <f t="shared" si="1"/>
        <v>-63473.73000000004</v>
      </c>
    </row>
    <row r="31" spans="1:8">
      <c r="A31" s="1279">
        <v>700800</v>
      </c>
      <c r="B31" s="1280" t="s">
        <v>1558</v>
      </c>
      <c r="C31" s="1281" t="s">
        <v>1405</v>
      </c>
      <c r="D31" s="1291">
        <f>'3.05 - SAP DL'!F19</f>
        <v>331624.21000000002</v>
      </c>
      <c r="E31" s="1286"/>
      <c r="F31" s="1291">
        <v>325295.88</v>
      </c>
      <c r="H31" s="1284">
        <f t="shared" si="1"/>
        <v>6328.3300000000163</v>
      </c>
    </row>
    <row r="32" spans="1:8">
      <c r="A32" s="1279">
        <v>700800</v>
      </c>
      <c r="B32" s="1280" t="s">
        <v>1559</v>
      </c>
      <c r="C32" s="1281" t="s">
        <v>1406</v>
      </c>
      <c r="D32" s="1291">
        <f>'3.05 - SAP DL'!F20</f>
        <v>0</v>
      </c>
      <c r="E32" s="1286"/>
      <c r="F32" s="1291">
        <v>13694.08</v>
      </c>
      <c r="H32" s="1284">
        <f t="shared" si="1"/>
        <v>-13694.08</v>
      </c>
    </row>
    <row r="33" spans="1:8">
      <c r="A33" s="1279">
        <v>700800</v>
      </c>
      <c r="B33" s="1280" t="s">
        <v>1560</v>
      </c>
      <c r="C33" s="1281" t="s">
        <v>1407</v>
      </c>
      <c r="D33" s="1287">
        <f>'3.05 - SAP DL'!F21</f>
        <v>14976862.67</v>
      </c>
      <c r="E33" s="1286"/>
      <c r="F33" s="1287">
        <v>13943076.620000001</v>
      </c>
      <c r="H33" s="1292">
        <f t="shared" si="1"/>
        <v>1033786.0499999989</v>
      </c>
    </row>
    <row r="34" spans="1:8">
      <c r="B34" s="1280"/>
      <c r="C34" s="1281"/>
      <c r="D34" s="1293">
        <f>SUM(D29:D33)</f>
        <v>15814249.52</v>
      </c>
      <c r="E34" s="1286"/>
      <c r="F34" s="1293">
        <v>14858984.98</v>
      </c>
      <c r="H34" s="1284">
        <f t="shared" si="1"/>
        <v>955264.53999999911</v>
      </c>
    </row>
    <row r="35" spans="1:8">
      <c r="B35" s="1280"/>
      <c r="C35" s="1281"/>
      <c r="D35" s="1285"/>
      <c r="E35" s="1286"/>
      <c r="F35" s="1285"/>
    </row>
    <row r="36" spans="1:8">
      <c r="A36" s="1279">
        <v>900</v>
      </c>
      <c r="B36" s="1280" t="s">
        <v>1561</v>
      </c>
      <c r="C36" s="1281" t="s">
        <v>1408</v>
      </c>
      <c r="D36" s="1291">
        <f>'3.05 - SAP DL'!F22</f>
        <v>1548579.93</v>
      </c>
      <c r="E36" s="1286"/>
      <c r="F36" s="1291">
        <v>1740868.19</v>
      </c>
      <c r="H36" s="1284">
        <f t="shared" ref="H36:H41" si="2">+D36-F36</f>
        <v>-192288.26</v>
      </c>
    </row>
    <row r="37" spans="1:8">
      <c r="A37" s="1279">
        <v>900</v>
      </c>
      <c r="B37" s="1280" t="s">
        <v>1562</v>
      </c>
      <c r="C37" s="1281" t="s">
        <v>1409</v>
      </c>
      <c r="D37" s="1291">
        <f>'3.05 - SAP DL'!F23</f>
        <v>224575.46</v>
      </c>
      <c r="E37" s="1286"/>
      <c r="F37" s="1291">
        <v>231799.42</v>
      </c>
      <c r="H37" s="1284">
        <f t="shared" si="2"/>
        <v>-7223.960000000021</v>
      </c>
    </row>
    <row r="38" spans="1:8">
      <c r="A38" s="1279">
        <v>900</v>
      </c>
      <c r="B38" s="1280" t="s">
        <v>1563</v>
      </c>
      <c r="C38" s="1281" t="s">
        <v>1410</v>
      </c>
      <c r="D38" s="1291">
        <f>'3.05 - SAP DL'!F24</f>
        <v>125670.33</v>
      </c>
      <c r="E38" s="1286"/>
      <c r="F38" s="1291">
        <v>111865.21</v>
      </c>
      <c r="H38" s="1284">
        <f t="shared" si="2"/>
        <v>13805.119999999995</v>
      </c>
    </row>
    <row r="39" spans="1:8">
      <c r="A39" s="1279">
        <v>900</v>
      </c>
      <c r="B39" s="1280" t="s">
        <v>1564</v>
      </c>
      <c r="C39" s="1281" t="s">
        <v>1411</v>
      </c>
      <c r="D39" s="1287">
        <f>'3.05 - SAP DL'!F25</f>
        <v>1588519.2</v>
      </c>
      <c r="E39" s="1286"/>
      <c r="F39" s="1287">
        <v>1584217.08</v>
      </c>
      <c r="H39" s="1284">
        <f t="shared" si="2"/>
        <v>4302.1199999998789</v>
      </c>
    </row>
    <row r="40" spans="1:8">
      <c r="B40" s="1280"/>
      <c r="C40" s="1281"/>
      <c r="D40" s="1293">
        <f>SUM(D36:D39)</f>
        <v>3487344.92</v>
      </c>
      <c r="E40" s="1286"/>
      <c r="F40" s="1293">
        <v>3668749.9</v>
      </c>
      <c r="H40" s="1284">
        <f t="shared" si="2"/>
        <v>-181404.97999999998</v>
      </c>
    </row>
    <row r="41" spans="1:8" ht="15.75" thickBot="1">
      <c r="B41" s="1280"/>
      <c r="C41" s="1281"/>
      <c r="D41" s="1289">
        <f>D34+D40</f>
        <v>19301594.439999998</v>
      </c>
      <c r="E41" s="1286"/>
      <c r="F41" s="1289">
        <v>18527734.879999999</v>
      </c>
      <c r="H41" s="1284">
        <f t="shared" si="2"/>
        <v>773859.55999999866</v>
      </c>
    </row>
    <row r="42" spans="1:8" ht="15.75" thickTop="1">
      <c r="B42" s="1280"/>
      <c r="C42" s="1281"/>
      <c r="D42" s="1285"/>
      <c r="E42" s="1286"/>
      <c r="F42" s="1285"/>
    </row>
    <row r="43" spans="1:8">
      <c r="A43" s="1279">
        <v>700800</v>
      </c>
      <c r="B43" s="1280" t="s">
        <v>1565</v>
      </c>
      <c r="C43" s="1276" t="s">
        <v>1474</v>
      </c>
      <c r="D43" s="1285">
        <f>'3.05 - SAP DL'!F61</f>
        <v>0</v>
      </c>
      <c r="E43" s="1286"/>
      <c r="F43" s="1285">
        <v>0</v>
      </c>
    </row>
    <row r="44" spans="1:8">
      <c r="A44" s="1279">
        <v>700800</v>
      </c>
      <c r="B44" s="1280" t="s">
        <v>1566</v>
      </c>
      <c r="C44" s="1276" t="s">
        <v>1471</v>
      </c>
      <c r="D44" s="1285">
        <f>'3.05 - SAP DL'!F62</f>
        <v>5289</v>
      </c>
      <c r="E44" s="1286"/>
      <c r="F44" s="1285">
        <v>9584.31</v>
      </c>
    </row>
    <row r="45" spans="1:8">
      <c r="A45" s="1279">
        <v>700800</v>
      </c>
      <c r="B45" s="1280" t="s">
        <v>1567</v>
      </c>
      <c r="C45" s="1281" t="s">
        <v>1413</v>
      </c>
      <c r="D45" s="1285">
        <f>'3.05 - SAP DL'!F26</f>
        <v>14.76</v>
      </c>
      <c r="E45" s="1286"/>
      <c r="F45" s="1285">
        <v>0</v>
      </c>
    </row>
    <row r="46" spans="1:8">
      <c r="A46" s="1279">
        <v>700800</v>
      </c>
      <c r="B46" s="1280" t="s">
        <v>1568</v>
      </c>
      <c r="C46" s="1276" t="str">
        <f>LEFT(B46,6)</f>
        <v xml:space="preserve">43G   </v>
      </c>
      <c r="D46" s="1291">
        <f>'3.05 - SAP DL'!F27</f>
        <v>206416.79</v>
      </c>
      <c r="E46" s="1286"/>
      <c r="F46" s="1291">
        <v>202698.09</v>
      </c>
    </row>
    <row r="47" spans="1:8">
      <c r="A47" s="1279">
        <v>700800</v>
      </c>
      <c r="B47" s="1280" t="s">
        <v>1569</v>
      </c>
      <c r="C47" s="1281" t="s">
        <v>1415</v>
      </c>
      <c r="D47" s="1291">
        <f>'3.05 - SAP DL'!F28</f>
        <v>83053.83</v>
      </c>
      <c r="E47" s="1286"/>
      <c r="F47" s="1291">
        <v>93406.95</v>
      </c>
    </row>
    <row r="48" spans="1:8">
      <c r="A48" s="1279">
        <v>700800</v>
      </c>
      <c r="B48" s="1280" t="s">
        <v>1570</v>
      </c>
      <c r="C48" s="1281" t="s">
        <v>1416</v>
      </c>
      <c r="D48" s="1287">
        <f>'3.05 - SAP DL'!F29</f>
        <v>4490688.13</v>
      </c>
      <c r="E48" s="1286"/>
      <c r="F48" s="1287">
        <v>4688999.47</v>
      </c>
    </row>
    <row r="49" spans="1:6">
      <c r="B49" s="1280"/>
      <c r="C49" s="1281"/>
      <c r="D49" s="1288">
        <f>SUM(D43:D48)</f>
        <v>4785462.51</v>
      </c>
      <c r="E49" s="1286"/>
      <c r="F49" s="1288">
        <v>4994688.82</v>
      </c>
    </row>
    <row r="50" spans="1:6">
      <c r="A50" s="1279">
        <v>900</v>
      </c>
      <c r="B50" s="1280" t="s">
        <v>1571</v>
      </c>
      <c r="C50" s="1281" t="s">
        <v>1417</v>
      </c>
      <c r="D50" s="1285">
        <f>'3.05 - SAP DL'!F30</f>
        <v>41717.910000000003</v>
      </c>
      <c r="E50" s="1286"/>
      <c r="F50" s="1285">
        <v>48648.07</v>
      </c>
    </row>
    <row r="51" spans="1:6" ht="15.75" thickBot="1">
      <c r="B51" s="1280"/>
      <c r="C51" s="1281"/>
      <c r="D51" s="1289">
        <f>SUM(D49:D50)</f>
        <v>4827180.42</v>
      </c>
      <c r="E51" s="1286"/>
      <c r="F51" s="1289">
        <v>5043336.8899999997</v>
      </c>
    </row>
    <row r="52" spans="1:6" ht="15.75" thickTop="1">
      <c r="B52" s="1280"/>
      <c r="C52" s="1281"/>
      <c r="D52" s="1285"/>
      <c r="E52" s="1286"/>
      <c r="F52" s="1285"/>
    </row>
    <row r="53" spans="1:6">
      <c r="A53" s="1279">
        <v>700800</v>
      </c>
      <c r="B53" s="1279" t="s">
        <v>1572</v>
      </c>
      <c r="C53" s="1281"/>
      <c r="D53" s="1290">
        <f>+D34+D40+D51-D44</f>
        <v>24123485.859999999</v>
      </c>
      <c r="E53" s="1286"/>
      <c r="F53" s="1290">
        <v>19853673.800000001</v>
      </c>
    </row>
    <row r="54" spans="1:6">
      <c r="B54" s="1280"/>
      <c r="C54" s="1281"/>
      <c r="D54" s="1285"/>
      <c r="E54" s="1286"/>
      <c r="F54" s="1285"/>
    </row>
    <row r="55" spans="1:6">
      <c r="A55" s="1279">
        <v>107</v>
      </c>
      <c r="B55" s="1280" t="s">
        <v>1573</v>
      </c>
      <c r="C55" s="1281" t="s">
        <v>1441</v>
      </c>
      <c r="D55" s="1285">
        <f>'3.05 - SAP DL'!F36</f>
        <v>19043382.43</v>
      </c>
      <c r="E55" s="1286"/>
      <c r="F55" s="1285">
        <v>20456407.310000002</v>
      </c>
    </row>
    <row r="56" spans="1:6">
      <c r="A56" s="1279">
        <v>107</v>
      </c>
      <c r="B56" s="1280" t="s">
        <v>1574</v>
      </c>
      <c r="C56" s="1281" t="s">
        <v>1443</v>
      </c>
      <c r="D56" s="1285">
        <f>'3.05 - SAP DL'!F37</f>
        <v>7930797.6500000004</v>
      </c>
      <c r="E56" s="1286"/>
      <c r="F56" s="1285">
        <v>8728752.4399999995</v>
      </c>
    </row>
    <row r="57" spans="1:6">
      <c r="A57" s="1279">
        <v>107</v>
      </c>
      <c r="B57" s="1280" t="s">
        <v>1575</v>
      </c>
      <c r="C57" s="1281" t="s">
        <v>1445</v>
      </c>
      <c r="D57" s="1285">
        <f>'3.05 - SAP DL'!F38</f>
        <v>3652305.83</v>
      </c>
      <c r="E57" s="1286"/>
      <c r="F57" s="1285">
        <v>3606568.35</v>
      </c>
    </row>
    <row r="58" spans="1:6">
      <c r="B58" s="1280"/>
      <c r="C58" s="1281"/>
      <c r="D58" s="1293">
        <f>SUM(D55:D57)</f>
        <v>30626485.909999996</v>
      </c>
      <c r="E58" s="1286"/>
      <c r="F58" s="1293">
        <v>32791728.100000001</v>
      </c>
    </row>
    <row r="59" spans="1:6">
      <c r="B59" s="1280"/>
      <c r="C59" s="1281"/>
      <c r="D59" s="1285"/>
      <c r="E59" s="1286"/>
      <c r="F59" s="1285"/>
    </row>
    <row r="60" spans="1:6">
      <c r="A60" s="1279">
        <v>107</v>
      </c>
      <c r="B60" s="1280" t="s">
        <v>1576</v>
      </c>
      <c r="C60" s="1281" t="s">
        <v>1577</v>
      </c>
      <c r="D60" s="1285">
        <f>'3.05 - SAP DL'!F42</f>
        <v>150920.63</v>
      </c>
      <c r="E60" s="1286"/>
      <c r="F60" s="1285">
        <v>231056.75</v>
      </c>
    </row>
    <row r="61" spans="1:6">
      <c r="A61" s="1279">
        <v>107</v>
      </c>
      <c r="B61" s="1280" t="s">
        <v>1578</v>
      </c>
      <c r="C61" s="1281" t="s">
        <v>1505</v>
      </c>
      <c r="D61" s="1285">
        <f>'3.05 - SAP DL'!F64</f>
        <v>20264059.34</v>
      </c>
      <c r="E61" s="1286"/>
      <c r="F61" s="1285">
        <v>19895207.560000002</v>
      </c>
    </row>
    <row r="62" spans="1:6">
      <c r="B62" s="1280"/>
      <c r="C62" s="1281"/>
      <c r="D62" s="1293">
        <f>SUM(D60:D61)</f>
        <v>20414979.969999999</v>
      </c>
      <c r="E62" s="1286"/>
      <c r="F62" s="1293">
        <v>20126264.310000002</v>
      </c>
    </row>
    <row r="63" spans="1:6">
      <c r="B63" s="1280"/>
      <c r="C63" s="1281"/>
      <c r="D63" s="1285"/>
      <c r="E63" s="1286"/>
      <c r="F63" s="1285"/>
    </row>
    <row r="64" spans="1:6">
      <c r="A64" s="1279">
        <v>108</v>
      </c>
      <c r="B64" s="1280" t="s">
        <v>1579</v>
      </c>
      <c r="C64" s="1281" t="s">
        <v>1448</v>
      </c>
      <c r="D64" s="1285">
        <f>'3.05 - SAP DL'!F39</f>
        <v>4377661.22</v>
      </c>
      <c r="E64" s="1286"/>
      <c r="F64" s="1285">
        <v>3806114.82</v>
      </c>
    </row>
    <row r="65" spans="1:6">
      <c r="A65" s="1279">
        <v>108</v>
      </c>
      <c r="B65" s="1280" t="s">
        <v>1580</v>
      </c>
      <c r="C65" s="1281" t="s">
        <v>1449</v>
      </c>
      <c r="D65" s="1285">
        <f>'3.05 - SAP DL'!F40</f>
        <v>735754.26</v>
      </c>
      <c r="E65" s="1286"/>
      <c r="F65" s="1285">
        <v>1233751.3999999999</v>
      </c>
    </row>
    <row r="66" spans="1:6">
      <c r="A66" s="1279">
        <v>108</v>
      </c>
      <c r="B66" s="1280" t="s">
        <v>1581</v>
      </c>
      <c r="C66" s="1281" t="s">
        <v>1450</v>
      </c>
      <c r="D66" s="1285">
        <f>'3.05 - SAP DL'!F41</f>
        <v>564721.38</v>
      </c>
      <c r="E66" s="1286"/>
      <c r="F66" s="1285">
        <v>602459.18000000005</v>
      </c>
    </row>
    <row r="67" spans="1:6">
      <c r="B67" s="1280"/>
      <c r="C67" s="1281"/>
      <c r="D67" s="1293">
        <f>SUM(D64:D66)</f>
        <v>5678136.8599999994</v>
      </c>
      <c r="E67" s="1286"/>
      <c r="F67" s="1293">
        <v>5642325.3999999994</v>
      </c>
    </row>
    <row r="68" spans="1:6">
      <c r="A68" s="1279">
        <v>108</v>
      </c>
      <c r="B68" s="1280" t="s">
        <v>1582</v>
      </c>
      <c r="C68" s="1281" t="s">
        <v>1577</v>
      </c>
      <c r="D68" s="1285">
        <f>'3.05 - SAP DL'!F43</f>
        <v>10726.47</v>
      </c>
      <c r="E68" s="1286"/>
      <c r="F68" s="1285">
        <v>1842.53</v>
      </c>
    </row>
    <row r="69" spans="1:6" ht="15.75" thickBot="1">
      <c r="B69" s="1280"/>
      <c r="C69" s="1281"/>
      <c r="D69" s="1289">
        <f>SUM(D67:D68)</f>
        <v>5688863.3299999991</v>
      </c>
      <c r="E69" s="1286"/>
      <c r="F69" s="1289">
        <v>5644167.9299999997</v>
      </c>
    </row>
    <row r="70" spans="1:6" ht="15.75" thickTop="1">
      <c r="B70" s="1280"/>
      <c r="C70" s="1281"/>
      <c r="D70" s="1285"/>
      <c r="E70" s="1286"/>
      <c r="F70" s="1285"/>
    </row>
    <row r="71" spans="1:6">
      <c r="A71" s="1279">
        <v>163</v>
      </c>
      <c r="B71" s="1280" t="s">
        <v>1583</v>
      </c>
      <c r="C71" s="1281" t="s">
        <v>1584</v>
      </c>
      <c r="D71" s="1285">
        <f>'3.05 - SAP DL'!F45</f>
        <v>553710.29</v>
      </c>
      <c r="E71" s="1286"/>
      <c r="F71" s="1285">
        <v>558068.39</v>
      </c>
    </row>
    <row r="72" spans="1:6">
      <c r="A72" s="1279">
        <v>163</v>
      </c>
      <c r="B72" s="1280" t="s">
        <v>1585</v>
      </c>
      <c r="C72" s="1281" t="s">
        <v>1584</v>
      </c>
      <c r="D72" s="1285">
        <f>'3.05 - SAP DL'!F46</f>
        <v>2581181.7799999998</v>
      </c>
      <c r="E72" s="1286"/>
      <c r="F72" s="1285">
        <v>2628280.4</v>
      </c>
    </row>
    <row r="73" spans="1:6">
      <c r="A73" s="1279">
        <v>163</v>
      </c>
      <c r="B73" s="1280" t="s">
        <v>1586</v>
      </c>
      <c r="C73" s="1281" t="s">
        <v>1584</v>
      </c>
      <c r="D73" s="1291">
        <f>'3.05 - SAP DL'!F47</f>
        <v>0</v>
      </c>
      <c r="E73" s="1286"/>
      <c r="F73" s="1291">
        <v>0</v>
      </c>
    </row>
    <row r="74" spans="1:6">
      <c r="A74" s="1279">
        <v>163</v>
      </c>
      <c r="B74" s="1280" t="s">
        <v>1587</v>
      </c>
      <c r="C74" s="1281" t="s">
        <v>1584</v>
      </c>
      <c r="D74" s="1287">
        <f>'3.05 - SAP DL'!F48</f>
        <v>0</v>
      </c>
      <c r="E74" s="1286"/>
      <c r="F74" s="1287">
        <v>0</v>
      </c>
    </row>
    <row r="75" spans="1:6">
      <c r="B75" s="1280" t="s">
        <v>1588</v>
      </c>
      <c r="C75" s="1281" t="s">
        <v>1456</v>
      </c>
      <c r="D75" s="1293">
        <f>SUM(D71:D74)</f>
        <v>3134892.07</v>
      </c>
      <c r="E75" s="1286"/>
      <c r="F75" s="1293">
        <v>3186348.79</v>
      </c>
    </row>
    <row r="76" spans="1:6">
      <c r="B76" s="1280"/>
      <c r="C76" s="1281"/>
      <c r="D76" s="1285"/>
      <c r="E76" s="1286"/>
      <c r="F76" s="1285"/>
    </row>
    <row r="77" spans="1:6">
      <c r="A77" s="1279">
        <v>100200</v>
      </c>
      <c r="B77" s="1280" t="s">
        <v>1589</v>
      </c>
      <c r="C77" s="1276" t="s">
        <v>1468</v>
      </c>
      <c r="D77" s="1285">
        <f>'3.05 - SAP DL'!F60</f>
        <v>5235.18</v>
      </c>
      <c r="E77" s="1286"/>
      <c r="F77" s="1285">
        <v>453.82</v>
      </c>
    </row>
    <row r="78" spans="1:6">
      <c r="A78" s="1279">
        <v>100200</v>
      </c>
      <c r="B78" s="1280" t="s">
        <v>1590</v>
      </c>
      <c r="C78" s="1281" t="s">
        <v>1460</v>
      </c>
      <c r="D78" s="1285">
        <f>'3.05 - SAP DL'!F53</f>
        <v>21049.69</v>
      </c>
      <c r="E78" s="1286"/>
      <c r="F78" s="1285">
        <v>35306.639999999999</v>
      </c>
    </row>
    <row r="79" spans="1:6">
      <c r="A79" s="1279">
        <v>100200</v>
      </c>
      <c r="B79" s="1280" t="s">
        <v>1591</v>
      </c>
      <c r="C79" s="1281" t="s">
        <v>1462</v>
      </c>
      <c r="D79" s="1285">
        <f>'3.05 - SAP DL'!F54</f>
        <v>3026289.8</v>
      </c>
      <c r="E79" s="1286"/>
      <c r="F79" s="1285">
        <v>2608883.41</v>
      </c>
    </row>
    <row r="80" spans="1:6">
      <c r="B80" s="1280"/>
      <c r="C80" s="1281"/>
      <c r="D80" s="1293">
        <f>SUM(D77:D79)</f>
        <v>3052574.67</v>
      </c>
      <c r="E80" s="1286"/>
      <c r="F80" s="1293">
        <v>2644643.87</v>
      </c>
    </row>
    <row r="81" spans="1:6">
      <c r="B81" s="1280"/>
      <c r="C81" s="1281"/>
      <c r="D81" s="1285"/>
      <c r="E81" s="1286"/>
      <c r="F81" s="1285"/>
    </row>
    <row r="82" spans="1:6">
      <c r="A82" s="1279">
        <v>1823</v>
      </c>
      <c r="B82" s="1280" t="s">
        <v>1592</v>
      </c>
      <c r="C82" s="1281" t="s">
        <v>1593</v>
      </c>
      <c r="D82" s="1285">
        <f>'3.05 - SAP DL'!F51</f>
        <v>7261895.6200000001</v>
      </c>
      <c r="E82" s="1286"/>
      <c r="F82" s="1285">
        <v>7846543.7400000002</v>
      </c>
    </row>
    <row r="83" spans="1:6">
      <c r="A83" s="1279">
        <v>1821</v>
      </c>
      <c r="B83" s="1280" t="s">
        <v>1594</v>
      </c>
      <c r="C83" s="1281">
        <v>74.03</v>
      </c>
      <c r="D83" s="1285">
        <f>'3.05 - SAP DL'!F50</f>
        <v>1725642.31</v>
      </c>
      <c r="E83" s="1286"/>
      <c r="F83" s="1285">
        <v>-3531.99</v>
      </c>
    </row>
    <row r="84" spans="1:6">
      <c r="B84" s="1280" t="s">
        <v>1595</v>
      </c>
      <c r="C84" s="1281" t="s">
        <v>1458</v>
      </c>
      <c r="D84" s="1293">
        <f>SUM(D82:D83)</f>
        <v>8987537.9299999997</v>
      </c>
      <c r="E84" s="1286"/>
      <c r="F84" s="1293">
        <v>7843011.75</v>
      </c>
    </row>
    <row r="85" spans="1:6">
      <c r="B85" s="1280"/>
      <c r="C85" s="1281"/>
      <c r="D85" s="1285"/>
      <c r="E85" s="1286"/>
      <c r="F85" s="1285"/>
    </row>
    <row r="86" spans="1:6">
      <c r="A86" s="1279">
        <v>184</v>
      </c>
      <c r="B86" s="1280" t="s">
        <v>1596</v>
      </c>
      <c r="C86" s="1281" t="s">
        <v>1466</v>
      </c>
      <c r="D86" s="1285">
        <f>'3.05 - SAP DL'!F57</f>
        <v>10577.99</v>
      </c>
      <c r="E86" s="1286"/>
      <c r="F86" s="1285">
        <v>19168.62</v>
      </c>
    </row>
    <row r="87" spans="1:6">
      <c r="A87" s="1279">
        <v>184</v>
      </c>
      <c r="B87" s="1280" t="s">
        <v>1597</v>
      </c>
      <c r="C87" s="1281"/>
      <c r="D87" s="1285">
        <f>'3.05 - SAP DL'!F65</f>
        <v>0</v>
      </c>
      <c r="E87" s="1286"/>
      <c r="F87" s="1285">
        <v>0</v>
      </c>
    </row>
    <row r="88" spans="1:6">
      <c r="A88" s="1279">
        <v>184</v>
      </c>
      <c r="B88" s="1280" t="s">
        <v>1598</v>
      </c>
      <c r="C88" s="1281" t="s">
        <v>1599</v>
      </c>
      <c r="D88" s="1285">
        <f>'3.05 - SAP DL'!F66</f>
        <v>652640.46</v>
      </c>
      <c r="E88" s="1286"/>
      <c r="F88" s="1285">
        <v>650312.56000000006</v>
      </c>
    </row>
    <row r="89" spans="1:6">
      <c r="A89" s="1279">
        <v>184</v>
      </c>
      <c r="B89" s="1280" t="s">
        <v>1600</v>
      </c>
      <c r="C89" s="1281" t="s">
        <v>1599</v>
      </c>
      <c r="D89" s="1285">
        <f>'3.05 - SAP DL'!F67</f>
        <v>0</v>
      </c>
      <c r="E89" s="1286"/>
      <c r="F89" s="1285">
        <v>0</v>
      </c>
    </row>
    <row r="90" spans="1:6">
      <c r="A90" s="1279">
        <v>184</v>
      </c>
      <c r="B90" s="1280" t="s">
        <v>1601</v>
      </c>
      <c r="C90" s="1281" t="s">
        <v>1599</v>
      </c>
      <c r="D90" s="1285">
        <f>'3.05 - SAP DL'!F68</f>
        <v>807801.76</v>
      </c>
      <c r="E90" s="1286"/>
      <c r="F90" s="1285">
        <v>805257.83</v>
      </c>
    </row>
    <row r="91" spans="1:6">
      <c r="A91" s="1279">
        <v>184</v>
      </c>
      <c r="B91" s="1280" t="s">
        <v>1602</v>
      </c>
      <c r="C91" s="1294" t="s">
        <v>1599</v>
      </c>
      <c r="D91" s="1285">
        <f>'3.05 - SAP DL'!F69</f>
        <v>559125.16</v>
      </c>
      <c r="E91" s="1286"/>
      <c r="F91" s="1285">
        <v>629777.34</v>
      </c>
    </row>
    <row r="92" spans="1:6">
      <c r="A92" s="1279">
        <v>184</v>
      </c>
      <c r="B92" s="1280" t="s">
        <v>1603</v>
      </c>
      <c r="C92" s="1294" t="s">
        <v>1599</v>
      </c>
      <c r="D92" s="1291">
        <f>'3.05 - SAP DL'!F70</f>
        <v>0</v>
      </c>
      <c r="E92" s="1286"/>
      <c r="F92" s="1291">
        <v>0</v>
      </c>
    </row>
    <row r="93" spans="1:6">
      <c r="A93" s="1279">
        <v>184</v>
      </c>
      <c r="B93" s="1280" t="s">
        <v>1604</v>
      </c>
      <c r="C93" s="1294" t="s">
        <v>1599</v>
      </c>
      <c r="D93" s="1287">
        <f>'3.05 - SAP DL'!F71</f>
        <v>0</v>
      </c>
      <c r="E93" s="1286"/>
      <c r="F93" s="1287">
        <v>0</v>
      </c>
    </row>
    <row r="94" spans="1:6">
      <c r="B94" s="1280"/>
      <c r="C94" s="1281"/>
      <c r="D94" s="1293">
        <f>SUM(D86:D93)</f>
        <v>2030145.37</v>
      </c>
      <c r="E94" s="1286"/>
      <c r="F94" s="1293">
        <v>2104516.35</v>
      </c>
    </row>
    <row r="95" spans="1:6">
      <c r="B95" s="1280"/>
      <c r="C95" s="1281"/>
      <c r="D95" s="1285"/>
      <c r="E95" s="1286"/>
      <c r="F95" s="1285"/>
    </row>
    <row r="96" spans="1:6">
      <c r="A96" s="1279">
        <v>900</v>
      </c>
      <c r="B96" s="1280" t="s">
        <v>1605</v>
      </c>
      <c r="C96" s="1281" t="s">
        <v>1484</v>
      </c>
      <c r="D96" s="1285">
        <f>'3.05 - SAP DL'!F31</f>
        <v>15463220.92</v>
      </c>
      <c r="E96" s="1286"/>
      <c r="F96" s="1285">
        <v>15736290.560000001</v>
      </c>
    </row>
    <row r="97" spans="1:6">
      <c r="A97" s="1279">
        <v>900</v>
      </c>
      <c r="B97" s="1280" t="s">
        <v>1606</v>
      </c>
      <c r="C97" s="1281" t="s">
        <v>1487</v>
      </c>
      <c r="D97" s="1285">
        <f>'3.05 - SAP DL'!F32</f>
        <v>1265831.18</v>
      </c>
      <c r="E97" s="1286"/>
      <c r="F97" s="1285">
        <v>1336886.3700000001</v>
      </c>
    </row>
    <row r="98" spans="1:6">
      <c r="A98" s="1279">
        <v>900</v>
      </c>
      <c r="B98" s="1280" t="s">
        <v>1607</v>
      </c>
      <c r="C98" s="1281" t="s">
        <v>1490</v>
      </c>
      <c r="D98" s="1285">
        <f>'3.05 - SAP DL'!F33</f>
        <v>0</v>
      </c>
      <c r="E98" s="1286"/>
      <c r="F98" s="1285">
        <v>0</v>
      </c>
    </row>
    <row r="99" spans="1:6">
      <c r="A99" s="1279">
        <v>900</v>
      </c>
      <c r="B99" s="1280" t="s">
        <v>1608</v>
      </c>
      <c r="C99" s="1294" t="s">
        <v>1493</v>
      </c>
      <c r="D99" s="1291">
        <f>'3.05 - SAP DL'!F34</f>
        <v>22764791.670000002</v>
      </c>
      <c r="E99" s="1286"/>
      <c r="F99" s="1291">
        <v>22361049.130000003</v>
      </c>
    </row>
    <row r="100" spans="1:6">
      <c r="A100" s="1279">
        <v>900</v>
      </c>
      <c r="B100" s="1280" t="s">
        <v>1609</v>
      </c>
      <c r="C100" s="1281" t="s">
        <v>1496</v>
      </c>
      <c r="D100" s="1287">
        <f>'3.05 - SAP DL'!F35</f>
        <v>1023631.16</v>
      </c>
      <c r="E100" s="1286"/>
      <c r="F100" s="1287">
        <v>1093131.5900000001</v>
      </c>
    </row>
    <row r="101" spans="1:6">
      <c r="B101" s="1280"/>
      <c r="C101" s="1281"/>
      <c r="D101" s="1293">
        <f>SUM(D96:D100)</f>
        <v>40517474.93</v>
      </c>
      <c r="E101" s="1286"/>
      <c r="F101" s="1293">
        <v>40527357.650000006</v>
      </c>
    </row>
    <row r="102" spans="1:6">
      <c r="B102" s="1280"/>
      <c r="C102" s="1281"/>
      <c r="D102" s="1285"/>
      <c r="E102" s="1286"/>
      <c r="F102" s="1285"/>
    </row>
    <row r="103" spans="1:6" ht="15.75" thickBot="1">
      <c r="A103" s="1279">
        <v>900</v>
      </c>
      <c r="B103" s="1279" t="s">
        <v>1610</v>
      </c>
      <c r="C103" s="1281"/>
      <c r="D103" s="1295">
        <f>D18+D24+D40+D50+D101</f>
        <v>52432112.18</v>
      </c>
      <c r="E103" s="1286"/>
      <c r="F103" s="1295">
        <v>52665834.270000011</v>
      </c>
    </row>
    <row r="104" spans="1:6" ht="15.75" thickTop="1">
      <c r="B104" s="1280"/>
      <c r="C104" s="1281"/>
      <c r="D104" s="1285"/>
      <c r="E104" s="1286"/>
      <c r="F104" s="1285"/>
    </row>
    <row r="105" spans="1:6">
      <c r="A105" s="1279">
        <v>400</v>
      </c>
      <c r="B105" s="1280" t="s">
        <v>1611</v>
      </c>
      <c r="C105" s="1281" t="s">
        <v>1464</v>
      </c>
      <c r="D105" s="1285">
        <f>'3.05 - SAP DL'!F55</f>
        <v>1083227.8799999999</v>
      </c>
      <c r="E105" s="1286"/>
      <c r="F105" s="1285">
        <v>1085332.71</v>
      </c>
    </row>
    <row r="106" spans="1:6">
      <c r="A106" s="1279">
        <v>400</v>
      </c>
      <c r="B106" s="1280" t="s">
        <v>1612</v>
      </c>
      <c r="C106" s="1281" t="s">
        <v>1466</v>
      </c>
      <c r="D106" s="1285">
        <f>'3.05 - SAP DL'!F56</f>
        <v>0</v>
      </c>
      <c r="E106" s="1286"/>
      <c r="F106" s="1285">
        <v>0</v>
      </c>
    </row>
    <row r="107" spans="1:6">
      <c r="A107" s="1279">
        <v>400</v>
      </c>
      <c r="B107" s="1280" t="s">
        <v>1613</v>
      </c>
      <c r="C107" s="1281" t="s">
        <v>1466</v>
      </c>
      <c r="D107" s="1285">
        <f>'3.05 - SAP DL'!F58</f>
        <v>0</v>
      </c>
      <c r="E107" s="1286"/>
      <c r="F107" s="1285">
        <v>0</v>
      </c>
    </row>
    <row r="108" spans="1:6">
      <c r="B108" s="1280"/>
      <c r="C108" s="1281"/>
      <c r="D108" s="1293">
        <f>SUM(D105:D107)</f>
        <v>1083227.8799999999</v>
      </c>
      <c r="E108" s="1286"/>
      <c r="F108" s="1293">
        <v>1085332.71</v>
      </c>
    </row>
    <row r="109" spans="1:6">
      <c r="B109" s="1280"/>
      <c r="C109" s="1281"/>
      <c r="D109" s="1285"/>
      <c r="E109" s="1286"/>
      <c r="F109" s="1285"/>
    </row>
    <row r="110" spans="1:6">
      <c r="A110" s="1279" t="s">
        <v>1502</v>
      </c>
      <c r="B110" s="1280" t="s">
        <v>1614</v>
      </c>
      <c r="C110" s="1281" t="s">
        <v>1502</v>
      </c>
      <c r="D110" s="1285">
        <f>'3.05 - SAP DL'!F63</f>
        <v>29052601.07</v>
      </c>
      <c r="E110" s="1286"/>
      <c r="F110" s="1285">
        <v>26929009.190000001</v>
      </c>
    </row>
    <row r="111" spans="1:6">
      <c r="B111" s="1280"/>
      <c r="C111" s="1281"/>
      <c r="D111" s="1285"/>
      <c r="E111" s="1286"/>
      <c r="F111" s="1285"/>
    </row>
    <row r="112" spans="1:6">
      <c r="B112" s="1296" t="s">
        <v>1615</v>
      </c>
      <c r="C112" s="1281"/>
      <c r="D112" s="1288">
        <f>D110+D108+D103+D94+D84+D80+D75+D69+D62+D58+D53+D27</f>
        <v>230305257.91000003</v>
      </c>
      <c r="E112" s="1286"/>
      <c r="F112" s="1288">
        <v>216460010.04000002</v>
      </c>
    </row>
    <row r="113" spans="1:6">
      <c r="B113" s="1280"/>
      <c r="C113" s="1281"/>
      <c r="D113" s="1285"/>
      <c r="E113" s="1286"/>
      <c r="F113" s="1285"/>
    </row>
    <row r="114" spans="1:6">
      <c r="B114" s="1280" t="s">
        <v>1616</v>
      </c>
      <c r="C114" s="1281" t="s">
        <v>1454</v>
      </c>
      <c r="D114" s="1285">
        <f>'3.05 - SAP DL'!F44</f>
        <v>161647.1</v>
      </c>
      <c r="E114" s="1286"/>
      <c r="F114" s="1285">
        <v>232899.28</v>
      </c>
    </row>
    <row r="115" spans="1:6">
      <c r="B115" s="1280"/>
      <c r="C115" s="1281"/>
      <c r="D115" s="1285"/>
      <c r="E115" s="1286"/>
      <c r="F115" s="1285"/>
    </row>
    <row r="116" spans="1:6">
      <c r="A116" s="1279" t="s">
        <v>1617</v>
      </c>
      <c r="B116" s="1280" t="s">
        <v>1618</v>
      </c>
      <c r="C116" s="1294" t="s">
        <v>1508</v>
      </c>
      <c r="D116" s="1285">
        <f>'3.05 - SAP DL'!F72</f>
        <v>2019567.38</v>
      </c>
      <c r="E116" s="1286"/>
      <c r="F116" s="1285">
        <v>2085347.73</v>
      </c>
    </row>
    <row r="117" spans="1:6">
      <c r="A117" s="1279" t="s">
        <v>1617</v>
      </c>
      <c r="B117" s="1280" t="s">
        <v>1619</v>
      </c>
      <c r="C117" s="1297" t="s">
        <v>204</v>
      </c>
      <c r="D117" s="1285">
        <f>'3.05 - SAP DL'!F73</f>
        <v>65492601.189999998</v>
      </c>
      <c r="E117" s="1286"/>
      <c r="F117" s="1285">
        <v>64865542.599999994</v>
      </c>
    </row>
    <row r="118" spans="1:6">
      <c r="A118" s="1279" t="s">
        <v>1617</v>
      </c>
      <c r="B118" s="1280" t="s">
        <v>1620</v>
      </c>
      <c r="C118" s="1297" t="s">
        <v>204</v>
      </c>
      <c r="D118" s="1285">
        <f>'3.05 - SAP DL'!F74</f>
        <v>85131334.040000007</v>
      </c>
      <c r="E118" s="1286"/>
      <c r="F118" s="1285">
        <v>87663913.629999995</v>
      </c>
    </row>
    <row r="119" spans="1:6">
      <c r="A119" s="1279" t="s">
        <v>1617</v>
      </c>
      <c r="B119" s="1280" t="s">
        <v>1621</v>
      </c>
      <c r="C119" s="1297" t="s">
        <v>204</v>
      </c>
      <c r="D119" s="1285">
        <f>'3.05 - SAP DL'!F75</f>
        <v>67771974.430000007</v>
      </c>
      <c r="E119" s="1286"/>
      <c r="F119" s="1285">
        <v>63930553.810000002</v>
      </c>
    </row>
    <row r="120" spans="1:6">
      <c r="A120" s="1279" t="s">
        <v>1622</v>
      </c>
      <c r="B120" s="1280" t="s">
        <v>1623</v>
      </c>
      <c r="C120" s="1297" t="s">
        <v>1624</v>
      </c>
      <c r="D120" s="1285">
        <f>'3.05 - SAP DL'!F76</f>
        <v>218395909.66</v>
      </c>
      <c r="E120" s="1286"/>
      <c r="F120" s="1285">
        <v>216460010.03999999</v>
      </c>
    </row>
    <row r="121" spans="1:6">
      <c r="B121" s="1280" t="s">
        <v>1625</v>
      </c>
      <c r="C121" s="1298" t="s">
        <v>1626</v>
      </c>
      <c r="D121" s="1285">
        <f>'3.05 - SAP DL'!F79</f>
        <v>0</v>
      </c>
      <c r="E121" s="1286"/>
      <c r="F121" s="1285">
        <v>-3531.99</v>
      </c>
    </row>
    <row r="122" spans="1:6">
      <c r="B122" s="1280" t="s">
        <v>1627</v>
      </c>
      <c r="C122" s="1298" t="s">
        <v>1626</v>
      </c>
      <c r="D122" s="1285">
        <f>'3.05 - SAP DL'!F80</f>
        <v>189343308.59</v>
      </c>
      <c r="E122" s="1286"/>
      <c r="F122" s="1285">
        <v>189534532.84</v>
      </c>
    </row>
    <row r="123" spans="1:6">
      <c r="B123" s="1280" t="s">
        <v>1628</v>
      </c>
      <c r="C123" s="1298" t="s">
        <v>1626</v>
      </c>
      <c r="D123" s="1285">
        <f>'3.05 - SAP DL'!F81</f>
        <v>29052601.07</v>
      </c>
      <c r="E123" s="1286"/>
      <c r="F123" s="1285">
        <v>26929009.190000001</v>
      </c>
    </row>
    <row r="124" spans="1:6">
      <c r="B124" s="1280" t="s">
        <v>1615</v>
      </c>
      <c r="C124" s="1298" t="s">
        <v>279</v>
      </c>
      <c r="D124" s="1285">
        <f>'3.05 - SAP DL'!F83</f>
        <v>218395909.66</v>
      </c>
      <c r="E124" s="1286"/>
      <c r="F124" s="1285">
        <v>216460010.03999999</v>
      </c>
    </row>
    <row r="125" spans="1:6">
      <c r="B125" s="1280" t="s">
        <v>1629</v>
      </c>
      <c r="C125" s="1298" t="s">
        <v>1630</v>
      </c>
      <c r="D125" s="1285">
        <f>'3.05 - SAP DL'!F85</f>
        <v>0</v>
      </c>
      <c r="E125" s="1286"/>
      <c r="F125" s="1285">
        <v>0</v>
      </c>
    </row>
    <row r="126" spans="1:6">
      <c r="B126" s="1280" t="s">
        <v>1631</v>
      </c>
      <c r="C126" s="1298" t="s">
        <v>1630</v>
      </c>
      <c r="D126" s="1285">
        <f>'3.05 - SAP DL'!F86</f>
        <v>0</v>
      </c>
      <c r="E126" s="1286"/>
      <c r="F126" s="1285">
        <v>0</v>
      </c>
    </row>
    <row r="127" spans="1:6">
      <c r="B127" s="1280" t="s">
        <v>1632</v>
      </c>
      <c r="C127" s="1298" t="s">
        <v>1630</v>
      </c>
      <c r="D127" s="1285">
        <f>'3.05 - SAP DL'!F87</f>
        <v>0</v>
      </c>
      <c r="E127" s="1286"/>
      <c r="F127" s="1285">
        <v>0</v>
      </c>
    </row>
    <row r="128" spans="1:6">
      <c r="B128" s="1280" t="s">
        <v>1633</v>
      </c>
      <c r="C128" s="1298" t="s">
        <v>279</v>
      </c>
      <c r="D128" s="1285">
        <f>'3.05 - SAP DL'!F88</f>
        <v>15866.99</v>
      </c>
      <c r="E128" s="1286"/>
      <c r="F128" s="1285">
        <v>28752.93</v>
      </c>
    </row>
    <row r="129" spans="1:6">
      <c r="B129" s="1280" t="s">
        <v>1634</v>
      </c>
      <c r="C129" s="1298" t="s">
        <v>279</v>
      </c>
      <c r="D129" s="1285">
        <f>'3.05 - SAP DL'!F89</f>
        <v>0</v>
      </c>
      <c r="E129" s="1286"/>
      <c r="F129" s="1285">
        <v>0</v>
      </c>
    </row>
    <row r="130" spans="1:6">
      <c r="B130" s="1280" t="s">
        <v>1635</v>
      </c>
      <c r="C130" s="1298" t="s">
        <v>1626</v>
      </c>
      <c r="D130" s="1285">
        <f>'3.05 - SAP DL'!F90</f>
        <v>24057006.739999998</v>
      </c>
      <c r="E130" s="1286"/>
      <c r="F130" s="1285">
        <v>23803577.859999999</v>
      </c>
    </row>
    <row r="131" spans="1:6">
      <c r="B131" s="1298"/>
      <c r="C131" s="1298"/>
      <c r="D131" s="1298"/>
      <c r="E131" s="1286"/>
      <c r="F131" s="1298"/>
    </row>
    <row r="132" spans="1:6">
      <c r="A132" s="1276">
        <v>1</v>
      </c>
      <c r="B132" s="1299" t="s">
        <v>1636</v>
      </c>
      <c r="C132" s="1300">
        <f>D116</f>
        <v>2019567.38</v>
      </c>
      <c r="D132" s="1298"/>
      <c r="F132" s="1298"/>
    </row>
    <row r="133" spans="1:6">
      <c r="A133" s="1276">
        <v>2</v>
      </c>
      <c r="B133" s="1298"/>
      <c r="C133" s="1298"/>
      <c r="D133" s="1298"/>
      <c r="F133" s="1298"/>
    </row>
    <row r="134" spans="1:6">
      <c r="A134" s="1276">
        <v>3</v>
      </c>
      <c r="B134" s="1301" t="s">
        <v>1637</v>
      </c>
      <c r="C134" s="1300">
        <f>D91</f>
        <v>559125.16</v>
      </c>
      <c r="D134" s="1298"/>
      <c r="F134" s="1298"/>
    </row>
    <row r="135" spans="1:6">
      <c r="A135" s="1276">
        <v>4</v>
      </c>
      <c r="B135" s="1302"/>
      <c r="C135" s="1298"/>
      <c r="D135" s="1298"/>
      <c r="F135" s="1298"/>
    </row>
    <row r="136" spans="1:6">
      <c r="A136" s="1276">
        <v>5</v>
      </c>
      <c r="B136" s="1302"/>
      <c r="C136" s="1298" t="s">
        <v>1638</v>
      </c>
      <c r="D136" s="1303">
        <f>+D138-D137</f>
        <v>212541.52999999735</v>
      </c>
      <c r="F136" s="1303">
        <v>239827.94000000891</v>
      </c>
    </row>
    <row r="137" spans="1:6">
      <c r="A137" s="1276">
        <v>6</v>
      </c>
      <c r="B137" s="1298"/>
      <c r="C137" s="1298" t="s">
        <v>1639</v>
      </c>
      <c r="D137" s="1304">
        <f>'3.05 - DLReconBBS'!F25</f>
        <v>346583.63000000268</v>
      </c>
      <c r="F137" s="1304">
        <v>389949.39999999106</v>
      </c>
    </row>
    <row r="138" spans="1:6">
      <c r="A138" s="1276">
        <v>7</v>
      </c>
      <c r="B138" s="1298"/>
      <c r="C138" s="1298"/>
      <c r="D138" s="1303">
        <f>D91</f>
        <v>559125.16</v>
      </c>
      <c r="F138" s="1303">
        <v>629777.34</v>
      </c>
    </row>
    <row r="139" spans="1:6">
      <c r="A139" s="1276">
        <v>8</v>
      </c>
      <c r="B139" s="1298"/>
      <c r="C139" s="1298"/>
      <c r="D139" s="1298"/>
      <c r="F139" s="1298"/>
    </row>
    <row r="140" spans="1:6">
      <c r="A140" s="1276">
        <v>9</v>
      </c>
      <c r="B140" s="1301" t="s">
        <v>1640</v>
      </c>
      <c r="C140" s="1300">
        <f>C132-C134</f>
        <v>1460442.2199999997</v>
      </c>
      <c r="D140" s="1298"/>
      <c r="F140" s="1298"/>
    </row>
    <row r="141" spans="1:6">
      <c r="A141" s="1276">
        <v>10</v>
      </c>
      <c r="B141" s="1305" t="s">
        <v>1641</v>
      </c>
      <c r="C141" s="1298"/>
      <c r="D141" s="1300">
        <f>D88</f>
        <v>652640.46</v>
      </c>
      <c r="F141" s="1300">
        <v>650312.56000000006</v>
      </c>
    </row>
    <row r="142" spans="1:6">
      <c r="A142" s="1276">
        <v>11</v>
      </c>
      <c r="B142" s="1305" t="s">
        <v>1642</v>
      </c>
      <c r="C142" s="1298"/>
      <c r="D142" s="1306">
        <f>D90</f>
        <v>807801.76</v>
      </c>
      <c r="F142" s="1306">
        <v>805257.83</v>
      </c>
    </row>
    <row r="143" spans="1:6">
      <c r="A143" s="1276">
        <v>12</v>
      </c>
      <c r="B143" s="1302" t="s">
        <v>1643</v>
      </c>
      <c r="C143" s="1298"/>
      <c r="D143" s="1300">
        <f>SUM(D141:D142)</f>
        <v>1460442.22</v>
      </c>
      <c r="F143" s="1300">
        <v>1455570.39</v>
      </c>
    </row>
    <row r="144" spans="1:6">
      <c r="A144" s="1276">
        <v>13</v>
      </c>
      <c r="C144" s="1298"/>
      <c r="D144" s="1298"/>
      <c r="F144" s="1298"/>
    </row>
    <row r="145" spans="1:6">
      <c r="A145" s="1276">
        <v>14</v>
      </c>
      <c r="C145" s="1298"/>
      <c r="D145" s="1298"/>
      <c r="F145" s="1298"/>
    </row>
    <row r="146" spans="1:6">
      <c r="A146" s="1276">
        <v>15</v>
      </c>
      <c r="B146" s="1272" t="s">
        <v>1644</v>
      </c>
      <c r="C146" s="1298"/>
      <c r="D146" s="1300">
        <f>D143+D136</f>
        <v>1672983.7499999972</v>
      </c>
      <c r="F146" s="1300">
        <v>1695398.3300000089</v>
      </c>
    </row>
    <row r="147" spans="1:6">
      <c r="A147" s="1276">
        <v>16</v>
      </c>
      <c r="B147" s="1272" t="s">
        <v>1645</v>
      </c>
      <c r="C147" s="1298"/>
      <c r="D147" s="1306">
        <f>D137</f>
        <v>346583.63000000268</v>
      </c>
      <c r="F147" s="1306">
        <v>389949.39999999106</v>
      </c>
    </row>
    <row r="148" spans="1:6" ht="15.75" thickBot="1">
      <c r="A148" s="1276">
        <v>17</v>
      </c>
      <c r="B148" s="1279" t="s">
        <v>1646</v>
      </c>
      <c r="C148" s="1298"/>
      <c r="D148" s="1307">
        <f>SUM(D146:D147)</f>
        <v>2019567.38</v>
      </c>
      <c r="F148" s="1307">
        <v>2085347.73</v>
      </c>
    </row>
    <row r="149" spans="1:6" ht="15.75" thickTop="1">
      <c r="B149" s="1298"/>
      <c r="C149" s="1298"/>
      <c r="D149" s="1298"/>
      <c r="F149" s="1298"/>
    </row>
    <row r="150" spans="1:6">
      <c r="B150" s="1298"/>
      <c r="C150" s="1298"/>
      <c r="D150" s="1298"/>
      <c r="F150" s="1298"/>
    </row>
  </sheetData>
  <mergeCells count="2">
    <mergeCell ref="B3:E3"/>
    <mergeCell ref="B4:E4"/>
  </mergeCells>
  <printOptions horizontalCentered="1"/>
  <pageMargins left="0.5" right="0.5" top="0.35" bottom="0.21" header="0.17" footer="0"/>
  <pageSetup scale="65" fitToHeight="2"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8" tint="0.39997558519241921"/>
    <pageSetUpPr fitToPage="1"/>
  </sheetPr>
  <dimension ref="A1:J65"/>
  <sheetViews>
    <sheetView workbookViewId="0">
      <selection activeCell="I41" sqref="I41"/>
    </sheetView>
  </sheetViews>
  <sheetFormatPr defaultRowHeight="12.75"/>
  <cols>
    <col min="1" max="1" width="51.33203125" style="1328" customWidth="1"/>
    <col min="2" max="2" width="25.1640625" customWidth="1"/>
    <col min="3" max="3" width="5.5" customWidth="1"/>
    <col min="4" max="4" width="20.83203125" customWidth="1"/>
    <col min="5" max="5" width="2.83203125" customWidth="1"/>
    <col min="6" max="6" width="20.83203125" customWidth="1"/>
    <col min="7" max="7" width="25" customWidth="1"/>
    <col min="8" max="8" width="6.5" customWidth="1"/>
    <col min="9" max="9" width="20.83203125" customWidth="1"/>
    <col min="10" max="10" width="15.6640625" customWidth="1"/>
    <col min="11" max="11" width="16.1640625" customWidth="1"/>
    <col min="12" max="12" width="17.83203125" customWidth="1"/>
    <col min="13" max="13" width="15" bestFit="1" customWidth="1"/>
    <col min="15" max="15" width="15" bestFit="1" customWidth="1"/>
    <col min="257" max="257" width="51.33203125" customWidth="1"/>
    <col min="258" max="258" width="25.1640625" customWidth="1"/>
    <col min="259" max="259" width="5.5" customWidth="1"/>
    <col min="260" max="260" width="20.83203125" customWidth="1"/>
    <col min="261" max="261" width="2.83203125" customWidth="1"/>
    <col min="262" max="262" width="20.83203125" customWidth="1"/>
    <col min="263" max="263" width="25" customWidth="1"/>
    <col min="264" max="264" width="6.5" customWidth="1"/>
    <col min="265" max="265" width="20.83203125" customWidth="1"/>
    <col min="266" max="266" width="15.6640625" customWidth="1"/>
    <col min="267" max="267" width="16.1640625" customWidth="1"/>
    <col min="268" max="268" width="17.83203125" customWidth="1"/>
    <col min="269" max="269" width="15" bestFit="1" customWidth="1"/>
    <col min="271" max="271" width="15" bestFit="1" customWidth="1"/>
    <col min="513" max="513" width="51.33203125" customWidth="1"/>
    <col min="514" max="514" width="25.1640625" customWidth="1"/>
    <col min="515" max="515" width="5.5" customWidth="1"/>
    <col min="516" max="516" width="20.83203125" customWidth="1"/>
    <col min="517" max="517" width="2.83203125" customWidth="1"/>
    <col min="518" max="518" width="20.83203125" customWidth="1"/>
    <col min="519" max="519" width="25" customWidth="1"/>
    <col min="520" max="520" width="6.5" customWidth="1"/>
    <col min="521" max="521" width="20.83203125" customWidth="1"/>
    <col min="522" max="522" width="15.6640625" customWidth="1"/>
    <col min="523" max="523" width="16.1640625" customWidth="1"/>
    <col min="524" max="524" width="17.83203125" customWidth="1"/>
    <col min="525" max="525" width="15" bestFit="1" customWidth="1"/>
    <col min="527" max="527" width="15" bestFit="1" customWidth="1"/>
    <col min="769" max="769" width="51.33203125" customWidth="1"/>
    <col min="770" max="770" width="25.1640625" customWidth="1"/>
    <col min="771" max="771" width="5.5" customWidth="1"/>
    <col min="772" max="772" width="20.83203125" customWidth="1"/>
    <col min="773" max="773" width="2.83203125" customWidth="1"/>
    <col min="774" max="774" width="20.83203125" customWidth="1"/>
    <col min="775" max="775" width="25" customWidth="1"/>
    <col min="776" max="776" width="6.5" customWidth="1"/>
    <col min="777" max="777" width="20.83203125" customWidth="1"/>
    <col min="778" max="778" width="15.6640625" customWidth="1"/>
    <col min="779" max="779" width="16.1640625" customWidth="1"/>
    <col min="780" max="780" width="17.83203125" customWidth="1"/>
    <col min="781" max="781" width="15" bestFit="1" customWidth="1"/>
    <col min="783" max="783" width="15" bestFit="1" customWidth="1"/>
    <col min="1025" max="1025" width="51.33203125" customWidth="1"/>
    <col min="1026" max="1026" width="25.1640625" customWidth="1"/>
    <col min="1027" max="1027" width="5.5" customWidth="1"/>
    <col min="1028" max="1028" width="20.83203125" customWidth="1"/>
    <col min="1029" max="1029" width="2.83203125" customWidth="1"/>
    <col min="1030" max="1030" width="20.83203125" customWidth="1"/>
    <col min="1031" max="1031" width="25" customWidth="1"/>
    <col min="1032" max="1032" width="6.5" customWidth="1"/>
    <col min="1033" max="1033" width="20.83203125" customWidth="1"/>
    <col min="1034" max="1034" width="15.6640625" customWidth="1"/>
    <col min="1035" max="1035" width="16.1640625" customWidth="1"/>
    <col min="1036" max="1036" width="17.83203125" customWidth="1"/>
    <col min="1037" max="1037" width="15" bestFit="1" customWidth="1"/>
    <col min="1039" max="1039" width="15" bestFit="1" customWidth="1"/>
    <col min="1281" max="1281" width="51.33203125" customWidth="1"/>
    <col min="1282" max="1282" width="25.1640625" customWidth="1"/>
    <col min="1283" max="1283" width="5.5" customWidth="1"/>
    <col min="1284" max="1284" width="20.83203125" customWidth="1"/>
    <col min="1285" max="1285" width="2.83203125" customWidth="1"/>
    <col min="1286" max="1286" width="20.83203125" customWidth="1"/>
    <col min="1287" max="1287" width="25" customWidth="1"/>
    <col min="1288" max="1288" width="6.5" customWidth="1"/>
    <col min="1289" max="1289" width="20.83203125" customWidth="1"/>
    <col min="1290" max="1290" width="15.6640625" customWidth="1"/>
    <col min="1291" max="1291" width="16.1640625" customWidth="1"/>
    <col min="1292" max="1292" width="17.83203125" customWidth="1"/>
    <col min="1293" max="1293" width="15" bestFit="1" customWidth="1"/>
    <col min="1295" max="1295" width="15" bestFit="1" customWidth="1"/>
    <col min="1537" max="1537" width="51.33203125" customWidth="1"/>
    <col min="1538" max="1538" width="25.1640625" customWidth="1"/>
    <col min="1539" max="1539" width="5.5" customWidth="1"/>
    <col min="1540" max="1540" width="20.83203125" customWidth="1"/>
    <col min="1541" max="1541" width="2.83203125" customWidth="1"/>
    <col min="1542" max="1542" width="20.83203125" customWidth="1"/>
    <col min="1543" max="1543" width="25" customWidth="1"/>
    <col min="1544" max="1544" width="6.5" customWidth="1"/>
    <col min="1545" max="1545" width="20.83203125" customWidth="1"/>
    <col min="1546" max="1546" width="15.6640625" customWidth="1"/>
    <col min="1547" max="1547" width="16.1640625" customWidth="1"/>
    <col min="1548" max="1548" width="17.83203125" customWidth="1"/>
    <col min="1549" max="1549" width="15" bestFit="1" customWidth="1"/>
    <col min="1551" max="1551" width="15" bestFit="1" customWidth="1"/>
    <col min="1793" max="1793" width="51.33203125" customWidth="1"/>
    <col min="1794" max="1794" width="25.1640625" customWidth="1"/>
    <col min="1795" max="1795" width="5.5" customWidth="1"/>
    <col min="1796" max="1796" width="20.83203125" customWidth="1"/>
    <col min="1797" max="1797" width="2.83203125" customWidth="1"/>
    <col min="1798" max="1798" width="20.83203125" customWidth="1"/>
    <col min="1799" max="1799" width="25" customWidth="1"/>
    <col min="1800" max="1800" width="6.5" customWidth="1"/>
    <col min="1801" max="1801" width="20.83203125" customWidth="1"/>
    <col min="1802" max="1802" width="15.6640625" customWidth="1"/>
    <col min="1803" max="1803" width="16.1640625" customWidth="1"/>
    <col min="1804" max="1804" width="17.83203125" customWidth="1"/>
    <col min="1805" max="1805" width="15" bestFit="1" customWidth="1"/>
    <col min="1807" max="1807" width="15" bestFit="1" customWidth="1"/>
    <col min="2049" max="2049" width="51.33203125" customWidth="1"/>
    <col min="2050" max="2050" width="25.1640625" customWidth="1"/>
    <col min="2051" max="2051" width="5.5" customWidth="1"/>
    <col min="2052" max="2052" width="20.83203125" customWidth="1"/>
    <col min="2053" max="2053" width="2.83203125" customWidth="1"/>
    <col min="2054" max="2054" width="20.83203125" customWidth="1"/>
    <col min="2055" max="2055" width="25" customWidth="1"/>
    <col min="2056" max="2056" width="6.5" customWidth="1"/>
    <col min="2057" max="2057" width="20.83203125" customWidth="1"/>
    <col min="2058" max="2058" width="15.6640625" customWidth="1"/>
    <col min="2059" max="2059" width="16.1640625" customWidth="1"/>
    <col min="2060" max="2060" width="17.83203125" customWidth="1"/>
    <col min="2061" max="2061" width="15" bestFit="1" customWidth="1"/>
    <col min="2063" max="2063" width="15" bestFit="1" customWidth="1"/>
    <col min="2305" max="2305" width="51.33203125" customWidth="1"/>
    <col min="2306" max="2306" width="25.1640625" customWidth="1"/>
    <col min="2307" max="2307" width="5.5" customWidth="1"/>
    <col min="2308" max="2308" width="20.83203125" customWidth="1"/>
    <col min="2309" max="2309" width="2.83203125" customWidth="1"/>
    <col min="2310" max="2310" width="20.83203125" customWidth="1"/>
    <col min="2311" max="2311" width="25" customWidth="1"/>
    <col min="2312" max="2312" width="6.5" customWidth="1"/>
    <col min="2313" max="2313" width="20.83203125" customWidth="1"/>
    <col min="2314" max="2314" width="15.6640625" customWidth="1"/>
    <col min="2315" max="2315" width="16.1640625" customWidth="1"/>
    <col min="2316" max="2316" width="17.83203125" customWidth="1"/>
    <col min="2317" max="2317" width="15" bestFit="1" customWidth="1"/>
    <col min="2319" max="2319" width="15" bestFit="1" customWidth="1"/>
    <col min="2561" max="2561" width="51.33203125" customWidth="1"/>
    <col min="2562" max="2562" width="25.1640625" customWidth="1"/>
    <col min="2563" max="2563" width="5.5" customWidth="1"/>
    <col min="2564" max="2564" width="20.83203125" customWidth="1"/>
    <col min="2565" max="2565" width="2.83203125" customWidth="1"/>
    <col min="2566" max="2566" width="20.83203125" customWidth="1"/>
    <col min="2567" max="2567" width="25" customWidth="1"/>
    <col min="2568" max="2568" width="6.5" customWidth="1"/>
    <col min="2569" max="2569" width="20.83203125" customWidth="1"/>
    <col min="2570" max="2570" width="15.6640625" customWidth="1"/>
    <col min="2571" max="2571" width="16.1640625" customWidth="1"/>
    <col min="2572" max="2572" width="17.83203125" customWidth="1"/>
    <col min="2573" max="2573" width="15" bestFit="1" customWidth="1"/>
    <col min="2575" max="2575" width="15" bestFit="1" customWidth="1"/>
    <col min="2817" max="2817" width="51.33203125" customWidth="1"/>
    <col min="2818" max="2818" width="25.1640625" customWidth="1"/>
    <col min="2819" max="2819" width="5.5" customWidth="1"/>
    <col min="2820" max="2820" width="20.83203125" customWidth="1"/>
    <col min="2821" max="2821" width="2.83203125" customWidth="1"/>
    <col min="2822" max="2822" width="20.83203125" customWidth="1"/>
    <col min="2823" max="2823" width="25" customWidth="1"/>
    <col min="2824" max="2824" width="6.5" customWidth="1"/>
    <col min="2825" max="2825" width="20.83203125" customWidth="1"/>
    <col min="2826" max="2826" width="15.6640625" customWidth="1"/>
    <col min="2827" max="2827" width="16.1640625" customWidth="1"/>
    <col min="2828" max="2828" width="17.83203125" customWidth="1"/>
    <col min="2829" max="2829" width="15" bestFit="1" customWidth="1"/>
    <col min="2831" max="2831" width="15" bestFit="1" customWidth="1"/>
    <col min="3073" max="3073" width="51.33203125" customWidth="1"/>
    <col min="3074" max="3074" width="25.1640625" customWidth="1"/>
    <col min="3075" max="3075" width="5.5" customWidth="1"/>
    <col min="3076" max="3076" width="20.83203125" customWidth="1"/>
    <col min="3077" max="3077" width="2.83203125" customWidth="1"/>
    <col min="3078" max="3078" width="20.83203125" customWidth="1"/>
    <col min="3079" max="3079" width="25" customWidth="1"/>
    <col min="3080" max="3080" width="6.5" customWidth="1"/>
    <col min="3081" max="3081" width="20.83203125" customWidth="1"/>
    <col min="3082" max="3082" width="15.6640625" customWidth="1"/>
    <col min="3083" max="3083" width="16.1640625" customWidth="1"/>
    <col min="3084" max="3084" width="17.83203125" customWidth="1"/>
    <col min="3085" max="3085" width="15" bestFit="1" customWidth="1"/>
    <col min="3087" max="3087" width="15" bestFit="1" customWidth="1"/>
    <col min="3329" max="3329" width="51.33203125" customWidth="1"/>
    <col min="3330" max="3330" width="25.1640625" customWidth="1"/>
    <col min="3331" max="3331" width="5.5" customWidth="1"/>
    <col min="3332" max="3332" width="20.83203125" customWidth="1"/>
    <col min="3333" max="3333" width="2.83203125" customWidth="1"/>
    <col min="3334" max="3334" width="20.83203125" customWidth="1"/>
    <col min="3335" max="3335" width="25" customWidth="1"/>
    <col min="3336" max="3336" width="6.5" customWidth="1"/>
    <col min="3337" max="3337" width="20.83203125" customWidth="1"/>
    <col min="3338" max="3338" width="15.6640625" customWidth="1"/>
    <col min="3339" max="3339" width="16.1640625" customWidth="1"/>
    <col min="3340" max="3340" width="17.83203125" customWidth="1"/>
    <col min="3341" max="3341" width="15" bestFit="1" customWidth="1"/>
    <col min="3343" max="3343" width="15" bestFit="1" customWidth="1"/>
    <col min="3585" max="3585" width="51.33203125" customWidth="1"/>
    <col min="3586" max="3586" width="25.1640625" customWidth="1"/>
    <col min="3587" max="3587" width="5.5" customWidth="1"/>
    <col min="3588" max="3588" width="20.83203125" customWidth="1"/>
    <col min="3589" max="3589" width="2.83203125" customWidth="1"/>
    <col min="3590" max="3590" width="20.83203125" customWidth="1"/>
    <col min="3591" max="3591" width="25" customWidth="1"/>
    <col min="3592" max="3592" width="6.5" customWidth="1"/>
    <col min="3593" max="3593" width="20.83203125" customWidth="1"/>
    <col min="3594" max="3594" width="15.6640625" customWidth="1"/>
    <col min="3595" max="3595" width="16.1640625" customWidth="1"/>
    <col min="3596" max="3596" width="17.83203125" customWidth="1"/>
    <col min="3597" max="3597" width="15" bestFit="1" customWidth="1"/>
    <col min="3599" max="3599" width="15" bestFit="1" customWidth="1"/>
    <col min="3841" max="3841" width="51.33203125" customWidth="1"/>
    <col min="3842" max="3842" width="25.1640625" customWidth="1"/>
    <col min="3843" max="3843" width="5.5" customWidth="1"/>
    <col min="3844" max="3844" width="20.83203125" customWidth="1"/>
    <col min="3845" max="3845" width="2.83203125" customWidth="1"/>
    <col min="3846" max="3846" width="20.83203125" customWidth="1"/>
    <col min="3847" max="3847" width="25" customWidth="1"/>
    <col min="3848" max="3848" width="6.5" customWidth="1"/>
    <col min="3849" max="3849" width="20.83203125" customWidth="1"/>
    <col min="3850" max="3850" width="15.6640625" customWidth="1"/>
    <col min="3851" max="3851" width="16.1640625" customWidth="1"/>
    <col min="3852" max="3852" width="17.83203125" customWidth="1"/>
    <col min="3853" max="3853" width="15" bestFit="1" customWidth="1"/>
    <col min="3855" max="3855" width="15" bestFit="1" customWidth="1"/>
    <col min="4097" max="4097" width="51.33203125" customWidth="1"/>
    <col min="4098" max="4098" width="25.1640625" customWidth="1"/>
    <col min="4099" max="4099" width="5.5" customWidth="1"/>
    <col min="4100" max="4100" width="20.83203125" customWidth="1"/>
    <col min="4101" max="4101" width="2.83203125" customWidth="1"/>
    <col min="4102" max="4102" width="20.83203125" customWidth="1"/>
    <col min="4103" max="4103" width="25" customWidth="1"/>
    <col min="4104" max="4104" width="6.5" customWidth="1"/>
    <col min="4105" max="4105" width="20.83203125" customWidth="1"/>
    <col min="4106" max="4106" width="15.6640625" customWidth="1"/>
    <col min="4107" max="4107" width="16.1640625" customWidth="1"/>
    <col min="4108" max="4108" width="17.83203125" customWidth="1"/>
    <col min="4109" max="4109" width="15" bestFit="1" customWidth="1"/>
    <col min="4111" max="4111" width="15" bestFit="1" customWidth="1"/>
    <col min="4353" max="4353" width="51.33203125" customWidth="1"/>
    <col min="4354" max="4354" width="25.1640625" customWidth="1"/>
    <col min="4355" max="4355" width="5.5" customWidth="1"/>
    <col min="4356" max="4356" width="20.83203125" customWidth="1"/>
    <col min="4357" max="4357" width="2.83203125" customWidth="1"/>
    <col min="4358" max="4358" width="20.83203125" customWidth="1"/>
    <col min="4359" max="4359" width="25" customWidth="1"/>
    <col min="4360" max="4360" width="6.5" customWidth="1"/>
    <col min="4361" max="4361" width="20.83203125" customWidth="1"/>
    <col min="4362" max="4362" width="15.6640625" customWidth="1"/>
    <col min="4363" max="4363" width="16.1640625" customWidth="1"/>
    <col min="4364" max="4364" width="17.83203125" customWidth="1"/>
    <col min="4365" max="4365" width="15" bestFit="1" customWidth="1"/>
    <col min="4367" max="4367" width="15" bestFit="1" customWidth="1"/>
    <col min="4609" max="4609" width="51.33203125" customWidth="1"/>
    <col min="4610" max="4610" width="25.1640625" customWidth="1"/>
    <col min="4611" max="4611" width="5.5" customWidth="1"/>
    <col min="4612" max="4612" width="20.83203125" customWidth="1"/>
    <col min="4613" max="4613" width="2.83203125" customWidth="1"/>
    <col min="4614" max="4614" width="20.83203125" customWidth="1"/>
    <col min="4615" max="4615" width="25" customWidth="1"/>
    <col min="4616" max="4616" width="6.5" customWidth="1"/>
    <col min="4617" max="4617" width="20.83203125" customWidth="1"/>
    <col min="4618" max="4618" width="15.6640625" customWidth="1"/>
    <col min="4619" max="4619" width="16.1640625" customWidth="1"/>
    <col min="4620" max="4620" width="17.83203125" customWidth="1"/>
    <col min="4621" max="4621" width="15" bestFit="1" customWidth="1"/>
    <col min="4623" max="4623" width="15" bestFit="1" customWidth="1"/>
    <col min="4865" max="4865" width="51.33203125" customWidth="1"/>
    <col min="4866" max="4866" width="25.1640625" customWidth="1"/>
    <col min="4867" max="4867" width="5.5" customWidth="1"/>
    <col min="4868" max="4868" width="20.83203125" customWidth="1"/>
    <col min="4869" max="4869" width="2.83203125" customWidth="1"/>
    <col min="4870" max="4870" width="20.83203125" customWidth="1"/>
    <col min="4871" max="4871" width="25" customWidth="1"/>
    <col min="4872" max="4872" width="6.5" customWidth="1"/>
    <col min="4873" max="4873" width="20.83203125" customWidth="1"/>
    <col min="4874" max="4874" width="15.6640625" customWidth="1"/>
    <col min="4875" max="4875" width="16.1640625" customWidth="1"/>
    <col min="4876" max="4876" width="17.83203125" customWidth="1"/>
    <col min="4877" max="4877" width="15" bestFit="1" customWidth="1"/>
    <col min="4879" max="4879" width="15" bestFit="1" customWidth="1"/>
    <col min="5121" max="5121" width="51.33203125" customWidth="1"/>
    <col min="5122" max="5122" width="25.1640625" customWidth="1"/>
    <col min="5123" max="5123" width="5.5" customWidth="1"/>
    <col min="5124" max="5124" width="20.83203125" customWidth="1"/>
    <col min="5125" max="5125" width="2.83203125" customWidth="1"/>
    <col min="5126" max="5126" width="20.83203125" customWidth="1"/>
    <col min="5127" max="5127" width="25" customWidth="1"/>
    <col min="5128" max="5128" width="6.5" customWidth="1"/>
    <col min="5129" max="5129" width="20.83203125" customWidth="1"/>
    <col min="5130" max="5130" width="15.6640625" customWidth="1"/>
    <col min="5131" max="5131" width="16.1640625" customWidth="1"/>
    <col min="5132" max="5132" width="17.83203125" customWidth="1"/>
    <col min="5133" max="5133" width="15" bestFit="1" customWidth="1"/>
    <col min="5135" max="5135" width="15" bestFit="1" customWidth="1"/>
    <col min="5377" max="5377" width="51.33203125" customWidth="1"/>
    <col min="5378" max="5378" width="25.1640625" customWidth="1"/>
    <col min="5379" max="5379" width="5.5" customWidth="1"/>
    <col min="5380" max="5380" width="20.83203125" customWidth="1"/>
    <col min="5381" max="5381" width="2.83203125" customWidth="1"/>
    <col min="5382" max="5382" width="20.83203125" customWidth="1"/>
    <col min="5383" max="5383" width="25" customWidth="1"/>
    <col min="5384" max="5384" width="6.5" customWidth="1"/>
    <col min="5385" max="5385" width="20.83203125" customWidth="1"/>
    <col min="5386" max="5386" width="15.6640625" customWidth="1"/>
    <col min="5387" max="5387" width="16.1640625" customWidth="1"/>
    <col min="5388" max="5388" width="17.83203125" customWidth="1"/>
    <col min="5389" max="5389" width="15" bestFit="1" customWidth="1"/>
    <col min="5391" max="5391" width="15" bestFit="1" customWidth="1"/>
    <col min="5633" max="5633" width="51.33203125" customWidth="1"/>
    <col min="5634" max="5634" width="25.1640625" customWidth="1"/>
    <col min="5635" max="5635" width="5.5" customWidth="1"/>
    <col min="5636" max="5636" width="20.83203125" customWidth="1"/>
    <col min="5637" max="5637" width="2.83203125" customWidth="1"/>
    <col min="5638" max="5638" width="20.83203125" customWidth="1"/>
    <col min="5639" max="5639" width="25" customWidth="1"/>
    <col min="5640" max="5640" width="6.5" customWidth="1"/>
    <col min="5641" max="5641" width="20.83203125" customWidth="1"/>
    <col min="5642" max="5642" width="15.6640625" customWidth="1"/>
    <col min="5643" max="5643" width="16.1640625" customWidth="1"/>
    <col min="5644" max="5644" width="17.83203125" customWidth="1"/>
    <col min="5645" max="5645" width="15" bestFit="1" customWidth="1"/>
    <col min="5647" max="5647" width="15" bestFit="1" customWidth="1"/>
    <col min="5889" max="5889" width="51.33203125" customWidth="1"/>
    <col min="5890" max="5890" width="25.1640625" customWidth="1"/>
    <col min="5891" max="5891" width="5.5" customWidth="1"/>
    <col min="5892" max="5892" width="20.83203125" customWidth="1"/>
    <col min="5893" max="5893" width="2.83203125" customWidth="1"/>
    <col min="5894" max="5894" width="20.83203125" customWidth="1"/>
    <col min="5895" max="5895" width="25" customWidth="1"/>
    <col min="5896" max="5896" width="6.5" customWidth="1"/>
    <col min="5897" max="5897" width="20.83203125" customWidth="1"/>
    <col min="5898" max="5898" width="15.6640625" customWidth="1"/>
    <col min="5899" max="5899" width="16.1640625" customWidth="1"/>
    <col min="5900" max="5900" width="17.83203125" customWidth="1"/>
    <col min="5901" max="5901" width="15" bestFit="1" customWidth="1"/>
    <col min="5903" max="5903" width="15" bestFit="1" customWidth="1"/>
    <col min="6145" max="6145" width="51.33203125" customWidth="1"/>
    <col min="6146" max="6146" width="25.1640625" customWidth="1"/>
    <col min="6147" max="6147" width="5.5" customWidth="1"/>
    <col min="6148" max="6148" width="20.83203125" customWidth="1"/>
    <col min="6149" max="6149" width="2.83203125" customWidth="1"/>
    <col min="6150" max="6150" width="20.83203125" customWidth="1"/>
    <col min="6151" max="6151" width="25" customWidth="1"/>
    <col min="6152" max="6152" width="6.5" customWidth="1"/>
    <col min="6153" max="6153" width="20.83203125" customWidth="1"/>
    <col min="6154" max="6154" width="15.6640625" customWidth="1"/>
    <col min="6155" max="6155" width="16.1640625" customWidth="1"/>
    <col min="6156" max="6156" width="17.83203125" customWidth="1"/>
    <col min="6157" max="6157" width="15" bestFit="1" customWidth="1"/>
    <col min="6159" max="6159" width="15" bestFit="1" customWidth="1"/>
    <col min="6401" max="6401" width="51.33203125" customWidth="1"/>
    <col min="6402" max="6402" width="25.1640625" customWidth="1"/>
    <col min="6403" max="6403" width="5.5" customWidth="1"/>
    <col min="6404" max="6404" width="20.83203125" customWidth="1"/>
    <col min="6405" max="6405" width="2.83203125" customWidth="1"/>
    <col min="6406" max="6406" width="20.83203125" customWidth="1"/>
    <col min="6407" max="6407" width="25" customWidth="1"/>
    <col min="6408" max="6408" width="6.5" customWidth="1"/>
    <col min="6409" max="6409" width="20.83203125" customWidth="1"/>
    <col min="6410" max="6410" width="15.6640625" customWidth="1"/>
    <col min="6411" max="6411" width="16.1640625" customWidth="1"/>
    <col min="6412" max="6412" width="17.83203125" customWidth="1"/>
    <col min="6413" max="6413" width="15" bestFit="1" customWidth="1"/>
    <col min="6415" max="6415" width="15" bestFit="1" customWidth="1"/>
    <col min="6657" max="6657" width="51.33203125" customWidth="1"/>
    <col min="6658" max="6658" width="25.1640625" customWidth="1"/>
    <col min="6659" max="6659" width="5.5" customWidth="1"/>
    <col min="6660" max="6660" width="20.83203125" customWidth="1"/>
    <col min="6661" max="6661" width="2.83203125" customWidth="1"/>
    <col min="6662" max="6662" width="20.83203125" customWidth="1"/>
    <col min="6663" max="6663" width="25" customWidth="1"/>
    <col min="6664" max="6664" width="6.5" customWidth="1"/>
    <col min="6665" max="6665" width="20.83203125" customWidth="1"/>
    <col min="6666" max="6666" width="15.6640625" customWidth="1"/>
    <col min="6667" max="6667" width="16.1640625" customWidth="1"/>
    <col min="6668" max="6668" width="17.83203125" customWidth="1"/>
    <col min="6669" max="6669" width="15" bestFit="1" customWidth="1"/>
    <col min="6671" max="6671" width="15" bestFit="1" customWidth="1"/>
    <col min="6913" max="6913" width="51.33203125" customWidth="1"/>
    <col min="6914" max="6914" width="25.1640625" customWidth="1"/>
    <col min="6915" max="6915" width="5.5" customWidth="1"/>
    <col min="6916" max="6916" width="20.83203125" customWidth="1"/>
    <col min="6917" max="6917" width="2.83203125" customWidth="1"/>
    <col min="6918" max="6918" width="20.83203125" customWidth="1"/>
    <col min="6919" max="6919" width="25" customWidth="1"/>
    <col min="6920" max="6920" width="6.5" customWidth="1"/>
    <col min="6921" max="6921" width="20.83203125" customWidth="1"/>
    <col min="6922" max="6922" width="15.6640625" customWidth="1"/>
    <col min="6923" max="6923" width="16.1640625" customWidth="1"/>
    <col min="6924" max="6924" width="17.83203125" customWidth="1"/>
    <col min="6925" max="6925" width="15" bestFit="1" customWidth="1"/>
    <col min="6927" max="6927" width="15" bestFit="1" customWidth="1"/>
    <col min="7169" max="7169" width="51.33203125" customWidth="1"/>
    <col min="7170" max="7170" width="25.1640625" customWidth="1"/>
    <col min="7171" max="7171" width="5.5" customWidth="1"/>
    <col min="7172" max="7172" width="20.83203125" customWidth="1"/>
    <col min="7173" max="7173" width="2.83203125" customWidth="1"/>
    <col min="7174" max="7174" width="20.83203125" customWidth="1"/>
    <col min="7175" max="7175" width="25" customWidth="1"/>
    <col min="7176" max="7176" width="6.5" customWidth="1"/>
    <col min="7177" max="7177" width="20.83203125" customWidth="1"/>
    <col min="7178" max="7178" width="15.6640625" customWidth="1"/>
    <col min="7179" max="7179" width="16.1640625" customWidth="1"/>
    <col min="7180" max="7180" width="17.83203125" customWidth="1"/>
    <col min="7181" max="7181" width="15" bestFit="1" customWidth="1"/>
    <col min="7183" max="7183" width="15" bestFit="1" customWidth="1"/>
    <col min="7425" max="7425" width="51.33203125" customWidth="1"/>
    <col min="7426" max="7426" width="25.1640625" customWidth="1"/>
    <col min="7427" max="7427" width="5.5" customWidth="1"/>
    <col min="7428" max="7428" width="20.83203125" customWidth="1"/>
    <col min="7429" max="7429" width="2.83203125" customWidth="1"/>
    <col min="7430" max="7430" width="20.83203125" customWidth="1"/>
    <col min="7431" max="7431" width="25" customWidth="1"/>
    <col min="7432" max="7432" width="6.5" customWidth="1"/>
    <col min="7433" max="7433" width="20.83203125" customWidth="1"/>
    <col min="7434" max="7434" width="15.6640625" customWidth="1"/>
    <col min="7435" max="7435" width="16.1640625" customWidth="1"/>
    <col min="7436" max="7436" width="17.83203125" customWidth="1"/>
    <col min="7437" max="7437" width="15" bestFit="1" customWidth="1"/>
    <col min="7439" max="7439" width="15" bestFit="1" customWidth="1"/>
    <col min="7681" max="7681" width="51.33203125" customWidth="1"/>
    <col min="7682" max="7682" width="25.1640625" customWidth="1"/>
    <col min="7683" max="7683" width="5.5" customWidth="1"/>
    <col min="7684" max="7684" width="20.83203125" customWidth="1"/>
    <col min="7685" max="7685" width="2.83203125" customWidth="1"/>
    <col min="7686" max="7686" width="20.83203125" customWidth="1"/>
    <col min="7687" max="7687" width="25" customWidth="1"/>
    <col min="7688" max="7688" width="6.5" customWidth="1"/>
    <col min="7689" max="7689" width="20.83203125" customWidth="1"/>
    <col min="7690" max="7690" width="15.6640625" customWidth="1"/>
    <col min="7691" max="7691" width="16.1640625" customWidth="1"/>
    <col min="7692" max="7692" width="17.83203125" customWidth="1"/>
    <col min="7693" max="7693" width="15" bestFit="1" customWidth="1"/>
    <col min="7695" max="7695" width="15" bestFit="1" customWidth="1"/>
    <col min="7937" max="7937" width="51.33203125" customWidth="1"/>
    <col min="7938" max="7938" width="25.1640625" customWidth="1"/>
    <col min="7939" max="7939" width="5.5" customWidth="1"/>
    <col min="7940" max="7940" width="20.83203125" customWidth="1"/>
    <col min="7941" max="7941" width="2.83203125" customWidth="1"/>
    <col min="7942" max="7942" width="20.83203125" customWidth="1"/>
    <col min="7943" max="7943" width="25" customWidth="1"/>
    <col min="7944" max="7944" width="6.5" customWidth="1"/>
    <col min="7945" max="7945" width="20.83203125" customWidth="1"/>
    <col min="7946" max="7946" width="15.6640625" customWidth="1"/>
    <col min="7947" max="7947" width="16.1640625" customWidth="1"/>
    <col min="7948" max="7948" width="17.83203125" customWidth="1"/>
    <col min="7949" max="7949" width="15" bestFit="1" customWidth="1"/>
    <col min="7951" max="7951" width="15" bestFit="1" customWidth="1"/>
    <col min="8193" max="8193" width="51.33203125" customWidth="1"/>
    <col min="8194" max="8194" width="25.1640625" customWidth="1"/>
    <col min="8195" max="8195" width="5.5" customWidth="1"/>
    <col min="8196" max="8196" width="20.83203125" customWidth="1"/>
    <col min="8197" max="8197" width="2.83203125" customWidth="1"/>
    <col min="8198" max="8198" width="20.83203125" customWidth="1"/>
    <col min="8199" max="8199" width="25" customWidth="1"/>
    <col min="8200" max="8200" width="6.5" customWidth="1"/>
    <col min="8201" max="8201" width="20.83203125" customWidth="1"/>
    <col min="8202" max="8202" width="15.6640625" customWidth="1"/>
    <col min="8203" max="8203" width="16.1640625" customWidth="1"/>
    <col min="8204" max="8204" width="17.83203125" customWidth="1"/>
    <col min="8205" max="8205" width="15" bestFit="1" customWidth="1"/>
    <col min="8207" max="8207" width="15" bestFit="1" customWidth="1"/>
    <col min="8449" max="8449" width="51.33203125" customWidth="1"/>
    <col min="8450" max="8450" width="25.1640625" customWidth="1"/>
    <col min="8451" max="8451" width="5.5" customWidth="1"/>
    <col min="8452" max="8452" width="20.83203125" customWidth="1"/>
    <col min="8453" max="8453" width="2.83203125" customWidth="1"/>
    <col min="8454" max="8454" width="20.83203125" customWidth="1"/>
    <col min="8455" max="8455" width="25" customWidth="1"/>
    <col min="8456" max="8456" width="6.5" customWidth="1"/>
    <col min="8457" max="8457" width="20.83203125" customWidth="1"/>
    <col min="8458" max="8458" width="15.6640625" customWidth="1"/>
    <col min="8459" max="8459" width="16.1640625" customWidth="1"/>
    <col min="8460" max="8460" width="17.83203125" customWidth="1"/>
    <col min="8461" max="8461" width="15" bestFit="1" customWidth="1"/>
    <col min="8463" max="8463" width="15" bestFit="1" customWidth="1"/>
    <col min="8705" max="8705" width="51.33203125" customWidth="1"/>
    <col min="8706" max="8706" width="25.1640625" customWidth="1"/>
    <col min="8707" max="8707" width="5.5" customWidth="1"/>
    <col min="8708" max="8708" width="20.83203125" customWidth="1"/>
    <col min="8709" max="8709" width="2.83203125" customWidth="1"/>
    <col min="8710" max="8710" width="20.83203125" customWidth="1"/>
    <col min="8711" max="8711" width="25" customWidth="1"/>
    <col min="8712" max="8712" width="6.5" customWidth="1"/>
    <col min="8713" max="8713" width="20.83203125" customWidth="1"/>
    <col min="8714" max="8714" width="15.6640625" customWidth="1"/>
    <col min="8715" max="8715" width="16.1640625" customWidth="1"/>
    <col min="8716" max="8716" width="17.83203125" customWidth="1"/>
    <col min="8717" max="8717" width="15" bestFit="1" customWidth="1"/>
    <col min="8719" max="8719" width="15" bestFit="1" customWidth="1"/>
    <col min="8961" max="8961" width="51.33203125" customWidth="1"/>
    <col min="8962" max="8962" width="25.1640625" customWidth="1"/>
    <col min="8963" max="8963" width="5.5" customWidth="1"/>
    <col min="8964" max="8964" width="20.83203125" customWidth="1"/>
    <col min="8965" max="8965" width="2.83203125" customWidth="1"/>
    <col min="8966" max="8966" width="20.83203125" customWidth="1"/>
    <col min="8967" max="8967" width="25" customWidth="1"/>
    <col min="8968" max="8968" width="6.5" customWidth="1"/>
    <col min="8969" max="8969" width="20.83203125" customWidth="1"/>
    <col min="8970" max="8970" width="15.6640625" customWidth="1"/>
    <col min="8971" max="8971" width="16.1640625" customWidth="1"/>
    <col min="8972" max="8972" width="17.83203125" customWidth="1"/>
    <col min="8973" max="8973" width="15" bestFit="1" customWidth="1"/>
    <col min="8975" max="8975" width="15" bestFit="1" customWidth="1"/>
    <col min="9217" max="9217" width="51.33203125" customWidth="1"/>
    <col min="9218" max="9218" width="25.1640625" customWidth="1"/>
    <col min="9219" max="9219" width="5.5" customWidth="1"/>
    <col min="9220" max="9220" width="20.83203125" customWidth="1"/>
    <col min="9221" max="9221" width="2.83203125" customWidth="1"/>
    <col min="9222" max="9222" width="20.83203125" customWidth="1"/>
    <col min="9223" max="9223" width="25" customWidth="1"/>
    <col min="9224" max="9224" width="6.5" customWidth="1"/>
    <col min="9225" max="9225" width="20.83203125" customWidth="1"/>
    <col min="9226" max="9226" width="15.6640625" customWidth="1"/>
    <col min="9227" max="9227" width="16.1640625" customWidth="1"/>
    <col min="9228" max="9228" width="17.83203125" customWidth="1"/>
    <col min="9229" max="9229" width="15" bestFit="1" customWidth="1"/>
    <col min="9231" max="9231" width="15" bestFit="1" customWidth="1"/>
    <col min="9473" max="9473" width="51.33203125" customWidth="1"/>
    <col min="9474" max="9474" width="25.1640625" customWidth="1"/>
    <col min="9475" max="9475" width="5.5" customWidth="1"/>
    <col min="9476" max="9476" width="20.83203125" customWidth="1"/>
    <col min="9477" max="9477" width="2.83203125" customWidth="1"/>
    <col min="9478" max="9478" width="20.83203125" customWidth="1"/>
    <col min="9479" max="9479" width="25" customWidth="1"/>
    <col min="9480" max="9480" width="6.5" customWidth="1"/>
    <col min="9481" max="9481" width="20.83203125" customWidth="1"/>
    <col min="9482" max="9482" width="15.6640625" customWidth="1"/>
    <col min="9483" max="9483" width="16.1640625" customWidth="1"/>
    <col min="9484" max="9484" width="17.83203125" customWidth="1"/>
    <col min="9485" max="9485" width="15" bestFit="1" customWidth="1"/>
    <col min="9487" max="9487" width="15" bestFit="1" customWidth="1"/>
    <col min="9729" max="9729" width="51.33203125" customWidth="1"/>
    <col min="9730" max="9730" width="25.1640625" customWidth="1"/>
    <col min="9731" max="9731" width="5.5" customWidth="1"/>
    <col min="9732" max="9732" width="20.83203125" customWidth="1"/>
    <col min="9733" max="9733" width="2.83203125" customWidth="1"/>
    <col min="9734" max="9734" width="20.83203125" customWidth="1"/>
    <col min="9735" max="9735" width="25" customWidth="1"/>
    <col min="9736" max="9736" width="6.5" customWidth="1"/>
    <col min="9737" max="9737" width="20.83203125" customWidth="1"/>
    <col min="9738" max="9738" width="15.6640625" customWidth="1"/>
    <col min="9739" max="9739" width="16.1640625" customWidth="1"/>
    <col min="9740" max="9740" width="17.83203125" customWidth="1"/>
    <col min="9741" max="9741" width="15" bestFit="1" customWidth="1"/>
    <col min="9743" max="9743" width="15" bestFit="1" customWidth="1"/>
    <col min="9985" max="9985" width="51.33203125" customWidth="1"/>
    <col min="9986" max="9986" width="25.1640625" customWidth="1"/>
    <col min="9987" max="9987" width="5.5" customWidth="1"/>
    <col min="9988" max="9988" width="20.83203125" customWidth="1"/>
    <col min="9989" max="9989" width="2.83203125" customWidth="1"/>
    <col min="9990" max="9990" width="20.83203125" customWidth="1"/>
    <col min="9991" max="9991" width="25" customWidth="1"/>
    <col min="9992" max="9992" width="6.5" customWidth="1"/>
    <col min="9993" max="9993" width="20.83203125" customWidth="1"/>
    <col min="9994" max="9994" width="15.6640625" customWidth="1"/>
    <col min="9995" max="9995" width="16.1640625" customWidth="1"/>
    <col min="9996" max="9996" width="17.83203125" customWidth="1"/>
    <col min="9997" max="9997" width="15" bestFit="1" customWidth="1"/>
    <col min="9999" max="9999" width="15" bestFit="1" customWidth="1"/>
    <col min="10241" max="10241" width="51.33203125" customWidth="1"/>
    <col min="10242" max="10242" width="25.1640625" customWidth="1"/>
    <col min="10243" max="10243" width="5.5" customWidth="1"/>
    <col min="10244" max="10244" width="20.83203125" customWidth="1"/>
    <col min="10245" max="10245" width="2.83203125" customWidth="1"/>
    <col min="10246" max="10246" width="20.83203125" customWidth="1"/>
    <col min="10247" max="10247" width="25" customWidth="1"/>
    <col min="10248" max="10248" width="6.5" customWidth="1"/>
    <col min="10249" max="10249" width="20.83203125" customWidth="1"/>
    <col min="10250" max="10250" width="15.6640625" customWidth="1"/>
    <col min="10251" max="10251" width="16.1640625" customWidth="1"/>
    <col min="10252" max="10252" width="17.83203125" customWidth="1"/>
    <col min="10253" max="10253" width="15" bestFit="1" customWidth="1"/>
    <col min="10255" max="10255" width="15" bestFit="1" customWidth="1"/>
    <col min="10497" max="10497" width="51.33203125" customWidth="1"/>
    <col min="10498" max="10498" width="25.1640625" customWidth="1"/>
    <col min="10499" max="10499" width="5.5" customWidth="1"/>
    <col min="10500" max="10500" width="20.83203125" customWidth="1"/>
    <col min="10501" max="10501" width="2.83203125" customWidth="1"/>
    <col min="10502" max="10502" width="20.83203125" customWidth="1"/>
    <col min="10503" max="10503" width="25" customWidth="1"/>
    <col min="10504" max="10504" width="6.5" customWidth="1"/>
    <col min="10505" max="10505" width="20.83203125" customWidth="1"/>
    <col min="10506" max="10506" width="15.6640625" customWidth="1"/>
    <col min="10507" max="10507" width="16.1640625" customWidth="1"/>
    <col min="10508" max="10508" width="17.83203125" customWidth="1"/>
    <col min="10509" max="10509" width="15" bestFit="1" customWidth="1"/>
    <col min="10511" max="10511" width="15" bestFit="1" customWidth="1"/>
    <col min="10753" max="10753" width="51.33203125" customWidth="1"/>
    <col min="10754" max="10754" width="25.1640625" customWidth="1"/>
    <col min="10755" max="10755" width="5.5" customWidth="1"/>
    <col min="10756" max="10756" width="20.83203125" customWidth="1"/>
    <col min="10757" max="10757" width="2.83203125" customWidth="1"/>
    <col min="10758" max="10758" width="20.83203125" customWidth="1"/>
    <col min="10759" max="10759" width="25" customWidth="1"/>
    <col min="10760" max="10760" width="6.5" customWidth="1"/>
    <col min="10761" max="10761" width="20.83203125" customWidth="1"/>
    <col min="10762" max="10762" width="15.6640625" customWidth="1"/>
    <col min="10763" max="10763" width="16.1640625" customWidth="1"/>
    <col min="10764" max="10764" width="17.83203125" customWidth="1"/>
    <col min="10765" max="10765" width="15" bestFit="1" customWidth="1"/>
    <col min="10767" max="10767" width="15" bestFit="1" customWidth="1"/>
    <col min="11009" max="11009" width="51.33203125" customWidth="1"/>
    <col min="11010" max="11010" width="25.1640625" customWidth="1"/>
    <col min="11011" max="11011" width="5.5" customWidth="1"/>
    <col min="11012" max="11012" width="20.83203125" customWidth="1"/>
    <col min="11013" max="11013" width="2.83203125" customWidth="1"/>
    <col min="11014" max="11014" width="20.83203125" customWidth="1"/>
    <col min="11015" max="11015" width="25" customWidth="1"/>
    <col min="11016" max="11016" width="6.5" customWidth="1"/>
    <col min="11017" max="11017" width="20.83203125" customWidth="1"/>
    <col min="11018" max="11018" width="15.6640625" customWidth="1"/>
    <col min="11019" max="11019" width="16.1640625" customWidth="1"/>
    <col min="11020" max="11020" width="17.83203125" customWidth="1"/>
    <col min="11021" max="11021" width="15" bestFit="1" customWidth="1"/>
    <col min="11023" max="11023" width="15" bestFit="1" customWidth="1"/>
    <col min="11265" max="11265" width="51.33203125" customWidth="1"/>
    <col min="11266" max="11266" width="25.1640625" customWidth="1"/>
    <col min="11267" max="11267" width="5.5" customWidth="1"/>
    <col min="11268" max="11268" width="20.83203125" customWidth="1"/>
    <col min="11269" max="11269" width="2.83203125" customWidth="1"/>
    <col min="11270" max="11270" width="20.83203125" customWidth="1"/>
    <col min="11271" max="11271" width="25" customWidth="1"/>
    <col min="11272" max="11272" width="6.5" customWidth="1"/>
    <col min="11273" max="11273" width="20.83203125" customWidth="1"/>
    <col min="11274" max="11274" width="15.6640625" customWidth="1"/>
    <col min="11275" max="11275" width="16.1640625" customWidth="1"/>
    <col min="11276" max="11276" width="17.83203125" customWidth="1"/>
    <col min="11277" max="11277" width="15" bestFit="1" customWidth="1"/>
    <col min="11279" max="11279" width="15" bestFit="1" customWidth="1"/>
    <col min="11521" max="11521" width="51.33203125" customWidth="1"/>
    <col min="11522" max="11522" width="25.1640625" customWidth="1"/>
    <col min="11523" max="11523" width="5.5" customWidth="1"/>
    <col min="11524" max="11524" width="20.83203125" customWidth="1"/>
    <col min="11525" max="11525" width="2.83203125" customWidth="1"/>
    <col min="11526" max="11526" width="20.83203125" customWidth="1"/>
    <col min="11527" max="11527" width="25" customWidth="1"/>
    <col min="11528" max="11528" width="6.5" customWidth="1"/>
    <col min="11529" max="11529" width="20.83203125" customWidth="1"/>
    <col min="11530" max="11530" width="15.6640625" customWidth="1"/>
    <col min="11531" max="11531" width="16.1640625" customWidth="1"/>
    <col min="11532" max="11532" width="17.83203125" customWidth="1"/>
    <col min="11533" max="11533" width="15" bestFit="1" customWidth="1"/>
    <col min="11535" max="11535" width="15" bestFit="1" customWidth="1"/>
    <col min="11777" max="11777" width="51.33203125" customWidth="1"/>
    <col min="11778" max="11778" width="25.1640625" customWidth="1"/>
    <col min="11779" max="11779" width="5.5" customWidth="1"/>
    <col min="11780" max="11780" width="20.83203125" customWidth="1"/>
    <col min="11781" max="11781" width="2.83203125" customWidth="1"/>
    <col min="11782" max="11782" width="20.83203125" customWidth="1"/>
    <col min="11783" max="11783" width="25" customWidth="1"/>
    <col min="11784" max="11784" width="6.5" customWidth="1"/>
    <col min="11785" max="11785" width="20.83203125" customWidth="1"/>
    <col min="11786" max="11786" width="15.6640625" customWidth="1"/>
    <col min="11787" max="11787" width="16.1640625" customWidth="1"/>
    <col min="11788" max="11788" width="17.83203125" customWidth="1"/>
    <col min="11789" max="11789" width="15" bestFit="1" customWidth="1"/>
    <col min="11791" max="11791" width="15" bestFit="1" customWidth="1"/>
    <col min="12033" max="12033" width="51.33203125" customWidth="1"/>
    <col min="12034" max="12034" width="25.1640625" customWidth="1"/>
    <col min="12035" max="12035" width="5.5" customWidth="1"/>
    <col min="12036" max="12036" width="20.83203125" customWidth="1"/>
    <col min="12037" max="12037" width="2.83203125" customWidth="1"/>
    <col min="12038" max="12038" width="20.83203125" customWidth="1"/>
    <col min="12039" max="12039" width="25" customWidth="1"/>
    <col min="12040" max="12040" width="6.5" customWidth="1"/>
    <col min="12041" max="12041" width="20.83203125" customWidth="1"/>
    <col min="12042" max="12042" width="15.6640625" customWidth="1"/>
    <col min="12043" max="12043" width="16.1640625" customWidth="1"/>
    <col min="12044" max="12044" width="17.83203125" customWidth="1"/>
    <col min="12045" max="12045" width="15" bestFit="1" customWidth="1"/>
    <col min="12047" max="12047" width="15" bestFit="1" customWidth="1"/>
    <col min="12289" max="12289" width="51.33203125" customWidth="1"/>
    <col min="12290" max="12290" width="25.1640625" customWidth="1"/>
    <col min="12291" max="12291" width="5.5" customWidth="1"/>
    <col min="12292" max="12292" width="20.83203125" customWidth="1"/>
    <col min="12293" max="12293" width="2.83203125" customWidth="1"/>
    <col min="12294" max="12294" width="20.83203125" customWidth="1"/>
    <col min="12295" max="12295" width="25" customWidth="1"/>
    <col min="12296" max="12296" width="6.5" customWidth="1"/>
    <col min="12297" max="12297" width="20.83203125" customWidth="1"/>
    <col min="12298" max="12298" width="15.6640625" customWidth="1"/>
    <col min="12299" max="12299" width="16.1640625" customWidth="1"/>
    <col min="12300" max="12300" width="17.83203125" customWidth="1"/>
    <col min="12301" max="12301" width="15" bestFit="1" customWidth="1"/>
    <col min="12303" max="12303" width="15" bestFit="1" customWidth="1"/>
    <col min="12545" max="12545" width="51.33203125" customWidth="1"/>
    <col min="12546" max="12546" width="25.1640625" customWidth="1"/>
    <col min="12547" max="12547" width="5.5" customWidth="1"/>
    <col min="12548" max="12548" width="20.83203125" customWidth="1"/>
    <col min="12549" max="12549" width="2.83203125" customWidth="1"/>
    <col min="12550" max="12550" width="20.83203125" customWidth="1"/>
    <col min="12551" max="12551" width="25" customWidth="1"/>
    <col min="12552" max="12552" width="6.5" customWidth="1"/>
    <col min="12553" max="12553" width="20.83203125" customWidth="1"/>
    <col min="12554" max="12554" width="15.6640625" customWidth="1"/>
    <col min="12555" max="12555" width="16.1640625" customWidth="1"/>
    <col min="12556" max="12556" width="17.83203125" customWidth="1"/>
    <col min="12557" max="12557" width="15" bestFit="1" customWidth="1"/>
    <col min="12559" max="12559" width="15" bestFit="1" customWidth="1"/>
    <col min="12801" max="12801" width="51.33203125" customWidth="1"/>
    <col min="12802" max="12802" width="25.1640625" customWidth="1"/>
    <col min="12803" max="12803" width="5.5" customWidth="1"/>
    <col min="12804" max="12804" width="20.83203125" customWidth="1"/>
    <col min="12805" max="12805" width="2.83203125" customWidth="1"/>
    <col min="12806" max="12806" width="20.83203125" customWidth="1"/>
    <col min="12807" max="12807" width="25" customWidth="1"/>
    <col min="12808" max="12808" width="6.5" customWidth="1"/>
    <col min="12809" max="12809" width="20.83203125" customWidth="1"/>
    <col min="12810" max="12810" width="15.6640625" customWidth="1"/>
    <col min="12811" max="12811" width="16.1640625" customWidth="1"/>
    <col min="12812" max="12812" width="17.83203125" customWidth="1"/>
    <col min="12813" max="12813" width="15" bestFit="1" customWidth="1"/>
    <col min="12815" max="12815" width="15" bestFit="1" customWidth="1"/>
    <col min="13057" max="13057" width="51.33203125" customWidth="1"/>
    <col min="13058" max="13058" width="25.1640625" customWidth="1"/>
    <col min="13059" max="13059" width="5.5" customWidth="1"/>
    <col min="13060" max="13060" width="20.83203125" customWidth="1"/>
    <col min="13061" max="13061" width="2.83203125" customWidth="1"/>
    <col min="13062" max="13062" width="20.83203125" customWidth="1"/>
    <col min="13063" max="13063" width="25" customWidth="1"/>
    <col min="13064" max="13064" width="6.5" customWidth="1"/>
    <col min="13065" max="13065" width="20.83203125" customWidth="1"/>
    <col min="13066" max="13066" width="15.6640625" customWidth="1"/>
    <col min="13067" max="13067" width="16.1640625" customWidth="1"/>
    <col min="13068" max="13068" width="17.83203125" customWidth="1"/>
    <col min="13069" max="13069" width="15" bestFit="1" customWidth="1"/>
    <col min="13071" max="13071" width="15" bestFit="1" customWidth="1"/>
    <col min="13313" max="13313" width="51.33203125" customWidth="1"/>
    <col min="13314" max="13314" width="25.1640625" customWidth="1"/>
    <col min="13315" max="13315" width="5.5" customWidth="1"/>
    <col min="13316" max="13316" width="20.83203125" customWidth="1"/>
    <col min="13317" max="13317" width="2.83203125" customWidth="1"/>
    <col min="13318" max="13318" width="20.83203125" customWidth="1"/>
    <col min="13319" max="13319" width="25" customWidth="1"/>
    <col min="13320" max="13320" width="6.5" customWidth="1"/>
    <col min="13321" max="13321" width="20.83203125" customWidth="1"/>
    <col min="13322" max="13322" width="15.6640625" customWidth="1"/>
    <col min="13323" max="13323" width="16.1640625" customWidth="1"/>
    <col min="13324" max="13324" width="17.83203125" customWidth="1"/>
    <col min="13325" max="13325" width="15" bestFit="1" customWidth="1"/>
    <col min="13327" max="13327" width="15" bestFit="1" customWidth="1"/>
    <col min="13569" max="13569" width="51.33203125" customWidth="1"/>
    <col min="13570" max="13570" width="25.1640625" customWidth="1"/>
    <col min="13571" max="13571" width="5.5" customWidth="1"/>
    <col min="13572" max="13572" width="20.83203125" customWidth="1"/>
    <col min="13573" max="13573" width="2.83203125" customWidth="1"/>
    <col min="13574" max="13574" width="20.83203125" customWidth="1"/>
    <col min="13575" max="13575" width="25" customWidth="1"/>
    <col min="13576" max="13576" width="6.5" customWidth="1"/>
    <col min="13577" max="13577" width="20.83203125" customWidth="1"/>
    <col min="13578" max="13578" width="15.6640625" customWidth="1"/>
    <col min="13579" max="13579" width="16.1640625" customWidth="1"/>
    <col min="13580" max="13580" width="17.83203125" customWidth="1"/>
    <col min="13581" max="13581" width="15" bestFit="1" customWidth="1"/>
    <col min="13583" max="13583" width="15" bestFit="1" customWidth="1"/>
    <col min="13825" max="13825" width="51.33203125" customWidth="1"/>
    <col min="13826" max="13826" width="25.1640625" customWidth="1"/>
    <col min="13827" max="13827" width="5.5" customWidth="1"/>
    <col min="13828" max="13828" width="20.83203125" customWidth="1"/>
    <col min="13829" max="13829" width="2.83203125" customWidth="1"/>
    <col min="13830" max="13830" width="20.83203125" customWidth="1"/>
    <col min="13831" max="13831" width="25" customWidth="1"/>
    <col min="13832" max="13832" width="6.5" customWidth="1"/>
    <col min="13833" max="13833" width="20.83203125" customWidth="1"/>
    <col min="13834" max="13834" width="15.6640625" customWidth="1"/>
    <col min="13835" max="13835" width="16.1640625" customWidth="1"/>
    <col min="13836" max="13836" width="17.83203125" customWidth="1"/>
    <col min="13837" max="13837" width="15" bestFit="1" customWidth="1"/>
    <col min="13839" max="13839" width="15" bestFit="1" customWidth="1"/>
    <col min="14081" max="14081" width="51.33203125" customWidth="1"/>
    <col min="14082" max="14082" width="25.1640625" customWidth="1"/>
    <col min="14083" max="14083" width="5.5" customWidth="1"/>
    <col min="14084" max="14084" width="20.83203125" customWidth="1"/>
    <col min="14085" max="14085" width="2.83203125" customWidth="1"/>
    <col min="14086" max="14086" width="20.83203125" customWidth="1"/>
    <col min="14087" max="14087" width="25" customWidth="1"/>
    <col min="14088" max="14088" width="6.5" customWidth="1"/>
    <col min="14089" max="14089" width="20.83203125" customWidth="1"/>
    <col min="14090" max="14090" width="15.6640625" customWidth="1"/>
    <col min="14091" max="14091" width="16.1640625" customWidth="1"/>
    <col min="14092" max="14092" width="17.83203125" customWidth="1"/>
    <col min="14093" max="14093" width="15" bestFit="1" customWidth="1"/>
    <col min="14095" max="14095" width="15" bestFit="1" customWidth="1"/>
    <col min="14337" max="14337" width="51.33203125" customWidth="1"/>
    <col min="14338" max="14338" width="25.1640625" customWidth="1"/>
    <col min="14339" max="14339" width="5.5" customWidth="1"/>
    <col min="14340" max="14340" width="20.83203125" customWidth="1"/>
    <col min="14341" max="14341" width="2.83203125" customWidth="1"/>
    <col min="14342" max="14342" width="20.83203125" customWidth="1"/>
    <col min="14343" max="14343" width="25" customWidth="1"/>
    <col min="14344" max="14344" width="6.5" customWidth="1"/>
    <col min="14345" max="14345" width="20.83203125" customWidth="1"/>
    <col min="14346" max="14346" width="15.6640625" customWidth="1"/>
    <col min="14347" max="14347" width="16.1640625" customWidth="1"/>
    <col min="14348" max="14348" width="17.83203125" customWidth="1"/>
    <col min="14349" max="14349" width="15" bestFit="1" customWidth="1"/>
    <col min="14351" max="14351" width="15" bestFit="1" customWidth="1"/>
    <col min="14593" max="14593" width="51.33203125" customWidth="1"/>
    <col min="14594" max="14594" width="25.1640625" customWidth="1"/>
    <col min="14595" max="14595" width="5.5" customWidth="1"/>
    <col min="14596" max="14596" width="20.83203125" customWidth="1"/>
    <col min="14597" max="14597" width="2.83203125" customWidth="1"/>
    <col min="14598" max="14598" width="20.83203125" customWidth="1"/>
    <col min="14599" max="14599" width="25" customWidth="1"/>
    <col min="14600" max="14600" width="6.5" customWidth="1"/>
    <col min="14601" max="14601" width="20.83203125" customWidth="1"/>
    <col min="14602" max="14602" width="15.6640625" customWidth="1"/>
    <col min="14603" max="14603" width="16.1640625" customWidth="1"/>
    <col min="14604" max="14604" width="17.83203125" customWidth="1"/>
    <col min="14605" max="14605" width="15" bestFit="1" customWidth="1"/>
    <col min="14607" max="14607" width="15" bestFit="1" customWidth="1"/>
    <col min="14849" max="14849" width="51.33203125" customWidth="1"/>
    <col min="14850" max="14850" width="25.1640625" customWidth="1"/>
    <col min="14851" max="14851" width="5.5" customWidth="1"/>
    <col min="14852" max="14852" width="20.83203125" customWidth="1"/>
    <col min="14853" max="14853" width="2.83203125" customWidth="1"/>
    <col min="14854" max="14854" width="20.83203125" customWidth="1"/>
    <col min="14855" max="14855" width="25" customWidth="1"/>
    <col min="14856" max="14856" width="6.5" customWidth="1"/>
    <col min="14857" max="14857" width="20.83203125" customWidth="1"/>
    <col min="14858" max="14858" width="15.6640625" customWidth="1"/>
    <col min="14859" max="14859" width="16.1640625" customWidth="1"/>
    <col min="14860" max="14860" width="17.83203125" customWidth="1"/>
    <col min="14861" max="14861" width="15" bestFit="1" customWidth="1"/>
    <col min="14863" max="14863" width="15" bestFit="1" customWidth="1"/>
    <col min="15105" max="15105" width="51.33203125" customWidth="1"/>
    <col min="15106" max="15106" width="25.1640625" customWidth="1"/>
    <col min="15107" max="15107" width="5.5" customWidth="1"/>
    <col min="15108" max="15108" width="20.83203125" customWidth="1"/>
    <col min="15109" max="15109" width="2.83203125" customWidth="1"/>
    <col min="15110" max="15110" width="20.83203125" customWidth="1"/>
    <col min="15111" max="15111" width="25" customWidth="1"/>
    <col min="15112" max="15112" width="6.5" customWidth="1"/>
    <col min="15113" max="15113" width="20.83203125" customWidth="1"/>
    <col min="15114" max="15114" width="15.6640625" customWidth="1"/>
    <col min="15115" max="15115" width="16.1640625" customWidth="1"/>
    <col min="15116" max="15116" width="17.83203125" customWidth="1"/>
    <col min="15117" max="15117" width="15" bestFit="1" customWidth="1"/>
    <col min="15119" max="15119" width="15" bestFit="1" customWidth="1"/>
    <col min="15361" max="15361" width="51.33203125" customWidth="1"/>
    <col min="15362" max="15362" width="25.1640625" customWidth="1"/>
    <col min="15363" max="15363" width="5.5" customWidth="1"/>
    <col min="15364" max="15364" width="20.83203125" customWidth="1"/>
    <col min="15365" max="15365" width="2.83203125" customWidth="1"/>
    <col min="15366" max="15366" width="20.83203125" customWidth="1"/>
    <col min="15367" max="15367" width="25" customWidth="1"/>
    <col min="15368" max="15368" width="6.5" customWidth="1"/>
    <col min="15369" max="15369" width="20.83203125" customWidth="1"/>
    <col min="15370" max="15370" width="15.6640625" customWidth="1"/>
    <col min="15371" max="15371" width="16.1640625" customWidth="1"/>
    <col min="15372" max="15372" width="17.83203125" customWidth="1"/>
    <col min="15373" max="15373" width="15" bestFit="1" customWidth="1"/>
    <col min="15375" max="15375" width="15" bestFit="1" customWidth="1"/>
    <col min="15617" max="15617" width="51.33203125" customWidth="1"/>
    <col min="15618" max="15618" width="25.1640625" customWidth="1"/>
    <col min="15619" max="15619" width="5.5" customWidth="1"/>
    <col min="15620" max="15620" width="20.83203125" customWidth="1"/>
    <col min="15621" max="15621" width="2.83203125" customWidth="1"/>
    <col min="15622" max="15622" width="20.83203125" customWidth="1"/>
    <col min="15623" max="15623" width="25" customWidth="1"/>
    <col min="15624" max="15624" width="6.5" customWidth="1"/>
    <col min="15625" max="15625" width="20.83203125" customWidth="1"/>
    <col min="15626" max="15626" width="15.6640625" customWidth="1"/>
    <col min="15627" max="15627" width="16.1640625" customWidth="1"/>
    <col min="15628" max="15628" width="17.83203125" customWidth="1"/>
    <col min="15629" max="15629" width="15" bestFit="1" customWidth="1"/>
    <col min="15631" max="15631" width="15" bestFit="1" customWidth="1"/>
    <col min="15873" max="15873" width="51.33203125" customWidth="1"/>
    <col min="15874" max="15874" width="25.1640625" customWidth="1"/>
    <col min="15875" max="15875" width="5.5" customWidth="1"/>
    <col min="15876" max="15876" width="20.83203125" customWidth="1"/>
    <col min="15877" max="15877" width="2.83203125" customWidth="1"/>
    <col min="15878" max="15878" width="20.83203125" customWidth="1"/>
    <col min="15879" max="15879" width="25" customWidth="1"/>
    <col min="15880" max="15880" width="6.5" customWidth="1"/>
    <col min="15881" max="15881" width="20.83203125" customWidth="1"/>
    <col min="15882" max="15882" width="15.6640625" customWidth="1"/>
    <col min="15883" max="15883" width="16.1640625" customWidth="1"/>
    <col min="15884" max="15884" width="17.83203125" customWidth="1"/>
    <col min="15885" max="15885" width="15" bestFit="1" customWidth="1"/>
    <col min="15887" max="15887" width="15" bestFit="1" customWidth="1"/>
    <col min="16129" max="16129" width="51.33203125" customWidth="1"/>
    <col min="16130" max="16130" width="25.1640625" customWidth="1"/>
    <col min="16131" max="16131" width="5.5" customWidth="1"/>
    <col min="16132" max="16132" width="20.83203125" customWidth="1"/>
    <col min="16133" max="16133" width="2.83203125" customWidth="1"/>
    <col min="16134" max="16134" width="20.83203125" customWidth="1"/>
    <col min="16135" max="16135" width="25" customWidth="1"/>
    <col min="16136" max="16136" width="6.5" customWidth="1"/>
    <col min="16137" max="16137" width="20.83203125" customWidth="1"/>
    <col min="16138" max="16138" width="15.6640625" customWidth="1"/>
    <col min="16139" max="16139" width="16.1640625" customWidth="1"/>
    <col min="16140" max="16140" width="17.83203125" customWidth="1"/>
    <col min="16141" max="16141" width="15" bestFit="1" customWidth="1"/>
    <col min="16143" max="16143" width="15" bestFit="1" customWidth="1"/>
  </cols>
  <sheetData>
    <row r="1" spans="1:10">
      <c r="A1" s="1308" t="s">
        <v>1647</v>
      </c>
      <c r="B1" s="1309" t="s">
        <v>1648</v>
      </c>
      <c r="C1" s="1310"/>
      <c r="D1" s="1311" t="s">
        <v>1649</v>
      </c>
      <c r="E1" s="1310"/>
      <c r="F1" s="1312"/>
      <c r="G1" s="1311" t="s">
        <v>1649</v>
      </c>
      <c r="H1" s="1310"/>
      <c r="I1" s="1312"/>
    </row>
    <row r="2" spans="1:10">
      <c r="A2" s="1313"/>
      <c r="B2" s="1314" t="s">
        <v>1650</v>
      </c>
      <c r="C2" s="218"/>
      <c r="D2" s="1315" t="s">
        <v>1651</v>
      </c>
      <c r="E2" s="218"/>
      <c r="F2" s="1316"/>
      <c r="G2" s="1315" t="s">
        <v>1651</v>
      </c>
      <c r="H2" s="218"/>
      <c r="I2" s="1316"/>
    </row>
    <row r="3" spans="1:10">
      <c r="A3" s="1313"/>
      <c r="B3" s="1317" t="s">
        <v>1652</v>
      </c>
      <c r="C3" s="218"/>
      <c r="D3" s="1318" t="s">
        <v>1653</v>
      </c>
      <c r="E3" s="218"/>
      <c r="F3" s="1319" t="s">
        <v>1654</v>
      </c>
      <c r="G3" s="1317" t="s">
        <v>1655</v>
      </c>
      <c r="H3" s="218"/>
      <c r="I3" s="1319" t="s">
        <v>1654</v>
      </c>
    </row>
    <row r="4" spans="1:10">
      <c r="A4" s="1320"/>
      <c r="B4" s="1321" t="s">
        <v>1112</v>
      </c>
      <c r="C4" s="218"/>
      <c r="D4" s="1322" t="s">
        <v>1113</v>
      </c>
      <c r="E4" s="218"/>
      <c r="F4" s="1323" t="s">
        <v>1656</v>
      </c>
      <c r="G4" s="1322" t="s">
        <v>1657</v>
      </c>
      <c r="H4" s="218"/>
      <c r="I4" s="1323" t="s">
        <v>1658</v>
      </c>
    </row>
    <row r="5" spans="1:10">
      <c r="A5" s="1324" t="s">
        <v>1659</v>
      </c>
      <c r="B5" s="1325"/>
      <c r="C5" s="218"/>
      <c r="D5" s="218"/>
      <c r="E5" s="218"/>
      <c r="F5" s="1326" t="s">
        <v>1660</v>
      </c>
      <c r="G5" s="1327" t="s">
        <v>1661</v>
      </c>
      <c r="H5" s="218"/>
      <c r="I5" s="1326" t="s">
        <v>1662</v>
      </c>
    </row>
    <row r="6" spans="1:10">
      <c r="B6" s="1325"/>
      <c r="C6" s="218"/>
      <c r="D6" s="218"/>
      <c r="E6" s="218"/>
      <c r="F6" s="1329"/>
      <c r="G6" s="218"/>
      <c r="H6" s="218"/>
      <c r="I6" s="1329"/>
    </row>
    <row r="7" spans="1:10">
      <c r="A7" s="1330" t="s">
        <v>1663</v>
      </c>
      <c r="B7" s="1331">
        <f>'3.05 - GL DL Rep-2010'!AY9</f>
        <v>51074166.880000003</v>
      </c>
      <c r="C7" s="1332"/>
      <c r="D7" s="1332">
        <f>'3.05 - FERC Pg 354 &amp; 355'!D80+'3.05 - FERC Pg 354 &amp; 355'!D95+'3.05 - FERC Pg 354 &amp; 355'!D87+'3.05 - FERC Pg 354 &amp; 355'!D109</f>
        <v>51057481.349999994</v>
      </c>
      <c r="E7" s="1332"/>
      <c r="F7" s="1333">
        <f>+B7-D7</f>
        <v>16685.530000008643</v>
      </c>
      <c r="G7" s="1332">
        <f>'3.05 - FERC Pg 354 &amp; 355'!H80+'3.05 - FERC Pg 354 &amp; 355'!H95+'3.05 - FERC Pg 354 &amp; 355'!H87+'3.05 - FERC Pg 354 &amp; 355'!H109</f>
        <v>51057481.350000001</v>
      </c>
      <c r="H7" s="1332"/>
      <c r="I7" s="1333">
        <f>+B7-G7</f>
        <v>16685.530000001192</v>
      </c>
      <c r="J7" s="1334"/>
    </row>
    <row r="8" spans="1:10">
      <c r="A8" s="1335" t="s">
        <v>1664</v>
      </c>
      <c r="B8" s="1331">
        <f>'3.05 - GL DL Rep-2010'!AY10</f>
        <v>5688863.3300000001</v>
      </c>
      <c r="C8" s="1336"/>
      <c r="D8" s="1337">
        <f>'3.05 - FERC Pg 354 &amp; 355'!D85</f>
        <v>5678136.8599999994</v>
      </c>
      <c r="E8" s="1336"/>
      <c r="F8" s="1338">
        <f>+B8-D8</f>
        <v>10726.470000000671</v>
      </c>
      <c r="G8" s="1337">
        <f>'3.05 - FERC Pg 354 &amp; 355'!H85</f>
        <v>5678136.8599999994</v>
      </c>
      <c r="H8" s="1336"/>
      <c r="I8" s="1338">
        <f>+B8-G8</f>
        <v>10726.470000000671</v>
      </c>
    </row>
    <row r="9" spans="1:10">
      <c r="A9" s="1335" t="s">
        <v>18</v>
      </c>
      <c r="B9" s="1339"/>
      <c r="C9" s="1336"/>
      <c r="D9" s="1336"/>
      <c r="E9" s="1336"/>
      <c r="F9" s="1340"/>
      <c r="G9" s="1336"/>
      <c r="H9" s="1336"/>
      <c r="I9" s="1340"/>
    </row>
    <row r="10" spans="1:10">
      <c r="A10" s="1335" t="s">
        <v>1665</v>
      </c>
      <c r="B10" s="1341">
        <f>SUM(B7:B9)</f>
        <v>56763030.210000001</v>
      </c>
      <c r="C10" s="1336"/>
      <c r="D10" s="1336">
        <f>SUM(D7:D9)</f>
        <v>56735618.209999993</v>
      </c>
      <c r="E10" s="1336"/>
      <c r="F10" s="1340">
        <f>+B10-D10</f>
        <v>27412.000000007451</v>
      </c>
      <c r="G10" s="1336">
        <f>SUM(G7:G9)</f>
        <v>56735618.210000001</v>
      </c>
      <c r="H10" s="1336"/>
      <c r="I10" s="1340">
        <f>SUM(I7:I9)</f>
        <v>27412.000000001863</v>
      </c>
    </row>
    <row r="11" spans="1:10">
      <c r="A11" s="1342"/>
      <c r="B11" s="1341"/>
      <c r="C11" s="1336"/>
      <c r="D11" s="1336"/>
      <c r="E11" s="1336"/>
      <c r="F11" s="1340"/>
      <c r="G11" s="1336"/>
      <c r="H11" s="1336"/>
      <c r="I11" s="1340"/>
    </row>
    <row r="12" spans="1:10">
      <c r="A12" s="1335" t="s">
        <v>1666</v>
      </c>
      <c r="B12" s="1331">
        <f>'3.05 - GL DL Rep-2010'!AY14</f>
        <v>3134892.0700000008</v>
      </c>
      <c r="C12" s="1336"/>
      <c r="D12" s="1336">
        <f>'3.05 - FERC Pg 354 &amp; 355'!D88</f>
        <v>3134892.07</v>
      </c>
      <c r="E12" s="1336"/>
      <c r="F12" s="1340">
        <f>+B12-D12</f>
        <v>0</v>
      </c>
      <c r="G12" s="1336">
        <f>'3.05 - FERC Pg 354 &amp; 355'!H88</f>
        <v>3134892.07</v>
      </c>
      <c r="H12" s="1336"/>
      <c r="I12" s="1340">
        <f>+B12-G12</f>
        <v>0</v>
      </c>
    </row>
    <row r="13" spans="1:10">
      <c r="A13" s="1335" t="s">
        <v>1667</v>
      </c>
      <c r="B13" s="1331">
        <f>'3.05 - GL DL Rep-2010'!AY15</f>
        <v>7261895.6199999992</v>
      </c>
      <c r="C13" s="1336"/>
      <c r="D13" s="1336">
        <f>'3.05 - FERC Pg 354 &amp; 355'!D89</f>
        <v>8987537.9299999997</v>
      </c>
      <c r="E13" s="1336"/>
      <c r="F13" s="1340">
        <f>+B13-D13</f>
        <v>-1725642.3100000005</v>
      </c>
      <c r="G13" s="1336">
        <f>'3.05 - FERC Pg 354 &amp; 355'!H89</f>
        <v>8987537.9299999997</v>
      </c>
      <c r="H13" s="1336"/>
      <c r="I13" s="1340">
        <f>+B13-G13</f>
        <v>-1725642.3100000005</v>
      </c>
    </row>
    <row r="14" spans="1:10">
      <c r="A14" s="1335" t="s">
        <v>1668</v>
      </c>
      <c r="B14" s="1331">
        <f>'3.05 - GL DL Rep-2010'!AY16</f>
        <v>1683561.7399999998</v>
      </c>
      <c r="C14" s="1336"/>
      <c r="D14" s="1336">
        <f>'3.05 - FERC Pg 354 &amp; 355'!D93+'3.05 - FERC Pg 354 &amp; 355'!D110</f>
        <v>2030145.3699999999</v>
      </c>
      <c r="E14" s="1336"/>
      <c r="F14" s="1340">
        <f>+B14-D14</f>
        <v>-346583.63000000012</v>
      </c>
      <c r="G14" s="1336">
        <f>'3.05 - FERC Pg 354 &amp; 355'!H93+'3.05 - FERC Pg 354 &amp; 355'!H110</f>
        <v>1683561.7399999972</v>
      </c>
      <c r="H14" s="1336"/>
      <c r="I14" s="1340">
        <f>+B14-G14</f>
        <v>2.5611370801925659E-9</v>
      </c>
    </row>
    <row r="15" spans="1:10">
      <c r="A15" s="1335" t="s">
        <v>1669</v>
      </c>
      <c r="B15" s="1331">
        <f>'3.05 - GL DL Rep-2010'!AY17</f>
        <v>1725642.31</v>
      </c>
      <c r="C15" s="1343"/>
      <c r="D15" s="1343">
        <v>0</v>
      </c>
      <c r="E15" s="1343"/>
      <c r="F15" s="1344">
        <f>+B15-D15</f>
        <v>1725642.31</v>
      </c>
      <c r="G15" s="1343">
        <v>0</v>
      </c>
      <c r="H15" s="1343"/>
      <c r="I15" s="1344">
        <f>+B15-G15</f>
        <v>1725642.31</v>
      </c>
    </row>
    <row r="16" spans="1:10">
      <c r="A16" s="1335" t="s">
        <v>1670</v>
      </c>
      <c r="B16" s="1345">
        <f>'3.05 - GL DL Rep-2010'!AY18</f>
        <v>3052574.67</v>
      </c>
      <c r="C16" s="1336"/>
      <c r="D16" s="1337">
        <f>'3.05 - FERC Pg 354 &amp; 355'!D90+'3.05 - FERC Pg 354 &amp; 355'!D91+'3.05 - FERC Pg 354 &amp; 355'!D94</f>
        <v>3052574.67</v>
      </c>
      <c r="E16" s="1336"/>
      <c r="F16" s="1338">
        <f>+B16-D16</f>
        <v>0</v>
      </c>
      <c r="G16" s="1337">
        <f>'3.05 - FERC Pg 354 &amp; 355'!H90+'3.05 - FERC Pg 354 &amp; 355'!H91+'3.05 - FERC Pg 354 &amp; 355'!H94</f>
        <v>3052574.67</v>
      </c>
      <c r="H16" s="1336"/>
      <c r="I16" s="1338">
        <f>+B16-G16</f>
        <v>0</v>
      </c>
    </row>
    <row r="17" spans="1:9">
      <c r="A17" s="1342"/>
      <c r="B17" s="1341"/>
      <c r="C17" s="1336"/>
      <c r="D17" s="1336"/>
      <c r="E17" s="1336"/>
      <c r="F17" s="1340"/>
      <c r="G17" s="1336"/>
      <c r="H17" s="1336"/>
      <c r="I17" s="1340"/>
    </row>
    <row r="18" spans="1:9">
      <c r="A18" s="1335" t="s">
        <v>1671</v>
      </c>
      <c r="B18" s="1341">
        <f>SUM(B10:B16)</f>
        <v>73621596.620000005</v>
      </c>
      <c r="C18" s="1336"/>
      <c r="D18" s="1336">
        <f>SUM(D10:D16)</f>
        <v>73940768.25</v>
      </c>
      <c r="E18" s="1336"/>
      <c r="F18" s="1340">
        <f>+B18-D18</f>
        <v>-319171.62999999523</v>
      </c>
      <c r="G18" s="1336">
        <f>SUM(G10:G16)</f>
        <v>73594184.620000005</v>
      </c>
      <c r="H18" s="1336"/>
      <c r="I18" s="1340">
        <f>SUM(I10:I16)</f>
        <v>27412.000000003958</v>
      </c>
    </row>
    <row r="19" spans="1:9">
      <c r="A19" s="1342"/>
      <c r="B19" s="1341"/>
      <c r="C19" s="1336"/>
      <c r="D19" s="1336"/>
      <c r="E19" s="1336"/>
      <c r="F19" s="1340"/>
      <c r="G19" s="1336"/>
      <c r="H19" s="1336"/>
      <c r="I19" s="1340"/>
    </row>
    <row r="20" spans="1:9">
      <c r="A20" s="1342"/>
      <c r="B20" s="1341"/>
      <c r="C20" s="1336"/>
      <c r="D20" s="1336"/>
      <c r="E20" s="1336"/>
      <c r="F20" s="1340"/>
      <c r="G20" s="1336"/>
      <c r="H20" s="1336"/>
      <c r="I20" s="1340"/>
    </row>
    <row r="21" spans="1:9">
      <c r="A21" s="1346" t="s">
        <v>1672</v>
      </c>
      <c r="B21" s="1341"/>
      <c r="C21" s="1336"/>
      <c r="D21" s="1336"/>
      <c r="E21" s="1336"/>
      <c r="F21" s="1340"/>
      <c r="G21" s="1336"/>
      <c r="H21" s="1336"/>
      <c r="I21" s="1340"/>
    </row>
    <row r="22" spans="1:9">
      <c r="A22" s="1342"/>
      <c r="B22" s="1341"/>
      <c r="C22" s="1336"/>
      <c r="D22" s="1336"/>
      <c r="E22" s="1336"/>
      <c r="F22" s="1340"/>
      <c r="G22" s="1336"/>
      <c r="H22" s="1336"/>
      <c r="I22" s="1340"/>
    </row>
    <row r="23" spans="1:9">
      <c r="A23" s="1335" t="s">
        <v>1673</v>
      </c>
      <c r="B23" s="1331">
        <f>'3.05 - GL DL Rep-2010'!AY28</f>
        <v>41265365.25</v>
      </c>
      <c r="C23" s="1343"/>
      <c r="D23" s="1343">
        <f>SUM('3.05 - FERC Pg 354 &amp; 355'!D29:D31)</f>
        <v>41292777.25</v>
      </c>
      <c r="E23" s="1343"/>
      <c r="F23" s="1344">
        <f>+B23-D23</f>
        <v>-27412</v>
      </c>
      <c r="G23" s="1343">
        <f>SUM('3.05 - FERC Pg 354 &amp; 355'!H29:H31)</f>
        <v>41292777.25</v>
      </c>
      <c r="H23" s="1343"/>
      <c r="I23" s="1344">
        <f>+B23-G23</f>
        <v>-27412</v>
      </c>
    </row>
    <row r="24" spans="1:9">
      <c r="A24" s="1335" t="s">
        <v>1674</v>
      </c>
      <c r="B24" s="1331">
        <f>'3.05 - GL DL Rep-2010'!AY29</f>
        <v>20594423.030000001</v>
      </c>
      <c r="C24" s="1336"/>
      <c r="D24" s="1336">
        <f>SUM('3.05 - FERC Pg 354 &amp; 355'!D61:D66)</f>
        <v>20594423.030000001</v>
      </c>
      <c r="E24" s="1336"/>
      <c r="F24" s="1340">
        <f>+B24-D24</f>
        <v>0</v>
      </c>
      <c r="G24" s="1336">
        <f>SUM('3.05 - FERC Pg 354 &amp; 355'!H61:H66)</f>
        <v>20594423.030000001</v>
      </c>
      <c r="H24" s="1336"/>
      <c r="I24" s="1340">
        <f>+B24-G24</f>
        <v>0</v>
      </c>
    </row>
    <row r="25" spans="1:9">
      <c r="A25" s="1347" t="s">
        <v>1675</v>
      </c>
      <c r="B25" s="1345">
        <f>'3.05 - GL DL Rep-2010'!AY30</f>
        <v>52778695.810000002</v>
      </c>
      <c r="C25" s="1336"/>
      <c r="D25" s="1337">
        <f>SUM('3.05 - FERC Pg 354 &amp; 355'!D32:D35)+SUM('3.05 - FERC Pg 354 &amp; 355'!D67:D70)+'3.05 - FERC Pg 354 &amp; 355'!D106</f>
        <v>52432112.18</v>
      </c>
      <c r="E25" s="1336"/>
      <c r="F25" s="1338">
        <f>+B25-D25</f>
        <v>346583.63000000268</v>
      </c>
      <c r="G25" s="1337">
        <f>SUM('3.05 - FERC Pg 354 &amp; 355'!H32:H35)+SUM('3.05 - FERC Pg 354 &amp; 355'!H67:H70)+'3.05 - FERC Pg 354 &amp; 355'!H106</f>
        <v>52778695.810000002</v>
      </c>
      <c r="H25" s="1336"/>
      <c r="I25" s="1338">
        <f>+B25-G25</f>
        <v>0</v>
      </c>
    </row>
    <row r="26" spans="1:9">
      <c r="A26" s="1342"/>
      <c r="B26" s="1341"/>
      <c r="C26" s="1336"/>
      <c r="D26" s="1336"/>
      <c r="E26" s="1336"/>
      <c r="F26" s="1340"/>
      <c r="G26" s="1336"/>
      <c r="H26" s="1336"/>
      <c r="I26" s="1340"/>
    </row>
    <row r="27" spans="1:9">
      <c r="A27" s="1335" t="s">
        <v>1676</v>
      </c>
      <c r="B27" s="1348">
        <f>SUM(B23:B26)</f>
        <v>114638484.09</v>
      </c>
      <c r="C27" s="1336"/>
      <c r="D27" s="1337">
        <f>SUM(D23:D26)</f>
        <v>114319312.46000001</v>
      </c>
      <c r="E27" s="1336"/>
      <c r="F27" s="1338">
        <f>+B27-D27</f>
        <v>319171.62999999523</v>
      </c>
      <c r="G27" s="1337">
        <f>SUM(G23:G26)</f>
        <v>114665896.09</v>
      </c>
      <c r="H27" s="1336"/>
      <c r="I27" s="1338">
        <f>SUM(I23:I26)</f>
        <v>-27412</v>
      </c>
    </row>
    <row r="28" spans="1:9">
      <c r="A28" s="1342"/>
      <c r="B28" s="1339"/>
      <c r="C28" s="1336"/>
      <c r="D28" s="1349"/>
      <c r="E28" s="1336"/>
      <c r="F28" s="1350"/>
      <c r="G28" s="1349"/>
      <c r="H28" s="1336"/>
      <c r="I28" s="1350"/>
    </row>
    <row r="29" spans="1:9">
      <c r="A29" s="1335" t="s">
        <v>1677</v>
      </c>
      <c r="B29" s="1345">
        <f>'3.05 - GL DL Rep-2010'!AY34</f>
        <v>1083227.8799999999</v>
      </c>
      <c r="C29" s="1336"/>
      <c r="D29" s="1337">
        <f>'3.05 - FERC Pg 354 &amp; 355'!D92</f>
        <v>1083227.8799999999</v>
      </c>
      <c r="E29" s="1336"/>
      <c r="F29" s="1338">
        <f>+B29-D29</f>
        <v>0</v>
      </c>
      <c r="G29" s="1337">
        <f>'3.05 - FERC Pg 354 &amp; 355'!H92</f>
        <v>1083227.8799999999</v>
      </c>
      <c r="H29" s="1336"/>
      <c r="I29" s="1338">
        <f>+B29-G29</f>
        <v>0</v>
      </c>
    </row>
    <row r="30" spans="1:9">
      <c r="A30" s="1342"/>
      <c r="B30" s="1341"/>
      <c r="C30" s="1336"/>
      <c r="D30" s="1336"/>
      <c r="E30" s="1336"/>
      <c r="F30" s="1340"/>
      <c r="G30" s="1336"/>
      <c r="H30" s="1336"/>
      <c r="I30" s="1340"/>
    </row>
    <row r="31" spans="1:9">
      <c r="A31" s="1335" t="s">
        <v>1678</v>
      </c>
      <c r="B31" s="1351">
        <f>+B18+B27+B29</f>
        <v>189343308.59</v>
      </c>
      <c r="C31" s="1343"/>
      <c r="D31" s="1352">
        <f>+D18+D27+D29</f>
        <v>189343308.59</v>
      </c>
      <c r="E31" s="1343"/>
      <c r="F31" s="1353">
        <f>+B31-D31</f>
        <v>0</v>
      </c>
      <c r="G31" s="1352">
        <f>+G18+G27+G29</f>
        <v>189343308.59</v>
      </c>
      <c r="H31" s="1343"/>
      <c r="I31" s="1353">
        <f>+I18+I27+I29</f>
        <v>3.9581209421157837E-9</v>
      </c>
    </row>
    <row r="32" spans="1:9">
      <c r="A32" s="1342"/>
      <c r="B32" s="1341"/>
      <c r="C32" s="1336"/>
      <c r="D32" s="1336"/>
      <c r="E32" s="1336"/>
      <c r="F32" s="1340"/>
      <c r="G32" s="1336"/>
      <c r="H32" s="1336"/>
      <c r="I32" s="1340"/>
    </row>
    <row r="33" spans="1:9">
      <c r="A33" s="1330" t="s">
        <v>1679</v>
      </c>
      <c r="B33" s="1345">
        <f>'3.05 - GL DL Rep-2010'!AY38</f>
        <v>29052601.07</v>
      </c>
      <c r="C33" s="1336"/>
      <c r="D33" s="1337">
        <f>'3.05 - FERC Pg 354 &amp; 355'!D108</f>
        <v>29052601.07</v>
      </c>
      <c r="E33" s="1336"/>
      <c r="F33" s="1338">
        <f>+B33-D33</f>
        <v>0</v>
      </c>
      <c r="G33" s="1337">
        <f>'3.05 - FERC Pg 354 &amp; 355'!H108</f>
        <v>29052601.07</v>
      </c>
      <c r="H33" s="1336"/>
      <c r="I33" s="1338">
        <f>+B33-G33</f>
        <v>0</v>
      </c>
    </row>
    <row r="34" spans="1:9">
      <c r="A34" s="1354"/>
      <c r="B34" s="1341"/>
      <c r="C34" s="1336"/>
      <c r="D34" s="1336"/>
      <c r="E34" s="1336"/>
      <c r="F34" s="1340"/>
      <c r="G34" s="1336"/>
      <c r="H34" s="1336"/>
      <c r="I34" s="1340"/>
    </row>
    <row r="35" spans="1:9">
      <c r="A35" s="1342"/>
      <c r="B35" s="1355"/>
      <c r="C35" s="1336"/>
      <c r="D35" s="1337"/>
      <c r="E35" s="1356"/>
      <c r="F35" s="1338"/>
      <c r="G35" s="1337"/>
      <c r="H35" s="1356"/>
      <c r="I35" s="1338"/>
    </row>
    <row r="36" spans="1:9" ht="13.5" thickBot="1">
      <c r="A36" s="1357" t="s">
        <v>1680</v>
      </c>
      <c r="B36" s="1358">
        <f>+B31+B33</f>
        <v>218395909.66</v>
      </c>
      <c r="C36" s="1332"/>
      <c r="D36" s="1359">
        <f>+D31+D33</f>
        <v>218395909.66</v>
      </c>
      <c r="E36" s="1332"/>
      <c r="F36" s="1360">
        <f>+B36-D36</f>
        <v>0</v>
      </c>
      <c r="G36" s="1359">
        <f>+G31+G33</f>
        <v>218395909.66</v>
      </c>
      <c r="H36" s="1332"/>
      <c r="I36" s="1360">
        <f>+I31+I33</f>
        <v>3.9581209421157837E-9</v>
      </c>
    </row>
    <row r="37" spans="1:9" ht="13.5" thickTop="1">
      <c r="B37" s="1361"/>
      <c r="C37" s="1362"/>
      <c r="D37" s="1362"/>
      <c r="E37" s="1362"/>
      <c r="F37" s="1363"/>
      <c r="G37" s="1362"/>
      <c r="H37" s="1362"/>
      <c r="I37" s="1363"/>
    </row>
    <row r="39" spans="1:9">
      <c r="A39" s="1364" t="s">
        <v>1681</v>
      </c>
    </row>
    <row r="40" spans="1:9">
      <c r="A40" s="1365" t="s">
        <v>1682</v>
      </c>
    </row>
    <row r="41" spans="1:9">
      <c r="A41" s="1366"/>
    </row>
    <row r="42" spans="1:9">
      <c r="A42" s="1364" t="s">
        <v>1683</v>
      </c>
    </row>
    <row r="43" spans="1:9">
      <c r="A43" s="1365" t="s">
        <v>1684</v>
      </c>
    </row>
    <row r="44" spans="1:9">
      <c r="A44" s="1364"/>
    </row>
    <row r="45" spans="1:9">
      <c r="A45" s="1367" t="s">
        <v>1685</v>
      </c>
    </row>
    <row r="46" spans="1:9">
      <c r="A46" s="1368" t="s">
        <v>1686</v>
      </c>
    </row>
    <row r="47" spans="1:9">
      <c r="A47" s="1368" t="s">
        <v>1687</v>
      </c>
    </row>
    <row r="48" spans="1:9">
      <c r="A48" s="1368" t="s">
        <v>1688</v>
      </c>
    </row>
    <row r="50" spans="1:9">
      <c r="B50" s="1362" t="s">
        <v>1689</v>
      </c>
      <c r="D50" s="1362" t="s">
        <v>1690</v>
      </c>
    </row>
    <row r="51" spans="1:9">
      <c r="B51" t="s">
        <v>1691</v>
      </c>
      <c r="D51" t="s">
        <v>1692</v>
      </c>
      <c r="G51" s="1369">
        <v>0</v>
      </c>
    </row>
    <row r="52" spans="1:9">
      <c r="A52" s="1370" t="s">
        <v>1693</v>
      </c>
      <c r="B52" t="s">
        <v>1694</v>
      </c>
      <c r="D52" t="s">
        <v>1692</v>
      </c>
      <c r="G52" s="1369">
        <f>'3.05 - SAP DL'!F69</f>
        <v>559125.16</v>
      </c>
    </row>
    <row r="53" spans="1:9">
      <c r="F53" t="s">
        <v>1695</v>
      </c>
      <c r="G53" s="1371">
        <f>SUM(G51:G52)</f>
        <v>559125.16</v>
      </c>
    </row>
    <row r="54" spans="1:9">
      <c r="B54" t="s">
        <v>1696</v>
      </c>
      <c r="F54" s="1369"/>
    </row>
    <row r="55" spans="1:9" ht="12">
      <c r="A55" s="1372" t="s">
        <v>1697</v>
      </c>
      <c r="B55" s="218">
        <v>92600013</v>
      </c>
      <c r="C55" s="218"/>
      <c r="D55" s="218">
        <v>67000020</v>
      </c>
      <c r="E55" s="218"/>
      <c r="F55" s="1373">
        <v>917743.86</v>
      </c>
      <c r="I55" s="1373"/>
    </row>
    <row r="56" spans="1:9" ht="12">
      <c r="A56" s="1374" t="s">
        <v>1698</v>
      </c>
      <c r="B56" s="1375" t="s">
        <v>1691</v>
      </c>
      <c r="C56" s="218"/>
      <c r="D56" s="218">
        <v>67000020</v>
      </c>
      <c r="E56" s="1376" t="s">
        <v>1699</v>
      </c>
      <c r="F56" s="1373">
        <v>1509440.55</v>
      </c>
      <c r="G56" s="1377">
        <f>ROUND(F55/F56,4)</f>
        <v>0.60799999999999998</v>
      </c>
      <c r="H56" s="1378" t="s">
        <v>1119</v>
      </c>
      <c r="I56" s="1373"/>
    </row>
    <row r="57" spans="1:9" ht="12">
      <c r="A57" s="1374" t="s">
        <v>1700</v>
      </c>
      <c r="B57" s="218"/>
      <c r="C57" s="218"/>
      <c r="D57" s="218"/>
      <c r="E57" s="218"/>
      <c r="F57" s="218"/>
      <c r="G57" s="1310"/>
    </row>
    <row r="58" spans="1:9" ht="12">
      <c r="A58" s="1374" t="s">
        <v>1701</v>
      </c>
      <c r="B58" s="218"/>
      <c r="C58" s="218"/>
      <c r="D58" s="218"/>
      <c r="E58" s="218"/>
      <c r="F58" s="1375" t="s">
        <v>1702</v>
      </c>
      <c r="G58" s="1379">
        <f>G53*G56</f>
        <v>339948.09727999999</v>
      </c>
      <c r="I58" t="s">
        <v>1660</v>
      </c>
    </row>
    <row r="59" spans="1:9" ht="12">
      <c r="A59" s="1374" t="s">
        <v>1703</v>
      </c>
      <c r="B59" s="218"/>
      <c r="C59" s="218"/>
      <c r="D59" s="218"/>
      <c r="E59" s="218"/>
      <c r="F59" s="218" t="s">
        <v>1695</v>
      </c>
      <c r="G59" s="1379">
        <f>G53</f>
        <v>559125.16</v>
      </c>
    </row>
    <row r="60" spans="1:9" ht="12">
      <c r="A60" s="1374" t="s">
        <v>1704</v>
      </c>
      <c r="B60" s="218"/>
      <c r="C60" s="218"/>
      <c r="D60" s="218"/>
      <c r="E60" s="218"/>
      <c r="F60" s="1375" t="s">
        <v>1705</v>
      </c>
      <c r="G60" s="1380">
        <f>G59-G58</f>
        <v>219177.06272000005</v>
      </c>
    </row>
    <row r="61" spans="1:9" ht="12">
      <c r="A61" s="1374" t="s">
        <v>1706</v>
      </c>
      <c r="B61" s="218"/>
      <c r="C61" s="218"/>
      <c r="D61" s="218"/>
      <c r="E61" s="218"/>
      <c r="F61" s="218"/>
    </row>
    <row r="62" spans="1:9" ht="12">
      <c r="A62" s="1374" t="s">
        <v>1707</v>
      </c>
      <c r="B62" s="1152">
        <f>+B63*1.608</f>
        <v>557306.47704000433</v>
      </c>
      <c r="C62" s="1334">
        <f>+G53-B62</f>
        <v>1818.6829599956982</v>
      </c>
      <c r="D62" s="218"/>
      <c r="E62" s="218"/>
      <c r="F62" s="218"/>
    </row>
    <row r="63" spans="1:9" ht="12">
      <c r="A63" s="1381" t="s">
        <v>1708</v>
      </c>
      <c r="B63" s="1152">
        <v>346583.63000000268</v>
      </c>
      <c r="C63" s="1334">
        <f>+G58-B63</f>
        <v>-6635.532720002695</v>
      </c>
      <c r="D63" s="218"/>
      <c r="E63" s="218"/>
      <c r="F63" s="218"/>
    </row>
    <row r="64" spans="1:9">
      <c r="C64" s="1334"/>
    </row>
    <row r="65" spans="2:3">
      <c r="B65" s="1152">
        <v>212541.52999999735</v>
      </c>
      <c r="C65" s="1334">
        <f>+G60-B65</f>
        <v>6635.532720002695</v>
      </c>
    </row>
  </sheetData>
  <pageMargins left="0.5" right="0.5" top="1" bottom="0.5" header="0.5" footer="0.5"/>
  <pageSetup scale="62"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8" tint="0.39997558519241921"/>
  </sheetPr>
  <dimension ref="A2:I101"/>
  <sheetViews>
    <sheetView topLeftCell="D1" workbookViewId="0">
      <pane ySplit="5" topLeftCell="A54" activePane="bottomLeft" state="frozen"/>
      <selection activeCell="O32" sqref="O32"/>
      <selection pane="bottomLeft" activeCell="J35" sqref="J35"/>
    </sheetView>
  </sheetViews>
  <sheetFormatPr defaultRowHeight="12.75"/>
  <cols>
    <col min="1" max="1" width="50.83203125" style="151" hidden="1" customWidth="1"/>
    <col min="2" max="2" width="10.83203125" style="151" hidden="1" customWidth="1"/>
    <col min="3" max="3" width="25.83203125" style="1397" hidden="1" customWidth="1"/>
    <col min="4" max="4" width="11.5" customWidth="1"/>
    <col min="5" max="5" width="46" style="151" customWidth="1"/>
    <col min="6" max="6" width="17.6640625" style="151" customWidth="1"/>
    <col min="7" max="7" width="9.33203125" style="151"/>
    <col min="8" max="8" width="17.5" style="151" customWidth="1"/>
    <col min="9" max="9" width="12.6640625" style="151" customWidth="1"/>
    <col min="10" max="256" width="9.33203125" style="151"/>
    <col min="257" max="259" width="0" style="151" hidden="1" customWidth="1"/>
    <col min="260" max="260" width="11.5" style="151" customWidth="1"/>
    <col min="261" max="261" width="46" style="151" customWidth="1"/>
    <col min="262" max="262" width="17.6640625" style="151" customWidth="1"/>
    <col min="263" max="263" width="9.33203125" style="151"/>
    <col min="264" max="264" width="17.5" style="151" customWidth="1"/>
    <col min="265" max="265" width="12.6640625" style="151" customWidth="1"/>
    <col min="266" max="512" width="9.33203125" style="151"/>
    <col min="513" max="515" width="0" style="151" hidden="1" customWidth="1"/>
    <col min="516" max="516" width="11.5" style="151" customWidth="1"/>
    <col min="517" max="517" width="46" style="151" customWidth="1"/>
    <col min="518" max="518" width="17.6640625" style="151" customWidth="1"/>
    <col min="519" max="519" width="9.33203125" style="151"/>
    <col min="520" max="520" width="17.5" style="151" customWidth="1"/>
    <col min="521" max="521" width="12.6640625" style="151" customWidth="1"/>
    <col min="522" max="768" width="9.33203125" style="151"/>
    <col min="769" max="771" width="0" style="151" hidden="1" customWidth="1"/>
    <col min="772" max="772" width="11.5" style="151" customWidth="1"/>
    <col min="773" max="773" width="46" style="151" customWidth="1"/>
    <col min="774" max="774" width="17.6640625" style="151" customWidth="1"/>
    <col min="775" max="775" width="9.33203125" style="151"/>
    <col min="776" max="776" width="17.5" style="151" customWidth="1"/>
    <col min="777" max="777" width="12.6640625" style="151" customWidth="1"/>
    <col min="778" max="1024" width="9.33203125" style="151"/>
    <col min="1025" max="1027" width="0" style="151" hidden="1" customWidth="1"/>
    <col min="1028" max="1028" width="11.5" style="151" customWidth="1"/>
    <col min="1029" max="1029" width="46" style="151" customWidth="1"/>
    <col min="1030" max="1030" width="17.6640625" style="151" customWidth="1"/>
    <col min="1031" max="1031" width="9.33203125" style="151"/>
    <col min="1032" max="1032" width="17.5" style="151" customWidth="1"/>
    <col min="1033" max="1033" width="12.6640625" style="151" customWidth="1"/>
    <col min="1034" max="1280" width="9.33203125" style="151"/>
    <col min="1281" max="1283" width="0" style="151" hidden="1" customWidth="1"/>
    <col min="1284" max="1284" width="11.5" style="151" customWidth="1"/>
    <col min="1285" max="1285" width="46" style="151" customWidth="1"/>
    <col min="1286" max="1286" width="17.6640625" style="151" customWidth="1"/>
    <col min="1287" max="1287" width="9.33203125" style="151"/>
    <col min="1288" max="1288" width="17.5" style="151" customWidth="1"/>
    <col min="1289" max="1289" width="12.6640625" style="151" customWidth="1"/>
    <col min="1290" max="1536" width="9.33203125" style="151"/>
    <col min="1537" max="1539" width="0" style="151" hidden="1" customWidth="1"/>
    <col min="1540" max="1540" width="11.5" style="151" customWidth="1"/>
    <col min="1541" max="1541" width="46" style="151" customWidth="1"/>
    <col min="1542" max="1542" width="17.6640625" style="151" customWidth="1"/>
    <col min="1543" max="1543" width="9.33203125" style="151"/>
    <col min="1544" max="1544" width="17.5" style="151" customWidth="1"/>
    <col min="1545" max="1545" width="12.6640625" style="151" customWidth="1"/>
    <col min="1546" max="1792" width="9.33203125" style="151"/>
    <col min="1793" max="1795" width="0" style="151" hidden="1" customWidth="1"/>
    <col min="1796" max="1796" width="11.5" style="151" customWidth="1"/>
    <col min="1797" max="1797" width="46" style="151" customWidth="1"/>
    <col min="1798" max="1798" width="17.6640625" style="151" customWidth="1"/>
    <col min="1799" max="1799" width="9.33203125" style="151"/>
    <col min="1800" max="1800" width="17.5" style="151" customWidth="1"/>
    <col min="1801" max="1801" width="12.6640625" style="151" customWidth="1"/>
    <col min="1802" max="2048" width="9.33203125" style="151"/>
    <col min="2049" max="2051" width="0" style="151" hidden="1" customWidth="1"/>
    <col min="2052" max="2052" width="11.5" style="151" customWidth="1"/>
    <col min="2053" max="2053" width="46" style="151" customWidth="1"/>
    <col min="2054" max="2054" width="17.6640625" style="151" customWidth="1"/>
    <col min="2055" max="2055" width="9.33203125" style="151"/>
    <col min="2056" max="2056" width="17.5" style="151" customWidth="1"/>
    <col min="2057" max="2057" width="12.6640625" style="151" customWidth="1"/>
    <col min="2058" max="2304" width="9.33203125" style="151"/>
    <col min="2305" max="2307" width="0" style="151" hidden="1" customWidth="1"/>
    <col min="2308" max="2308" width="11.5" style="151" customWidth="1"/>
    <col min="2309" max="2309" width="46" style="151" customWidth="1"/>
    <col min="2310" max="2310" width="17.6640625" style="151" customWidth="1"/>
    <col min="2311" max="2311" width="9.33203125" style="151"/>
    <col min="2312" max="2312" width="17.5" style="151" customWidth="1"/>
    <col min="2313" max="2313" width="12.6640625" style="151" customWidth="1"/>
    <col min="2314" max="2560" width="9.33203125" style="151"/>
    <col min="2561" max="2563" width="0" style="151" hidden="1" customWidth="1"/>
    <col min="2564" max="2564" width="11.5" style="151" customWidth="1"/>
    <col min="2565" max="2565" width="46" style="151" customWidth="1"/>
    <col min="2566" max="2566" width="17.6640625" style="151" customWidth="1"/>
    <col min="2567" max="2567" width="9.33203125" style="151"/>
    <col min="2568" max="2568" width="17.5" style="151" customWidth="1"/>
    <col min="2569" max="2569" width="12.6640625" style="151" customWidth="1"/>
    <col min="2570" max="2816" width="9.33203125" style="151"/>
    <col min="2817" max="2819" width="0" style="151" hidden="1" customWidth="1"/>
    <col min="2820" max="2820" width="11.5" style="151" customWidth="1"/>
    <col min="2821" max="2821" width="46" style="151" customWidth="1"/>
    <col min="2822" max="2822" width="17.6640625" style="151" customWidth="1"/>
    <col min="2823" max="2823" width="9.33203125" style="151"/>
    <col min="2824" max="2824" width="17.5" style="151" customWidth="1"/>
    <col min="2825" max="2825" width="12.6640625" style="151" customWidth="1"/>
    <col min="2826" max="3072" width="9.33203125" style="151"/>
    <col min="3073" max="3075" width="0" style="151" hidden="1" customWidth="1"/>
    <col min="3076" max="3076" width="11.5" style="151" customWidth="1"/>
    <col min="3077" max="3077" width="46" style="151" customWidth="1"/>
    <col min="3078" max="3078" width="17.6640625" style="151" customWidth="1"/>
    <col min="3079" max="3079" width="9.33203125" style="151"/>
    <col min="3080" max="3080" width="17.5" style="151" customWidth="1"/>
    <col min="3081" max="3081" width="12.6640625" style="151" customWidth="1"/>
    <col min="3082" max="3328" width="9.33203125" style="151"/>
    <col min="3329" max="3331" width="0" style="151" hidden="1" customWidth="1"/>
    <col min="3332" max="3332" width="11.5" style="151" customWidth="1"/>
    <col min="3333" max="3333" width="46" style="151" customWidth="1"/>
    <col min="3334" max="3334" width="17.6640625" style="151" customWidth="1"/>
    <col min="3335" max="3335" width="9.33203125" style="151"/>
    <col min="3336" max="3336" width="17.5" style="151" customWidth="1"/>
    <col min="3337" max="3337" width="12.6640625" style="151" customWidth="1"/>
    <col min="3338" max="3584" width="9.33203125" style="151"/>
    <col min="3585" max="3587" width="0" style="151" hidden="1" customWidth="1"/>
    <col min="3588" max="3588" width="11.5" style="151" customWidth="1"/>
    <col min="3589" max="3589" width="46" style="151" customWidth="1"/>
    <col min="3590" max="3590" width="17.6640625" style="151" customWidth="1"/>
    <col min="3591" max="3591" width="9.33203125" style="151"/>
    <col min="3592" max="3592" width="17.5" style="151" customWidth="1"/>
    <col min="3593" max="3593" width="12.6640625" style="151" customWidth="1"/>
    <col min="3594" max="3840" width="9.33203125" style="151"/>
    <col min="3841" max="3843" width="0" style="151" hidden="1" customWidth="1"/>
    <col min="3844" max="3844" width="11.5" style="151" customWidth="1"/>
    <col min="3845" max="3845" width="46" style="151" customWidth="1"/>
    <col min="3846" max="3846" width="17.6640625" style="151" customWidth="1"/>
    <col min="3847" max="3847" width="9.33203125" style="151"/>
    <col min="3848" max="3848" width="17.5" style="151" customWidth="1"/>
    <col min="3849" max="3849" width="12.6640625" style="151" customWidth="1"/>
    <col min="3850" max="4096" width="9.33203125" style="151"/>
    <col min="4097" max="4099" width="0" style="151" hidden="1" customWidth="1"/>
    <col min="4100" max="4100" width="11.5" style="151" customWidth="1"/>
    <col min="4101" max="4101" width="46" style="151" customWidth="1"/>
    <col min="4102" max="4102" width="17.6640625" style="151" customWidth="1"/>
    <col min="4103" max="4103" width="9.33203125" style="151"/>
    <col min="4104" max="4104" width="17.5" style="151" customWidth="1"/>
    <col min="4105" max="4105" width="12.6640625" style="151" customWidth="1"/>
    <col min="4106" max="4352" width="9.33203125" style="151"/>
    <col min="4353" max="4355" width="0" style="151" hidden="1" customWidth="1"/>
    <col min="4356" max="4356" width="11.5" style="151" customWidth="1"/>
    <col min="4357" max="4357" width="46" style="151" customWidth="1"/>
    <col min="4358" max="4358" width="17.6640625" style="151" customWidth="1"/>
    <col min="4359" max="4359" width="9.33203125" style="151"/>
    <col min="4360" max="4360" width="17.5" style="151" customWidth="1"/>
    <col min="4361" max="4361" width="12.6640625" style="151" customWidth="1"/>
    <col min="4362" max="4608" width="9.33203125" style="151"/>
    <col min="4609" max="4611" width="0" style="151" hidden="1" customWidth="1"/>
    <col min="4612" max="4612" width="11.5" style="151" customWidth="1"/>
    <col min="4613" max="4613" width="46" style="151" customWidth="1"/>
    <col min="4614" max="4614" width="17.6640625" style="151" customWidth="1"/>
    <col min="4615" max="4615" width="9.33203125" style="151"/>
    <col min="4616" max="4616" width="17.5" style="151" customWidth="1"/>
    <col min="4617" max="4617" width="12.6640625" style="151" customWidth="1"/>
    <col min="4618" max="4864" width="9.33203125" style="151"/>
    <col min="4865" max="4867" width="0" style="151" hidden="1" customWidth="1"/>
    <col min="4868" max="4868" width="11.5" style="151" customWidth="1"/>
    <col min="4869" max="4869" width="46" style="151" customWidth="1"/>
    <col min="4870" max="4870" width="17.6640625" style="151" customWidth="1"/>
    <col min="4871" max="4871" width="9.33203125" style="151"/>
    <col min="4872" max="4872" width="17.5" style="151" customWidth="1"/>
    <col min="4873" max="4873" width="12.6640625" style="151" customWidth="1"/>
    <col min="4874" max="5120" width="9.33203125" style="151"/>
    <col min="5121" max="5123" width="0" style="151" hidden="1" customWidth="1"/>
    <col min="5124" max="5124" width="11.5" style="151" customWidth="1"/>
    <col min="5125" max="5125" width="46" style="151" customWidth="1"/>
    <col min="5126" max="5126" width="17.6640625" style="151" customWidth="1"/>
    <col min="5127" max="5127" width="9.33203125" style="151"/>
    <col min="5128" max="5128" width="17.5" style="151" customWidth="1"/>
    <col min="5129" max="5129" width="12.6640625" style="151" customWidth="1"/>
    <col min="5130" max="5376" width="9.33203125" style="151"/>
    <col min="5377" max="5379" width="0" style="151" hidden="1" customWidth="1"/>
    <col min="5380" max="5380" width="11.5" style="151" customWidth="1"/>
    <col min="5381" max="5381" width="46" style="151" customWidth="1"/>
    <col min="5382" max="5382" width="17.6640625" style="151" customWidth="1"/>
    <col min="5383" max="5383" width="9.33203125" style="151"/>
    <col min="5384" max="5384" width="17.5" style="151" customWidth="1"/>
    <col min="5385" max="5385" width="12.6640625" style="151" customWidth="1"/>
    <col min="5386" max="5632" width="9.33203125" style="151"/>
    <col min="5633" max="5635" width="0" style="151" hidden="1" customWidth="1"/>
    <col min="5636" max="5636" width="11.5" style="151" customWidth="1"/>
    <col min="5637" max="5637" width="46" style="151" customWidth="1"/>
    <col min="5638" max="5638" width="17.6640625" style="151" customWidth="1"/>
    <col min="5639" max="5639" width="9.33203125" style="151"/>
    <col min="5640" max="5640" width="17.5" style="151" customWidth="1"/>
    <col min="5641" max="5641" width="12.6640625" style="151" customWidth="1"/>
    <col min="5642" max="5888" width="9.33203125" style="151"/>
    <col min="5889" max="5891" width="0" style="151" hidden="1" customWidth="1"/>
    <col min="5892" max="5892" width="11.5" style="151" customWidth="1"/>
    <col min="5893" max="5893" width="46" style="151" customWidth="1"/>
    <col min="5894" max="5894" width="17.6640625" style="151" customWidth="1"/>
    <col min="5895" max="5895" width="9.33203125" style="151"/>
    <col min="5896" max="5896" width="17.5" style="151" customWidth="1"/>
    <col min="5897" max="5897" width="12.6640625" style="151" customWidth="1"/>
    <col min="5898" max="6144" width="9.33203125" style="151"/>
    <col min="6145" max="6147" width="0" style="151" hidden="1" customWidth="1"/>
    <col min="6148" max="6148" width="11.5" style="151" customWidth="1"/>
    <col min="6149" max="6149" width="46" style="151" customWidth="1"/>
    <col min="6150" max="6150" width="17.6640625" style="151" customWidth="1"/>
    <col min="6151" max="6151" width="9.33203125" style="151"/>
    <col min="6152" max="6152" width="17.5" style="151" customWidth="1"/>
    <col min="6153" max="6153" width="12.6640625" style="151" customWidth="1"/>
    <col min="6154" max="6400" width="9.33203125" style="151"/>
    <col min="6401" max="6403" width="0" style="151" hidden="1" customWidth="1"/>
    <col min="6404" max="6404" width="11.5" style="151" customWidth="1"/>
    <col min="6405" max="6405" width="46" style="151" customWidth="1"/>
    <col min="6406" max="6406" width="17.6640625" style="151" customWidth="1"/>
    <col min="6407" max="6407" width="9.33203125" style="151"/>
    <col min="6408" max="6408" width="17.5" style="151" customWidth="1"/>
    <col min="6409" max="6409" width="12.6640625" style="151" customWidth="1"/>
    <col min="6410" max="6656" width="9.33203125" style="151"/>
    <col min="6657" max="6659" width="0" style="151" hidden="1" customWidth="1"/>
    <col min="6660" max="6660" width="11.5" style="151" customWidth="1"/>
    <col min="6661" max="6661" width="46" style="151" customWidth="1"/>
    <col min="6662" max="6662" width="17.6640625" style="151" customWidth="1"/>
    <col min="6663" max="6663" width="9.33203125" style="151"/>
    <col min="6664" max="6664" width="17.5" style="151" customWidth="1"/>
    <col min="6665" max="6665" width="12.6640625" style="151" customWidth="1"/>
    <col min="6666" max="6912" width="9.33203125" style="151"/>
    <col min="6913" max="6915" width="0" style="151" hidden="1" customWidth="1"/>
    <col min="6916" max="6916" width="11.5" style="151" customWidth="1"/>
    <col min="6917" max="6917" width="46" style="151" customWidth="1"/>
    <col min="6918" max="6918" width="17.6640625" style="151" customWidth="1"/>
    <col min="6919" max="6919" width="9.33203125" style="151"/>
    <col min="6920" max="6920" width="17.5" style="151" customWidth="1"/>
    <col min="6921" max="6921" width="12.6640625" style="151" customWidth="1"/>
    <col min="6922" max="7168" width="9.33203125" style="151"/>
    <col min="7169" max="7171" width="0" style="151" hidden="1" customWidth="1"/>
    <col min="7172" max="7172" width="11.5" style="151" customWidth="1"/>
    <col min="7173" max="7173" width="46" style="151" customWidth="1"/>
    <col min="7174" max="7174" width="17.6640625" style="151" customWidth="1"/>
    <col min="7175" max="7175" width="9.33203125" style="151"/>
    <col min="7176" max="7176" width="17.5" style="151" customWidth="1"/>
    <col min="7177" max="7177" width="12.6640625" style="151" customWidth="1"/>
    <col min="7178" max="7424" width="9.33203125" style="151"/>
    <col min="7425" max="7427" width="0" style="151" hidden="1" customWidth="1"/>
    <col min="7428" max="7428" width="11.5" style="151" customWidth="1"/>
    <col min="7429" max="7429" width="46" style="151" customWidth="1"/>
    <col min="7430" max="7430" width="17.6640625" style="151" customWidth="1"/>
    <col min="7431" max="7431" width="9.33203125" style="151"/>
    <col min="7432" max="7432" width="17.5" style="151" customWidth="1"/>
    <col min="7433" max="7433" width="12.6640625" style="151" customWidth="1"/>
    <col min="7434" max="7680" width="9.33203125" style="151"/>
    <col min="7681" max="7683" width="0" style="151" hidden="1" customWidth="1"/>
    <col min="7684" max="7684" width="11.5" style="151" customWidth="1"/>
    <col min="7685" max="7685" width="46" style="151" customWidth="1"/>
    <col min="7686" max="7686" width="17.6640625" style="151" customWidth="1"/>
    <col min="7687" max="7687" width="9.33203125" style="151"/>
    <col min="7688" max="7688" width="17.5" style="151" customWidth="1"/>
    <col min="7689" max="7689" width="12.6640625" style="151" customWidth="1"/>
    <col min="7690" max="7936" width="9.33203125" style="151"/>
    <col min="7937" max="7939" width="0" style="151" hidden="1" customWidth="1"/>
    <col min="7940" max="7940" width="11.5" style="151" customWidth="1"/>
    <col min="7941" max="7941" width="46" style="151" customWidth="1"/>
    <col min="7942" max="7942" width="17.6640625" style="151" customWidth="1"/>
    <col min="7943" max="7943" width="9.33203125" style="151"/>
    <col min="7944" max="7944" width="17.5" style="151" customWidth="1"/>
    <col min="7945" max="7945" width="12.6640625" style="151" customWidth="1"/>
    <col min="7946" max="8192" width="9.33203125" style="151"/>
    <col min="8193" max="8195" width="0" style="151" hidden="1" customWidth="1"/>
    <col min="8196" max="8196" width="11.5" style="151" customWidth="1"/>
    <col min="8197" max="8197" width="46" style="151" customWidth="1"/>
    <col min="8198" max="8198" width="17.6640625" style="151" customWidth="1"/>
    <col min="8199" max="8199" width="9.33203125" style="151"/>
    <col min="8200" max="8200" width="17.5" style="151" customWidth="1"/>
    <col min="8201" max="8201" width="12.6640625" style="151" customWidth="1"/>
    <col min="8202" max="8448" width="9.33203125" style="151"/>
    <col min="8449" max="8451" width="0" style="151" hidden="1" customWidth="1"/>
    <col min="8452" max="8452" width="11.5" style="151" customWidth="1"/>
    <col min="8453" max="8453" width="46" style="151" customWidth="1"/>
    <col min="8454" max="8454" width="17.6640625" style="151" customWidth="1"/>
    <col min="8455" max="8455" width="9.33203125" style="151"/>
    <col min="8456" max="8456" width="17.5" style="151" customWidth="1"/>
    <col min="8457" max="8457" width="12.6640625" style="151" customWidth="1"/>
    <col min="8458" max="8704" width="9.33203125" style="151"/>
    <col min="8705" max="8707" width="0" style="151" hidden="1" customWidth="1"/>
    <col min="8708" max="8708" width="11.5" style="151" customWidth="1"/>
    <col min="8709" max="8709" width="46" style="151" customWidth="1"/>
    <col min="8710" max="8710" width="17.6640625" style="151" customWidth="1"/>
    <col min="8711" max="8711" width="9.33203125" style="151"/>
    <col min="8712" max="8712" width="17.5" style="151" customWidth="1"/>
    <col min="8713" max="8713" width="12.6640625" style="151" customWidth="1"/>
    <col min="8714" max="8960" width="9.33203125" style="151"/>
    <col min="8961" max="8963" width="0" style="151" hidden="1" customWidth="1"/>
    <col min="8964" max="8964" width="11.5" style="151" customWidth="1"/>
    <col min="8965" max="8965" width="46" style="151" customWidth="1"/>
    <col min="8966" max="8966" width="17.6640625" style="151" customWidth="1"/>
    <col min="8967" max="8967" width="9.33203125" style="151"/>
    <col min="8968" max="8968" width="17.5" style="151" customWidth="1"/>
    <col min="8969" max="8969" width="12.6640625" style="151" customWidth="1"/>
    <col min="8970" max="9216" width="9.33203125" style="151"/>
    <col min="9217" max="9219" width="0" style="151" hidden="1" customWidth="1"/>
    <col min="9220" max="9220" width="11.5" style="151" customWidth="1"/>
    <col min="9221" max="9221" width="46" style="151" customWidth="1"/>
    <col min="9222" max="9222" width="17.6640625" style="151" customWidth="1"/>
    <col min="9223" max="9223" width="9.33203125" style="151"/>
    <col min="9224" max="9224" width="17.5" style="151" customWidth="1"/>
    <col min="9225" max="9225" width="12.6640625" style="151" customWidth="1"/>
    <col min="9226" max="9472" width="9.33203125" style="151"/>
    <col min="9473" max="9475" width="0" style="151" hidden="1" customWidth="1"/>
    <col min="9476" max="9476" width="11.5" style="151" customWidth="1"/>
    <col min="9477" max="9477" width="46" style="151" customWidth="1"/>
    <col min="9478" max="9478" width="17.6640625" style="151" customWidth="1"/>
    <col min="9479" max="9479" width="9.33203125" style="151"/>
    <col min="9480" max="9480" width="17.5" style="151" customWidth="1"/>
    <col min="9481" max="9481" width="12.6640625" style="151" customWidth="1"/>
    <col min="9482" max="9728" width="9.33203125" style="151"/>
    <col min="9729" max="9731" width="0" style="151" hidden="1" customWidth="1"/>
    <col min="9732" max="9732" width="11.5" style="151" customWidth="1"/>
    <col min="9733" max="9733" width="46" style="151" customWidth="1"/>
    <col min="9734" max="9734" width="17.6640625" style="151" customWidth="1"/>
    <col min="9735" max="9735" width="9.33203125" style="151"/>
    <col min="9736" max="9736" width="17.5" style="151" customWidth="1"/>
    <col min="9737" max="9737" width="12.6640625" style="151" customWidth="1"/>
    <col min="9738" max="9984" width="9.33203125" style="151"/>
    <col min="9985" max="9987" width="0" style="151" hidden="1" customWidth="1"/>
    <col min="9988" max="9988" width="11.5" style="151" customWidth="1"/>
    <col min="9989" max="9989" width="46" style="151" customWidth="1"/>
    <col min="9990" max="9990" width="17.6640625" style="151" customWidth="1"/>
    <col min="9991" max="9991" width="9.33203125" style="151"/>
    <col min="9992" max="9992" width="17.5" style="151" customWidth="1"/>
    <col min="9993" max="9993" width="12.6640625" style="151" customWidth="1"/>
    <col min="9994" max="10240" width="9.33203125" style="151"/>
    <col min="10241" max="10243" width="0" style="151" hidden="1" customWidth="1"/>
    <col min="10244" max="10244" width="11.5" style="151" customWidth="1"/>
    <col min="10245" max="10245" width="46" style="151" customWidth="1"/>
    <col min="10246" max="10246" width="17.6640625" style="151" customWidth="1"/>
    <col min="10247" max="10247" width="9.33203125" style="151"/>
    <col min="10248" max="10248" width="17.5" style="151" customWidth="1"/>
    <col min="10249" max="10249" width="12.6640625" style="151" customWidth="1"/>
    <col min="10250" max="10496" width="9.33203125" style="151"/>
    <col min="10497" max="10499" width="0" style="151" hidden="1" customWidth="1"/>
    <col min="10500" max="10500" width="11.5" style="151" customWidth="1"/>
    <col min="10501" max="10501" width="46" style="151" customWidth="1"/>
    <col min="10502" max="10502" width="17.6640625" style="151" customWidth="1"/>
    <col min="10503" max="10503" width="9.33203125" style="151"/>
    <col min="10504" max="10504" width="17.5" style="151" customWidth="1"/>
    <col min="10505" max="10505" width="12.6640625" style="151" customWidth="1"/>
    <col min="10506" max="10752" width="9.33203125" style="151"/>
    <col min="10753" max="10755" width="0" style="151" hidden="1" customWidth="1"/>
    <col min="10756" max="10756" width="11.5" style="151" customWidth="1"/>
    <col min="10757" max="10757" width="46" style="151" customWidth="1"/>
    <col min="10758" max="10758" width="17.6640625" style="151" customWidth="1"/>
    <col min="10759" max="10759" width="9.33203125" style="151"/>
    <col min="10760" max="10760" width="17.5" style="151" customWidth="1"/>
    <col min="10761" max="10761" width="12.6640625" style="151" customWidth="1"/>
    <col min="10762" max="11008" width="9.33203125" style="151"/>
    <col min="11009" max="11011" width="0" style="151" hidden="1" customWidth="1"/>
    <col min="11012" max="11012" width="11.5" style="151" customWidth="1"/>
    <col min="11013" max="11013" width="46" style="151" customWidth="1"/>
    <col min="11014" max="11014" width="17.6640625" style="151" customWidth="1"/>
    <col min="11015" max="11015" width="9.33203125" style="151"/>
    <col min="11016" max="11016" width="17.5" style="151" customWidth="1"/>
    <col min="11017" max="11017" width="12.6640625" style="151" customWidth="1"/>
    <col min="11018" max="11264" width="9.33203125" style="151"/>
    <col min="11265" max="11267" width="0" style="151" hidden="1" customWidth="1"/>
    <col min="11268" max="11268" width="11.5" style="151" customWidth="1"/>
    <col min="11269" max="11269" width="46" style="151" customWidth="1"/>
    <col min="11270" max="11270" width="17.6640625" style="151" customWidth="1"/>
    <col min="11271" max="11271" width="9.33203125" style="151"/>
    <col min="11272" max="11272" width="17.5" style="151" customWidth="1"/>
    <col min="11273" max="11273" width="12.6640625" style="151" customWidth="1"/>
    <col min="11274" max="11520" width="9.33203125" style="151"/>
    <col min="11521" max="11523" width="0" style="151" hidden="1" customWidth="1"/>
    <col min="11524" max="11524" width="11.5" style="151" customWidth="1"/>
    <col min="11525" max="11525" width="46" style="151" customWidth="1"/>
    <col min="11526" max="11526" width="17.6640625" style="151" customWidth="1"/>
    <col min="11527" max="11527" width="9.33203125" style="151"/>
    <col min="11528" max="11528" width="17.5" style="151" customWidth="1"/>
    <col min="11529" max="11529" width="12.6640625" style="151" customWidth="1"/>
    <col min="11530" max="11776" width="9.33203125" style="151"/>
    <col min="11777" max="11779" width="0" style="151" hidden="1" customWidth="1"/>
    <col min="11780" max="11780" width="11.5" style="151" customWidth="1"/>
    <col min="11781" max="11781" width="46" style="151" customWidth="1"/>
    <col min="11782" max="11782" width="17.6640625" style="151" customWidth="1"/>
    <col min="11783" max="11783" width="9.33203125" style="151"/>
    <col min="11784" max="11784" width="17.5" style="151" customWidth="1"/>
    <col min="11785" max="11785" width="12.6640625" style="151" customWidth="1"/>
    <col min="11786" max="12032" width="9.33203125" style="151"/>
    <col min="12033" max="12035" width="0" style="151" hidden="1" customWidth="1"/>
    <col min="12036" max="12036" width="11.5" style="151" customWidth="1"/>
    <col min="12037" max="12037" width="46" style="151" customWidth="1"/>
    <col min="12038" max="12038" width="17.6640625" style="151" customWidth="1"/>
    <col min="12039" max="12039" width="9.33203125" style="151"/>
    <col min="12040" max="12040" width="17.5" style="151" customWidth="1"/>
    <col min="12041" max="12041" width="12.6640625" style="151" customWidth="1"/>
    <col min="12042" max="12288" width="9.33203125" style="151"/>
    <col min="12289" max="12291" width="0" style="151" hidden="1" customWidth="1"/>
    <col min="12292" max="12292" width="11.5" style="151" customWidth="1"/>
    <col min="12293" max="12293" width="46" style="151" customWidth="1"/>
    <col min="12294" max="12294" width="17.6640625" style="151" customWidth="1"/>
    <col min="12295" max="12295" width="9.33203125" style="151"/>
    <col min="12296" max="12296" width="17.5" style="151" customWidth="1"/>
    <col min="12297" max="12297" width="12.6640625" style="151" customWidth="1"/>
    <col min="12298" max="12544" width="9.33203125" style="151"/>
    <col min="12545" max="12547" width="0" style="151" hidden="1" customWidth="1"/>
    <col min="12548" max="12548" width="11.5" style="151" customWidth="1"/>
    <col min="12549" max="12549" width="46" style="151" customWidth="1"/>
    <col min="12550" max="12550" width="17.6640625" style="151" customWidth="1"/>
    <col min="12551" max="12551" width="9.33203125" style="151"/>
    <col min="12552" max="12552" width="17.5" style="151" customWidth="1"/>
    <col min="12553" max="12553" width="12.6640625" style="151" customWidth="1"/>
    <col min="12554" max="12800" width="9.33203125" style="151"/>
    <col min="12801" max="12803" width="0" style="151" hidden="1" customWidth="1"/>
    <col min="12804" max="12804" width="11.5" style="151" customWidth="1"/>
    <col min="12805" max="12805" width="46" style="151" customWidth="1"/>
    <col min="12806" max="12806" width="17.6640625" style="151" customWidth="1"/>
    <col min="12807" max="12807" width="9.33203125" style="151"/>
    <col min="12808" max="12808" width="17.5" style="151" customWidth="1"/>
    <col min="12809" max="12809" width="12.6640625" style="151" customWidth="1"/>
    <col min="12810" max="13056" width="9.33203125" style="151"/>
    <col min="13057" max="13059" width="0" style="151" hidden="1" customWidth="1"/>
    <col min="13060" max="13060" width="11.5" style="151" customWidth="1"/>
    <col min="13061" max="13061" width="46" style="151" customWidth="1"/>
    <col min="13062" max="13062" width="17.6640625" style="151" customWidth="1"/>
    <col min="13063" max="13063" width="9.33203125" style="151"/>
    <col min="13064" max="13064" width="17.5" style="151" customWidth="1"/>
    <col min="13065" max="13065" width="12.6640625" style="151" customWidth="1"/>
    <col min="13066" max="13312" width="9.33203125" style="151"/>
    <col min="13313" max="13315" width="0" style="151" hidden="1" customWidth="1"/>
    <col min="13316" max="13316" width="11.5" style="151" customWidth="1"/>
    <col min="13317" max="13317" width="46" style="151" customWidth="1"/>
    <col min="13318" max="13318" width="17.6640625" style="151" customWidth="1"/>
    <col min="13319" max="13319" width="9.33203125" style="151"/>
    <col min="13320" max="13320" width="17.5" style="151" customWidth="1"/>
    <col min="13321" max="13321" width="12.6640625" style="151" customWidth="1"/>
    <col min="13322" max="13568" width="9.33203125" style="151"/>
    <col min="13569" max="13571" width="0" style="151" hidden="1" customWidth="1"/>
    <col min="13572" max="13572" width="11.5" style="151" customWidth="1"/>
    <col min="13573" max="13573" width="46" style="151" customWidth="1"/>
    <col min="13574" max="13574" width="17.6640625" style="151" customWidth="1"/>
    <col min="13575" max="13575" width="9.33203125" style="151"/>
    <col min="13576" max="13576" width="17.5" style="151" customWidth="1"/>
    <col min="13577" max="13577" width="12.6640625" style="151" customWidth="1"/>
    <col min="13578" max="13824" width="9.33203125" style="151"/>
    <col min="13825" max="13827" width="0" style="151" hidden="1" customWidth="1"/>
    <col min="13828" max="13828" width="11.5" style="151" customWidth="1"/>
    <col min="13829" max="13829" width="46" style="151" customWidth="1"/>
    <col min="13830" max="13830" width="17.6640625" style="151" customWidth="1"/>
    <col min="13831" max="13831" width="9.33203125" style="151"/>
    <col min="13832" max="13832" width="17.5" style="151" customWidth="1"/>
    <col min="13833" max="13833" width="12.6640625" style="151" customWidth="1"/>
    <col min="13834" max="14080" width="9.33203125" style="151"/>
    <col min="14081" max="14083" width="0" style="151" hidden="1" customWidth="1"/>
    <col min="14084" max="14084" width="11.5" style="151" customWidth="1"/>
    <col min="14085" max="14085" width="46" style="151" customWidth="1"/>
    <col min="14086" max="14086" width="17.6640625" style="151" customWidth="1"/>
    <col min="14087" max="14087" width="9.33203125" style="151"/>
    <col min="14088" max="14088" width="17.5" style="151" customWidth="1"/>
    <col min="14089" max="14089" width="12.6640625" style="151" customWidth="1"/>
    <col min="14090" max="14336" width="9.33203125" style="151"/>
    <col min="14337" max="14339" width="0" style="151" hidden="1" customWidth="1"/>
    <col min="14340" max="14340" width="11.5" style="151" customWidth="1"/>
    <col min="14341" max="14341" width="46" style="151" customWidth="1"/>
    <col min="14342" max="14342" width="17.6640625" style="151" customWidth="1"/>
    <col min="14343" max="14343" width="9.33203125" style="151"/>
    <col min="14344" max="14344" width="17.5" style="151" customWidth="1"/>
    <col min="14345" max="14345" width="12.6640625" style="151" customWidth="1"/>
    <col min="14346" max="14592" width="9.33203125" style="151"/>
    <col min="14593" max="14595" width="0" style="151" hidden="1" customWidth="1"/>
    <col min="14596" max="14596" width="11.5" style="151" customWidth="1"/>
    <col min="14597" max="14597" width="46" style="151" customWidth="1"/>
    <col min="14598" max="14598" width="17.6640625" style="151" customWidth="1"/>
    <col min="14599" max="14599" width="9.33203125" style="151"/>
    <col min="14600" max="14600" width="17.5" style="151" customWidth="1"/>
    <col min="14601" max="14601" width="12.6640625" style="151" customWidth="1"/>
    <col min="14602" max="14848" width="9.33203125" style="151"/>
    <col min="14849" max="14851" width="0" style="151" hidden="1" customWidth="1"/>
    <col min="14852" max="14852" width="11.5" style="151" customWidth="1"/>
    <col min="14853" max="14853" width="46" style="151" customWidth="1"/>
    <col min="14854" max="14854" width="17.6640625" style="151" customWidth="1"/>
    <col min="14855" max="14855" width="9.33203125" style="151"/>
    <col min="14856" max="14856" width="17.5" style="151" customWidth="1"/>
    <col min="14857" max="14857" width="12.6640625" style="151" customWidth="1"/>
    <col min="14858" max="15104" width="9.33203125" style="151"/>
    <col min="15105" max="15107" width="0" style="151" hidden="1" customWidth="1"/>
    <col min="15108" max="15108" width="11.5" style="151" customWidth="1"/>
    <col min="15109" max="15109" width="46" style="151" customWidth="1"/>
    <col min="15110" max="15110" width="17.6640625" style="151" customWidth="1"/>
    <col min="15111" max="15111" width="9.33203125" style="151"/>
    <col min="15112" max="15112" width="17.5" style="151" customWidth="1"/>
    <col min="15113" max="15113" width="12.6640625" style="151" customWidth="1"/>
    <col min="15114" max="15360" width="9.33203125" style="151"/>
    <col min="15361" max="15363" width="0" style="151" hidden="1" customWidth="1"/>
    <col min="15364" max="15364" width="11.5" style="151" customWidth="1"/>
    <col min="15365" max="15365" width="46" style="151" customWidth="1"/>
    <col min="15366" max="15366" width="17.6640625" style="151" customWidth="1"/>
    <col min="15367" max="15367" width="9.33203125" style="151"/>
    <col min="15368" max="15368" width="17.5" style="151" customWidth="1"/>
    <col min="15369" max="15369" width="12.6640625" style="151" customWidth="1"/>
    <col min="15370" max="15616" width="9.33203125" style="151"/>
    <col min="15617" max="15619" width="0" style="151" hidden="1" customWidth="1"/>
    <col min="15620" max="15620" width="11.5" style="151" customWidth="1"/>
    <col min="15621" max="15621" width="46" style="151" customWidth="1"/>
    <col min="15622" max="15622" width="17.6640625" style="151" customWidth="1"/>
    <col min="15623" max="15623" width="9.33203125" style="151"/>
    <col min="15624" max="15624" width="17.5" style="151" customWidth="1"/>
    <col min="15625" max="15625" width="12.6640625" style="151" customWidth="1"/>
    <col min="15626" max="15872" width="9.33203125" style="151"/>
    <col min="15873" max="15875" width="0" style="151" hidden="1" customWidth="1"/>
    <col min="15876" max="15876" width="11.5" style="151" customWidth="1"/>
    <col min="15877" max="15877" width="46" style="151" customWidth="1"/>
    <col min="15878" max="15878" width="17.6640625" style="151" customWidth="1"/>
    <col min="15879" max="15879" width="9.33203125" style="151"/>
    <col min="15880" max="15880" width="17.5" style="151" customWidth="1"/>
    <col min="15881" max="15881" width="12.6640625" style="151" customWidth="1"/>
    <col min="15882" max="16128" width="9.33203125" style="151"/>
    <col min="16129" max="16131" width="0" style="151" hidden="1" customWidth="1"/>
    <col min="16132" max="16132" width="11.5" style="151" customWidth="1"/>
    <col min="16133" max="16133" width="46" style="151" customWidth="1"/>
    <col min="16134" max="16134" width="17.6640625" style="151" customWidth="1"/>
    <col min="16135" max="16135" width="9.33203125" style="151"/>
    <col min="16136" max="16136" width="17.5" style="151" customWidth="1"/>
    <col min="16137" max="16137" width="12.6640625" style="151" customWidth="1"/>
    <col min="16138" max="16384" width="9.33203125" style="151"/>
  </cols>
  <sheetData>
    <row r="2" spans="1:9">
      <c r="C2" s="1382" t="s">
        <v>1538</v>
      </c>
      <c r="F2" s="1382" t="s">
        <v>1538</v>
      </c>
    </row>
    <row r="3" spans="1:9">
      <c r="C3" s="1383" t="s">
        <v>1539</v>
      </c>
      <c r="F3" s="1383" t="s">
        <v>1539</v>
      </c>
      <c r="H3" s="1384" t="s">
        <v>1709</v>
      </c>
      <c r="I3" s="1384"/>
    </row>
    <row r="4" spans="1:9">
      <c r="C4" s="1385" t="s">
        <v>1710</v>
      </c>
      <c r="E4" s="2904" t="s">
        <v>1711</v>
      </c>
      <c r="F4" s="2904"/>
      <c r="H4" s="151" t="s">
        <v>1712</v>
      </c>
      <c r="I4" s="151" t="s">
        <v>1713</v>
      </c>
    </row>
    <row r="5" spans="1:9">
      <c r="A5" s="1386" t="s">
        <v>1540</v>
      </c>
      <c r="B5" s="1387" t="s">
        <v>1541</v>
      </c>
      <c r="C5" s="1388" t="s">
        <v>1714</v>
      </c>
      <c r="D5" t="s">
        <v>1541</v>
      </c>
    </row>
    <row r="6" spans="1:9">
      <c r="A6" s="1389" t="s">
        <v>1544</v>
      </c>
      <c r="B6" s="1389" t="str">
        <f t="shared" ref="B6:B63" si="0">LEFT(A6,5)</f>
        <v xml:space="preserve">3E   </v>
      </c>
      <c r="C6" s="1390">
        <v>9207493.6699999999</v>
      </c>
      <c r="D6" t="s">
        <v>1715</v>
      </c>
      <c r="E6" s="1391" t="s">
        <v>1544</v>
      </c>
      <c r="F6" s="1392">
        <v>15807257.810000001</v>
      </c>
      <c r="H6" s="1393" t="str">
        <f>RIGHT(E6,10)</f>
        <v>RPT_FERC1A</v>
      </c>
      <c r="I6" s="1393"/>
    </row>
    <row r="7" spans="1:9">
      <c r="A7" s="1389" t="s">
        <v>1545</v>
      </c>
      <c r="B7" s="1389" t="str">
        <f t="shared" si="0"/>
        <v xml:space="preserve">4E   </v>
      </c>
      <c r="C7" s="1390">
        <v>1112211.7</v>
      </c>
      <c r="D7" t="s">
        <v>1716</v>
      </c>
      <c r="E7" s="1391" t="s">
        <v>1545</v>
      </c>
      <c r="F7" s="1392">
        <v>2275610.7200000002</v>
      </c>
      <c r="H7" s="1393" t="str">
        <f t="shared" ref="H7:H35" si="1">RIGHT(E7,10)</f>
        <v>G RPT_FERC</v>
      </c>
      <c r="I7" s="1393"/>
    </row>
    <row r="8" spans="1:9">
      <c r="A8" s="1389" t="s">
        <v>1546</v>
      </c>
      <c r="B8" s="1389" t="str">
        <f t="shared" si="0"/>
        <v xml:space="preserve">5E   </v>
      </c>
      <c r="C8" s="1390">
        <v>8200337.8899999997</v>
      </c>
      <c r="D8" t="s">
        <v>1717</v>
      </c>
      <c r="E8" s="1391" t="s">
        <v>1546</v>
      </c>
      <c r="F8" s="1392">
        <v>8068369.6299999999</v>
      </c>
      <c r="H8" s="1393" t="str">
        <f t="shared" si="1"/>
        <v>G RPT_FERC</v>
      </c>
      <c r="I8" s="1393"/>
    </row>
    <row r="9" spans="1:9">
      <c r="A9" s="1389" t="s">
        <v>1547</v>
      </c>
      <c r="B9" s="1389" t="str">
        <f t="shared" si="0"/>
        <v xml:space="preserve">6E   </v>
      </c>
      <c r="C9" s="1390">
        <v>1304267.4099999999</v>
      </c>
      <c r="D9" t="s">
        <v>1718</v>
      </c>
      <c r="E9" s="1391" t="s">
        <v>1547</v>
      </c>
      <c r="F9" s="1392">
        <v>2173524.94</v>
      </c>
      <c r="H9" s="1393" t="str">
        <f t="shared" si="1"/>
        <v>RPT_FERC1D</v>
      </c>
      <c r="I9" s="1393"/>
    </row>
    <row r="10" spans="1:9">
      <c r="A10" s="1389" t="s">
        <v>1548</v>
      </c>
      <c r="B10" s="1389" t="str">
        <f t="shared" si="0"/>
        <v xml:space="preserve">7E   </v>
      </c>
      <c r="C10" s="1390">
        <v>246488.94</v>
      </c>
      <c r="D10" t="s">
        <v>1719</v>
      </c>
      <c r="E10" s="1391" t="s">
        <v>1548</v>
      </c>
      <c r="F10" s="1392">
        <v>265785.59999999998</v>
      </c>
      <c r="H10" s="1393" t="str">
        <f t="shared" si="1"/>
        <v>RPT_FERC1E</v>
      </c>
      <c r="I10" s="1393"/>
    </row>
    <row r="11" spans="1:9">
      <c r="A11" s="1389" t="s">
        <v>1549</v>
      </c>
      <c r="B11" s="1389" t="str">
        <f t="shared" si="0"/>
        <v xml:space="preserve">8E   </v>
      </c>
      <c r="C11" s="1390">
        <v>241338.82</v>
      </c>
      <c r="D11" t="s">
        <v>1720</v>
      </c>
      <c r="E11" s="1391" t="s">
        <v>1549</v>
      </c>
      <c r="F11" s="1392">
        <v>98539.91</v>
      </c>
      <c r="H11" s="1393" t="str">
        <f t="shared" si="1"/>
        <v>RPT_FERC1F</v>
      </c>
      <c r="I11" s="1393"/>
    </row>
    <row r="12" spans="1:9">
      <c r="A12" s="1389" t="s">
        <v>1550</v>
      </c>
      <c r="B12" s="1389" t="str">
        <f t="shared" si="0"/>
        <v xml:space="preserve">9E   </v>
      </c>
      <c r="C12" s="1390">
        <v>4011952.51</v>
      </c>
      <c r="D12" t="s">
        <v>1721</v>
      </c>
      <c r="E12" s="1391" t="s">
        <v>1550</v>
      </c>
      <c r="F12" s="1392">
        <v>5773932.9699999997</v>
      </c>
      <c r="H12" s="1393" t="str">
        <f t="shared" si="1"/>
        <v>RPT_FERC1G</v>
      </c>
      <c r="I12" s="1393"/>
    </row>
    <row r="13" spans="1:9">
      <c r="A13" s="1389" t="s">
        <v>1551</v>
      </c>
      <c r="B13" s="1389" t="str">
        <f t="shared" si="0"/>
        <v xml:space="preserve">12E  </v>
      </c>
      <c r="C13" s="1390">
        <v>2845936.58</v>
      </c>
      <c r="D13" t="s">
        <v>1722</v>
      </c>
      <c r="E13" s="1391" t="s">
        <v>1551</v>
      </c>
      <c r="F13" s="1392">
        <v>3851007.25</v>
      </c>
      <c r="H13" s="1393" t="str">
        <f t="shared" si="1"/>
        <v>RPT_FERC1H</v>
      </c>
      <c r="I13" s="1393"/>
    </row>
    <row r="14" spans="1:9">
      <c r="A14" s="1389" t="s">
        <v>1552</v>
      </c>
      <c r="B14" s="1389" t="str">
        <f t="shared" si="0"/>
        <v xml:space="preserve">13E  </v>
      </c>
      <c r="C14" s="1390">
        <v>264033.07</v>
      </c>
      <c r="D14" t="s">
        <v>1723</v>
      </c>
      <c r="E14" s="1391" t="s">
        <v>1552</v>
      </c>
      <c r="F14" s="1392">
        <v>366490.89</v>
      </c>
      <c r="H14" s="1393" t="str">
        <f t="shared" si="1"/>
        <v>RPT_FERC1I</v>
      </c>
      <c r="I14" s="1393"/>
    </row>
    <row r="15" spans="1:9">
      <c r="A15" s="1389" t="s">
        <v>1553</v>
      </c>
      <c r="B15" s="1389" t="str">
        <f t="shared" si="0"/>
        <v xml:space="preserve">14E  </v>
      </c>
      <c r="C15" s="1390">
        <v>6870156.9199999999</v>
      </c>
      <c r="D15" t="s">
        <v>1724</v>
      </c>
      <c r="E15" s="1391" t="s">
        <v>1553</v>
      </c>
      <c r="F15" s="1392">
        <v>10924040.949999999</v>
      </c>
      <c r="H15" s="1393" t="str">
        <f t="shared" si="1"/>
        <v>RPT_FERC1J</v>
      </c>
      <c r="I15" s="1393"/>
    </row>
    <row r="16" spans="1:9">
      <c r="A16" s="1389" t="s">
        <v>1554</v>
      </c>
      <c r="B16" s="1389" t="str">
        <f t="shared" si="0"/>
        <v xml:space="preserve">15E  </v>
      </c>
      <c r="C16" s="1390">
        <v>40880.18</v>
      </c>
      <c r="D16" t="s">
        <v>1725</v>
      </c>
      <c r="E16" s="1391" t="s">
        <v>1554</v>
      </c>
      <c r="F16" s="1392">
        <v>73791</v>
      </c>
      <c r="H16" s="1393" t="str">
        <f t="shared" si="1"/>
        <v>RPT_FERC1K</v>
      </c>
      <c r="I16" s="1393"/>
    </row>
    <row r="17" spans="1:9">
      <c r="A17" s="1389" t="s">
        <v>1556</v>
      </c>
      <c r="B17" s="1389" t="str">
        <f t="shared" si="0"/>
        <v xml:space="preserve">28G  </v>
      </c>
      <c r="C17" s="1390">
        <v>115659.58</v>
      </c>
      <c r="D17" t="s">
        <v>1726</v>
      </c>
      <c r="E17" s="1391" t="s">
        <v>1556</v>
      </c>
      <c r="F17" s="1392">
        <v>118238.97</v>
      </c>
      <c r="H17" s="1393" t="str">
        <f t="shared" si="1"/>
        <v>RPT_FERC1L</v>
      </c>
      <c r="I17" s="1393"/>
    </row>
    <row r="18" spans="1:9">
      <c r="A18" s="1389" t="s">
        <v>1557</v>
      </c>
      <c r="B18" s="1389" t="str">
        <f t="shared" si="0"/>
        <v xml:space="preserve">30G  </v>
      </c>
      <c r="C18" s="1390">
        <v>375122.88</v>
      </c>
      <c r="D18" t="s">
        <v>1727</v>
      </c>
      <c r="E18" s="1391" t="s">
        <v>1557</v>
      </c>
      <c r="F18" s="1392">
        <v>387523.67</v>
      </c>
      <c r="H18" s="1393" t="str">
        <f t="shared" si="1"/>
        <v>RPT_FERC1N</v>
      </c>
      <c r="I18" s="1393"/>
    </row>
    <row r="19" spans="1:9">
      <c r="A19" s="1389" t="s">
        <v>1558</v>
      </c>
      <c r="B19" s="1389" t="str">
        <f t="shared" si="0"/>
        <v xml:space="preserve">31G  </v>
      </c>
      <c r="C19" s="1390">
        <v>228256.66</v>
      </c>
      <c r="D19" t="s">
        <v>1728</v>
      </c>
      <c r="E19" s="1391" t="s">
        <v>1558</v>
      </c>
      <c r="F19" s="1392">
        <v>331624.21000000002</v>
      </c>
      <c r="H19" s="1393" t="str">
        <f t="shared" si="1"/>
        <v>RPT_FERC1O</v>
      </c>
      <c r="I19" s="1393"/>
    </row>
    <row r="20" spans="1:9">
      <c r="A20" s="1389" t="s">
        <v>1559</v>
      </c>
      <c r="B20" s="1389" t="str">
        <f t="shared" si="0"/>
        <v xml:space="preserve">32G  </v>
      </c>
      <c r="C20" s="1390">
        <v>23459.18</v>
      </c>
      <c r="D20" t="s">
        <v>1729</v>
      </c>
      <c r="E20" s="1391" t="s">
        <v>1559</v>
      </c>
      <c r="F20" s="1392"/>
      <c r="H20" s="1393" t="str">
        <f t="shared" si="1"/>
        <v>RPT_FERC1P</v>
      </c>
      <c r="I20" s="1393"/>
    </row>
    <row r="21" spans="1:9">
      <c r="A21" s="1389" t="s">
        <v>1560</v>
      </c>
      <c r="B21" s="1389" t="str">
        <f t="shared" si="0"/>
        <v xml:space="preserve">33G  </v>
      </c>
      <c r="C21" s="1390">
        <v>11789618.789999999</v>
      </c>
      <c r="D21" t="s">
        <v>1730</v>
      </c>
      <c r="E21" s="1391" t="s">
        <v>1560</v>
      </c>
      <c r="F21" s="1392">
        <v>14976862.67</v>
      </c>
      <c r="H21" s="1393" t="str">
        <f t="shared" si="1"/>
        <v>RPT_FERC1Q</v>
      </c>
      <c r="I21" s="1393"/>
    </row>
    <row r="22" spans="1:9">
      <c r="A22" s="1389" t="s">
        <v>1561</v>
      </c>
      <c r="B22" s="1389" t="str">
        <f t="shared" si="0"/>
        <v xml:space="preserve">34G  </v>
      </c>
      <c r="C22" s="1390">
        <v>1189049.29</v>
      </c>
      <c r="D22" t="s">
        <v>1731</v>
      </c>
      <c r="E22" s="1391" t="s">
        <v>1561</v>
      </c>
      <c r="F22" s="1392">
        <v>1548579.93</v>
      </c>
      <c r="H22" s="1393" t="str">
        <f t="shared" si="1"/>
        <v>RPT_FERC1R</v>
      </c>
      <c r="I22" s="1393"/>
    </row>
    <row r="23" spans="1:9">
      <c r="A23" s="1389" t="s">
        <v>1562</v>
      </c>
      <c r="B23" s="1389" t="str">
        <f t="shared" si="0"/>
        <v xml:space="preserve">35G  </v>
      </c>
      <c r="C23" s="1390">
        <v>304302.56</v>
      </c>
      <c r="D23" t="s">
        <v>1732</v>
      </c>
      <c r="E23" s="1391" t="s">
        <v>1562</v>
      </c>
      <c r="F23" s="1392">
        <v>224575.46</v>
      </c>
      <c r="H23" s="1393" t="str">
        <f t="shared" si="1"/>
        <v xml:space="preserve"> RPT_FERC1</v>
      </c>
      <c r="I23" s="1393"/>
    </row>
    <row r="24" spans="1:9">
      <c r="A24" s="1389" t="s">
        <v>1563</v>
      </c>
      <c r="B24" s="1389" t="str">
        <f t="shared" si="0"/>
        <v xml:space="preserve">36G  </v>
      </c>
      <c r="C24" s="1390">
        <v>14438.95</v>
      </c>
      <c r="D24" t="s">
        <v>1733</v>
      </c>
      <c r="E24" s="1391" t="s">
        <v>1563</v>
      </c>
      <c r="F24" s="1392">
        <v>125670.33</v>
      </c>
      <c r="H24" s="1393" t="str">
        <f t="shared" si="1"/>
        <v>RPT_FERC1T</v>
      </c>
      <c r="I24" s="1393"/>
    </row>
    <row r="25" spans="1:9">
      <c r="A25" s="1389" t="s">
        <v>1564</v>
      </c>
      <c r="B25" s="1389" t="str">
        <f t="shared" si="0"/>
        <v xml:space="preserve">37G  </v>
      </c>
      <c r="C25" s="1390">
        <v>1474880.61</v>
      </c>
      <c r="D25" t="s">
        <v>1734</v>
      </c>
      <c r="E25" s="1391" t="s">
        <v>1564</v>
      </c>
      <c r="F25" s="1392">
        <v>1588519.2</v>
      </c>
      <c r="H25" s="1393" t="str">
        <f t="shared" si="1"/>
        <v>RPT_FERC1U</v>
      </c>
      <c r="I25" s="1393"/>
    </row>
    <row r="26" spans="1:9">
      <c r="A26" s="1389" t="s">
        <v>1567</v>
      </c>
      <c r="B26" s="1389" t="str">
        <f t="shared" si="0"/>
        <v xml:space="preserve">40G  </v>
      </c>
      <c r="C26" s="1390">
        <v>40.46</v>
      </c>
      <c r="D26" t="s">
        <v>1735</v>
      </c>
      <c r="E26" s="1394" t="s">
        <v>1567</v>
      </c>
      <c r="F26" s="1392">
        <v>14.76</v>
      </c>
      <c r="H26" s="1393" t="str">
        <f t="shared" si="1"/>
        <v xml:space="preserve"> RPT_FERC1</v>
      </c>
      <c r="I26" s="1393"/>
    </row>
    <row r="27" spans="1:9">
      <c r="A27" s="1389" t="s">
        <v>1568</v>
      </c>
      <c r="B27" s="1389" t="str">
        <f t="shared" si="0"/>
        <v xml:space="preserve">43G  </v>
      </c>
      <c r="C27" s="1390">
        <v>138183.98000000001</v>
      </c>
      <c r="D27" t="s">
        <v>1736</v>
      </c>
      <c r="E27" s="1391" t="s">
        <v>1568</v>
      </c>
      <c r="F27" s="1392">
        <v>206416.79</v>
      </c>
      <c r="H27" s="1393" t="str">
        <f t="shared" si="1"/>
        <v>RPT_FERC1Y</v>
      </c>
      <c r="I27" s="1393"/>
    </row>
    <row r="28" spans="1:9">
      <c r="A28" s="1389" t="s">
        <v>1569</v>
      </c>
      <c r="B28" s="1389" t="str">
        <f t="shared" si="0"/>
        <v xml:space="preserve">44G  </v>
      </c>
      <c r="C28" s="1390">
        <v>101923.03</v>
      </c>
      <c r="D28" t="s">
        <v>1737</v>
      </c>
      <c r="E28" s="1391" t="s">
        <v>1569</v>
      </c>
      <c r="F28" s="1392">
        <v>83053.83</v>
      </c>
      <c r="H28" s="1393" t="str">
        <f t="shared" si="1"/>
        <v>RPT_FERC1Z</v>
      </c>
      <c r="I28" s="1393"/>
    </row>
    <row r="29" spans="1:9">
      <c r="A29" s="1389" t="s">
        <v>1570</v>
      </c>
      <c r="B29" s="1389" t="str">
        <f t="shared" si="0"/>
        <v xml:space="preserve">45G  </v>
      </c>
      <c r="C29" s="1390">
        <v>3181908.71</v>
      </c>
      <c r="D29" t="s">
        <v>1738</v>
      </c>
      <c r="E29" s="1391" t="s">
        <v>1570</v>
      </c>
      <c r="F29" s="1392">
        <v>4490688.13</v>
      </c>
      <c r="H29" s="1393" t="str">
        <f t="shared" si="1"/>
        <v>RPTFERC1AA</v>
      </c>
      <c r="I29" s="1393"/>
    </row>
    <row r="30" spans="1:9">
      <c r="A30" s="1389" t="s">
        <v>1571</v>
      </c>
      <c r="B30" s="1389" t="str">
        <f t="shared" si="0"/>
        <v xml:space="preserve">46G  </v>
      </c>
      <c r="C30" s="1390">
        <v>32464.71</v>
      </c>
      <c r="D30" t="s">
        <v>1739</v>
      </c>
      <c r="E30" s="1391" t="s">
        <v>1571</v>
      </c>
      <c r="F30" s="1392">
        <v>41717.910000000003</v>
      </c>
      <c r="H30" s="1393" t="str">
        <f t="shared" si="1"/>
        <v>RPTFERC1AB</v>
      </c>
      <c r="I30" s="1393"/>
    </row>
    <row r="31" spans="1:9">
      <c r="A31" s="1389" t="s">
        <v>1605</v>
      </c>
      <c r="B31" s="1389" t="str">
        <f t="shared" si="0"/>
        <v xml:space="preserve">CCA  </v>
      </c>
      <c r="C31" s="1390">
        <v>10493128.35</v>
      </c>
      <c r="D31" t="s">
        <v>1740</v>
      </c>
      <c r="E31" s="1391" t="s">
        <v>1605</v>
      </c>
      <c r="F31" s="1392">
        <v>15463220.92</v>
      </c>
      <c r="H31" s="1393" t="str">
        <f t="shared" si="1"/>
        <v>RPTFERC1AC</v>
      </c>
      <c r="I31" s="1393"/>
    </row>
    <row r="32" spans="1:9">
      <c r="A32" s="1389" t="s">
        <v>1606</v>
      </c>
      <c r="B32" s="1389" t="str">
        <f t="shared" si="0"/>
        <v xml:space="preserve">CCS  </v>
      </c>
      <c r="C32" s="1390">
        <v>1163050.54</v>
      </c>
      <c r="D32" t="s">
        <v>1741</v>
      </c>
      <c r="E32" s="1391" t="s">
        <v>1606</v>
      </c>
      <c r="F32" s="1392">
        <v>1265831.18</v>
      </c>
      <c r="H32" s="1393" t="str">
        <f t="shared" si="1"/>
        <v>RPTFERC1AD</v>
      </c>
      <c r="I32" s="1393"/>
    </row>
    <row r="33" spans="1:9">
      <c r="A33" s="1389" t="s">
        <v>1607</v>
      </c>
      <c r="B33" s="1389" t="str">
        <f t="shared" si="0"/>
        <v xml:space="preserve">CSA  </v>
      </c>
      <c r="C33" s="1390">
        <v>0</v>
      </c>
      <c r="D33" t="s">
        <v>1742</v>
      </c>
      <c r="E33" s="1391" t="s">
        <v>1607</v>
      </c>
      <c r="F33" s="1395"/>
      <c r="H33" s="1393" t="str">
        <f t="shared" si="1"/>
        <v>RPTFERC1AE</v>
      </c>
      <c r="I33" s="1393"/>
    </row>
    <row r="34" spans="1:9">
      <c r="A34" s="1389" t="s">
        <v>1608</v>
      </c>
      <c r="B34" s="1389" t="str">
        <f t="shared" si="0"/>
        <v xml:space="preserve">CAG  </v>
      </c>
      <c r="C34" s="1390">
        <v>16913821.149999999</v>
      </c>
      <c r="D34" t="s">
        <v>1743</v>
      </c>
      <c r="E34" s="1391" t="s">
        <v>1608</v>
      </c>
      <c r="F34" s="1392">
        <v>22764791.670000002</v>
      </c>
      <c r="H34" s="1393" t="str">
        <f t="shared" si="1"/>
        <v>RPTFERC1AF</v>
      </c>
      <c r="I34" s="1393"/>
    </row>
    <row r="35" spans="1:9">
      <c r="A35" s="1389" t="s">
        <v>1609</v>
      </c>
      <c r="B35" s="1389" t="str">
        <f t="shared" si="0"/>
        <v xml:space="preserve">CMT  </v>
      </c>
      <c r="C35" s="1390">
        <v>795793.53</v>
      </c>
      <c r="D35" t="s">
        <v>1744</v>
      </c>
      <c r="E35" s="1391" t="s">
        <v>1609</v>
      </c>
      <c r="F35" s="1392">
        <v>1023631.16</v>
      </c>
      <c r="H35" s="1393" t="str">
        <f t="shared" si="1"/>
        <v>RPTFERC1AG</v>
      </c>
      <c r="I35" s="1393"/>
    </row>
    <row r="36" spans="1:9">
      <c r="A36" s="1389" t="s">
        <v>1573</v>
      </c>
      <c r="B36" s="1389" t="str">
        <f t="shared" si="0"/>
        <v xml:space="preserve">65E  </v>
      </c>
      <c r="C36" s="1390">
        <v>15430992.449999999</v>
      </c>
      <c r="D36" t="s">
        <v>1745</v>
      </c>
      <c r="E36" s="1391" t="s">
        <v>1573</v>
      </c>
      <c r="F36" s="1392">
        <v>19043382.43</v>
      </c>
      <c r="H36" s="1393" t="str">
        <f t="shared" ref="H36:H41" si="2">RIGHT(E36,4)</f>
        <v>107E</v>
      </c>
      <c r="I36" s="1393"/>
    </row>
    <row r="37" spans="1:9">
      <c r="A37" s="1389" t="s">
        <v>1574</v>
      </c>
      <c r="B37" s="1389" t="str">
        <f t="shared" si="0"/>
        <v xml:space="preserve">66G  </v>
      </c>
      <c r="C37" s="1390">
        <v>7694238.3300000001</v>
      </c>
      <c r="D37" t="s">
        <v>1746</v>
      </c>
      <c r="E37" s="1391" t="s">
        <v>1574</v>
      </c>
      <c r="F37" s="1392">
        <v>7930797.6500000004</v>
      </c>
      <c r="H37" s="1393" t="str">
        <f t="shared" si="2"/>
        <v>107G</v>
      </c>
      <c r="I37" s="1393"/>
    </row>
    <row r="38" spans="1:9">
      <c r="A38" s="1389" t="s">
        <v>1575</v>
      </c>
      <c r="B38" s="1389" t="str">
        <f t="shared" si="0"/>
        <v xml:space="preserve">67C  </v>
      </c>
      <c r="C38" s="1390">
        <v>3392932.17</v>
      </c>
      <c r="D38" t="s">
        <v>1747</v>
      </c>
      <c r="E38" s="1391" t="s">
        <v>1575</v>
      </c>
      <c r="F38" s="1392">
        <v>3652305.83</v>
      </c>
      <c r="H38" s="1393" t="str">
        <f t="shared" si="2"/>
        <v>107C</v>
      </c>
      <c r="I38" s="1393"/>
    </row>
    <row r="39" spans="1:9">
      <c r="A39" s="1389" t="s">
        <v>1579</v>
      </c>
      <c r="B39" s="1389" t="str">
        <f t="shared" si="0"/>
        <v xml:space="preserve">70E  </v>
      </c>
      <c r="C39" s="1390">
        <v>3031236.72</v>
      </c>
      <c r="D39" t="s">
        <v>1748</v>
      </c>
      <c r="E39" s="1391" t="s">
        <v>1579</v>
      </c>
      <c r="F39" s="1392">
        <v>4377661.22</v>
      </c>
      <c r="H39" s="1393" t="str">
        <f t="shared" si="2"/>
        <v>108E</v>
      </c>
      <c r="I39" s="1393"/>
    </row>
    <row r="40" spans="1:9">
      <c r="A40" s="1389" t="s">
        <v>1580</v>
      </c>
      <c r="B40" s="1389" t="str">
        <f t="shared" si="0"/>
        <v xml:space="preserve">71G  </v>
      </c>
      <c r="C40" s="1390">
        <v>314830.27</v>
      </c>
      <c r="D40" t="s">
        <v>1749</v>
      </c>
      <c r="E40" s="1391" t="s">
        <v>1580</v>
      </c>
      <c r="F40" s="1392">
        <v>735754.26</v>
      </c>
      <c r="H40" s="1393" t="str">
        <f t="shared" si="2"/>
        <v>108G</v>
      </c>
      <c r="I40" s="1393"/>
    </row>
    <row r="41" spans="1:9">
      <c r="A41" s="1389" t="s">
        <v>1581</v>
      </c>
      <c r="B41" s="1389" t="str">
        <f t="shared" si="0"/>
        <v xml:space="preserve">72C  </v>
      </c>
      <c r="C41" s="1390">
        <v>517100.59</v>
      </c>
      <c r="D41" t="s">
        <v>1750</v>
      </c>
      <c r="E41" s="1391" t="s">
        <v>1581</v>
      </c>
      <c r="F41" s="1392">
        <v>564721.38</v>
      </c>
      <c r="H41" s="1393" t="str">
        <f t="shared" si="2"/>
        <v>108C</v>
      </c>
      <c r="I41" s="1393"/>
    </row>
    <row r="42" spans="1:9">
      <c r="A42" s="1389" t="s">
        <v>1576</v>
      </c>
      <c r="B42" s="1389" t="str">
        <f t="shared" si="0"/>
        <v>74.01</v>
      </c>
      <c r="C42" s="1390">
        <v>181432.7</v>
      </c>
      <c r="D42" t="s">
        <v>1577</v>
      </c>
      <c r="E42" s="1391" t="s">
        <v>1576</v>
      </c>
      <c r="F42" s="1392">
        <v>150920.63</v>
      </c>
      <c r="H42" s="1393" t="str">
        <f>RIGHT(E42,5)</f>
        <v>107CL</v>
      </c>
      <c r="I42" s="1393"/>
    </row>
    <row r="43" spans="1:9">
      <c r="A43" s="1389" t="s">
        <v>1582</v>
      </c>
      <c r="B43" s="1389" t="str">
        <f t="shared" si="0"/>
        <v>74.01</v>
      </c>
      <c r="C43" s="1390">
        <v>12010.21</v>
      </c>
      <c r="D43" t="s">
        <v>1577</v>
      </c>
      <c r="E43" s="1391" t="s">
        <v>1582</v>
      </c>
      <c r="F43" s="1392">
        <v>10726.47</v>
      </c>
      <c r="H43" s="1393" t="str">
        <f>RIGHT(E43,5)</f>
        <v>108CL</v>
      </c>
      <c r="I43" s="1393"/>
    </row>
    <row r="44" spans="1:9">
      <c r="A44" s="1389" t="s">
        <v>1751</v>
      </c>
      <c r="B44" s="1389" t="str">
        <f t="shared" si="0"/>
        <v>74.01</v>
      </c>
      <c r="C44" s="1390">
        <v>193442.91</v>
      </c>
      <c r="D44" t="s">
        <v>1577</v>
      </c>
      <c r="E44" s="1391" t="s">
        <v>1751</v>
      </c>
      <c r="F44" s="1392">
        <v>161647.1</v>
      </c>
      <c r="H44" s="1393"/>
      <c r="I44" s="1393"/>
    </row>
    <row r="45" spans="1:9">
      <c r="A45" s="1389" t="s">
        <v>1583</v>
      </c>
      <c r="B45" s="1389" t="str">
        <f t="shared" si="0"/>
        <v>74.02</v>
      </c>
      <c r="C45" s="1390">
        <v>441665.51</v>
      </c>
      <c r="D45" t="s">
        <v>1584</v>
      </c>
      <c r="E45" s="1391" t="s">
        <v>1583</v>
      </c>
      <c r="F45" s="1392">
        <v>553710.29</v>
      </c>
      <c r="H45" s="1393"/>
      <c r="I45" s="1393" t="s">
        <v>1752</v>
      </c>
    </row>
    <row r="46" spans="1:9">
      <c r="A46" s="1389" t="s">
        <v>1585</v>
      </c>
      <c r="B46" s="1389" t="str">
        <f t="shared" si="0"/>
        <v>74.02</v>
      </c>
      <c r="C46" s="1390">
        <v>2005926.96</v>
      </c>
      <c r="D46" t="s">
        <v>1584</v>
      </c>
      <c r="E46" s="1391" t="s">
        <v>1585</v>
      </c>
      <c r="F46" s="1392">
        <v>2581181.7799999998</v>
      </c>
      <c r="H46" s="1393" t="s">
        <v>1753</v>
      </c>
      <c r="I46" s="1393"/>
    </row>
    <row r="47" spans="1:9">
      <c r="A47" s="1389" t="s">
        <v>1586</v>
      </c>
      <c r="B47" s="1389" t="str">
        <f t="shared" si="0"/>
        <v>74.02</v>
      </c>
      <c r="C47" s="1390">
        <v>0</v>
      </c>
      <c r="D47" t="s">
        <v>1584</v>
      </c>
      <c r="E47" s="1391" t="s">
        <v>1586</v>
      </c>
      <c r="F47" s="1395"/>
      <c r="H47" s="1393"/>
      <c r="I47" s="1393" t="s">
        <v>1754</v>
      </c>
    </row>
    <row r="48" spans="1:9">
      <c r="A48" s="1389" t="s">
        <v>1587</v>
      </c>
      <c r="B48" s="1389" t="str">
        <f t="shared" si="0"/>
        <v>74.02</v>
      </c>
      <c r="C48" s="1390">
        <v>0</v>
      </c>
      <c r="D48" t="s">
        <v>1584</v>
      </c>
      <c r="E48" s="1391" t="s">
        <v>1587</v>
      </c>
      <c r="F48" s="1395"/>
      <c r="H48" s="1393" t="s">
        <v>1755</v>
      </c>
      <c r="I48" s="1393"/>
    </row>
    <row r="49" spans="1:9">
      <c r="A49" s="1389" t="s">
        <v>1588</v>
      </c>
      <c r="B49" s="1389" t="str">
        <f t="shared" si="0"/>
        <v>74.02</v>
      </c>
      <c r="C49" s="1390">
        <v>2447592.4700000002</v>
      </c>
      <c r="D49" t="s">
        <v>1584</v>
      </c>
      <c r="E49" s="1391" t="s">
        <v>1588</v>
      </c>
      <c r="F49" s="1392">
        <v>3134892.07</v>
      </c>
      <c r="H49" s="1393"/>
      <c r="I49" s="1393"/>
    </row>
    <row r="50" spans="1:9">
      <c r="A50" s="1389" t="s">
        <v>1594</v>
      </c>
      <c r="B50" s="1389" t="str">
        <f t="shared" si="0"/>
        <v>74.03</v>
      </c>
      <c r="C50" s="1390">
        <v>3507.62</v>
      </c>
      <c r="D50" t="s">
        <v>1593</v>
      </c>
      <c r="E50" s="1391" t="s">
        <v>1594</v>
      </c>
      <c r="F50" s="1392">
        <v>1725642.31</v>
      </c>
      <c r="H50" s="1393">
        <v>1821</v>
      </c>
      <c r="I50" s="1393"/>
    </row>
    <row r="51" spans="1:9">
      <c r="A51" s="1389" t="s">
        <v>1592</v>
      </c>
      <c r="B51" s="1389" t="str">
        <f t="shared" si="0"/>
        <v>74.03</v>
      </c>
      <c r="C51" s="1390">
        <v>5035412.3</v>
      </c>
      <c r="D51" t="s">
        <v>1593</v>
      </c>
      <c r="E51" s="1391" t="s">
        <v>1592</v>
      </c>
      <c r="F51" s="1392">
        <v>7261895.6200000001</v>
      </c>
      <c r="H51" s="1393">
        <v>1823</v>
      </c>
      <c r="I51" s="1393"/>
    </row>
    <row r="52" spans="1:9">
      <c r="A52" s="1389" t="s">
        <v>1595</v>
      </c>
      <c r="B52" s="1389" t="str">
        <f t="shared" si="0"/>
        <v>74.03</v>
      </c>
      <c r="C52" s="1390">
        <v>5038919.92</v>
      </c>
      <c r="D52" t="s">
        <v>1593</v>
      </c>
      <c r="E52" s="1391" t="s">
        <v>1595</v>
      </c>
      <c r="F52" s="1392">
        <v>8987537.9299999997</v>
      </c>
      <c r="H52" s="1393"/>
      <c r="I52" s="1393"/>
    </row>
    <row r="53" spans="1:9">
      <c r="A53" s="1389" t="s">
        <v>1590</v>
      </c>
      <c r="B53" s="1389" t="str">
        <f t="shared" si="0"/>
        <v>74.04</v>
      </c>
      <c r="C53" s="1390">
        <v>2247.16</v>
      </c>
      <c r="D53" t="s">
        <v>1460</v>
      </c>
      <c r="E53" s="1391" t="s">
        <v>1590</v>
      </c>
      <c r="F53" s="1392">
        <v>21049.69</v>
      </c>
      <c r="H53" s="1393">
        <v>185</v>
      </c>
      <c r="I53" s="1393"/>
    </row>
    <row r="54" spans="1:9">
      <c r="A54" s="1389" t="s">
        <v>1591</v>
      </c>
      <c r="B54" s="1389" t="str">
        <f t="shared" si="0"/>
        <v>74.05</v>
      </c>
      <c r="C54" s="1390">
        <v>2175790.79</v>
      </c>
      <c r="D54" t="s">
        <v>1462</v>
      </c>
      <c r="E54" s="1391" t="s">
        <v>1591</v>
      </c>
      <c r="F54" s="1392">
        <v>3026289.8</v>
      </c>
      <c r="H54" s="1393">
        <v>186</v>
      </c>
      <c r="I54" s="1393"/>
    </row>
    <row r="55" spans="1:9">
      <c r="A55" s="1389" t="s">
        <v>1611</v>
      </c>
      <c r="B55" s="1389" t="str">
        <f t="shared" si="0"/>
        <v>74.06</v>
      </c>
      <c r="C55" s="1390">
        <v>938927.67</v>
      </c>
      <c r="D55" t="s">
        <v>1464</v>
      </c>
      <c r="E55" s="1391" t="s">
        <v>1611</v>
      </c>
      <c r="F55" s="1392">
        <v>1083227.8799999999</v>
      </c>
      <c r="H55" s="1393" t="s">
        <v>1756</v>
      </c>
      <c r="I55" s="1393"/>
    </row>
    <row r="56" spans="1:9">
      <c r="A56" s="1389" t="s">
        <v>1612</v>
      </c>
      <c r="B56" s="1389" t="str">
        <f t="shared" si="0"/>
        <v>74.07</v>
      </c>
      <c r="C56" s="1390">
        <v>0</v>
      </c>
      <c r="D56" t="s">
        <v>1466</v>
      </c>
      <c r="E56" s="1391" t="s">
        <v>1612</v>
      </c>
      <c r="F56" s="1395"/>
      <c r="H56" s="1393">
        <v>143</v>
      </c>
      <c r="I56" s="1393"/>
    </row>
    <row r="57" spans="1:9">
      <c r="A57" s="1389" t="s">
        <v>1596</v>
      </c>
      <c r="B57" s="1389" t="str">
        <f t="shared" si="0"/>
        <v>74.07</v>
      </c>
      <c r="C57" s="1390">
        <v>25997.599999999999</v>
      </c>
      <c r="D57" t="s">
        <v>1466</v>
      </c>
      <c r="E57" s="1391" t="s">
        <v>1596</v>
      </c>
      <c r="F57" s="1392">
        <v>10577.99</v>
      </c>
      <c r="H57" s="1393" t="s">
        <v>1757</v>
      </c>
      <c r="I57" s="1393"/>
    </row>
    <row r="58" spans="1:9">
      <c r="A58" s="1389" t="s">
        <v>1758</v>
      </c>
      <c r="B58" s="1389" t="str">
        <f t="shared" si="0"/>
        <v>74.07</v>
      </c>
      <c r="C58" s="1390">
        <v>0</v>
      </c>
      <c r="D58" t="s">
        <v>1466</v>
      </c>
      <c r="E58" s="1391" t="s">
        <v>1758</v>
      </c>
      <c r="F58" s="1392"/>
      <c r="H58" s="1393" t="s">
        <v>1759</v>
      </c>
      <c r="I58" s="1393"/>
    </row>
    <row r="59" spans="1:9">
      <c r="A59" s="1389" t="s">
        <v>1760</v>
      </c>
      <c r="B59" s="1389" t="str">
        <f t="shared" si="0"/>
        <v>74.07</v>
      </c>
      <c r="C59" s="1390">
        <v>25997.599999999999</v>
      </c>
      <c r="D59" t="s">
        <v>1466</v>
      </c>
      <c r="E59" s="1391" t="s">
        <v>1760</v>
      </c>
      <c r="F59" s="1392">
        <v>10577.99</v>
      </c>
      <c r="H59" s="1393"/>
      <c r="I59" s="1393"/>
    </row>
    <row r="60" spans="1:9">
      <c r="A60" s="1389" t="s">
        <v>1589</v>
      </c>
      <c r="B60" s="1389" t="str">
        <f t="shared" si="0"/>
        <v xml:space="preserve">74M2 </v>
      </c>
      <c r="C60" s="1390">
        <v>0</v>
      </c>
      <c r="D60" t="s">
        <v>1761</v>
      </c>
      <c r="E60" s="1391" t="s">
        <v>1589</v>
      </c>
      <c r="F60" s="1392">
        <v>5235.18</v>
      </c>
      <c r="H60" s="1393">
        <v>2</v>
      </c>
      <c r="I60" s="1393"/>
    </row>
    <row r="61" spans="1:9">
      <c r="A61" s="1389" t="s">
        <v>1565</v>
      </c>
      <c r="B61" s="1389" t="str">
        <f t="shared" si="0"/>
        <v>74JPE</v>
      </c>
      <c r="C61" s="1390">
        <v>0</v>
      </c>
      <c r="D61" t="s">
        <v>1474</v>
      </c>
      <c r="E61" s="1391" t="s">
        <v>1565</v>
      </c>
      <c r="F61" s="1392"/>
      <c r="H61" s="1393" t="s">
        <v>1762</v>
      </c>
      <c r="I61" s="1393"/>
    </row>
    <row r="62" spans="1:9">
      <c r="A62" s="1389" t="s">
        <v>1566</v>
      </c>
      <c r="B62" s="1389" t="str">
        <f t="shared" si="0"/>
        <v>74JPC</v>
      </c>
      <c r="C62" s="1390">
        <v>12998.8</v>
      </c>
      <c r="D62" t="s">
        <v>1471</v>
      </c>
      <c r="E62" s="1391" t="s">
        <v>1566</v>
      </c>
      <c r="F62" s="1392">
        <v>5289</v>
      </c>
      <c r="H62" s="1393" t="s">
        <v>1763</v>
      </c>
      <c r="I62" s="1393"/>
    </row>
    <row r="63" spans="1:9">
      <c r="A63" s="1389" t="s">
        <v>1614</v>
      </c>
      <c r="B63" s="1389" t="str">
        <f t="shared" si="0"/>
        <v xml:space="preserve">PTO  </v>
      </c>
      <c r="C63" s="1390">
        <v>17604999.289999999</v>
      </c>
      <c r="D63" t="s">
        <v>1764</v>
      </c>
      <c r="E63" s="1391" t="s">
        <v>1614</v>
      </c>
      <c r="F63" s="1392">
        <v>29052601.07</v>
      </c>
      <c r="H63" s="1393"/>
      <c r="I63" s="1393">
        <v>291</v>
      </c>
    </row>
    <row r="64" spans="1:9">
      <c r="A64" s="1389" t="s">
        <v>1578</v>
      </c>
      <c r="B64" s="1389" t="str">
        <f t="shared" ref="B64:B72" si="3">LEFT(A64,6)</f>
        <v>CONSUP</v>
      </c>
      <c r="C64" s="1390">
        <v>15034626.41</v>
      </c>
      <c r="D64" t="s">
        <v>1505</v>
      </c>
      <c r="E64" s="1391" t="s">
        <v>1578</v>
      </c>
      <c r="F64" s="1392">
        <v>20264059.34</v>
      </c>
      <c r="H64" s="1393" t="s">
        <v>1765</v>
      </c>
      <c r="I64" s="1393"/>
    </row>
    <row r="65" spans="1:9">
      <c r="A65" s="1389" t="s">
        <v>1597</v>
      </c>
      <c r="B65" s="1389" t="str">
        <f t="shared" si="3"/>
        <v xml:space="preserve">RMA   </v>
      </c>
      <c r="C65" s="1390">
        <v>0</v>
      </c>
      <c r="D65" t="s">
        <v>1766</v>
      </c>
      <c r="E65" s="1391" t="s">
        <v>1597</v>
      </c>
      <c r="F65" s="1392"/>
      <c r="H65" s="1393">
        <v>188</v>
      </c>
      <c r="I65" s="1393"/>
    </row>
    <row r="66" spans="1:9">
      <c r="A66" s="1389" t="s">
        <v>1598</v>
      </c>
      <c r="B66" s="1389" t="str">
        <f t="shared" si="3"/>
        <v xml:space="preserve">RMA   </v>
      </c>
      <c r="C66" s="1390">
        <v>512678.91</v>
      </c>
      <c r="D66" t="s">
        <v>1766</v>
      </c>
      <c r="E66" s="1391" t="s">
        <v>1598</v>
      </c>
      <c r="F66" s="1392">
        <v>652640.46</v>
      </c>
      <c r="H66" s="1393" t="s">
        <v>1767</v>
      </c>
      <c r="I66" s="1393"/>
    </row>
    <row r="67" spans="1:9">
      <c r="A67" s="1389" t="s">
        <v>1600</v>
      </c>
      <c r="B67" s="1389" t="str">
        <f t="shared" si="3"/>
        <v xml:space="preserve">RMA   </v>
      </c>
      <c r="C67" s="1390">
        <v>0</v>
      </c>
      <c r="D67" t="s">
        <v>1766</v>
      </c>
      <c r="E67" s="1391" t="s">
        <v>1600</v>
      </c>
      <c r="F67" s="1392"/>
      <c r="H67" s="1393" t="s">
        <v>1768</v>
      </c>
      <c r="I67" s="1393"/>
    </row>
    <row r="68" spans="1:9">
      <c r="A68" s="1389" t="s">
        <v>1601</v>
      </c>
      <c r="B68" s="1389" t="str">
        <f t="shared" si="3"/>
        <v xml:space="preserve">RMA   </v>
      </c>
      <c r="C68" s="1390">
        <v>534144.66</v>
      </c>
      <c r="D68" t="s">
        <v>1766</v>
      </c>
      <c r="E68" s="1391" t="s">
        <v>1601</v>
      </c>
      <c r="F68" s="1392">
        <v>807801.76</v>
      </c>
      <c r="H68" s="1393">
        <v>184</v>
      </c>
      <c r="I68" s="1393"/>
    </row>
    <row r="69" spans="1:9">
      <c r="A69" s="1389" t="s">
        <v>1602</v>
      </c>
      <c r="B69" s="1389" t="str">
        <f t="shared" si="3"/>
        <v xml:space="preserve">RMA   </v>
      </c>
      <c r="C69" s="1390">
        <v>468822.44</v>
      </c>
      <c r="D69" t="s">
        <v>1766</v>
      </c>
      <c r="E69" s="1391" t="s">
        <v>1602</v>
      </c>
      <c r="F69" s="1392">
        <v>559125.16</v>
      </c>
      <c r="H69" s="1393" t="s">
        <v>1769</v>
      </c>
      <c r="I69" s="1393"/>
    </row>
    <row r="70" spans="1:9">
      <c r="A70" s="1389" t="s">
        <v>1603</v>
      </c>
      <c r="B70" s="1389" t="str">
        <f t="shared" si="3"/>
        <v xml:space="preserve">RMA   </v>
      </c>
      <c r="C70" s="1390">
        <v>0</v>
      </c>
      <c r="D70" t="s">
        <v>1766</v>
      </c>
      <c r="E70" s="1391" t="s">
        <v>1603</v>
      </c>
      <c r="F70" s="1395"/>
      <c r="H70" s="1393"/>
      <c r="I70" s="1393">
        <v>280</v>
      </c>
    </row>
    <row r="71" spans="1:9">
      <c r="A71" s="1389" t="s">
        <v>1604</v>
      </c>
      <c r="B71" s="1389" t="str">
        <f t="shared" si="3"/>
        <v xml:space="preserve">RMA   </v>
      </c>
      <c r="C71" s="1390">
        <v>0</v>
      </c>
      <c r="D71" t="s">
        <v>1766</v>
      </c>
      <c r="E71" s="1391" t="s">
        <v>1604</v>
      </c>
      <c r="F71" s="1395"/>
      <c r="H71" s="1393"/>
      <c r="I71" s="1393">
        <v>260</v>
      </c>
    </row>
    <row r="72" spans="1:9">
      <c r="A72" s="1389" t="s">
        <v>1618</v>
      </c>
      <c r="B72" s="1389" t="str">
        <f t="shared" si="3"/>
        <v xml:space="preserve">RMAT  </v>
      </c>
      <c r="C72" s="1390">
        <v>1515646.01</v>
      </c>
      <c r="D72" t="s">
        <v>1770</v>
      </c>
      <c r="E72" s="1391" t="s">
        <v>1618</v>
      </c>
      <c r="F72" s="1392">
        <v>2019567.38</v>
      </c>
      <c r="H72" s="1393"/>
      <c r="I72" s="1393"/>
    </row>
    <row r="73" spans="1:9">
      <c r="A73" s="1389" t="s">
        <v>1619</v>
      </c>
      <c r="B73" s="1389" t="str">
        <f>LEFT(A73,8)</f>
        <v>Subtotal</v>
      </c>
      <c r="C73" s="1390">
        <v>46877214.780000001</v>
      </c>
      <c r="D73" t="s">
        <v>204</v>
      </c>
      <c r="E73" s="1391" t="s">
        <v>1619</v>
      </c>
      <c r="F73" s="1392">
        <v>65492601.189999998</v>
      </c>
      <c r="H73" s="1393"/>
      <c r="I73" s="1393"/>
    </row>
    <row r="74" spans="1:9">
      <c r="A74" s="1389" t="s">
        <v>1620</v>
      </c>
      <c r="B74" s="1389" t="str">
        <f>LEFT(A74,8)</f>
        <v>Subtotal</v>
      </c>
      <c r="C74" s="1390">
        <v>66184316.399999999</v>
      </c>
      <c r="D74" t="s">
        <v>204</v>
      </c>
      <c r="E74" s="1391" t="s">
        <v>1620</v>
      </c>
      <c r="F74" s="1392">
        <v>85131334.040000007</v>
      </c>
      <c r="H74" s="1393"/>
      <c r="I74" s="1393"/>
    </row>
    <row r="75" spans="1:9">
      <c r="A75" s="1389" t="s">
        <v>1621</v>
      </c>
      <c r="B75" s="1389" t="str">
        <f>LEFT(A75,8)</f>
        <v>Subtotal</v>
      </c>
      <c r="C75" s="1390">
        <v>44991189.030000001</v>
      </c>
      <c r="D75" t="s">
        <v>204</v>
      </c>
      <c r="E75" s="1391" t="s">
        <v>1621</v>
      </c>
      <c r="F75" s="1392">
        <v>67771974.430000007</v>
      </c>
      <c r="H75" s="1393"/>
      <c r="I75" s="1393"/>
    </row>
    <row r="76" spans="1:9">
      <c r="A76" s="1389" t="s">
        <v>1623</v>
      </c>
      <c r="B76" s="1389" t="str">
        <f>LEFT(A76,5)</f>
        <v>Grand</v>
      </c>
      <c r="C76" s="1390">
        <v>158052720.21000001</v>
      </c>
      <c r="D76" t="s">
        <v>1624</v>
      </c>
      <c r="E76" s="1391" t="s">
        <v>1623</v>
      </c>
      <c r="F76" s="1392">
        <v>218395909.66</v>
      </c>
      <c r="H76" s="1393"/>
      <c r="I76" s="1393"/>
    </row>
    <row r="77" spans="1:9">
      <c r="A77" s="1389" t="s">
        <v>1625</v>
      </c>
      <c r="B77" s="1389" t="str">
        <f>LEFT(A77,3)</f>
        <v>ALL</v>
      </c>
      <c r="C77" s="1390">
        <v>0</v>
      </c>
      <c r="D77" t="s">
        <v>1771</v>
      </c>
      <c r="E77" s="1396"/>
      <c r="F77" s="1128"/>
      <c r="H77" s="1393"/>
      <c r="I77" s="1393"/>
    </row>
    <row r="78" spans="1:9">
      <c r="A78" s="1389" t="s">
        <v>1627</v>
      </c>
      <c r="B78" s="1389" t="str">
        <f>LEFT(A78,3)</f>
        <v>All</v>
      </c>
      <c r="C78" s="1390">
        <v>140447720.91999999</v>
      </c>
      <c r="D78" t="s">
        <v>1626</v>
      </c>
      <c r="E78" s="1396"/>
      <c r="F78" s="1128"/>
      <c r="H78" s="1393"/>
      <c r="I78" s="1393"/>
    </row>
    <row r="79" spans="1:9">
      <c r="A79" s="1389" t="s">
        <v>1628</v>
      </c>
      <c r="B79" s="1389" t="str">
        <f>LEFT(A79,3)</f>
        <v>All</v>
      </c>
      <c r="C79" s="1390">
        <v>17604999.289999999</v>
      </c>
      <c r="D79" t="s">
        <v>1626</v>
      </c>
      <c r="E79" s="1391" t="s">
        <v>1625</v>
      </c>
      <c r="F79" s="1392"/>
      <c r="H79" s="1393"/>
      <c r="I79" s="1393"/>
    </row>
    <row r="80" spans="1:9">
      <c r="A80" s="1389" t="s">
        <v>1615</v>
      </c>
      <c r="B80" s="1389" t="str">
        <f>LEFT(A80,5)</f>
        <v>Total</v>
      </c>
      <c r="C80" s="1390">
        <v>158052720.21000001</v>
      </c>
      <c r="D80" t="s">
        <v>279</v>
      </c>
      <c r="E80" s="1391" t="s">
        <v>1627</v>
      </c>
      <c r="F80" s="1392">
        <v>189343308.59</v>
      </c>
      <c r="H80" s="1393"/>
      <c r="I80" s="1393"/>
    </row>
    <row r="81" spans="1:8">
      <c r="A81" s="1389" t="s">
        <v>1629</v>
      </c>
      <c r="B81" s="1389"/>
      <c r="C81" s="1390">
        <v>0</v>
      </c>
      <c r="E81" s="1391" t="s">
        <v>1628</v>
      </c>
      <c r="F81" s="1392">
        <v>29052601.07</v>
      </c>
    </row>
    <row r="82" spans="1:8">
      <c r="A82" s="1389" t="s">
        <v>1631</v>
      </c>
      <c r="B82" s="1389"/>
      <c r="C82" s="1390">
        <v>0</v>
      </c>
      <c r="E82" s="1396"/>
      <c r="F82" s="1128"/>
    </row>
    <row r="83" spans="1:8">
      <c r="A83" s="1389" t="s">
        <v>1632</v>
      </c>
      <c r="B83" s="1389"/>
      <c r="C83" s="1390">
        <v>0</v>
      </c>
      <c r="E83" s="1396" t="s">
        <v>1615</v>
      </c>
      <c r="F83" s="1392">
        <v>218395909.66</v>
      </c>
      <c r="H83" s="1328"/>
    </row>
    <row r="84" spans="1:8">
      <c r="A84" s="1389" t="s">
        <v>1633</v>
      </c>
      <c r="B84" s="1389"/>
      <c r="C84" s="1390">
        <v>38996.400000000001</v>
      </c>
      <c r="E84" s="1396"/>
      <c r="F84" s="1128"/>
    </row>
    <row r="85" spans="1:8">
      <c r="A85" s="1389" t="s">
        <v>1634</v>
      </c>
      <c r="B85" s="1389"/>
      <c r="C85" s="1390">
        <v>0</v>
      </c>
      <c r="E85" s="1391" t="s">
        <v>1629</v>
      </c>
      <c r="F85" s="1392">
        <v>0</v>
      </c>
    </row>
    <row r="86" spans="1:8">
      <c r="A86" s="1389" t="s">
        <v>1635</v>
      </c>
      <c r="B86" s="1389"/>
      <c r="C86" s="1390">
        <v>18022054.719999999</v>
      </c>
      <c r="E86" s="1391" t="s">
        <v>1631</v>
      </c>
      <c r="F86" s="1395"/>
    </row>
    <row r="87" spans="1:8">
      <c r="E87" s="1391" t="s">
        <v>1632</v>
      </c>
      <c r="F87" s="1395"/>
    </row>
    <row r="88" spans="1:8">
      <c r="E88" s="1391" t="s">
        <v>1633</v>
      </c>
      <c r="F88" s="1392">
        <v>15866.99</v>
      </c>
    </row>
    <row r="89" spans="1:8">
      <c r="E89" s="1391" t="s">
        <v>1634</v>
      </c>
      <c r="F89" s="1392"/>
    </row>
    <row r="90" spans="1:8">
      <c r="E90" s="1391" t="s">
        <v>1635</v>
      </c>
      <c r="F90" s="1392">
        <v>24057006.739999998</v>
      </c>
    </row>
    <row r="91" spans="1:8">
      <c r="E91"/>
      <c r="F91" s="1373"/>
    </row>
    <row r="92" spans="1:8">
      <c r="E92"/>
      <c r="F92" s="1373"/>
    </row>
    <row r="93" spans="1:8">
      <c r="E93"/>
      <c r="F93"/>
    </row>
    <row r="94" spans="1:8">
      <c r="E94"/>
      <c r="F94" s="1373"/>
    </row>
    <row r="95" spans="1:8">
      <c r="E95"/>
      <c r="F95"/>
    </row>
    <row r="96" spans="1:8">
      <c r="E96"/>
      <c r="F96" s="1373"/>
    </row>
    <row r="97" spans="5:6">
      <c r="E97"/>
      <c r="F97"/>
    </row>
    <row r="98" spans="5:6">
      <c r="E98"/>
      <c r="F98"/>
    </row>
    <row r="99" spans="5:6">
      <c r="E99"/>
      <c r="F99" s="1373"/>
    </row>
    <row r="100" spans="5:6">
      <c r="E100"/>
      <c r="F100"/>
    </row>
    <row r="101" spans="5:6">
      <c r="E101"/>
      <c r="F101" s="1373"/>
    </row>
  </sheetData>
  <mergeCells count="1">
    <mergeCell ref="E4:F4"/>
  </mergeCells>
  <pageMargins left="0.7" right="0.5"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B4:BE48"/>
  <sheetViews>
    <sheetView topLeftCell="A2" zoomScale="85" workbookViewId="0">
      <pane xSplit="2" topLeftCell="C1" activePane="topRight" state="frozen"/>
      <selection activeCell="O32" sqref="O32"/>
      <selection pane="topRight" activeCell="B46" sqref="B46"/>
    </sheetView>
  </sheetViews>
  <sheetFormatPr defaultColWidth="10.6640625" defaultRowHeight="12.75"/>
  <cols>
    <col min="1" max="1" width="2.83203125" style="1398" customWidth="1"/>
    <col min="2" max="2" width="54" style="1398" customWidth="1"/>
    <col min="3" max="3" width="21.5" style="1398" customWidth="1"/>
    <col min="4" max="4" width="1" style="1398" customWidth="1"/>
    <col min="5" max="5" width="11" style="1398" customWidth="1"/>
    <col min="6" max="6" width="1" style="1398" customWidth="1"/>
    <col min="7" max="7" width="21.5" style="1398" customWidth="1"/>
    <col min="8" max="8" width="1" style="1398" customWidth="1"/>
    <col min="9" max="9" width="11" style="1398" customWidth="1"/>
    <col min="10" max="10" width="1" style="1398" customWidth="1"/>
    <col min="11" max="11" width="21.5" style="1398" customWidth="1"/>
    <col min="12" max="12" width="1" style="1398" customWidth="1"/>
    <col min="13" max="13" width="11" style="1398" customWidth="1"/>
    <col min="14" max="14" width="1" style="1398" customWidth="1"/>
    <col min="15" max="15" width="21.5" style="1398" customWidth="1"/>
    <col min="16" max="16" width="1" style="1398" customWidth="1"/>
    <col min="17" max="17" width="11" style="1398" customWidth="1"/>
    <col min="18" max="18" width="1" style="1398" customWidth="1"/>
    <col min="19" max="19" width="21.5" style="1398" customWidth="1"/>
    <col min="20" max="20" width="1" style="1398" customWidth="1"/>
    <col min="21" max="21" width="11" style="1398" customWidth="1"/>
    <col min="22" max="22" width="1" style="1398" customWidth="1"/>
    <col min="23" max="23" width="21.5" style="1398" customWidth="1"/>
    <col min="24" max="24" width="1" style="1398" customWidth="1"/>
    <col min="25" max="25" width="11" style="1398" customWidth="1"/>
    <col min="26" max="26" width="1" style="1398" customWidth="1"/>
    <col min="27" max="27" width="21.5" style="1398" customWidth="1"/>
    <col min="28" max="28" width="1" style="1398" customWidth="1"/>
    <col min="29" max="29" width="11" style="1398" customWidth="1"/>
    <col min="30" max="30" width="1" style="1398" customWidth="1"/>
    <col min="31" max="31" width="21.5" style="1398" customWidth="1"/>
    <col min="32" max="32" width="1" style="1398" customWidth="1"/>
    <col min="33" max="33" width="11" style="1398" customWidth="1"/>
    <col min="34" max="34" width="1" style="1398" customWidth="1"/>
    <col min="35" max="35" width="21.5" style="1398" customWidth="1"/>
    <col min="36" max="36" width="1" style="1398" customWidth="1"/>
    <col min="37" max="37" width="11" style="1398" customWidth="1"/>
    <col min="38" max="38" width="1" style="1398" customWidth="1"/>
    <col min="39" max="39" width="21.5" style="1398" customWidth="1"/>
    <col min="40" max="40" width="1" style="1398" customWidth="1"/>
    <col min="41" max="41" width="11" style="1398" customWidth="1"/>
    <col min="42" max="42" width="1" style="1398" customWidth="1"/>
    <col min="43" max="43" width="21.5" style="1398" customWidth="1"/>
    <col min="44" max="44" width="1" style="1398" customWidth="1"/>
    <col min="45" max="45" width="11" style="1398" customWidth="1"/>
    <col min="46" max="46" width="1" style="1398" customWidth="1"/>
    <col min="47" max="47" width="21.5" style="1482" customWidth="1"/>
    <col min="48" max="48" width="1" style="1482" customWidth="1"/>
    <col min="49" max="49" width="11" style="1482" customWidth="1"/>
    <col min="50" max="50" width="1" style="1398" customWidth="1"/>
    <col min="51" max="51" width="21.5" style="1398" customWidth="1"/>
    <col min="52" max="52" width="1" style="1398" customWidth="1"/>
    <col min="53" max="53" width="11" style="1398" customWidth="1"/>
    <col min="54" max="54" width="1" style="1398" customWidth="1"/>
    <col min="55" max="55" width="21.5" style="1398" customWidth="1"/>
    <col min="56" max="56" width="1" style="1398" customWidth="1"/>
    <col min="57" max="57" width="11" style="1398" customWidth="1"/>
    <col min="58" max="58" width="1" style="1398" customWidth="1"/>
    <col min="59" max="256" width="10.6640625" style="1398"/>
    <col min="257" max="257" width="2.83203125" style="1398" customWidth="1"/>
    <col min="258" max="258" width="54" style="1398" customWidth="1"/>
    <col min="259" max="259" width="21.5" style="1398" customWidth="1"/>
    <col min="260" max="260" width="1" style="1398" customWidth="1"/>
    <col min="261" max="261" width="11" style="1398" customWidth="1"/>
    <col min="262" max="262" width="1" style="1398" customWidth="1"/>
    <col min="263" max="263" width="21.5" style="1398" customWidth="1"/>
    <col min="264" max="264" width="1" style="1398" customWidth="1"/>
    <col min="265" max="265" width="11" style="1398" customWidth="1"/>
    <col min="266" max="266" width="1" style="1398" customWidth="1"/>
    <col min="267" max="267" width="21.5" style="1398" customWidth="1"/>
    <col min="268" max="268" width="1" style="1398" customWidth="1"/>
    <col min="269" max="269" width="11" style="1398" customWidth="1"/>
    <col min="270" max="270" width="1" style="1398" customWidth="1"/>
    <col min="271" max="271" width="21.5" style="1398" customWidth="1"/>
    <col min="272" max="272" width="1" style="1398" customWidth="1"/>
    <col min="273" max="273" width="11" style="1398" customWidth="1"/>
    <col min="274" max="274" width="1" style="1398" customWidth="1"/>
    <col min="275" max="275" width="21.5" style="1398" customWidth="1"/>
    <col min="276" max="276" width="1" style="1398" customWidth="1"/>
    <col min="277" max="277" width="11" style="1398" customWidth="1"/>
    <col min="278" max="278" width="1" style="1398" customWidth="1"/>
    <col min="279" max="279" width="21.5" style="1398" customWidth="1"/>
    <col min="280" max="280" width="1" style="1398" customWidth="1"/>
    <col min="281" max="281" width="11" style="1398" customWidth="1"/>
    <col min="282" max="282" width="1" style="1398" customWidth="1"/>
    <col min="283" max="283" width="21.5" style="1398" customWidth="1"/>
    <col min="284" max="284" width="1" style="1398" customWidth="1"/>
    <col min="285" max="285" width="11" style="1398" customWidth="1"/>
    <col min="286" max="286" width="1" style="1398" customWidth="1"/>
    <col min="287" max="287" width="21.5" style="1398" customWidth="1"/>
    <col min="288" max="288" width="1" style="1398" customWidth="1"/>
    <col min="289" max="289" width="11" style="1398" customWidth="1"/>
    <col min="290" max="290" width="1" style="1398" customWidth="1"/>
    <col min="291" max="291" width="21.5" style="1398" customWidth="1"/>
    <col min="292" max="292" width="1" style="1398" customWidth="1"/>
    <col min="293" max="293" width="11" style="1398" customWidth="1"/>
    <col min="294" max="294" width="1" style="1398" customWidth="1"/>
    <col min="295" max="295" width="21.5" style="1398" customWidth="1"/>
    <col min="296" max="296" width="1" style="1398" customWidth="1"/>
    <col min="297" max="297" width="11" style="1398" customWidth="1"/>
    <col min="298" max="298" width="1" style="1398" customWidth="1"/>
    <col min="299" max="299" width="21.5" style="1398" customWidth="1"/>
    <col min="300" max="300" width="1" style="1398" customWidth="1"/>
    <col min="301" max="301" width="11" style="1398" customWidth="1"/>
    <col min="302" max="302" width="1" style="1398" customWidth="1"/>
    <col min="303" max="303" width="21.5" style="1398" customWidth="1"/>
    <col min="304" max="304" width="1" style="1398" customWidth="1"/>
    <col min="305" max="305" width="11" style="1398" customWidth="1"/>
    <col min="306" max="306" width="1" style="1398" customWidth="1"/>
    <col min="307" max="307" width="21.5" style="1398" customWidth="1"/>
    <col min="308" max="308" width="1" style="1398" customWidth="1"/>
    <col min="309" max="309" width="11" style="1398" customWidth="1"/>
    <col min="310" max="310" width="1" style="1398" customWidth="1"/>
    <col min="311" max="311" width="21.5" style="1398" customWidth="1"/>
    <col min="312" max="312" width="1" style="1398" customWidth="1"/>
    <col min="313" max="313" width="11" style="1398" customWidth="1"/>
    <col min="314" max="314" width="1" style="1398" customWidth="1"/>
    <col min="315" max="512" width="10.6640625" style="1398"/>
    <col min="513" max="513" width="2.83203125" style="1398" customWidth="1"/>
    <col min="514" max="514" width="54" style="1398" customWidth="1"/>
    <col min="515" max="515" width="21.5" style="1398" customWidth="1"/>
    <col min="516" max="516" width="1" style="1398" customWidth="1"/>
    <col min="517" max="517" width="11" style="1398" customWidth="1"/>
    <col min="518" max="518" width="1" style="1398" customWidth="1"/>
    <col min="519" max="519" width="21.5" style="1398" customWidth="1"/>
    <col min="520" max="520" width="1" style="1398" customWidth="1"/>
    <col min="521" max="521" width="11" style="1398" customWidth="1"/>
    <col min="522" max="522" width="1" style="1398" customWidth="1"/>
    <col min="523" max="523" width="21.5" style="1398" customWidth="1"/>
    <col min="524" max="524" width="1" style="1398" customWidth="1"/>
    <col min="525" max="525" width="11" style="1398" customWidth="1"/>
    <col min="526" max="526" width="1" style="1398" customWidth="1"/>
    <col min="527" max="527" width="21.5" style="1398" customWidth="1"/>
    <col min="528" max="528" width="1" style="1398" customWidth="1"/>
    <col min="529" max="529" width="11" style="1398" customWidth="1"/>
    <col min="530" max="530" width="1" style="1398" customWidth="1"/>
    <col min="531" max="531" width="21.5" style="1398" customWidth="1"/>
    <col min="532" max="532" width="1" style="1398" customWidth="1"/>
    <col min="533" max="533" width="11" style="1398" customWidth="1"/>
    <col min="534" max="534" width="1" style="1398" customWidth="1"/>
    <col min="535" max="535" width="21.5" style="1398" customWidth="1"/>
    <col min="536" max="536" width="1" style="1398" customWidth="1"/>
    <col min="537" max="537" width="11" style="1398" customWidth="1"/>
    <col min="538" max="538" width="1" style="1398" customWidth="1"/>
    <col min="539" max="539" width="21.5" style="1398" customWidth="1"/>
    <col min="540" max="540" width="1" style="1398" customWidth="1"/>
    <col min="541" max="541" width="11" style="1398" customWidth="1"/>
    <col min="542" max="542" width="1" style="1398" customWidth="1"/>
    <col min="543" max="543" width="21.5" style="1398" customWidth="1"/>
    <col min="544" max="544" width="1" style="1398" customWidth="1"/>
    <col min="545" max="545" width="11" style="1398" customWidth="1"/>
    <col min="546" max="546" width="1" style="1398" customWidth="1"/>
    <col min="547" max="547" width="21.5" style="1398" customWidth="1"/>
    <col min="548" max="548" width="1" style="1398" customWidth="1"/>
    <col min="549" max="549" width="11" style="1398" customWidth="1"/>
    <col min="550" max="550" width="1" style="1398" customWidth="1"/>
    <col min="551" max="551" width="21.5" style="1398" customWidth="1"/>
    <col min="552" max="552" width="1" style="1398" customWidth="1"/>
    <col min="553" max="553" width="11" style="1398" customWidth="1"/>
    <col min="554" max="554" width="1" style="1398" customWidth="1"/>
    <col min="555" max="555" width="21.5" style="1398" customWidth="1"/>
    <col min="556" max="556" width="1" style="1398" customWidth="1"/>
    <col min="557" max="557" width="11" style="1398" customWidth="1"/>
    <col min="558" max="558" width="1" style="1398" customWidth="1"/>
    <col min="559" max="559" width="21.5" style="1398" customWidth="1"/>
    <col min="560" max="560" width="1" style="1398" customWidth="1"/>
    <col min="561" max="561" width="11" style="1398" customWidth="1"/>
    <col min="562" max="562" width="1" style="1398" customWidth="1"/>
    <col min="563" max="563" width="21.5" style="1398" customWidth="1"/>
    <col min="564" max="564" width="1" style="1398" customWidth="1"/>
    <col min="565" max="565" width="11" style="1398" customWidth="1"/>
    <col min="566" max="566" width="1" style="1398" customWidth="1"/>
    <col min="567" max="567" width="21.5" style="1398" customWidth="1"/>
    <col min="568" max="568" width="1" style="1398" customWidth="1"/>
    <col min="569" max="569" width="11" style="1398" customWidth="1"/>
    <col min="570" max="570" width="1" style="1398" customWidth="1"/>
    <col min="571" max="768" width="10.6640625" style="1398"/>
    <col min="769" max="769" width="2.83203125" style="1398" customWidth="1"/>
    <col min="770" max="770" width="54" style="1398" customWidth="1"/>
    <col min="771" max="771" width="21.5" style="1398" customWidth="1"/>
    <col min="772" max="772" width="1" style="1398" customWidth="1"/>
    <col min="773" max="773" width="11" style="1398" customWidth="1"/>
    <col min="774" max="774" width="1" style="1398" customWidth="1"/>
    <col min="775" max="775" width="21.5" style="1398" customWidth="1"/>
    <col min="776" max="776" width="1" style="1398" customWidth="1"/>
    <col min="777" max="777" width="11" style="1398" customWidth="1"/>
    <col min="778" max="778" width="1" style="1398" customWidth="1"/>
    <col min="779" max="779" width="21.5" style="1398" customWidth="1"/>
    <col min="780" max="780" width="1" style="1398" customWidth="1"/>
    <col min="781" max="781" width="11" style="1398" customWidth="1"/>
    <col min="782" max="782" width="1" style="1398" customWidth="1"/>
    <col min="783" max="783" width="21.5" style="1398" customWidth="1"/>
    <col min="784" max="784" width="1" style="1398" customWidth="1"/>
    <col min="785" max="785" width="11" style="1398" customWidth="1"/>
    <col min="786" max="786" width="1" style="1398" customWidth="1"/>
    <col min="787" max="787" width="21.5" style="1398" customWidth="1"/>
    <col min="788" max="788" width="1" style="1398" customWidth="1"/>
    <col min="789" max="789" width="11" style="1398" customWidth="1"/>
    <col min="790" max="790" width="1" style="1398" customWidth="1"/>
    <col min="791" max="791" width="21.5" style="1398" customWidth="1"/>
    <col min="792" max="792" width="1" style="1398" customWidth="1"/>
    <col min="793" max="793" width="11" style="1398" customWidth="1"/>
    <col min="794" max="794" width="1" style="1398" customWidth="1"/>
    <col min="795" max="795" width="21.5" style="1398" customWidth="1"/>
    <col min="796" max="796" width="1" style="1398" customWidth="1"/>
    <col min="797" max="797" width="11" style="1398" customWidth="1"/>
    <col min="798" max="798" width="1" style="1398" customWidth="1"/>
    <col min="799" max="799" width="21.5" style="1398" customWidth="1"/>
    <col min="800" max="800" width="1" style="1398" customWidth="1"/>
    <col min="801" max="801" width="11" style="1398" customWidth="1"/>
    <col min="802" max="802" width="1" style="1398" customWidth="1"/>
    <col min="803" max="803" width="21.5" style="1398" customWidth="1"/>
    <col min="804" max="804" width="1" style="1398" customWidth="1"/>
    <col min="805" max="805" width="11" style="1398" customWidth="1"/>
    <col min="806" max="806" width="1" style="1398" customWidth="1"/>
    <col min="807" max="807" width="21.5" style="1398" customWidth="1"/>
    <col min="808" max="808" width="1" style="1398" customWidth="1"/>
    <col min="809" max="809" width="11" style="1398" customWidth="1"/>
    <col min="810" max="810" width="1" style="1398" customWidth="1"/>
    <col min="811" max="811" width="21.5" style="1398" customWidth="1"/>
    <col min="812" max="812" width="1" style="1398" customWidth="1"/>
    <col min="813" max="813" width="11" style="1398" customWidth="1"/>
    <col min="814" max="814" width="1" style="1398" customWidth="1"/>
    <col min="815" max="815" width="21.5" style="1398" customWidth="1"/>
    <col min="816" max="816" width="1" style="1398" customWidth="1"/>
    <col min="817" max="817" width="11" style="1398" customWidth="1"/>
    <col min="818" max="818" width="1" style="1398" customWidth="1"/>
    <col min="819" max="819" width="21.5" style="1398" customWidth="1"/>
    <col min="820" max="820" width="1" style="1398" customWidth="1"/>
    <col min="821" max="821" width="11" style="1398" customWidth="1"/>
    <col min="822" max="822" width="1" style="1398" customWidth="1"/>
    <col min="823" max="823" width="21.5" style="1398" customWidth="1"/>
    <col min="824" max="824" width="1" style="1398" customWidth="1"/>
    <col min="825" max="825" width="11" style="1398" customWidth="1"/>
    <col min="826" max="826" width="1" style="1398" customWidth="1"/>
    <col min="827" max="1024" width="10.6640625" style="1398"/>
    <col min="1025" max="1025" width="2.83203125" style="1398" customWidth="1"/>
    <col min="1026" max="1026" width="54" style="1398" customWidth="1"/>
    <col min="1027" max="1027" width="21.5" style="1398" customWidth="1"/>
    <col min="1028" max="1028" width="1" style="1398" customWidth="1"/>
    <col min="1029" max="1029" width="11" style="1398" customWidth="1"/>
    <col min="1030" max="1030" width="1" style="1398" customWidth="1"/>
    <col min="1031" max="1031" width="21.5" style="1398" customWidth="1"/>
    <col min="1032" max="1032" width="1" style="1398" customWidth="1"/>
    <col min="1033" max="1033" width="11" style="1398" customWidth="1"/>
    <col min="1034" max="1034" width="1" style="1398" customWidth="1"/>
    <col min="1035" max="1035" width="21.5" style="1398" customWidth="1"/>
    <col min="1036" max="1036" width="1" style="1398" customWidth="1"/>
    <col min="1037" max="1037" width="11" style="1398" customWidth="1"/>
    <col min="1038" max="1038" width="1" style="1398" customWidth="1"/>
    <col min="1039" max="1039" width="21.5" style="1398" customWidth="1"/>
    <col min="1040" max="1040" width="1" style="1398" customWidth="1"/>
    <col min="1041" max="1041" width="11" style="1398" customWidth="1"/>
    <col min="1042" max="1042" width="1" style="1398" customWidth="1"/>
    <col min="1043" max="1043" width="21.5" style="1398" customWidth="1"/>
    <col min="1044" max="1044" width="1" style="1398" customWidth="1"/>
    <col min="1045" max="1045" width="11" style="1398" customWidth="1"/>
    <col min="1046" max="1046" width="1" style="1398" customWidth="1"/>
    <col min="1047" max="1047" width="21.5" style="1398" customWidth="1"/>
    <col min="1048" max="1048" width="1" style="1398" customWidth="1"/>
    <col min="1049" max="1049" width="11" style="1398" customWidth="1"/>
    <col min="1050" max="1050" width="1" style="1398" customWidth="1"/>
    <col min="1051" max="1051" width="21.5" style="1398" customWidth="1"/>
    <col min="1052" max="1052" width="1" style="1398" customWidth="1"/>
    <col min="1053" max="1053" width="11" style="1398" customWidth="1"/>
    <col min="1054" max="1054" width="1" style="1398" customWidth="1"/>
    <col min="1055" max="1055" width="21.5" style="1398" customWidth="1"/>
    <col min="1056" max="1056" width="1" style="1398" customWidth="1"/>
    <col min="1057" max="1057" width="11" style="1398" customWidth="1"/>
    <col min="1058" max="1058" width="1" style="1398" customWidth="1"/>
    <col min="1059" max="1059" width="21.5" style="1398" customWidth="1"/>
    <col min="1060" max="1060" width="1" style="1398" customWidth="1"/>
    <col min="1061" max="1061" width="11" style="1398" customWidth="1"/>
    <col min="1062" max="1062" width="1" style="1398" customWidth="1"/>
    <col min="1063" max="1063" width="21.5" style="1398" customWidth="1"/>
    <col min="1064" max="1064" width="1" style="1398" customWidth="1"/>
    <col min="1065" max="1065" width="11" style="1398" customWidth="1"/>
    <col min="1066" max="1066" width="1" style="1398" customWidth="1"/>
    <col min="1067" max="1067" width="21.5" style="1398" customWidth="1"/>
    <col min="1068" max="1068" width="1" style="1398" customWidth="1"/>
    <col min="1069" max="1069" width="11" style="1398" customWidth="1"/>
    <col min="1070" max="1070" width="1" style="1398" customWidth="1"/>
    <col min="1071" max="1071" width="21.5" style="1398" customWidth="1"/>
    <col min="1072" max="1072" width="1" style="1398" customWidth="1"/>
    <col min="1073" max="1073" width="11" style="1398" customWidth="1"/>
    <col min="1074" max="1074" width="1" style="1398" customWidth="1"/>
    <col min="1075" max="1075" width="21.5" style="1398" customWidth="1"/>
    <col min="1076" max="1076" width="1" style="1398" customWidth="1"/>
    <col min="1077" max="1077" width="11" style="1398" customWidth="1"/>
    <col min="1078" max="1078" width="1" style="1398" customWidth="1"/>
    <col min="1079" max="1079" width="21.5" style="1398" customWidth="1"/>
    <col min="1080" max="1080" width="1" style="1398" customWidth="1"/>
    <col min="1081" max="1081" width="11" style="1398" customWidth="1"/>
    <col min="1082" max="1082" width="1" style="1398" customWidth="1"/>
    <col min="1083" max="1280" width="10.6640625" style="1398"/>
    <col min="1281" max="1281" width="2.83203125" style="1398" customWidth="1"/>
    <col min="1282" max="1282" width="54" style="1398" customWidth="1"/>
    <col min="1283" max="1283" width="21.5" style="1398" customWidth="1"/>
    <col min="1284" max="1284" width="1" style="1398" customWidth="1"/>
    <col min="1285" max="1285" width="11" style="1398" customWidth="1"/>
    <col min="1286" max="1286" width="1" style="1398" customWidth="1"/>
    <col min="1287" max="1287" width="21.5" style="1398" customWidth="1"/>
    <col min="1288" max="1288" width="1" style="1398" customWidth="1"/>
    <col min="1289" max="1289" width="11" style="1398" customWidth="1"/>
    <col min="1290" max="1290" width="1" style="1398" customWidth="1"/>
    <col min="1291" max="1291" width="21.5" style="1398" customWidth="1"/>
    <col min="1292" max="1292" width="1" style="1398" customWidth="1"/>
    <col min="1293" max="1293" width="11" style="1398" customWidth="1"/>
    <col min="1294" max="1294" width="1" style="1398" customWidth="1"/>
    <col min="1295" max="1295" width="21.5" style="1398" customWidth="1"/>
    <col min="1296" max="1296" width="1" style="1398" customWidth="1"/>
    <col min="1297" max="1297" width="11" style="1398" customWidth="1"/>
    <col min="1298" max="1298" width="1" style="1398" customWidth="1"/>
    <col min="1299" max="1299" width="21.5" style="1398" customWidth="1"/>
    <col min="1300" max="1300" width="1" style="1398" customWidth="1"/>
    <col min="1301" max="1301" width="11" style="1398" customWidth="1"/>
    <col min="1302" max="1302" width="1" style="1398" customWidth="1"/>
    <col min="1303" max="1303" width="21.5" style="1398" customWidth="1"/>
    <col min="1304" max="1304" width="1" style="1398" customWidth="1"/>
    <col min="1305" max="1305" width="11" style="1398" customWidth="1"/>
    <col min="1306" max="1306" width="1" style="1398" customWidth="1"/>
    <col min="1307" max="1307" width="21.5" style="1398" customWidth="1"/>
    <col min="1308" max="1308" width="1" style="1398" customWidth="1"/>
    <col min="1309" max="1309" width="11" style="1398" customWidth="1"/>
    <col min="1310" max="1310" width="1" style="1398" customWidth="1"/>
    <col min="1311" max="1311" width="21.5" style="1398" customWidth="1"/>
    <col min="1312" max="1312" width="1" style="1398" customWidth="1"/>
    <col min="1313" max="1313" width="11" style="1398" customWidth="1"/>
    <col min="1314" max="1314" width="1" style="1398" customWidth="1"/>
    <col min="1315" max="1315" width="21.5" style="1398" customWidth="1"/>
    <col min="1316" max="1316" width="1" style="1398" customWidth="1"/>
    <col min="1317" max="1317" width="11" style="1398" customWidth="1"/>
    <col min="1318" max="1318" width="1" style="1398" customWidth="1"/>
    <col min="1319" max="1319" width="21.5" style="1398" customWidth="1"/>
    <col min="1320" max="1320" width="1" style="1398" customWidth="1"/>
    <col min="1321" max="1321" width="11" style="1398" customWidth="1"/>
    <col min="1322" max="1322" width="1" style="1398" customWidth="1"/>
    <col min="1323" max="1323" width="21.5" style="1398" customWidth="1"/>
    <col min="1324" max="1324" width="1" style="1398" customWidth="1"/>
    <col min="1325" max="1325" width="11" style="1398" customWidth="1"/>
    <col min="1326" max="1326" width="1" style="1398" customWidth="1"/>
    <col min="1327" max="1327" width="21.5" style="1398" customWidth="1"/>
    <col min="1328" max="1328" width="1" style="1398" customWidth="1"/>
    <col min="1329" max="1329" width="11" style="1398" customWidth="1"/>
    <col min="1330" max="1330" width="1" style="1398" customWidth="1"/>
    <col min="1331" max="1331" width="21.5" style="1398" customWidth="1"/>
    <col min="1332" max="1332" width="1" style="1398" customWidth="1"/>
    <col min="1333" max="1333" width="11" style="1398" customWidth="1"/>
    <col min="1334" max="1334" width="1" style="1398" customWidth="1"/>
    <col min="1335" max="1335" width="21.5" style="1398" customWidth="1"/>
    <col min="1336" max="1336" width="1" style="1398" customWidth="1"/>
    <col min="1337" max="1337" width="11" style="1398" customWidth="1"/>
    <col min="1338" max="1338" width="1" style="1398" customWidth="1"/>
    <col min="1339" max="1536" width="10.6640625" style="1398"/>
    <col min="1537" max="1537" width="2.83203125" style="1398" customWidth="1"/>
    <col min="1538" max="1538" width="54" style="1398" customWidth="1"/>
    <col min="1539" max="1539" width="21.5" style="1398" customWidth="1"/>
    <col min="1540" max="1540" width="1" style="1398" customWidth="1"/>
    <col min="1541" max="1541" width="11" style="1398" customWidth="1"/>
    <col min="1542" max="1542" width="1" style="1398" customWidth="1"/>
    <col min="1543" max="1543" width="21.5" style="1398" customWidth="1"/>
    <col min="1544" max="1544" width="1" style="1398" customWidth="1"/>
    <col min="1545" max="1545" width="11" style="1398" customWidth="1"/>
    <col min="1546" max="1546" width="1" style="1398" customWidth="1"/>
    <col min="1547" max="1547" width="21.5" style="1398" customWidth="1"/>
    <col min="1548" max="1548" width="1" style="1398" customWidth="1"/>
    <col min="1549" max="1549" width="11" style="1398" customWidth="1"/>
    <col min="1550" max="1550" width="1" style="1398" customWidth="1"/>
    <col min="1551" max="1551" width="21.5" style="1398" customWidth="1"/>
    <col min="1552" max="1552" width="1" style="1398" customWidth="1"/>
    <col min="1553" max="1553" width="11" style="1398" customWidth="1"/>
    <col min="1554" max="1554" width="1" style="1398" customWidth="1"/>
    <col min="1555" max="1555" width="21.5" style="1398" customWidth="1"/>
    <col min="1556" max="1556" width="1" style="1398" customWidth="1"/>
    <col min="1557" max="1557" width="11" style="1398" customWidth="1"/>
    <col min="1558" max="1558" width="1" style="1398" customWidth="1"/>
    <col min="1559" max="1559" width="21.5" style="1398" customWidth="1"/>
    <col min="1560" max="1560" width="1" style="1398" customWidth="1"/>
    <col min="1561" max="1561" width="11" style="1398" customWidth="1"/>
    <col min="1562" max="1562" width="1" style="1398" customWidth="1"/>
    <col min="1563" max="1563" width="21.5" style="1398" customWidth="1"/>
    <col min="1564" max="1564" width="1" style="1398" customWidth="1"/>
    <col min="1565" max="1565" width="11" style="1398" customWidth="1"/>
    <col min="1566" max="1566" width="1" style="1398" customWidth="1"/>
    <col min="1567" max="1567" width="21.5" style="1398" customWidth="1"/>
    <col min="1568" max="1568" width="1" style="1398" customWidth="1"/>
    <col min="1569" max="1569" width="11" style="1398" customWidth="1"/>
    <col min="1570" max="1570" width="1" style="1398" customWidth="1"/>
    <col min="1571" max="1571" width="21.5" style="1398" customWidth="1"/>
    <col min="1572" max="1572" width="1" style="1398" customWidth="1"/>
    <col min="1573" max="1573" width="11" style="1398" customWidth="1"/>
    <col min="1574" max="1574" width="1" style="1398" customWidth="1"/>
    <col min="1575" max="1575" width="21.5" style="1398" customWidth="1"/>
    <col min="1576" max="1576" width="1" style="1398" customWidth="1"/>
    <col min="1577" max="1577" width="11" style="1398" customWidth="1"/>
    <col min="1578" max="1578" width="1" style="1398" customWidth="1"/>
    <col min="1579" max="1579" width="21.5" style="1398" customWidth="1"/>
    <col min="1580" max="1580" width="1" style="1398" customWidth="1"/>
    <col min="1581" max="1581" width="11" style="1398" customWidth="1"/>
    <col min="1582" max="1582" width="1" style="1398" customWidth="1"/>
    <col min="1583" max="1583" width="21.5" style="1398" customWidth="1"/>
    <col min="1584" max="1584" width="1" style="1398" customWidth="1"/>
    <col min="1585" max="1585" width="11" style="1398" customWidth="1"/>
    <col min="1586" max="1586" width="1" style="1398" customWidth="1"/>
    <col min="1587" max="1587" width="21.5" style="1398" customWidth="1"/>
    <col min="1588" max="1588" width="1" style="1398" customWidth="1"/>
    <col min="1589" max="1589" width="11" style="1398" customWidth="1"/>
    <col min="1590" max="1590" width="1" style="1398" customWidth="1"/>
    <col min="1591" max="1591" width="21.5" style="1398" customWidth="1"/>
    <col min="1592" max="1592" width="1" style="1398" customWidth="1"/>
    <col min="1593" max="1593" width="11" style="1398" customWidth="1"/>
    <col min="1594" max="1594" width="1" style="1398" customWidth="1"/>
    <col min="1595" max="1792" width="10.6640625" style="1398"/>
    <col min="1793" max="1793" width="2.83203125" style="1398" customWidth="1"/>
    <col min="1794" max="1794" width="54" style="1398" customWidth="1"/>
    <col min="1795" max="1795" width="21.5" style="1398" customWidth="1"/>
    <col min="1796" max="1796" width="1" style="1398" customWidth="1"/>
    <col min="1797" max="1797" width="11" style="1398" customWidth="1"/>
    <col min="1798" max="1798" width="1" style="1398" customWidth="1"/>
    <col min="1799" max="1799" width="21.5" style="1398" customWidth="1"/>
    <col min="1800" max="1800" width="1" style="1398" customWidth="1"/>
    <col min="1801" max="1801" width="11" style="1398" customWidth="1"/>
    <col min="1802" max="1802" width="1" style="1398" customWidth="1"/>
    <col min="1803" max="1803" width="21.5" style="1398" customWidth="1"/>
    <col min="1804" max="1804" width="1" style="1398" customWidth="1"/>
    <col min="1805" max="1805" width="11" style="1398" customWidth="1"/>
    <col min="1806" max="1806" width="1" style="1398" customWidth="1"/>
    <col min="1807" max="1807" width="21.5" style="1398" customWidth="1"/>
    <col min="1808" max="1808" width="1" style="1398" customWidth="1"/>
    <col min="1809" max="1809" width="11" style="1398" customWidth="1"/>
    <col min="1810" max="1810" width="1" style="1398" customWidth="1"/>
    <col min="1811" max="1811" width="21.5" style="1398" customWidth="1"/>
    <col min="1812" max="1812" width="1" style="1398" customWidth="1"/>
    <col min="1813" max="1813" width="11" style="1398" customWidth="1"/>
    <col min="1814" max="1814" width="1" style="1398" customWidth="1"/>
    <col min="1815" max="1815" width="21.5" style="1398" customWidth="1"/>
    <col min="1816" max="1816" width="1" style="1398" customWidth="1"/>
    <col min="1817" max="1817" width="11" style="1398" customWidth="1"/>
    <col min="1818" max="1818" width="1" style="1398" customWidth="1"/>
    <col min="1819" max="1819" width="21.5" style="1398" customWidth="1"/>
    <col min="1820" max="1820" width="1" style="1398" customWidth="1"/>
    <col min="1821" max="1821" width="11" style="1398" customWidth="1"/>
    <col min="1822" max="1822" width="1" style="1398" customWidth="1"/>
    <col min="1823" max="1823" width="21.5" style="1398" customWidth="1"/>
    <col min="1824" max="1824" width="1" style="1398" customWidth="1"/>
    <col min="1825" max="1825" width="11" style="1398" customWidth="1"/>
    <col min="1826" max="1826" width="1" style="1398" customWidth="1"/>
    <col min="1827" max="1827" width="21.5" style="1398" customWidth="1"/>
    <col min="1828" max="1828" width="1" style="1398" customWidth="1"/>
    <col min="1829" max="1829" width="11" style="1398" customWidth="1"/>
    <col min="1830" max="1830" width="1" style="1398" customWidth="1"/>
    <col min="1831" max="1831" width="21.5" style="1398" customWidth="1"/>
    <col min="1832" max="1832" width="1" style="1398" customWidth="1"/>
    <col min="1833" max="1833" width="11" style="1398" customWidth="1"/>
    <col min="1834" max="1834" width="1" style="1398" customWidth="1"/>
    <col min="1835" max="1835" width="21.5" style="1398" customWidth="1"/>
    <col min="1836" max="1836" width="1" style="1398" customWidth="1"/>
    <col min="1837" max="1837" width="11" style="1398" customWidth="1"/>
    <col min="1838" max="1838" width="1" style="1398" customWidth="1"/>
    <col min="1839" max="1839" width="21.5" style="1398" customWidth="1"/>
    <col min="1840" max="1840" width="1" style="1398" customWidth="1"/>
    <col min="1841" max="1841" width="11" style="1398" customWidth="1"/>
    <col min="1842" max="1842" width="1" style="1398" customWidth="1"/>
    <col min="1843" max="1843" width="21.5" style="1398" customWidth="1"/>
    <col min="1844" max="1844" width="1" style="1398" customWidth="1"/>
    <col min="1845" max="1845" width="11" style="1398" customWidth="1"/>
    <col min="1846" max="1846" width="1" style="1398" customWidth="1"/>
    <col min="1847" max="1847" width="21.5" style="1398" customWidth="1"/>
    <col min="1848" max="1848" width="1" style="1398" customWidth="1"/>
    <col min="1849" max="1849" width="11" style="1398" customWidth="1"/>
    <col min="1850" max="1850" width="1" style="1398" customWidth="1"/>
    <col min="1851" max="2048" width="10.6640625" style="1398"/>
    <col min="2049" max="2049" width="2.83203125" style="1398" customWidth="1"/>
    <col min="2050" max="2050" width="54" style="1398" customWidth="1"/>
    <col min="2051" max="2051" width="21.5" style="1398" customWidth="1"/>
    <col min="2052" max="2052" width="1" style="1398" customWidth="1"/>
    <col min="2053" max="2053" width="11" style="1398" customWidth="1"/>
    <col min="2054" max="2054" width="1" style="1398" customWidth="1"/>
    <col min="2055" max="2055" width="21.5" style="1398" customWidth="1"/>
    <col min="2056" max="2056" width="1" style="1398" customWidth="1"/>
    <col min="2057" max="2057" width="11" style="1398" customWidth="1"/>
    <col min="2058" max="2058" width="1" style="1398" customWidth="1"/>
    <col min="2059" max="2059" width="21.5" style="1398" customWidth="1"/>
    <col min="2060" max="2060" width="1" style="1398" customWidth="1"/>
    <col min="2061" max="2061" width="11" style="1398" customWidth="1"/>
    <col min="2062" max="2062" width="1" style="1398" customWidth="1"/>
    <col min="2063" max="2063" width="21.5" style="1398" customWidth="1"/>
    <col min="2064" max="2064" width="1" style="1398" customWidth="1"/>
    <col min="2065" max="2065" width="11" style="1398" customWidth="1"/>
    <col min="2066" max="2066" width="1" style="1398" customWidth="1"/>
    <col min="2067" max="2067" width="21.5" style="1398" customWidth="1"/>
    <col min="2068" max="2068" width="1" style="1398" customWidth="1"/>
    <col min="2069" max="2069" width="11" style="1398" customWidth="1"/>
    <col min="2070" max="2070" width="1" style="1398" customWidth="1"/>
    <col min="2071" max="2071" width="21.5" style="1398" customWidth="1"/>
    <col min="2072" max="2072" width="1" style="1398" customWidth="1"/>
    <col min="2073" max="2073" width="11" style="1398" customWidth="1"/>
    <col min="2074" max="2074" width="1" style="1398" customWidth="1"/>
    <col min="2075" max="2075" width="21.5" style="1398" customWidth="1"/>
    <col min="2076" max="2076" width="1" style="1398" customWidth="1"/>
    <col min="2077" max="2077" width="11" style="1398" customWidth="1"/>
    <col min="2078" max="2078" width="1" style="1398" customWidth="1"/>
    <col min="2079" max="2079" width="21.5" style="1398" customWidth="1"/>
    <col min="2080" max="2080" width="1" style="1398" customWidth="1"/>
    <col min="2081" max="2081" width="11" style="1398" customWidth="1"/>
    <col min="2082" max="2082" width="1" style="1398" customWidth="1"/>
    <col min="2083" max="2083" width="21.5" style="1398" customWidth="1"/>
    <col min="2084" max="2084" width="1" style="1398" customWidth="1"/>
    <col min="2085" max="2085" width="11" style="1398" customWidth="1"/>
    <col min="2086" max="2086" width="1" style="1398" customWidth="1"/>
    <col min="2087" max="2087" width="21.5" style="1398" customWidth="1"/>
    <col min="2088" max="2088" width="1" style="1398" customWidth="1"/>
    <col min="2089" max="2089" width="11" style="1398" customWidth="1"/>
    <col min="2090" max="2090" width="1" style="1398" customWidth="1"/>
    <col min="2091" max="2091" width="21.5" style="1398" customWidth="1"/>
    <col min="2092" max="2092" width="1" style="1398" customWidth="1"/>
    <col min="2093" max="2093" width="11" style="1398" customWidth="1"/>
    <col min="2094" max="2094" width="1" style="1398" customWidth="1"/>
    <col min="2095" max="2095" width="21.5" style="1398" customWidth="1"/>
    <col min="2096" max="2096" width="1" style="1398" customWidth="1"/>
    <col min="2097" max="2097" width="11" style="1398" customWidth="1"/>
    <col min="2098" max="2098" width="1" style="1398" customWidth="1"/>
    <col min="2099" max="2099" width="21.5" style="1398" customWidth="1"/>
    <col min="2100" max="2100" width="1" style="1398" customWidth="1"/>
    <col min="2101" max="2101" width="11" style="1398" customWidth="1"/>
    <col min="2102" max="2102" width="1" style="1398" customWidth="1"/>
    <col min="2103" max="2103" width="21.5" style="1398" customWidth="1"/>
    <col min="2104" max="2104" width="1" style="1398" customWidth="1"/>
    <col min="2105" max="2105" width="11" style="1398" customWidth="1"/>
    <col min="2106" max="2106" width="1" style="1398" customWidth="1"/>
    <col min="2107" max="2304" width="10.6640625" style="1398"/>
    <col min="2305" max="2305" width="2.83203125" style="1398" customWidth="1"/>
    <col min="2306" max="2306" width="54" style="1398" customWidth="1"/>
    <col min="2307" max="2307" width="21.5" style="1398" customWidth="1"/>
    <col min="2308" max="2308" width="1" style="1398" customWidth="1"/>
    <col min="2309" max="2309" width="11" style="1398" customWidth="1"/>
    <col min="2310" max="2310" width="1" style="1398" customWidth="1"/>
    <col min="2311" max="2311" width="21.5" style="1398" customWidth="1"/>
    <col min="2312" max="2312" width="1" style="1398" customWidth="1"/>
    <col min="2313" max="2313" width="11" style="1398" customWidth="1"/>
    <col min="2314" max="2314" width="1" style="1398" customWidth="1"/>
    <col min="2315" max="2315" width="21.5" style="1398" customWidth="1"/>
    <col min="2316" max="2316" width="1" style="1398" customWidth="1"/>
    <col min="2317" max="2317" width="11" style="1398" customWidth="1"/>
    <col min="2318" max="2318" width="1" style="1398" customWidth="1"/>
    <col min="2319" max="2319" width="21.5" style="1398" customWidth="1"/>
    <col min="2320" max="2320" width="1" style="1398" customWidth="1"/>
    <col min="2321" max="2321" width="11" style="1398" customWidth="1"/>
    <col min="2322" max="2322" width="1" style="1398" customWidth="1"/>
    <col min="2323" max="2323" width="21.5" style="1398" customWidth="1"/>
    <col min="2324" max="2324" width="1" style="1398" customWidth="1"/>
    <col min="2325" max="2325" width="11" style="1398" customWidth="1"/>
    <col min="2326" max="2326" width="1" style="1398" customWidth="1"/>
    <col min="2327" max="2327" width="21.5" style="1398" customWidth="1"/>
    <col min="2328" max="2328" width="1" style="1398" customWidth="1"/>
    <col min="2329" max="2329" width="11" style="1398" customWidth="1"/>
    <col min="2330" max="2330" width="1" style="1398" customWidth="1"/>
    <col min="2331" max="2331" width="21.5" style="1398" customWidth="1"/>
    <col min="2332" max="2332" width="1" style="1398" customWidth="1"/>
    <col min="2333" max="2333" width="11" style="1398" customWidth="1"/>
    <col min="2334" max="2334" width="1" style="1398" customWidth="1"/>
    <col min="2335" max="2335" width="21.5" style="1398" customWidth="1"/>
    <col min="2336" max="2336" width="1" style="1398" customWidth="1"/>
    <col min="2337" max="2337" width="11" style="1398" customWidth="1"/>
    <col min="2338" max="2338" width="1" style="1398" customWidth="1"/>
    <col min="2339" max="2339" width="21.5" style="1398" customWidth="1"/>
    <col min="2340" max="2340" width="1" style="1398" customWidth="1"/>
    <col min="2341" max="2341" width="11" style="1398" customWidth="1"/>
    <col min="2342" max="2342" width="1" style="1398" customWidth="1"/>
    <col min="2343" max="2343" width="21.5" style="1398" customWidth="1"/>
    <col min="2344" max="2344" width="1" style="1398" customWidth="1"/>
    <col min="2345" max="2345" width="11" style="1398" customWidth="1"/>
    <col min="2346" max="2346" width="1" style="1398" customWidth="1"/>
    <col min="2347" max="2347" width="21.5" style="1398" customWidth="1"/>
    <col min="2348" max="2348" width="1" style="1398" customWidth="1"/>
    <col min="2349" max="2349" width="11" style="1398" customWidth="1"/>
    <col min="2350" max="2350" width="1" style="1398" customWidth="1"/>
    <col min="2351" max="2351" width="21.5" style="1398" customWidth="1"/>
    <col min="2352" max="2352" width="1" style="1398" customWidth="1"/>
    <col min="2353" max="2353" width="11" style="1398" customWidth="1"/>
    <col min="2354" max="2354" width="1" style="1398" customWidth="1"/>
    <col min="2355" max="2355" width="21.5" style="1398" customWidth="1"/>
    <col min="2356" max="2356" width="1" style="1398" customWidth="1"/>
    <col min="2357" max="2357" width="11" style="1398" customWidth="1"/>
    <col min="2358" max="2358" width="1" style="1398" customWidth="1"/>
    <col min="2359" max="2359" width="21.5" style="1398" customWidth="1"/>
    <col min="2360" max="2360" width="1" style="1398" customWidth="1"/>
    <col min="2361" max="2361" width="11" style="1398" customWidth="1"/>
    <col min="2362" max="2362" width="1" style="1398" customWidth="1"/>
    <col min="2363" max="2560" width="10.6640625" style="1398"/>
    <col min="2561" max="2561" width="2.83203125" style="1398" customWidth="1"/>
    <col min="2562" max="2562" width="54" style="1398" customWidth="1"/>
    <col min="2563" max="2563" width="21.5" style="1398" customWidth="1"/>
    <col min="2564" max="2564" width="1" style="1398" customWidth="1"/>
    <col min="2565" max="2565" width="11" style="1398" customWidth="1"/>
    <col min="2566" max="2566" width="1" style="1398" customWidth="1"/>
    <col min="2567" max="2567" width="21.5" style="1398" customWidth="1"/>
    <col min="2568" max="2568" width="1" style="1398" customWidth="1"/>
    <col min="2569" max="2569" width="11" style="1398" customWidth="1"/>
    <col min="2570" max="2570" width="1" style="1398" customWidth="1"/>
    <col min="2571" max="2571" width="21.5" style="1398" customWidth="1"/>
    <col min="2572" max="2572" width="1" style="1398" customWidth="1"/>
    <col min="2573" max="2573" width="11" style="1398" customWidth="1"/>
    <col min="2574" max="2574" width="1" style="1398" customWidth="1"/>
    <col min="2575" max="2575" width="21.5" style="1398" customWidth="1"/>
    <col min="2576" max="2576" width="1" style="1398" customWidth="1"/>
    <col min="2577" max="2577" width="11" style="1398" customWidth="1"/>
    <col min="2578" max="2578" width="1" style="1398" customWidth="1"/>
    <col min="2579" max="2579" width="21.5" style="1398" customWidth="1"/>
    <col min="2580" max="2580" width="1" style="1398" customWidth="1"/>
    <col min="2581" max="2581" width="11" style="1398" customWidth="1"/>
    <col min="2582" max="2582" width="1" style="1398" customWidth="1"/>
    <col min="2583" max="2583" width="21.5" style="1398" customWidth="1"/>
    <col min="2584" max="2584" width="1" style="1398" customWidth="1"/>
    <col min="2585" max="2585" width="11" style="1398" customWidth="1"/>
    <col min="2586" max="2586" width="1" style="1398" customWidth="1"/>
    <col min="2587" max="2587" width="21.5" style="1398" customWidth="1"/>
    <col min="2588" max="2588" width="1" style="1398" customWidth="1"/>
    <col min="2589" max="2589" width="11" style="1398" customWidth="1"/>
    <col min="2590" max="2590" width="1" style="1398" customWidth="1"/>
    <col min="2591" max="2591" width="21.5" style="1398" customWidth="1"/>
    <col min="2592" max="2592" width="1" style="1398" customWidth="1"/>
    <col min="2593" max="2593" width="11" style="1398" customWidth="1"/>
    <col min="2594" max="2594" width="1" style="1398" customWidth="1"/>
    <col min="2595" max="2595" width="21.5" style="1398" customWidth="1"/>
    <col min="2596" max="2596" width="1" style="1398" customWidth="1"/>
    <col min="2597" max="2597" width="11" style="1398" customWidth="1"/>
    <col min="2598" max="2598" width="1" style="1398" customWidth="1"/>
    <col min="2599" max="2599" width="21.5" style="1398" customWidth="1"/>
    <col min="2600" max="2600" width="1" style="1398" customWidth="1"/>
    <col min="2601" max="2601" width="11" style="1398" customWidth="1"/>
    <col min="2602" max="2602" width="1" style="1398" customWidth="1"/>
    <col min="2603" max="2603" width="21.5" style="1398" customWidth="1"/>
    <col min="2604" max="2604" width="1" style="1398" customWidth="1"/>
    <col min="2605" max="2605" width="11" style="1398" customWidth="1"/>
    <col min="2606" max="2606" width="1" style="1398" customWidth="1"/>
    <col min="2607" max="2607" width="21.5" style="1398" customWidth="1"/>
    <col min="2608" max="2608" width="1" style="1398" customWidth="1"/>
    <col min="2609" max="2609" width="11" style="1398" customWidth="1"/>
    <col min="2610" max="2610" width="1" style="1398" customWidth="1"/>
    <col min="2611" max="2611" width="21.5" style="1398" customWidth="1"/>
    <col min="2612" max="2612" width="1" style="1398" customWidth="1"/>
    <col min="2613" max="2613" width="11" style="1398" customWidth="1"/>
    <col min="2614" max="2614" width="1" style="1398" customWidth="1"/>
    <col min="2615" max="2615" width="21.5" style="1398" customWidth="1"/>
    <col min="2616" max="2616" width="1" style="1398" customWidth="1"/>
    <col min="2617" max="2617" width="11" style="1398" customWidth="1"/>
    <col min="2618" max="2618" width="1" style="1398" customWidth="1"/>
    <col min="2619" max="2816" width="10.6640625" style="1398"/>
    <col min="2817" max="2817" width="2.83203125" style="1398" customWidth="1"/>
    <col min="2818" max="2818" width="54" style="1398" customWidth="1"/>
    <col min="2819" max="2819" width="21.5" style="1398" customWidth="1"/>
    <col min="2820" max="2820" width="1" style="1398" customWidth="1"/>
    <col min="2821" max="2821" width="11" style="1398" customWidth="1"/>
    <col min="2822" max="2822" width="1" style="1398" customWidth="1"/>
    <col min="2823" max="2823" width="21.5" style="1398" customWidth="1"/>
    <col min="2824" max="2824" width="1" style="1398" customWidth="1"/>
    <col min="2825" max="2825" width="11" style="1398" customWidth="1"/>
    <col min="2826" max="2826" width="1" style="1398" customWidth="1"/>
    <col min="2827" max="2827" width="21.5" style="1398" customWidth="1"/>
    <col min="2828" max="2828" width="1" style="1398" customWidth="1"/>
    <col min="2829" max="2829" width="11" style="1398" customWidth="1"/>
    <col min="2830" max="2830" width="1" style="1398" customWidth="1"/>
    <col min="2831" max="2831" width="21.5" style="1398" customWidth="1"/>
    <col min="2832" max="2832" width="1" style="1398" customWidth="1"/>
    <col min="2833" max="2833" width="11" style="1398" customWidth="1"/>
    <col min="2834" max="2834" width="1" style="1398" customWidth="1"/>
    <col min="2835" max="2835" width="21.5" style="1398" customWidth="1"/>
    <col min="2836" max="2836" width="1" style="1398" customWidth="1"/>
    <col min="2837" max="2837" width="11" style="1398" customWidth="1"/>
    <col min="2838" max="2838" width="1" style="1398" customWidth="1"/>
    <col min="2839" max="2839" width="21.5" style="1398" customWidth="1"/>
    <col min="2840" max="2840" width="1" style="1398" customWidth="1"/>
    <col min="2841" max="2841" width="11" style="1398" customWidth="1"/>
    <col min="2842" max="2842" width="1" style="1398" customWidth="1"/>
    <col min="2843" max="2843" width="21.5" style="1398" customWidth="1"/>
    <col min="2844" max="2844" width="1" style="1398" customWidth="1"/>
    <col min="2845" max="2845" width="11" style="1398" customWidth="1"/>
    <col min="2846" max="2846" width="1" style="1398" customWidth="1"/>
    <col min="2847" max="2847" width="21.5" style="1398" customWidth="1"/>
    <col min="2848" max="2848" width="1" style="1398" customWidth="1"/>
    <col min="2849" max="2849" width="11" style="1398" customWidth="1"/>
    <col min="2850" max="2850" width="1" style="1398" customWidth="1"/>
    <col min="2851" max="2851" width="21.5" style="1398" customWidth="1"/>
    <col min="2852" max="2852" width="1" style="1398" customWidth="1"/>
    <col min="2853" max="2853" width="11" style="1398" customWidth="1"/>
    <col min="2854" max="2854" width="1" style="1398" customWidth="1"/>
    <col min="2855" max="2855" width="21.5" style="1398" customWidth="1"/>
    <col min="2856" max="2856" width="1" style="1398" customWidth="1"/>
    <col min="2857" max="2857" width="11" style="1398" customWidth="1"/>
    <col min="2858" max="2858" width="1" style="1398" customWidth="1"/>
    <col min="2859" max="2859" width="21.5" style="1398" customWidth="1"/>
    <col min="2860" max="2860" width="1" style="1398" customWidth="1"/>
    <col min="2861" max="2861" width="11" style="1398" customWidth="1"/>
    <col min="2862" max="2862" width="1" style="1398" customWidth="1"/>
    <col min="2863" max="2863" width="21.5" style="1398" customWidth="1"/>
    <col min="2864" max="2864" width="1" style="1398" customWidth="1"/>
    <col min="2865" max="2865" width="11" style="1398" customWidth="1"/>
    <col min="2866" max="2866" width="1" style="1398" customWidth="1"/>
    <col min="2867" max="2867" width="21.5" style="1398" customWidth="1"/>
    <col min="2868" max="2868" width="1" style="1398" customWidth="1"/>
    <col min="2869" max="2869" width="11" style="1398" customWidth="1"/>
    <col min="2870" max="2870" width="1" style="1398" customWidth="1"/>
    <col min="2871" max="2871" width="21.5" style="1398" customWidth="1"/>
    <col min="2872" max="2872" width="1" style="1398" customWidth="1"/>
    <col min="2873" max="2873" width="11" style="1398" customWidth="1"/>
    <col min="2874" max="2874" width="1" style="1398" customWidth="1"/>
    <col min="2875" max="3072" width="10.6640625" style="1398"/>
    <col min="3073" max="3073" width="2.83203125" style="1398" customWidth="1"/>
    <col min="3074" max="3074" width="54" style="1398" customWidth="1"/>
    <col min="3075" max="3075" width="21.5" style="1398" customWidth="1"/>
    <col min="3076" max="3076" width="1" style="1398" customWidth="1"/>
    <col min="3077" max="3077" width="11" style="1398" customWidth="1"/>
    <col min="3078" max="3078" width="1" style="1398" customWidth="1"/>
    <col min="3079" max="3079" width="21.5" style="1398" customWidth="1"/>
    <col min="3080" max="3080" width="1" style="1398" customWidth="1"/>
    <col min="3081" max="3081" width="11" style="1398" customWidth="1"/>
    <col min="3082" max="3082" width="1" style="1398" customWidth="1"/>
    <col min="3083" max="3083" width="21.5" style="1398" customWidth="1"/>
    <col min="3084" max="3084" width="1" style="1398" customWidth="1"/>
    <col min="3085" max="3085" width="11" style="1398" customWidth="1"/>
    <col min="3086" max="3086" width="1" style="1398" customWidth="1"/>
    <col min="3087" max="3087" width="21.5" style="1398" customWidth="1"/>
    <col min="3088" max="3088" width="1" style="1398" customWidth="1"/>
    <col min="3089" max="3089" width="11" style="1398" customWidth="1"/>
    <col min="3090" max="3090" width="1" style="1398" customWidth="1"/>
    <col min="3091" max="3091" width="21.5" style="1398" customWidth="1"/>
    <col min="3092" max="3092" width="1" style="1398" customWidth="1"/>
    <col min="3093" max="3093" width="11" style="1398" customWidth="1"/>
    <col min="3094" max="3094" width="1" style="1398" customWidth="1"/>
    <col min="3095" max="3095" width="21.5" style="1398" customWidth="1"/>
    <col min="3096" max="3096" width="1" style="1398" customWidth="1"/>
    <col min="3097" max="3097" width="11" style="1398" customWidth="1"/>
    <col min="3098" max="3098" width="1" style="1398" customWidth="1"/>
    <col min="3099" max="3099" width="21.5" style="1398" customWidth="1"/>
    <col min="3100" max="3100" width="1" style="1398" customWidth="1"/>
    <col min="3101" max="3101" width="11" style="1398" customWidth="1"/>
    <col min="3102" max="3102" width="1" style="1398" customWidth="1"/>
    <col min="3103" max="3103" width="21.5" style="1398" customWidth="1"/>
    <col min="3104" max="3104" width="1" style="1398" customWidth="1"/>
    <col min="3105" max="3105" width="11" style="1398" customWidth="1"/>
    <col min="3106" max="3106" width="1" style="1398" customWidth="1"/>
    <col min="3107" max="3107" width="21.5" style="1398" customWidth="1"/>
    <col min="3108" max="3108" width="1" style="1398" customWidth="1"/>
    <col min="3109" max="3109" width="11" style="1398" customWidth="1"/>
    <col min="3110" max="3110" width="1" style="1398" customWidth="1"/>
    <col min="3111" max="3111" width="21.5" style="1398" customWidth="1"/>
    <col min="3112" max="3112" width="1" style="1398" customWidth="1"/>
    <col min="3113" max="3113" width="11" style="1398" customWidth="1"/>
    <col min="3114" max="3114" width="1" style="1398" customWidth="1"/>
    <col min="3115" max="3115" width="21.5" style="1398" customWidth="1"/>
    <col min="3116" max="3116" width="1" style="1398" customWidth="1"/>
    <col min="3117" max="3117" width="11" style="1398" customWidth="1"/>
    <col min="3118" max="3118" width="1" style="1398" customWidth="1"/>
    <col min="3119" max="3119" width="21.5" style="1398" customWidth="1"/>
    <col min="3120" max="3120" width="1" style="1398" customWidth="1"/>
    <col min="3121" max="3121" width="11" style="1398" customWidth="1"/>
    <col min="3122" max="3122" width="1" style="1398" customWidth="1"/>
    <col min="3123" max="3123" width="21.5" style="1398" customWidth="1"/>
    <col min="3124" max="3124" width="1" style="1398" customWidth="1"/>
    <col min="3125" max="3125" width="11" style="1398" customWidth="1"/>
    <col min="3126" max="3126" width="1" style="1398" customWidth="1"/>
    <col min="3127" max="3127" width="21.5" style="1398" customWidth="1"/>
    <col min="3128" max="3128" width="1" style="1398" customWidth="1"/>
    <col min="3129" max="3129" width="11" style="1398" customWidth="1"/>
    <col min="3130" max="3130" width="1" style="1398" customWidth="1"/>
    <col min="3131" max="3328" width="10.6640625" style="1398"/>
    <col min="3329" max="3329" width="2.83203125" style="1398" customWidth="1"/>
    <col min="3330" max="3330" width="54" style="1398" customWidth="1"/>
    <col min="3331" max="3331" width="21.5" style="1398" customWidth="1"/>
    <col min="3332" max="3332" width="1" style="1398" customWidth="1"/>
    <col min="3333" max="3333" width="11" style="1398" customWidth="1"/>
    <col min="3334" max="3334" width="1" style="1398" customWidth="1"/>
    <col min="3335" max="3335" width="21.5" style="1398" customWidth="1"/>
    <col min="3336" max="3336" width="1" style="1398" customWidth="1"/>
    <col min="3337" max="3337" width="11" style="1398" customWidth="1"/>
    <col min="3338" max="3338" width="1" style="1398" customWidth="1"/>
    <col min="3339" max="3339" width="21.5" style="1398" customWidth="1"/>
    <col min="3340" max="3340" width="1" style="1398" customWidth="1"/>
    <col min="3341" max="3341" width="11" style="1398" customWidth="1"/>
    <col min="3342" max="3342" width="1" style="1398" customWidth="1"/>
    <col min="3343" max="3343" width="21.5" style="1398" customWidth="1"/>
    <col min="3344" max="3344" width="1" style="1398" customWidth="1"/>
    <col min="3345" max="3345" width="11" style="1398" customWidth="1"/>
    <col min="3346" max="3346" width="1" style="1398" customWidth="1"/>
    <col min="3347" max="3347" width="21.5" style="1398" customWidth="1"/>
    <col min="3348" max="3348" width="1" style="1398" customWidth="1"/>
    <col min="3349" max="3349" width="11" style="1398" customWidth="1"/>
    <col min="3350" max="3350" width="1" style="1398" customWidth="1"/>
    <col min="3351" max="3351" width="21.5" style="1398" customWidth="1"/>
    <col min="3352" max="3352" width="1" style="1398" customWidth="1"/>
    <col min="3353" max="3353" width="11" style="1398" customWidth="1"/>
    <col min="3354" max="3354" width="1" style="1398" customWidth="1"/>
    <col min="3355" max="3355" width="21.5" style="1398" customWidth="1"/>
    <col min="3356" max="3356" width="1" style="1398" customWidth="1"/>
    <col min="3357" max="3357" width="11" style="1398" customWidth="1"/>
    <col min="3358" max="3358" width="1" style="1398" customWidth="1"/>
    <col min="3359" max="3359" width="21.5" style="1398" customWidth="1"/>
    <col min="3360" max="3360" width="1" style="1398" customWidth="1"/>
    <col min="3361" max="3361" width="11" style="1398" customWidth="1"/>
    <col min="3362" max="3362" width="1" style="1398" customWidth="1"/>
    <col min="3363" max="3363" width="21.5" style="1398" customWidth="1"/>
    <col min="3364" max="3364" width="1" style="1398" customWidth="1"/>
    <col min="3365" max="3365" width="11" style="1398" customWidth="1"/>
    <col min="3366" max="3366" width="1" style="1398" customWidth="1"/>
    <col min="3367" max="3367" width="21.5" style="1398" customWidth="1"/>
    <col min="3368" max="3368" width="1" style="1398" customWidth="1"/>
    <col min="3369" max="3369" width="11" style="1398" customWidth="1"/>
    <col min="3370" max="3370" width="1" style="1398" customWidth="1"/>
    <col min="3371" max="3371" width="21.5" style="1398" customWidth="1"/>
    <col min="3372" max="3372" width="1" style="1398" customWidth="1"/>
    <col min="3373" max="3373" width="11" style="1398" customWidth="1"/>
    <col min="3374" max="3374" width="1" style="1398" customWidth="1"/>
    <col min="3375" max="3375" width="21.5" style="1398" customWidth="1"/>
    <col min="3376" max="3376" width="1" style="1398" customWidth="1"/>
    <col min="3377" max="3377" width="11" style="1398" customWidth="1"/>
    <col min="3378" max="3378" width="1" style="1398" customWidth="1"/>
    <col min="3379" max="3379" width="21.5" style="1398" customWidth="1"/>
    <col min="3380" max="3380" width="1" style="1398" customWidth="1"/>
    <col min="3381" max="3381" width="11" style="1398" customWidth="1"/>
    <col min="3382" max="3382" width="1" style="1398" customWidth="1"/>
    <col min="3383" max="3383" width="21.5" style="1398" customWidth="1"/>
    <col min="3384" max="3384" width="1" style="1398" customWidth="1"/>
    <col min="3385" max="3385" width="11" style="1398" customWidth="1"/>
    <col min="3386" max="3386" width="1" style="1398" customWidth="1"/>
    <col min="3387" max="3584" width="10.6640625" style="1398"/>
    <col min="3585" max="3585" width="2.83203125" style="1398" customWidth="1"/>
    <col min="3586" max="3586" width="54" style="1398" customWidth="1"/>
    <col min="3587" max="3587" width="21.5" style="1398" customWidth="1"/>
    <col min="3588" max="3588" width="1" style="1398" customWidth="1"/>
    <col min="3589" max="3589" width="11" style="1398" customWidth="1"/>
    <col min="3590" max="3590" width="1" style="1398" customWidth="1"/>
    <col min="3591" max="3591" width="21.5" style="1398" customWidth="1"/>
    <col min="3592" max="3592" width="1" style="1398" customWidth="1"/>
    <col min="3593" max="3593" width="11" style="1398" customWidth="1"/>
    <col min="3594" max="3594" width="1" style="1398" customWidth="1"/>
    <col min="3595" max="3595" width="21.5" style="1398" customWidth="1"/>
    <col min="3596" max="3596" width="1" style="1398" customWidth="1"/>
    <col min="3597" max="3597" width="11" style="1398" customWidth="1"/>
    <col min="3598" max="3598" width="1" style="1398" customWidth="1"/>
    <col min="3599" max="3599" width="21.5" style="1398" customWidth="1"/>
    <col min="3600" max="3600" width="1" style="1398" customWidth="1"/>
    <col min="3601" max="3601" width="11" style="1398" customWidth="1"/>
    <col min="3602" max="3602" width="1" style="1398" customWidth="1"/>
    <col min="3603" max="3603" width="21.5" style="1398" customWidth="1"/>
    <col min="3604" max="3604" width="1" style="1398" customWidth="1"/>
    <col min="3605" max="3605" width="11" style="1398" customWidth="1"/>
    <col min="3606" max="3606" width="1" style="1398" customWidth="1"/>
    <col min="3607" max="3607" width="21.5" style="1398" customWidth="1"/>
    <col min="3608" max="3608" width="1" style="1398" customWidth="1"/>
    <col min="3609" max="3609" width="11" style="1398" customWidth="1"/>
    <col min="3610" max="3610" width="1" style="1398" customWidth="1"/>
    <col min="3611" max="3611" width="21.5" style="1398" customWidth="1"/>
    <col min="3612" max="3612" width="1" style="1398" customWidth="1"/>
    <col min="3613" max="3613" width="11" style="1398" customWidth="1"/>
    <col min="3614" max="3614" width="1" style="1398" customWidth="1"/>
    <col min="3615" max="3615" width="21.5" style="1398" customWidth="1"/>
    <col min="3616" max="3616" width="1" style="1398" customWidth="1"/>
    <col min="3617" max="3617" width="11" style="1398" customWidth="1"/>
    <col min="3618" max="3618" width="1" style="1398" customWidth="1"/>
    <col min="3619" max="3619" width="21.5" style="1398" customWidth="1"/>
    <col min="3620" max="3620" width="1" style="1398" customWidth="1"/>
    <col min="3621" max="3621" width="11" style="1398" customWidth="1"/>
    <col min="3622" max="3622" width="1" style="1398" customWidth="1"/>
    <col min="3623" max="3623" width="21.5" style="1398" customWidth="1"/>
    <col min="3624" max="3624" width="1" style="1398" customWidth="1"/>
    <col min="3625" max="3625" width="11" style="1398" customWidth="1"/>
    <col min="3626" max="3626" width="1" style="1398" customWidth="1"/>
    <col min="3627" max="3627" width="21.5" style="1398" customWidth="1"/>
    <col min="3628" max="3628" width="1" style="1398" customWidth="1"/>
    <col min="3629" max="3629" width="11" style="1398" customWidth="1"/>
    <col min="3630" max="3630" width="1" style="1398" customWidth="1"/>
    <col min="3631" max="3631" width="21.5" style="1398" customWidth="1"/>
    <col min="3632" max="3632" width="1" style="1398" customWidth="1"/>
    <col min="3633" max="3633" width="11" style="1398" customWidth="1"/>
    <col min="3634" max="3634" width="1" style="1398" customWidth="1"/>
    <col min="3635" max="3635" width="21.5" style="1398" customWidth="1"/>
    <col min="3636" max="3636" width="1" style="1398" customWidth="1"/>
    <col min="3637" max="3637" width="11" style="1398" customWidth="1"/>
    <col min="3638" max="3638" width="1" style="1398" customWidth="1"/>
    <col min="3639" max="3639" width="21.5" style="1398" customWidth="1"/>
    <col min="3640" max="3640" width="1" style="1398" customWidth="1"/>
    <col min="3641" max="3641" width="11" style="1398" customWidth="1"/>
    <col min="3642" max="3642" width="1" style="1398" customWidth="1"/>
    <col min="3643" max="3840" width="10.6640625" style="1398"/>
    <col min="3841" max="3841" width="2.83203125" style="1398" customWidth="1"/>
    <col min="3842" max="3842" width="54" style="1398" customWidth="1"/>
    <col min="3843" max="3843" width="21.5" style="1398" customWidth="1"/>
    <col min="3844" max="3844" width="1" style="1398" customWidth="1"/>
    <col min="3845" max="3845" width="11" style="1398" customWidth="1"/>
    <col min="3846" max="3846" width="1" style="1398" customWidth="1"/>
    <col min="3847" max="3847" width="21.5" style="1398" customWidth="1"/>
    <col min="3848" max="3848" width="1" style="1398" customWidth="1"/>
    <col min="3849" max="3849" width="11" style="1398" customWidth="1"/>
    <col min="3850" max="3850" width="1" style="1398" customWidth="1"/>
    <col min="3851" max="3851" width="21.5" style="1398" customWidth="1"/>
    <col min="3852" max="3852" width="1" style="1398" customWidth="1"/>
    <col min="3853" max="3853" width="11" style="1398" customWidth="1"/>
    <col min="3854" max="3854" width="1" style="1398" customWidth="1"/>
    <col min="3855" max="3855" width="21.5" style="1398" customWidth="1"/>
    <col min="3856" max="3856" width="1" style="1398" customWidth="1"/>
    <col min="3857" max="3857" width="11" style="1398" customWidth="1"/>
    <col min="3858" max="3858" width="1" style="1398" customWidth="1"/>
    <col min="3859" max="3859" width="21.5" style="1398" customWidth="1"/>
    <col min="3860" max="3860" width="1" style="1398" customWidth="1"/>
    <col min="3861" max="3861" width="11" style="1398" customWidth="1"/>
    <col min="3862" max="3862" width="1" style="1398" customWidth="1"/>
    <col min="3863" max="3863" width="21.5" style="1398" customWidth="1"/>
    <col min="3864" max="3864" width="1" style="1398" customWidth="1"/>
    <col min="3865" max="3865" width="11" style="1398" customWidth="1"/>
    <col min="3866" max="3866" width="1" style="1398" customWidth="1"/>
    <col min="3867" max="3867" width="21.5" style="1398" customWidth="1"/>
    <col min="3868" max="3868" width="1" style="1398" customWidth="1"/>
    <col min="3869" max="3869" width="11" style="1398" customWidth="1"/>
    <col min="3870" max="3870" width="1" style="1398" customWidth="1"/>
    <col min="3871" max="3871" width="21.5" style="1398" customWidth="1"/>
    <col min="3872" max="3872" width="1" style="1398" customWidth="1"/>
    <col min="3873" max="3873" width="11" style="1398" customWidth="1"/>
    <col min="3874" max="3874" width="1" style="1398" customWidth="1"/>
    <col min="3875" max="3875" width="21.5" style="1398" customWidth="1"/>
    <col min="3876" max="3876" width="1" style="1398" customWidth="1"/>
    <col min="3877" max="3877" width="11" style="1398" customWidth="1"/>
    <col min="3878" max="3878" width="1" style="1398" customWidth="1"/>
    <col min="3879" max="3879" width="21.5" style="1398" customWidth="1"/>
    <col min="3880" max="3880" width="1" style="1398" customWidth="1"/>
    <col min="3881" max="3881" width="11" style="1398" customWidth="1"/>
    <col min="3882" max="3882" width="1" style="1398" customWidth="1"/>
    <col min="3883" max="3883" width="21.5" style="1398" customWidth="1"/>
    <col min="3884" max="3884" width="1" style="1398" customWidth="1"/>
    <col min="3885" max="3885" width="11" style="1398" customWidth="1"/>
    <col min="3886" max="3886" width="1" style="1398" customWidth="1"/>
    <col min="3887" max="3887" width="21.5" style="1398" customWidth="1"/>
    <col min="3888" max="3888" width="1" style="1398" customWidth="1"/>
    <col min="3889" max="3889" width="11" style="1398" customWidth="1"/>
    <col min="3890" max="3890" width="1" style="1398" customWidth="1"/>
    <col min="3891" max="3891" width="21.5" style="1398" customWidth="1"/>
    <col min="3892" max="3892" width="1" style="1398" customWidth="1"/>
    <col min="3893" max="3893" width="11" style="1398" customWidth="1"/>
    <col min="3894" max="3894" width="1" style="1398" customWidth="1"/>
    <col min="3895" max="3895" width="21.5" style="1398" customWidth="1"/>
    <col min="3896" max="3896" width="1" style="1398" customWidth="1"/>
    <col min="3897" max="3897" width="11" style="1398" customWidth="1"/>
    <col min="3898" max="3898" width="1" style="1398" customWidth="1"/>
    <col min="3899" max="4096" width="10.6640625" style="1398"/>
    <col min="4097" max="4097" width="2.83203125" style="1398" customWidth="1"/>
    <col min="4098" max="4098" width="54" style="1398" customWidth="1"/>
    <col min="4099" max="4099" width="21.5" style="1398" customWidth="1"/>
    <col min="4100" max="4100" width="1" style="1398" customWidth="1"/>
    <col min="4101" max="4101" width="11" style="1398" customWidth="1"/>
    <col min="4102" max="4102" width="1" style="1398" customWidth="1"/>
    <col min="4103" max="4103" width="21.5" style="1398" customWidth="1"/>
    <col min="4104" max="4104" width="1" style="1398" customWidth="1"/>
    <col min="4105" max="4105" width="11" style="1398" customWidth="1"/>
    <col min="4106" max="4106" width="1" style="1398" customWidth="1"/>
    <col min="4107" max="4107" width="21.5" style="1398" customWidth="1"/>
    <col min="4108" max="4108" width="1" style="1398" customWidth="1"/>
    <col min="4109" max="4109" width="11" style="1398" customWidth="1"/>
    <col min="4110" max="4110" width="1" style="1398" customWidth="1"/>
    <col min="4111" max="4111" width="21.5" style="1398" customWidth="1"/>
    <col min="4112" max="4112" width="1" style="1398" customWidth="1"/>
    <col min="4113" max="4113" width="11" style="1398" customWidth="1"/>
    <col min="4114" max="4114" width="1" style="1398" customWidth="1"/>
    <col min="4115" max="4115" width="21.5" style="1398" customWidth="1"/>
    <col min="4116" max="4116" width="1" style="1398" customWidth="1"/>
    <col min="4117" max="4117" width="11" style="1398" customWidth="1"/>
    <col min="4118" max="4118" width="1" style="1398" customWidth="1"/>
    <col min="4119" max="4119" width="21.5" style="1398" customWidth="1"/>
    <col min="4120" max="4120" width="1" style="1398" customWidth="1"/>
    <col min="4121" max="4121" width="11" style="1398" customWidth="1"/>
    <col min="4122" max="4122" width="1" style="1398" customWidth="1"/>
    <col min="4123" max="4123" width="21.5" style="1398" customWidth="1"/>
    <col min="4124" max="4124" width="1" style="1398" customWidth="1"/>
    <col min="4125" max="4125" width="11" style="1398" customWidth="1"/>
    <col min="4126" max="4126" width="1" style="1398" customWidth="1"/>
    <col min="4127" max="4127" width="21.5" style="1398" customWidth="1"/>
    <col min="4128" max="4128" width="1" style="1398" customWidth="1"/>
    <col min="4129" max="4129" width="11" style="1398" customWidth="1"/>
    <col min="4130" max="4130" width="1" style="1398" customWidth="1"/>
    <col min="4131" max="4131" width="21.5" style="1398" customWidth="1"/>
    <col min="4132" max="4132" width="1" style="1398" customWidth="1"/>
    <col min="4133" max="4133" width="11" style="1398" customWidth="1"/>
    <col min="4134" max="4134" width="1" style="1398" customWidth="1"/>
    <col min="4135" max="4135" width="21.5" style="1398" customWidth="1"/>
    <col min="4136" max="4136" width="1" style="1398" customWidth="1"/>
    <col min="4137" max="4137" width="11" style="1398" customWidth="1"/>
    <col min="4138" max="4138" width="1" style="1398" customWidth="1"/>
    <col min="4139" max="4139" width="21.5" style="1398" customWidth="1"/>
    <col min="4140" max="4140" width="1" style="1398" customWidth="1"/>
    <col min="4141" max="4141" width="11" style="1398" customWidth="1"/>
    <col min="4142" max="4142" width="1" style="1398" customWidth="1"/>
    <col min="4143" max="4143" width="21.5" style="1398" customWidth="1"/>
    <col min="4144" max="4144" width="1" style="1398" customWidth="1"/>
    <col min="4145" max="4145" width="11" style="1398" customWidth="1"/>
    <col min="4146" max="4146" width="1" style="1398" customWidth="1"/>
    <col min="4147" max="4147" width="21.5" style="1398" customWidth="1"/>
    <col min="4148" max="4148" width="1" style="1398" customWidth="1"/>
    <col min="4149" max="4149" width="11" style="1398" customWidth="1"/>
    <col min="4150" max="4150" width="1" style="1398" customWidth="1"/>
    <col min="4151" max="4151" width="21.5" style="1398" customWidth="1"/>
    <col min="4152" max="4152" width="1" style="1398" customWidth="1"/>
    <col min="4153" max="4153" width="11" style="1398" customWidth="1"/>
    <col min="4154" max="4154" width="1" style="1398" customWidth="1"/>
    <col min="4155" max="4352" width="10.6640625" style="1398"/>
    <col min="4353" max="4353" width="2.83203125" style="1398" customWidth="1"/>
    <col min="4354" max="4354" width="54" style="1398" customWidth="1"/>
    <col min="4355" max="4355" width="21.5" style="1398" customWidth="1"/>
    <col min="4356" max="4356" width="1" style="1398" customWidth="1"/>
    <col min="4357" max="4357" width="11" style="1398" customWidth="1"/>
    <col min="4358" max="4358" width="1" style="1398" customWidth="1"/>
    <col min="4359" max="4359" width="21.5" style="1398" customWidth="1"/>
    <col min="4360" max="4360" width="1" style="1398" customWidth="1"/>
    <col min="4361" max="4361" width="11" style="1398" customWidth="1"/>
    <col min="4362" max="4362" width="1" style="1398" customWidth="1"/>
    <col min="4363" max="4363" width="21.5" style="1398" customWidth="1"/>
    <col min="4364" max="4364" width="1" style="1398" customWidth="1"/>
    <col min="4365" max="4365" width="11" style="1398" customWidth="1"/>
    <col min="4366" max="4366" width="1" style="1398" customWidth="1"/>
    <col min="4367" max="4367" width="21.5" style="1398" customWidth="1"/>
    <col min="4368" max="4368" width="1" style="1398" customWidth="1"/>
    <col min="4369" max="4369" width="11" style="1398" customWidth="1"/>
    <col min="4370" max="4370" width="1" style="1398" customWidth="1"/>
    <col min="4371" max="4371" width="21.5" style="1398" customWidth="1"/>
    <col min="4372" max="4372" width="1" style="1398" customWidth="1"/>
    <col min="4373" max="4373" width="11" style="1398" customWidth="1"/>
    <col min="4374" max="4374" width="1" style="1398" customWidth="1"/>
    <col min="4375" max="4375" width="21.5" style="1398" customWidth="1"/>
    <col min="4376" max="4376" width="1" style="1398" customWidth="1"/>
    <col min="4377" max="4377" width="11" style="1398" customWidth="1"/>
    <col min="4378" max="4378" width="1" style="1398" customWidth="1"/>
    <col min="4379" max="4379" width="21.5" style="1398" customWidth="1"/>
    <col min="4380" max="4380" width="1" style="1398" customWidth="1"/>
    <col min="4381" max="4381" width="11" style="1398" customWidth="1"/>
    <col min="4382" max="4382" width="1" style="1398" customWidth="1"/>
    <col min="4383" max="4383" width="21.5" style="1398" customWidth="1"/>
    <col min="4384" max="4384" width="1" style="1398" customWidth="1"/>
    <col min="4385" max="4385" width="11" style="1398" customWidth="1"/>
    <col min="4386" max="4386" width="1" style="1398" customWidth="1"/>
    <col min="4387" max="4387" width="21.5" style="1398" customWidth="1"/>
    <col min="4388" max="4388" width="1" style="1398" customWidth="1"/>
    <col min="4389" max="4389" width="11" style="1398" customWidth="1"/>
    <col min="4390" max="4390" width="1" style="1398" customWidth="1"/>
    <col min="4391" max="4391" width="21.5" style="1398" customWidth="1"/>
    <col min="4392" max="4392" width="1" style="1398" customWidth="1"/>
    <col min="4393" max="4393" width="11" style="1398" customWidth="1"/>
    <col min="4394" max="4394" width="1" style="1398" customWidth="1"/>
    <col min="4395" max="4395" width="21.5" style="1398" customWidth="1"/>
    <col min="4396" max="4396" width="1" style="1398" customWidth="1"/>
    <col min="4397" max="4397" width="11" style="1398" customWidth="1"/>
    <col min="4398" max="4398" width="1" style="1398" customWidth="1"/>
    <col min="4399" max="4399" width="21.5" style="1398" customWidth="1"/>
    <col min="4400" max="4400" width="1" style="1398" customWidth="1"/>
    <col min="4401" max="4401" width="11" style="1398" customWidth="1"/>
    <col min="4402" max="4402" width="1" style="1398" customWidth="1"/>
    <col min="4403" max="4403" width="21.5" style="1398" customWidth="1"/>
    <col min="4404" max="4404" width="1" style="1398" customWidth="1"/>
    <col min="4405" max="4405" width="11" style="1398" customWidth="1"/>
    <col min="4406" max="4406" width="1" style="1398" customWidth="1"/>
    <col min="4407" max="4407" width="21.5" style="1398" customWidth="1"/>
    <col min="4408" max="4408" width="1" style="1398" customWidth="1"/>
    <col min="4409" max="4409" width="11" style="1398" customWidth="1"/>
    <col min="4410" max="4410" width="1" style="1398" customWidth="1"/>
    <col min="4411" max="4608" width="10.6640625" style="1398"/>
    <col min="4609" max="4609" width="2.83203125" style="1398" customWidth="1"/>
    <col min="4610" max="4610" width="54" style="1398" customWidth="1"/>
    <col min="4611" max="4611" width="21.5" style="1398" customWidth="1"/>
    <col min="4612" max="4612" width="1" style="1398" customWidth="1"/>
    <col min="4613" max="4613" width="11" style="1398" customWidth="1"/>
    <col min="4614" max="4614" width="1" style="1398" customWidth="1"/>
    <col min="4615" max="4615" width="21.5" style="1398" customWidth="1"/>
    <col min="4616" max="4616" width="1" style="1398" customWidth="1"/>
    <col min="4617" max="4617" width="11" style="1398" customWidth="1"/>
    <col min="4618" max="4618" width="1" style="1398" customWidth="1"/>
    <col min="4619" max="4619" width="21.5" style="1398" customWidth="1"/>
    <col min="4620" max="4620" width="1" style="1398" customWidth="1"/>
    <col min="4621" max="4621" width="11" style="1398" customWidth="1"/>
    <col min="4622" max="4622" width="1" style="1398" customWidth="1"/>
    <col min="4623" max="4623" width="21.5" style="1398" customWidth="1"/>
    <col min="4624" max="4624" width="1" style="1398" customWidth="1"/>
    <col min="4625" max="4625" width="11" style="1398" customWidth="1"/>
    <col min="4626" max="4626" width="1" style="1398" customWidth="1"/>
    <col min="4627" max="4627" width="21.5" style="1398" customWidth="1"/>
    <col min="4628" max="4628" width="1" style="1398" customWidth="1"/>
    <col min="4629" max="4629" width="11" style="1398" customWidth="1"/>
    <col min="4630" max="4630" width="1" style="1398" customWidth="1"/>
    <col min="4631" max="4631" width="21.5" style="1398" customWidth="1"/>
    <col min="4632" max="4632" width="1" style="1398" customWidth="1"/>
    <col min="4633" max="4633" width="11" style="1398" customWidth="1"/>
    <col min="4634" max="4634" width="1" style="1398" customWidth="1"/>
    <col min="4635" max="4635" width="21.5" style="1398" customWidth="1"/>
    <col min="4636" max="4636" width="1" style="1398" customWidth="1"/>
    <col min="4637" max="4637" width="11" style="1398" customWidth="1"/>
    <col min="4638" max="4638" width="1" style="1398" customWidth="1"/>
    <col min="4639" max="4639" width="21.5" style="1398" customWidth="1"/>
    <col min="4640" max="4640" width="1" style="1398" customWidth="1"/>
    <col min="4641" max="4641" width="11" style="1398" customWidth="1"/>
    <col min="4642" max="4642" width="1" style="1398" customWidth="1"/>
    <col min="4643" max="4643" width="21.5" style="1398" customWidth="1"/>
    <col min="4644" max="4644" width="1" style="1398" customWidth="1"/>
    <col min="4645" max="4645" width="11" style="1398" customWidth="1"/>
    <col min="4646" max="4646" width="1" style="1398" customWidth="1"/>
    <col min="4647" max="4647" width="21.5" style="1398" customWidth="1"/>
    <col min="4648" max="4648" width="1" style="1398" customWidth="1"/>
    <col min="4649" max="4649" width="11" style="1398" customWidth="1"/>
    <col min="4650" max="4650" width="1" style="1398" customWidth="1"/>
    <col min="4651" max="4651" width="21.5" style="1398" customWidth="1"/>
    <col min="4652" max="4652" width="1" style="1398" customWidth="1"/>
    <col min="4653" max="4653" width="11" style="1398" customWidth="1"/>
    <col min="4654" max="4654" width="1" style="1398" customWidth="1"/>
    <col min="4655" max="4655" width="21.5" style="1398" customWidth="1"/>
    <col min="4656" max="4656" width="1" style="1398" customWidth="1"/>
    <col min="4657" max="4657" width="11" style="1398" customWidth="1"/>
    <col min="4658" max="4658" width="1" style="1398" customWidth="1"/>
    <col min="4659" max="4659" width="21.5" style="1398" customWidth="1"/>
    <col min="4660" max="4660" width="1" style="1398" customWidth="1"/>
    <col min="4661" max="4661" width="11" style="1398" customWidth="1"/>
    <col min="4662" max="4662" width="1" style="1398" customWidth="1"/>
    <col min="4663" max="4663" width="21.5" style="1398" customWidth="1"/>
    <col min="4664" max="4664" width="1" style="1398" customWidth="1"/>
    <col min="4665" max="4665" width="11" style="1398" customWidth="1"/>
    <col min="4666" max="4666" width="1" style="1398" customWidth="1"/>
    <col min="4667" max="4864" width="10.6640625" style="1398"/>
    <col min="4865" max="4865" width="2.83203125" style="1398" customWidth="1"/>
    <col min="4866" max="4866" width="54" style="1398" customWidth="1"/>
    <col min="4867" max="4867" width="21.5" style="1398" customWidth="1"/>
    <col min="4868" max="4868" width="1" style="1398" customWidth="1"/>
    <col min="4869" max="4869" width="11" style="1398" customWidth="1"/>
    <col min="4870" max="4870" width="1" style="1398" customWidth="1"/>
    <col min="4871" max="4871" width="21.5" style="1398" customWidth="1"/>
    <col min="4872" max="4872" width="1" style="1398" customWidth="1"/>
    <col min="4873" max="4873" width="11" style="1398" customWidth="1"/>
    <col min="4874" max="4874" width="1" style="1398" customWidth="1"/>
    <col min="4875" max="4875" width="21.5" style="1398" customWidth="1"/>
    <col min="4876" max="4876" width="1" style="1398" customWidth="1"/>
    <col min="4877" max="4877" width="11" style="1398" customWidth="1"/>
    <col min="4878" max="4878" width="1" style="1398" customWidth="1"/>
    <col min="4879" max="4879" width="21.5" style="1398" customWidth="1"/>
    <col min="4880" max="4880" width="1" style="1398" customWidth="1"/>
    <col min="4881" max="4881" width="11" style="1398" customWidth="1"/>
    <col min="4882" max="4882" width="1" style="1398" customWidth="1"/>
    <col min="4883" max="4883" width="21.5" style="1398" customWidth="1"/>
    <col min="4884" max="4884" width="1" style="1398" customWidth="1"/>
    <col min="4885" max="4885" width="11" style="1398" customWidth="1"/>
    <col min="4886" max="4886" width="1" style="1398" customWidth="1"/>
    <col min="4887" max="4887" width="21.5" style="1398" customWidth="1"/>
    <col min="4888" max="4888" width="1" style="1398" customWidth="1"/>
    <col min="4889" max="4889" width="11" style="1398" customWidth="1"/>
    <col min="4890" max="4890" width="1" style="1398" customWidth="1"/>
    <col min="4891" max="4891" width="21.5" style="1398" customWidth="1"/>
    <col min="4892" max="4892" width="1" style="1398" customWidth="1"/>
    <col min="4893" max="4893" width="11" style="1398" customWidth="1"/>
    <col min="4894" max="4894" width="1" style="1398" customWidth="1"/>
    <col min="4895" max="4895" width="21.5" style="1398" customWidth="1"/>
    <col min="4896" max="4896" width="1" style="1398" customWidth="1"/>
    <col min="4897" max="4897" width="11" style="1398" customWidth="1"/>
    <col min="4898" max="4898" width="1" style="1398" customWidth="1"/>
    <col min="4899" max="4899" width="21.5" style="1398" customWidth="1"/>
    <col min="4900" max="4900" width="1" style="1398" customWidth="1"/>
    <col min="4901" max="4901" width="11" style="1398" customWidth="1"/>
    <col min="4902" max="4902" width="1" style="1398" customWidth="1"/>
    <col min="4903" max="4903" width="21.5" style="1398" customWidth="1"/>
    <col min="4904" max="4904" width="1" style="1398" customWidth="1"/>
    <col min="4905" max="4905" width="11" style="1398" customWidth="1"/>
    <col min="4906" max="4906" width="1" style="1398" customWidth="1"/>
    <col min="4907" max="4907" width="21.5" style="1398" customWidth="1"/>
    <col min="4908" max="4908" width="1" style="1398" customWidth="1"/>
    <col min="4909" max="4909" width="11" style="1398" customWidth="1"/>
    <col min="4910" max="4910" width="1" style="1398" customWidth="1"/>
    <col min="4911" max="4911" width="21.5" style="1398" customWidth="1"/>
    <col min="4912" max="4912" width="1" style="1398" customWidth="1"/>
    <col min="4913" max="4913" width="11" style="1398" customWidth="1"/>
    <col min="4914" max="4914" width="1" style="1398" customWidth="1"/>
    <col min="4915" max="4915" width="21.5" style="1398" customWidth="1"/>
    <col min="4916" max="4916" width="1" style="1398" customWidth="1"/>
    <col min="4917" max="4917" width="11" style="1398" customWidth="1"/>
    <col min="4918" max="4918" width="1" style="1398" customWidth="1"/>
    <col min="4919" max="4919" width="21.5" style="1398" customWidth="1"/>
    <col min="4920" max="4920" width="1" style="1398" customWidth="1"/>
    <col min="4921" max="4921" width="11" style="1398" customWidth="1"/>
    <col min="4922" max="4922" width="1" style="1398" customWidth="1"/>
    <col min="4923" max="5120" width="10.6640625" style="1398"/>
    <col min="5121" max="5121" width="2.83203125" style="1398" customWidth="1"/>
    <col min="5122" max="5122" width="54" style="1398" customWidth="1"/>
    <col min="5123" max="5123" width="21.5" style="1398" customWidth="1"/>
    <col min="5124" max="5124" width="1" style="1398" customWidth="1"/>
    <col min="5125" max="5125" width="11" style="1398" customWidth="1"/>
    <col min="5126" max="5126" width="1" style="1398" customWidth="1"/>
    <col min="5127" max="5127" width="21.5" style="1398" customWidth="1"/>
    <col min="5128" max="5128" width="1" style="1398" customWidth="1"/>
    <col min="5129" max="5129" width="11" style="1398" customWidth="1"/>
    <col min="5130" max="5130" width="1" style="1398" customWidth="1"/>
    <col min="5131" max="5131" width="21.5" style="1398" customWidth="1"/>
    <col min="5132" max="5132" width="1" style="1398" customWidth="1"/>
    <col min="5133" max="5133" width="11" style="1398" customWidth="1"/>
    <col min="5134" max="5134" width="1" style="1398" customWidth="1"/>
    <col min="5135" max="5135" width="21.5" style="1398" customWidth="1"/>
    <col min="5136" max="5136" width="1" style="1398" customWidth="1"/>
    <col min="5137" max="5137" width="11" style="1398" customWidth="1"/>
    <col min="5138" max="5138" width="1" style="1398" customWidth="1"/>
    <col min="5139" max="5139" width="21.5" style="1398" customWidth="1"/>
    <col min="5140" max="5140" width="1" style="1398" customWidth="1"/>
    <col min="5141" max="5141" width="11" style="1398" customWidth="1"/>
    <col min="5142" max="5142" width="1" style="1398" customWidth="1"/>
    <col min="5143" max="5143" width="21.5" style="1398" customWidth="1"/>
    <col min="5144" max="5144" width="1" style="1398" customWidth="1"/>
    <col min="5145" max="5145" width="11" style="1398" customWidth="1"/>
    <col min="5146" max="5146" width="1" style="1398" customWidth="1"/>
    <col min="5147" max="5147" width="21.5" style="1398" customWidth="1"/>
    <col min="5148" max="5148" width="1" style="1398" customWidth="1"/>
    <col min="5149" max="5149" width="11" style="1398" customWidth="1"/>
    <col min="5150" max="5150" width="1" style="1398" customWidth="1"/>
    <col min="5151" max="5151" width="21.5" style="1398" customWidth="1"/>
    <col min="5152" max="5152" width="1" style="1398" customWidth="1"/>
    <col min="5153" max="5153" width="11" style="1398" customWidth="1"/>
    <col min="5154" max="5154" width="1" style="1398" customWidth="1"/>
    <col min="5155" max="5155" width="21.5" style="1398" customWidth="1"/>
    <col min="5156" max="5156" width="1" style="1398" customWidth="1"/>
    <col min="5157" max="5157" width="11" style="1398" customWidth="1"/>
    <col min="5158" max="5158" width="1" style="1398" customWidth="1"/>
    <col min="5159" max="5159" width="21.5" style="1398" customWidth="1"/>
    <col min="5160" max="5160" width="1" style="1398" customWidth="1"/>
    <col min="5161" max="5161" width="11" style="1398" customWidth="1"/>
    <col min="5162" max="5162" width="1" style="1398" customWidth="1"/>
    <col min="5163" max="5163" width="21.5" style="1398" customWidth="1"/>
    <col min="5164" max="5164" width="1" style="1398" customWidth="1"/>
    <col min="5165" max="5165" width="11" style="1398" customWidth="1"/>
    <col min="5166" max="5166" width="1" style="1398" customWidth="1"/>
    <col min="5167" max="5167" width="21.5" style="1398" customWidth="1"/>
    <col min="5168" max="5168" width="1" style="1398" customWidth="1"/>
    <col min="5169" max="5169" width="11" style="1398" customWidth="1"/>
    <col min="5170" max="5170" width="1" style="1398" customWidth="1"/>
    <col min="5171" max="5171" width="21.5" style="1398" customWidth="1"/>
    <col min="5172" max="5172" width="1" style="1398" customWidth="1"/>
    <col min="5173" max="5173" width="11" style="1398" customWidth="1"/>
    <col min="5174" max="5174" width="1" style="1398" customWidth="1"/>
    <col min="5175" max="5175" width="21.5" style="1398" customWidth="1"/>
    <col min="5176" max="5176" width="1" style="1398" customWidth="1"/>
    <col min="5177" max="5177" width="11" style="1398" customWidth="1"/>
    <col min="5178" max="5178" width="1" style="1398" customWidth="1"/>
    <col min="5179" max="5376" width="10.6640625" style="1398"/>
    <col min="5377" max="5377" width="2.83203125" style="1398" customWidth="1"/>
    <col min="5378" max="5378" width="54" style="1398" customWidth="1"/>
    <col min="5379" max="5379" width="21.5" style="1398" customWidth="1"/>
    <col min="5380" max="5380" width="1" style="1398" customWidth="1"/>
    <col min="5381" max="5381" width="11" style="1398" customWidth="1"/>
    <col min="5382" max="5382" width="1" style="1398" customWidth="1"/>
    <col min="5383" max="5383" width="21.5" style="1398" customWidth="1"/>
    <col min="5384" max="5384" width="1" style="1398" customWidth="1"/>
    <col min="5385" max="5385" width="11" style="1398" customWidth="1"/>
    <col min="5386" max="5386" width="1" style="1398" customWidth="1"/>
    <col min="5387" max="5387" width="21.5" style="1398" customWidth="1"/>
    <col min="5388" max="5388" width="1" style="1398" customWidth="1"/>
    <col min="5389" max="5389" width="11" style="1398" customWidth="1"/>
    <col min="5390" max="5390" width="1" style="1398" customWidth="1"/>
    <col min="5391" max="5391" width="21.5" style="1398" customWidth="1"/>
    <col min="5392" max="5392" width="1" style="1398" customWidth="1"/>
    <col min="5393" max="5393" width="11" style="1398" customWidth="1"/>
    <col min="5394" max="5394" width="1" style="1398" customWidth="1"/>
    <col min="5395" max="5395" width="21.5" style="1398" customWidth="1"/>
    <col min="5396" max="5396" width="1" style="1398" customWidth="1"/>
    <col min="5397" max="5397" width="11" style="1398" customWidth="1"/>
    <col min="5398" max="5398" width="1" style="1398" customWidth="1"/>
    <col min="5399" max="5399" width="21.5" style="1398" customWidth="1"/>
    <col min="5400" max="5400" width="1" style="1398" customWidth="1"/>
    <col min="5401" max="5401" width="11" style="1398" customWidth="1"/>
    <col min="5402" max="5402" width="1" style="1398" customWidth="1"/>
    <col min="5403" max="5403" width="21.5" style="1398" customWidth="1"/>
    <col min="5404" max="5404" width="1" style="1398" customWidth="1"/>
    <col min="5405" max="5405" width="11" style="1398" customWidth="1"/>
    <col min="5406" max="5406" width="1" style="1398" customWidth="1"/>
    <col min="5407" max="5407" width="21.5" style="1398" customWidth="1"/>
    <col min="5408" max="5408" width="1" style="1398" customWidth="1"/>
    <col min="5409" max="5409" width="11" style="1398" customWidth="1"/>
    <col min="5410" max="5410" width="1" style="1398" customWidth="1"/>
    <col min="5411" max="5411" width="21.5" style="1398" customWidth="1"/>
    <col min="5412" max="5412" width="1" style="1398" customWidth="1"/>
    <col min="5413" max="5413" width="11" style="1398" customWidth="1"/>
    <col min="5414" max="5414" width="1" style="1398" customWidth="1"/>
    <col min="5415" max="5415" width="21.5" style="1398" customWidth="1"/>
    <col min="5416" max="5416" width="1" style="1398" customWidth="1"/>
    <col min="5417" max="5417" width="11" style="1398" customWidth="1"/>
    <col min="5418" max="5418" width="1" style="1398" customWidth="1"/>
    <col min="5419" max="5419" width="21.5" style="1398" customWidth="1"/>
    <col min="5420" max="5420" width="1" style="1398" customWidth="1"/>
    <col min="5421" max="5421" width="11" style="1398" customWidth="1"/>
    <col min="5422" max="5422" width="1" style="1398" customWidth="1"/>
    <col min="5423" max="5423" width="21.5" style="1398" customWidth="1"/>
    <col min="5424" max="5424" width="1" style="1398" customWidth="1"/>
    <col min="5425" max="5425" width="11" style="1398" customWidth="1"/>
    <col min="5426" max="5426" width="1" style="1398" customWidth="1"/>
    <col min="5427" max="5427" width="21.5" style="1398" customWidth="1"/>
    <col min="5428" max="5428" width="1" style="1398" customWidth="1"/>
    <col min="5429" max="5429" width="11" style="1398" customWidth="1"/>
    <col min="5430" max="5430" width="1" style="1398" customWidth="1"/>
    <col min="5431" max="5431" width="21.5" style="1398" customWidth="1"/>
    <col min="5432" max="5432" width="1" style="1398" customWidth="1"/>
    <col min="5433" max="5433" width="11" style="1398" customWidth="1"/>
    <col min="5434" max="5434" width="1" style="1398" customWidth="1"/>
    <col min="5435" max="5632" width="10.6640625" style="1398"/>
    <col min="5633" max="5633" width="2.83203125" style="1398" customWidth="1"/>
    <col min="5634" max="5634" width="54" style="1398" customWidth="1"/>
    <col min="5635" max="5635" width="21.5" style="1398" customWidth="1"/>
    <col min="5636" max="5636" width="1" style="1398" customWidth="1"/>
    <col min="5637" max="5637" width="11" style="1398" customWidth="1"/>
    <col min="5638" max="5638" width="1" style="1398" customWidth="1"/>
    <col min="5639" max="5639" width="21.5" style="1398" customWidth="1"/>
    <col min="5640" max="5640" width="1" style="1398" customWidth="1"/>
    <col min="5641" max="5641" width="11" style="1398" customWidth="1"/>
    <col min="5642" max="5642" width="1" style="1398" customWidth="1"/>
    <col min="5643" max="5643" width="21.5" style="1398" customWidth="1"/>
    <col min="5644" max="5644" width="1" style="1398" customWidth="1"/>
    <col min="5645" max="5645" width="11" style="1398" customWidth="1"/>
    <col min="5646" max="5646" width="1" style="1398" customWidth="1"/>
    <col min="5647" max="5647" width="21.5" style="1398" customWidth="1"/>
    <col min="5648" max="5648" width="1" style="1398" customWidth="1"/>
    <col min="5649" max="5649" width="11" style="1398" customWidth="1"/>
    <col min="5650" max="5650" width="1" style="1398" customWidth="1"/>
    <col min="5651" max="5651" width="21.5" style="1398" customWidth="1"/>
    <col min="5652" max="5652" width="1" style="1398" customWidth="1"/>
    <col min="5653" max="5653" width="11" style="1398" customWidth="1"/>
    <col min="5654" max="5654" width="1" style="1398" customWidth="1"/>
    <col min="5655" max="5655" width="21.5" style="1398" customWidth="1"/>
    <col min="5656" max="5656" width="1" style="1398" customWidth="1"/>
    <col min="5657" max="5657" width="11" style="1398" customWidth="1"/>
    <col min="5658" max="5658" width="1" style="1398" customWidth="1"/>
    <col min="5659" max="5659" width="21.5" style="1398" customWidth="1"/>
    <col min="5660" max="5660" width="1" style="1398" customWidth="1"/>
    <col min="5661" max="5661" width="11" style="1398" customWidth="1"/>
    <col min="5662" max="5662" width="1" style="1398" customWidth="1"/>
    <col min="5663" max="5663" width="21.5" style="1398" customWidth="1"/>
    <col min="5664" max="5664" width="1" style="1398" customWidth="1"/>
    <col min="5665" max="5665" width="11" style="1398" customWidth="1"/>
    <col min="5666" max="5666" width="1" style="1398" customWidth="1"/>
    <col min="5667" max="5667" width="21.5" style="1398" customWidth="1"/>
    <col min="5668" max="5668" width="1" style="1398" customWidth="1"/>
    <col min="5669" max="5669" width="11" style="1398" customWidth="1"/>
    <col min="5670" max="5670" width="1" style="1398" customWidth="1"/>
    <col min="5671" max="5671" width="21.5" style="1398" customWidth="1"/>
    <col min="5672" max="5672" width="1" style="1398" customWidth="1"/>
    <col min="5673" max="5673" width="11" style="1398" customWidth="1"/>
    <col min="5674" max="5674" width="1" style="1398" customWidth="1"/>
    <col min="5675" max="5675" width="21.5" style="1398" customWidth="1"/>
    <col min="5676" max="5676" width="1" style="1398" customWidth="1"/>
    <col min="5677" max="5677" width="11" style="1398" customWidth="1"/>
    <col min="5678" max="5678" width="1" style="1398" customWidth="1"/>
    <col min="5679" max="5679" width="21.5" style="1398" customWidth="1"/>
    <col min="5680" max="5680" width="1" style="1398" customWidth="1"/>
    <col min="5681" max="5681" width="11" style="1398" customWidth="1"/>
    <col min="5682" max="5682" width="1" style="1398" customWidth="1"/>
    <col min="5683" max="5683" width="21.5" style="1398" customWidth="1"/>
    <col min="5684" max="5684" width="1" style="1398" customWidth="1"/>
    <col min="5685" max="5685" width="11" style="1398" customWidth="1"/>
    <col min="5686" max="5686" width="1" style="1398" customWidth="1"/>
    <col min="5687" max="5687" width="21.5" style="1398" customWidth="1"/>
    <col min="5688" max="5688" width="1" style="1398" customWidth="1"/>
    <col min="5689" max="5689" width="11" style="1398" customWidth="1"/>
    <col min="5690" max="5690" width="1" style="1398" customWidth="1"/>
    <col min="5691" max="5888" width="10.6640625" style="1398"/>
    <col min="5889" max="5889" width="2.83203125" style="1398" customWidth="1"/>
    <col min="5890" max="5890" width="54" style="1398" customWidth="1"/>
    <col min="5891" max="5891" width="21.5" style="1398" customWidth="1"/>
    <col min="5892" max="5892" width="1" style="1398" customWidth="1"/>
    <col min="5893" max="5893" width="11" style="1398" customWidth="1"/>
    <col min="5894" max="5894" width="1" style="1398" customWidth="1"/>
    <col min="5895" max="5895" width="21.5" style="1398" customWidth="1"/>
    <col min="5896" max="5896" width="1" style="1398" customWidth="1"/>
    <col min="5897" max="5897" width="11" style="1398" customWidth="1"/>
    <col min="5898" max="5898" width="1" style="1398" customWidth="1"/>
    <col min="5899" max="5899" width="21.5" style="1398" customWidth="1"/>
    <col min="5900" max="5900" width="1" style="1398" customWidth="1"/>
    <col min="5901" max="5901" width="11" style="1398" customWidth="1"/>
    <col min="5902" max="5902" width="1" style="1398" customWidth="1"/>
    <col min="5903" max="5903" width="21.5" style="1398" customWidth="1"/>
    <col min="5904" max="5904" width="1" style="1398" customWidth="1"/>
    <col min="5905" max="5905" width="11" style="1398" customWidth="1"/>
    <col min="5906" max="5906" width="1" style="1398" customWidth="1"/>
    <col min="5907" max="5907" width="21.5" style="1398" customWidth="1"/>
    <col min="5908" max="5908" width="1" style="1398" customWidth="1"/>
    <col min="5909" max="5909" width="11" style="1398" customWidth="1"/>
    <col min="5910" max="5910" width="1" style="1398" customWidth="1"/>
    <col min="5911" max="5911" width="21.5" style="1398" customWidth="1"/>
    <col min="5912" max="5912" width="1" style="1398" customWidth="1"/>
    <col min="5913" max="5913" width="11" style="1398" customWidth="1"/>
    <col min="5914" max="5914" width="1" style="1398" customWidth="1"/>
    <col min="5915" max="5915" width="21.5" style="1398" customWidth="1"/>
    <col min="5916" max="5916" width="1" style="1398" customWidth="1"/>
    <col min="5917" max="5917" width="11" style="1398" customWidth="1"/>
    <col min="5918" max="5918" width="1" style="1398" customWidth="1"/>
    <col min="5919" max="5919" width="21.5" style="1398" customWidth="1"/>
    <col min="5920" max="5920" width="1" style="1398" customWidth="1"/>
    <col min="5921" max="5921" width="11" style="1398" customWidth="1"/>
    <col min="5922" max="5922" width="1" style="1398" customWidth="1"/>
    <col min="5923" max="5923" width="21.5" style="1398" customWidth="1"/>
    <col min="5924" max="5924" width="1" style="1398" customWidth="1"/>
    <col min="5925" max="5925" width="11" style="1398" customWidth="1"/>
    <col min="5926" max="5926" width="1" style="1398" customWidth="1"/>
    <col min="5927" max="5927" width="21.5" style="1398" customWidth="1"/>
    <col min="5928" max="5928" width="1" style="1398" customWidth="1"/>
    <col min="5929" max="5929" width="11" style="1398" customWidth="1"/>
    <col min="5930" max="5930" width="1" style="1398" customWidth="1"/>
    <col min="5931" max="5931" width="21.5" style="1398" customWidth="1"/>
    <col min="5932" max="5932" width="1" style="1398" customWidth="1"/>
    <col min="5933" max="5933" width="11" style="1398" customWidth="1"/>
    <col min="5934" max="5934" width="1" style="1398" customWidth="1"/>
    <col min="5935" max="5935" width="21.5" style="1398" customWidth="1"/>
    <col min="5936" max="5936" width="1" style="1398" customWidth="1"/>
    <col min="5937" max="5937" width="11" style="1398" customWidth="1"/>
    <col min="5938" max="5938" width="1" style="1398" customWidth="1"/>
    <col min="5939" max="5939" width="21.5" style="1398" customWidth="1"/>
    <col min="5940" max="5940" width="1" style="1398" customWidth="1"/>
    <col min="5941" max="5941" width="11" style="1398" customWidth="1"/>
    <col min="5942" max="5942" width="1" style="1398" customWidth="1"/>
    <col min="5943" max="5943" width="21.5" style="1398" customWidth="1"/>
    <col min="5944" max="5944" width="1" style="1398" customWidth="1"/>
    <col min="5945" max="5945" width="11" style="1398" customWidth="1"/>
    <col min="5946" max="5946" width="1" style="1398" customWidth="1"/>
    <col min="5947" max="6144" width="10.6640625" style="1398"/>
    <col min="6145" max="6145" width="2.83203125" style="1398" customWidth="1"/>
    <col min="6146" max="6146" width="54" style="1398" customWidth="1"/>
    <col min="6147" max="6147" width="21.5" style="1398" customWidth="1"/>
    <col min="6148" max="6148" width="1" style="1398" customWidth="1"/>
    <col min="6149" max="6149" width="11" style="1398" customWidth="1"/>
    <col min="6150" max="6150" width="1" style="1398" customWidth="1"/>
    <col min="6151" max="6151" width="21.5" style="1398" customWidth="1"/>
    <col min="6152" max="6152" width="1" style="1398" customWidth="1"/>
    <col min="6153" max="6153" width="11" style="1398" customWidth="1"/>
    <col min="6154" max="6154" width="1" style="1398" customWidth="1"/>
    <col min="6155" max="6155" width="21.5" style="1398" customWidth="1"/>
    <col min="6156" max="6156" width="1" style="1398" customWidth="1"/>
    <col min="6157" max="6157" width="11" style="1398" customWidth="1"/>
    <col min="6158" max="6158" width="1" style="1398" customWidth="1"/>
    <col min="6159" max="6159" width="21.5" style="1398" customWidth="1"/>
    <col min="6160" max="6160" width="1" style="1398" customWidth="1"/>
    <col min="6161" max="6161" width="11" style="1398" customWidth="1"/>
    <col min="6162" max="6162" width="1" style="1398" customWidth="1"/>
    <col min="6163" max="6163" width="21.5" style="1398" customWidth="1"/>
    <col min="6164" max="6164" width="1" style="1398" customWidth="1"/>
    <col min="6165" max="6165" width="11" style="1398" customWidth="1"/>
    <col min="6166" max="6166" width="1" style="1398" customWidth="1"/>
    <col min="6167" max="6167" width="21.5" style="1398" customWidth="1"/>
    <col min="6168" max="6168" width="1" style="1398" customWidth="1"/>
    <col min="6169" max="6169" width="11" style="1398" customWidth="1"/>
    <col min="6170" max="6170" width="1" style="1398" customWidth="1"/>
    <col min="6171" max="6171" width="21.5" style="1398" customWidth="1"/>
    <col min="6172" max="6172" width="1" style="1398" customWidth="1"/>
    <col min="6173" max="6173" width="11" style="1398" customWidth="1"/>
    <col min="6174" max="6174" width="1" style="1398" customWidth="1"/>
    <col min="6175" max="6175" width="21.5" style="1398" customWidth="1"/>
    <col min="6176" max="6176" width="1" style="1398" customWidth="1"/>
    <col min="6177" max="6177" width="11" style="1398" customWidth="1"/>
    <col min="6178" max="6178" width="1" style="1398" customWidth="1"/>
    <col min="6179" max="6179" width="21.5" style="1398" customWidth="1"/>
    <col min="6180" max="6180" width="1" style="1398" customWidth="1"/>
    <col min="6181" max="6181" width="11" style="1398" customWidth="1"/>
    <col min="6182" max="6182" width="1" style="1398" customWidth="1"/>
    <col min="6183" max="6183" width="21.5" style="1398" customWidth="1"/>
    <col min="6184" max="6184" width="1" style="1398" customWidth="1"/>
    <col min="6185" max="6185" width="11" style="1398" customWidth="1"/>
    <col min="6186" max="6186" width="1" style="1398" customWidth="1"/>
    <col min="6187" max="6187" width="21.5" style="1398" customWidth="1"/>
    <col min="6188" max="6188" width="1" style="1398" customWidth="1"/>
    <col min="6189" max="6189" width="11" style="1398" customWidth="1"/>
    <col min="6190" max="6190" width="1" style="1398" customWidth="1"/>
    <col min="6191" max="6191" width="21.5" style="1398" customWidth="1"/>
    <col min="6192" max="6192" width="1" style="1398" customWidth="1"/>
    <col min="6193" max="6193" width="11" style="1398" customWidth="1"/>
    <col min="6194" max="6194" width="1" style="1398" customWidth="1"/>
    <col min="6195" max="6195" width="21.5" style="1398" customWidth="1"/>
    <col min="6196" max="6196" width="1" style="1398" customWidth="1"/>
    <col min="6197" max="6197" width="11" style="1398" customWidth="1"/>
    <col min="6198" max="6198" width="1" style="1398" customWidth="1"/>
    <col min="6199" max="6199" width="21.5" style="1398" customWidth="1"/>
    <col min="6200" max="6200" width="1" style="1398" customWidth="1"/>
    <col min="6201" max="6201" width="11" style="1398" customWidth="1"/>
    <col min="6202" max="6202" width="1" style="1398" customWidth="1"/>
    <col min="6203" max="6400" width="10.6640625" style="1398"/>
    <col min="6401" max="6401" width="2.83203125" style="1398" customWidth="1"/>
    <col min="6402" max="6402" width="54" style="1398" customWidth="1"/>
    <col min="6403" max="6403" width="21.5" style="1398" customWidth="1"/>
    <col min="6404" max="6404" width="1" style="1398" customWidth="1"/>
    <col min="6405" max="6405" width="11" style="1398" customWidth="1"/>
    <col min="6406" max="6406" width="1" style="1398" customWidth="1"/>
    <col min="6407" max="6407" width="21.5" style="1398" customWidth="1"/>
    <col min="6408" max="6408" width="1" style="1398" customWidth="1"/>
    <col min="6409" max="6409" width="11" style="1398" customWidth="1"/>
    <col min="6410" max="6410" width="1" style="1398" customWidth="1"/>
    <col min="6411" max="6411" width="21.5" style="1398" customWidth="1"/>
    <col min="6412" max="6412" width="1" style="1398" customWidth="1"/>
    <col min="6413" max="6413" width="11" style="1398" customWidth="1"/>
    <col min="6414" max="6414" width="1" style="1398" customWidth="1"/>
    <col min="6415" max="6415" width="21.5" style="1398" customWidth="1"/>
    <col min="6416" max="6416" width="1" style="1398" customWidth="1"/>
    <col min="6417" max="6417" width="11" style="1398" customWidth="1"/>
    <col min="6418" max="6418" width="1" style="1398" customWidth="1"/>
    <col min="6419" max="6419" width="21.5" style="1398" customWidth="1"/>
    <col min="6420" max="6420" width="1" style="1398" customWidth="1"/>
    <col min="6421" max="6421" width="11" style="1398" customWidth="1"/>
    <col min="6422" max="6422" width="1" style="1398" customWidth="1"/>
    <col min="6423" max="6423" width="21.5" style="1398" customWidth="1"/>
    <col min="6424" max="6424" width="1" style="1398" customWidth="1"/>
    <col min="6425" max="6425" width="11" style="1398" customWidth="1"/>
    <col min="6426" max="6426" width="1" style="1398" customWidth="1"/>
    <col min="6427" max="6427" width="21.5" style="1398" customWidth="1"/>
    <col min="6428" max="6428" width="1" style="1398" customWidth="1"/>
    <col min="6429" max="6429" width="11" style="1398" customWidth="1"/>
    <col min="6430" max="6430" width="1" style="1398" customWidth="1"/>
    <col min="6431" max="6431" width="21.5" style="1398" customWidth="1"/>
    <col min="6432" max="6432" width="1" style="1398" customWidth="1"/>
    <col min="6433" max="6433" width="11" style="1398" customWidth="1"/>
    <col min="6434" max="6434" width="1" style="1398" customWidth="1"/>
    <col min="6435" max="6435" width="21.5" style="1398" customWidth="1"/>
    <col min="6436" max="6436" width="1" style="1398" customWidth="1"/>
    <col min="6437" max="6437" width="11" style="1398" customWidth="1"/>
    <col min="6438" max="6438" width="1" style="1398" customWidth="1"/>
    <col min="6439" max="6439" width="21.5" style="1398" customWidth="1"/>
    <col min="6440" max="6440" width="1" style="1398" customWidth="1"/>
    <col min="6441" max="6441" width="11" style="1398" customWidth="1"/>
    <col min="6442" max="6442" width="1" style="1398" customWidth="1"/>
    <col min="6443" max="6443" width="21.5" style="1398" customWidth="1"/>
    <col min="6444" max="6444" width="1" style="1398" customWidth="1"/>
    <col min="6445" max="6445" width="11" style="1398" customWidth="1"/>
    <col min="6446" max="6446" width="1" style="1398" customWidth="1"/>
    <col min="6447" max="6447" width="21.5" style="1398" customWidth="1"/>
    <col min="6448" max="6448" width="1" style="1398" customWidth="1"/>
    <col min="6449" max="6449" width="11" style="1398" customWidth="1"/>
    <col min="6450" max="6450" width="1" style="1398" customWidth="1"/>
    <col min="6451" max="6451" width="21.5" style="1398" customWidth="1"/>
    <col min="6452" max="6452" width="1" style="1398" customWidth="1"/>
    <col min="6453" max="6453" width="11" style="1398" customWidth="1"/>
    <col min="6454" max="6454" width="1" style="1398" customWidth="1"/>
    <col min="6455" max="6455" width="21.5" style="1398" customWidth="1"/>
    <col min="6456" max="6456" width="1" style="1398" customWidth="1"/>
    <col min="6457" max="6457" width="11" style="1398" customWidth="1"/>
    <col min="6458" max="6458" width="1" style="1398" customWidth="1"/>
    <col min="6459" max="6656" width="10.6640625" style="1398"/>
    <col min="6657" max="6657" width="2.83203125" style="1398" customWidth="1"/>
    <col min="6658" max="6658" width="54" style="1398" customWidth="1"/>
    <col min="6659" max="6659" width="21.5" style="1398" customWidth="1"/>
    <col min="6660" max="6660" width="1" style="1398" customWidth="1"/>
    <col min="6661" max="6661" width="11" style="1398" customWidth="1"/>
    <col min="6662" max="6662" width="1" style="1398" customWidth="1"/>
    <col min="6663" max="6663" width="21.5" style="1398" customWidth="1"/>
    <col min="6664" max="6664" width="1" style="1398" customWidth="1"/>
    <col min="6665" max="6665" width="11" style="1398" customWidth="1"/>
    <col min="6666" max="6666" width="1" style="1398" customWidth="1"/>
    <col min="6667" max="6667" width="21.5" style="1398" customWidth="1"/>
    <col min="6668" max="6668" width="1" style="1398" customWidth="1"/>
    <col min="6669" max="6669" width="11" style="1398" customWidth="1"/>
    <col min="6670" max="6670" width="1" style="1398" customWidth="1"/>
    <col min="6671" max="6671" width="21.5" style="1398" customWidth="1"/>
    <col min="6672" max="6672" width="1" style="1398" customWidth="1"/>
    <col min="6673" max="6673" width="11" style="1398" customWidth="1"/>
    <col min="6674" max="6674" width="1" style="1398" customWidth="1"/>
    <col min="6675" max="6675" width="21.5" style="1398" customWidth="1"/>
    <col min="6676" max="6676" width="1" style="1398" customWidth="1"/>
    <col min="6677" max="6677" width="11" style="1398" customWidth="1"/>
    <col min="6678" max="6678" width="1" style="1398" customWidth="1"/>
    <col min="6679" max="6679" width="21.5" style="1398" customWidth="1"/>
    <col min="6680" max="6680" width="1" style="1398" customWidth="1"/>
    <col min="6681" max="6681" width="11" style="1398" customWidth="1"/>
    <col min="6682" max="6682" width="1" style="1398" customWidth="1"/>
    <col min="6683" max="6683" width="21.5" style="1398" customWidth="1"/>
    <col min="6684" max="6684" width="1" style="1398" customWidth="1"/>
    <col min="6685" max="6685" width="11" style="1398" customWidth="1"/>
    <col min="6686" max="6686" width="1" style="1398" customWidth="1"/>
    <col min="6687" max="6687" width="21.5" style="1398" customWidth="1"/>
    <col min="6688" max="6688" width="1" style="1398" customWidth="1"/>
    <col min="6689" max="6689" width="11" style="1398" customWidth="1"/>
    <col min="6690" max="6690" width="1" style="1398" customWidth="1"/>
    <col min="6691" max="6691" width="21.5" style="1398" customWidth="1"/>
    <col min="6692" max="6692" width="1" style="1398" customWidth="1"/>
    <col min="6693" max="6693" width="11" style="1398" customWidth="1"/>
    <col min="6694" max="6694" width="1" style="1398" customWidth="1"/>
    <col min="6695" max="6695" width="21.5" style="1398" customWidth="1"/>
    <col min="6696" max="6696" width="1" style="1398" customWidth="1"/>
    <col min="6697" max="6697" width="11" style="1398" customWidth="1"/>
    <col min="6698" max="6698" width="1" style="1398" customWidth="1"/>
    <col min="6699" max="6699" width="21.5" style="1398" customWidth="1"/>
    <col min="6700" max="6700" width="1" style="1398" customWidth="1"/>
    <col min="6701" max="6701" width="11" style="1398" customWidth="1"/>
    <col min="6702" max="6702" width="1" style="1398" customWidth="1"/>
    <col min="6703" max="6703" width="21.5" style="1398" customWidth="1"/>
    <col min="6704" max="6704" width="1" style="1398" customWidth="1"/>
    <col min="6705" max="6705" width="11" style="1398" customWidth="1"/>
    <col min="6706" max="6706" width="1" style="1398" customWidth="1"/>
    <col min="6707" max="6707" width="21.5" style="1398" customWidth="1"/>
    <col min="6708" max="6708" width="1" style="1398" customWidth="1"/>
    <col min="6709" max="6709" width="11" style="1398" customWidth="1"/>
    <col min="6710" max="6710" width="1" style="1398" customWidth="1"/>
    <col min="6711" max="6711" width="21.5" style="1398" customWidth="1"/>
    <col min="6712" max="6712" width="1" style="1398" customWidth="1"/>
    <col min="6713" max="6713" width="11" style="1398" customWidth="1"/>
    <col min="6714" max="6714" width="1" style="1398" customWidth="1"/>
    <col min="6715" max="6912" width="10.6640625" style="1398"/>
    <col min="6913" max="6913" width="2.83203125" style="1398" customWidth="1"/>
    <col min="6914" max="6914" width="54" style="1398" customWidth="1"/>
    <col min="6915" max="6915" width="21.5" style="1398" customWidth="1"/>
    <col min="6916" max="6916" width="1" style="1398" customWidth="1"/>
    <col min="6917" max="6917" width="11" style="1398" customWidth="1"/>
    <col min="6918" max="6918" width="1" style="1398" customWidth="1"/>
    <col min="6919" max="6919" width="21.5" style="1398" customWidth="1"/>
    <col min="6920" max="6920" width="1" style="1398" customWidth="1"/>
    <col min="6921" max="6921" width="11" style="1398" customWidth="1"/>
    <col min="6922" max="6922" width="1" style="1398" customWidth="1"/>
    <col min="6923" max="6923" width="21.5" style="1398" customWidth="1"/>
    <col min="6924" max="6924" width="1" style="1398" customWidth="1"/>
    <col min="6925" max="6925" width="11" style="1398" customWidth="1"/>
    <col min="6926" max="6926" width="1" style="1398" customWidth="1"/>
    <col min="6927" max="6927" width="21.5" style="1398" customWidth="1"/>
    <col min="6928" max="6928" width="1" style="1398" customWidth="1"/>
    <col min="6929" max="6929" width="11" style="1398" customWidth="1"/>
    <col min="6930" max="6930" width="1" style="1398" customWidth="1"/>
    <col min="6931" max="6931" width="21.5" style="1398" customWidth="1"/>
    <col min="6932" max="6932" width="1" style="1398" customWidth="1"/>
    <col min="6933" max="6933" width="11" style="1398" customWidth="1"/>
    <col min="6934" max="6934" width="1" style="1398" customWidth="1"/>
    <col min="6935" max="6935" width="21.5" style="1398" customWidth="1"/>
    <col min="6936" max="6936" width="1" style="1398" customWidth="1"/>
    <col min="6937" max="6937" width="11" style="1398" customWidth="1"/>
    <col min="6938" max="6938" width="1" style="1398" customWidth="1"/>
    <col min="6939" max="6939" width="21.5" style="1398" customWidth="1"/>
    <col min="6940" max="6940" width="1" style="1398" customWidth="1"/>
    <col min="6941" max="6941" width="11" style="1398" customWidth="1"/>
    <col min="6942" max="6942" width="1" style="1398" customWidth="1"/>
    <col min="6943" max="6943" width="21.5" style="1398" customWidth="1"/>
    <col min="6944" max="6944" width="1" style="1398" customWidth="1"/>
    <col min="6945" max="6945" width="11" style="1398" customWidth="1"/>
    <col min="6946" max="6946" width="1" style="1398" customWidth="1"/>
    <col min="6947" max="6947" width="21.5" style="1398" customWidth="1"/>
    <col min="6948" max="6948" width="1" style="1398" customWidth="1"/>
    <col min="6949" max="6949" width="11" style="1398" customWidth="1"/>
    <col min="6950" max="6950" width="1" style="1398" customWidth="1"/>
    <col min="6951" max="6951" width="21.5" style="1398" customWidth="1"/>
    <col min="6952" max="6952" width="1" style="1398" customWidth="1"/>
    <col min="6953" max="6953" width="11" style="1398" customWidth="1"/>
    <col min="6954" max="6954" width="1" style="1398" customWidth="1"/>
    <col min="6955" max="6955" width="21.5" style="1398" customWidth="1"/>
    <col min="6956" max="6956" width="1" style="1398" customWidth="1"/>
    <col min="6957" max="6957" width="11" style="1398" customWidth="1"/>
    <col min="6958" max="6958" width="1" style="1398" customWidth="1"/>
    <col min="6959" max="6959" width="21.5" style="1398" customWidth="1"/>
    <col min="6960" max="6960" width="1" style="1398" customWidth="1"/>
    <col min="6961" max="6961" width="11" style="1398" customWidth="1"/>
    <col min="6962" max="6962" width="1" style="1398" customWidth="1"/>
    <col min="6963" max="6963" width="21.5" style="1398" customWidth="1"/>
    <col min="6964" max="6964" width="1" style="1398" customWidth="1"/>
    <col min="6965" max="6965" width="11" style="1398" customWidth="1"/>
    <col min="6966" max="6966" width="1" style="1398" customWidth="1"/>
    <col min="6967" max="6967" width="21.5" style="1398" customWidth="1"/>
    <col min="6968" max="6968" width="1" style="1398" customWidth="1"/>
    <col min="6969" max="6969" width="11" style="1398" customWidth="1"/>
    <col min="6970" max="6970" width="1" style="1398" customWidth="1"/>
    <col min="6971" max="7168" width="10.6640625" style="1398"/>
    <col min="7169" max="7169" width="2.83203125" style="1398" customWidth="1"/>
    <col min="7170" max="7170" width="54" style="1398" customWidth="1"/>
    <col min="7171" max="7171" width="21.5" style="1398" customWidth="1"/>
    <col min="7172" max="7172" width="1" style="1398" customWidth="1"/>
    <col min="7173" max="7173" width="11" style="1398" customWidth="1"/>
    <col min="7174" max="7174" width="1" style="1398" customWidth="1"/>
    <col min="7175" max="7175" width="21.5" style="1398" customWidth="1"/>
    <col min="7176" max="7176" width="1" style="1398" customWidth="1"/>
    <col min="7177" max="7177" width="11" style="1398" customWidth="1"/>
    <col min="7178" max="7178" width="1" style="1398" customWidth="1"/>
    <col min="7179" max="7179" width="21.5" style="1398" customWidth="1"/>
    <col min="7180" max="7180" width="1" style="1398" customWidth="1"/>
    <col min="7181" max="7181" width="11" style="1398" customWidth="1"/>
    <col min="7182" max="7182" width="1" style="1398" customWidth="1"/>
    <col min="7183" max="7183" width="21.5" style="1398" customWidth="1"/>
    <col min="7184" max="7184" width="1" style="1398" customWidth="1"/>
    <col min="7185" max="7185" width="11" style="1398" customWidth="1"/>
    <col min="7186" max="7186" width="1" style="1398" customWidth="1"/>
    <col min="7187" max="7187" width="21.5" style="1398" customWidth="1"/>
    <col min="7188" max="7188" width="1" style="1398" customWidth="1"/>
    <col min="7189" max="7189" width="11" style="1398" customWidth="1"/>
    <col min="7190" max="7190" width="1" style="1398" customWidth="1"/>
    <col min="7191" max="7191" width="21.5" style="1398" customWidth="1"/>
    <col min="7192" max="7192" width="1" style="1398" customWidth="1"/>
    <col min="7193" max="7193" width="11" style="1398" customWidth="1"/>
    <col min="7194" max="7194" width="1" style="1398" customWidth="1"/>
    <col min="7195" max="7195" width="21.5" style="1398" customWidth="1"/>
    <col min="7196" max="7196" width="1" style="1398" customWidth="1"/>
    <col min="7197" max="7197" width="11" style="1398" customWidth="1"/>
    <col min="7198" max="7198" width="1" style="1398" customWidth="1"/>
    <col min="7199" max="7199" width="21.5" style="1398" customWidth="1"/>
    <col min="7200" max="7200" width="1" style="1398" customWidth="1"/>
    <col min="7201" max="7201" width="11" style="1398" customWidth="1"/>
    <col min="7202" max="7202" width="1" style="1398" customWidth="1"/>
    <col min="7203" max="7203" width="21.5" style="1398" customWidth="1"/>
    <col min="7204" max="7204" width="1" style="1398" customWidth="1"/>
    <col min="7205" max="7205" width="11" style="1398" customWidth="1"/>
    <col min="7206" max="7206" width="1" style="1398" customWidth="1"/>
    <col min="7207" max="7207" width="21.5" style="1398" customWidth="1"/>
    <col min="7208" max="7208" width="1" style="1398" customWidth="1"/>
    <col min="7209" max="7209" width="11" style="1398" customWidth="1"/>
    <col min="7210" max="7210" width="1" style="1398" customWidth="1"/>
    <col min="7211" max="7211" width="21.5" style="1398" customWidth="1"/>
    <col min="7212" max="7212" width="1" style="1398" customWidth="1"/>
    <col min="7213" max="7213" width="11" style="1398" customWidth="1"/>
    <col min="7214" max="7214" width="1" style="1398" customWidth="1"/>
    <col min="7215" max="7215" width="21.5" style="1398" customWidth="1"/>
    <col min="7216" max="7216" width="1" style="1398" customWidth="1"/>
    <col min="7217" max="7217" width="11" style="1398" customWidth="1"/>
    <col min="7218" max="7218" width="1" style="1398" customWidth="1"/>
    <col min="7219" max="7219" width="21.5" style="1398" customWidth="1"/>
    <col min="7220" max="7220" width="1" style="1398" customWidth="1"/>
    <col min="7221" max="7221" width="11" style="1398" customWidth="1"/>
    <col min="7222" max="7222" width="1" style="1398" customWidth="1"/>
    <col min="7223" max="7223" width="21.5" style="1398" customWidth="1"/>
    <col min="7224" max="7224" width="1" style="1398" customWidth="1"/>
    <col min="7225" max="7225" width="11" style="1398" customWidth="1"/>
    <col min="7226" max="7226" width="1" style="1398" customWidth="1"/>
    <col min="7227" max="7424" width="10.6640625" style="1398"/>
    <col min="7425" max="7425" width="2.83203125" style="1398" customWidth="1"/>
    <col min="7426" max="7426" width="54" style="1398" customWidth="1"/>
    <col min="7427" max="7427" width="21.5" style="1398" customWidth="1"/>
    <col min="7428" max="7428" width="1" style="1398" customWidth="1"/>
    <col min="7429" max="7429" width="11" style="1398" customWidth="1"/>
    <col min="7430" max="7430" width="1" style="1398" customWidth="1"/>
    <col min="7431" max="7431" width="21.5" style="1398" customWidth="1"/>
    <col min="7432" max="7432" width="1" style="1398" customWidth="1"/>
    <col min="7433" max="7433" width="11" style="1398" customWidth="1"/>
    <col min="7434" max="7434" width="1" style="1398" customWidth="1"/>
    <col min="7435" max="7435" width="21.5" style="1398" customWidth="1"/>
    <col min="7436" max="7436" width="1" style="1398" customWidth="1"/>
    <col min="7437" max="7437" width="11" style="1398" customWidth="1"/>
    <col min="7438" max="7438" width="1" style="1398" customWidth="1"/>
    <col min="7439" max="7439" width="21.5" style="1398" customWidth="1"/>
    <col min="7440" max="7440" width="1" style="1398" customWidth="1"/>
    <col min="7441" max="7441" width="11" style="1398" customWidth="1"/>
    <col min="7442" max="7442" width="1" style="1398" customWidth="1"/>
    <col min="7443" max="7443" width="21.5" style="1398" customWidth="1"/>
    <col min="7444" max="7444" width="1" style="1398" customWidth="1"/>
    <col min="7445" max="7445" width="11" style="1398" customWidth="1"/>
    <col min="7446" max="7446" width="1" style="1398" customWidth="1"/>
    <col min="7447" max="7447" width="21.5" style="1398" customWidth="1"/>
    <col min="7448" max="7448" width="1" style="1398" customWidth="1"/>
    <col min="7449" max="7449" width="11" style="1398" customWidth="1"/>
    <col min="7450" max="7450" width="1" style="1398" customWidth="1"/>
    <col min="7451" max="7451" width="21.5" style="1398" customWidth="1"/>
    <col min="7452" max="7452" width="1" style="1398" customWidth="1"/>
    <col min="7453" max="7453" width="11" style="1398" customWidth="1"/>
    <col min="7454" max="7454" width="1" style="1398" customWidth="1"/>
    <col min="7455" max="7455" width="21.5" style="1398" customWidth="1"/>
    <col min="7456" max="7456" width="1" style="1398" customWidth="1"/>
    <col min="7457" max="7457" width="11" style="1398" customWidth="1"/>
    <col min="7458" max="7458" width="1" style="1398" customWidth="1"/>
    <col min="7459" max="7459" width="21.5" style="1398" customWidth="1"/>
    <col min="7460" max="7460" width="1" style="1398" customWidth="1"/>
    <col min="7461" max="7461" width="11" style="1398" customWidth="1"/>
    <col min="7462" max="7462" width="1" style="1398" customWidth="1"/>
    <col min="7463" max="7463" width="21.5" style="1398" customWidth="1"/>
    <col min="7464" max="7464" width="1" style="1398" customWidth="1"/>
    <col min="7465" max="7465" width="11" style="1398" customWidth="1"/>
    <col min="7466" max="7466" width="1" style="1398" customWidth="1"/>
    <col min="7467" max="7467" width="21.5" style="1398" customWidth="1"/>
    <col min="7468" max="7468" width="1" style="1398" customWidth="1"/>
    <col min="7469" max="7469" width="11" style="1398" customWidth="1"/>
    <col min="7470" max="7470" width="1" style="1398" customWidth="1"/>
    <col min="7471" max="7471" width="21.5" style="1398" customWidth="1"/>
    <col min="7472" max="7472" width="1" style="1398" customWidth="1"/>
    <col min="7473" max="7473" width="11" style="1398" customWidth="1"/>
    <col min="7474" max="7474" width="1" style="1398" customWidth="1"/>
    <col min="7475" max="7475" width="21.5" style="1398" customWidth="1"/>
    <col min="7476" max="7476" width="1" style="1398" customWidth="1"/>
    <col min="7477" max="7477" width="11" style="1398" customWidth="1"/>
    <col min="7478" max="7478" width="1" style="1398" customWidth="1"/>
    <col min="7479" max="7479" width="21.5" style="1398" customWidth="1"/>
    <col min="7480" max="7480" width="1" style="1398" customWidth="1"/>
    <col min="7481" max="7481" width="11" style="1398" customWidth="1"/>
    <col min="7482" max="7482" width="1" style="1398" customWidth="1"/>
    <col min="7483" max="7680" width="10.6640625" style="1398"/>
    <col min="7681" max="7681" width="2.83203125" style="1398" customWidth="1"/>
    <col min="7682" max="7682" width="54" style="1398" customWidth="1"/>
    <col min="7683" max="7683" width="21.5" style="1398" customWidth="1"/>
    <col min="7684" max="7684" width="1" style="1398" customWidth="1"/>
    <col min="7685" max="7685" width="11" style="1398" customWidth="1"/>
    <col min="7686" max="7686" width="1" style="1398" customWidth="1"/>
    <col min="7687" max="7687" width="21.5" style="1398" customWidth="1"/>
    <col min="7688" max="7688" width="1" style="1398" customWidth="1"/>
    <col min="7689" max="7689" width="11" style="1398" customWidth="1"/>
    <col min="7690" max="7690" width="1" style="1398" customWidth="1"/>
    <col min="7691" max="7691" width="21.5" style="1398" customWidth="1"/>
    <col min="7692" max="7692" width="1" style="1398" customWidth="1"/>
    <col min="7693" max="7693" width="11" style="1398" customWidth="1"/>
    <col min="7694" max="7694" width="1" style="1398" customWidth="1"/>
    <col min="7695" max="7695" width="21.5" style="1398" customWidth="1"/>
    <col min="7696" max="7696" width="1" style="1398" customWidth="1"/>
    <col min="7697" max="7697" width="11" style="1398" customWidth="1"/>
    <col min="7698" max="7698" width="1" style="1398" customWidth="1"/>
    <col min="7699" max="7699" width="21.5" style="1398" customWidth="1"/>
    <col min="7700" max="7700" width="1" style="1398" customWidth="1"/>
    <col min="7701" max="7701" width="11" style="1398" customWidth="1"/>
    <col min="7702" max="7702" width="1" style="1398" customWidth="1"/>
    <col min="7703" max="7703" width="21.5" style="1398" customWidth="1"/>
    <col min="7704" max="7704" width="1" style="1398" customWidth="1"/>
    <col min="7705" max="7705" width="11" style="1398" customWidth="1"/>
    <col min="7706" max="7706" width="1" style="1398" customWidth="1"/>
    <col min="7707" max="7707" width="21.5" style="1398" customWidth="1"/>
    <col min="7708" max="7708" width="1" style="1398" customWidth="1"/>
    <col min="7709" max="7709" width="11" style="1398" customWidth="1"/>
    <col min="7710" max="7710" width="1" style="1398" customWidth="1"/>
    <col min="7711" max="7711" width="21.5" style="1398" customWidth="1"/>
    <col min="7712" max="7712" width="1" style="1398" customWidth="1"/>
    <col min="7713" max="7713" width="11" style="1398" customWidth="1"/>
    <col min="7714" max="7714" width="1" style="1398" customWidth="1"/>
    <col min="7715" max="7715" width="21.5" style="1398" customWidth="1"/>
    <col min="7716" max="7716" width="1" style="1398" customWidth="1"/>
    <col min="7717" max="7717" width="11" style="1398" customWidth="1"/>
    <col min="7718" max="7718" width="1" style="1398" customWidth="1"/>
    <col min="7719" max="7719" width="21.5" style="1398" customWidth="1"/>
    <col min="7720" max="7720" width="1" style="1398" customWidth="1"/>
    <col min="7721" max="7721" width="11" style="1398" customWidth="1"/>
    <col min="7722" max="7722" width="1" style="1398" customWidth="1"/>
    <col min="7723" max="7723" width="21.5" style="1398" customWidth="1"/>
    <col min="7724" max="7724" width="1" style="1398" customWidth="1"/>
    <col min="7725" max="7725" width="11" style="1398" customWidth="1"/>
    <col min="7726" max="7726" width="1" style="1398" customWidth="1"/>
    <col min="7727" max="7727" width="21.5" style="1398" customWidth="1"/>
    <col min="7728" max="7728" width="1" style="1398" customWidth="1"/>
    <col min="7729" max="7729" width="11" style="1398" customWidth="1"/>
    <col min="7730" max="7730" width="1" style="1398" customWidth="1"/>
    <col min="7731" max="7731" width="21.5" style="1398" customWidth="1"/>
    <col min="7732" max="7732" width="1" style="1398" customWidth="1"/>
    <col min="7733" max="7733" width="11" style="1398" customWidth="1"/>
    <col min="7734" max="7734" width="1" style="1398" customWidth="1"/>
    <col min="7735" max="7735" width="21.5" style="1398" customWidth="1"/>
    <col min="7736" max="7736" width="1" style="1398" customWidth="1"/>
    <col min="7737" max="7737" width="11" style="1398" customWidth="1"/>
    <col min="7738" max="7738" width="1" style="1398" customWidth="1"/>
    <col min="7739" max="7936" width="10.6640625" style="1398"/>
    <col min="7937" max="7937" width="2.83203125" style="1398" customWidth="1"/>
    <col min="7938" max="7938" width="54" style="1398" customWidth="1"/>
    <col min="7939" max="7939" width="21.5" style="1398" customWidth="1"/>
    <col min="7940" max="7940" width="1" style="1398" customWidth="1"/>
    <col min="7941" max="7941" width="11" style="1398" customWidth="1"/>
    <col min="7942" max="7942" width="1" style="1398" customWidth="1"/>
    <col min="7943" max="7943" width="21.5" style="1398" customWidth="1"/>
    <col min="7944" max="7944" width="1" style="1398" customWidth="1"/>
    <col min="7945" max="7945" width="11" style="1398" customWidth="1"/>
    <col min="7946" max="7946" width="1" style="1398" customWidth="1"/>
    <col min="7947" max="7947" width="21.5" style="1398" customWidth="1"/>
    <col min="7948" max="7948" width="1" style="1398" customWidth="1"/>
    <col min="7949" max="7949" width="11" style="1398" customWidth="1"/>
    <col min="7950" max="7950" width="1" style="1398" customWidth="1"/>
    <col min="7951" max="7951" width="21.5" style="1398" customWidth="1"/>
    <col min="7952" max="7952" width="1" style="1398" customWidth="1"/>
    <col min="7953" max="7953" width="11" style="1398" customWidth="1"/>
    <col min="7954" max="7954" width="1" style="1398" customWidth="1"/>
    <col min="7955" max="7955" width="21.5" style="1398" customWidth="1"/>
    <col min="7956" max="7956" width="1" style="1398" customWidth="1"/>
    <col min="7957" max="7957" width="11" style="1398" customWidth="1"/>
    <col min="7958" max="7958" width="1" style="1398" customWidth="1"/>
    <col min="7959" max="7959" width="21.5" style="1398" customWidth="1"/>
    <col min="7960" max="7960" width="1" style="1398" customWidth="1"/>
    <col min="7961" max="7961" width="11" style="1398" customWidth="1"/>
    <col min="7962" max="7962" width="1" style="1398" customWidth="1"/>
    <col min="7963" max="7963" width="21.5" style="1398" customWidth="1"/>
    <col min="7964" max="7964" width="1" style="1398" customWidth="1"/>
    <col min="7965" max="7965" width="11" style="1398" customWidth="1"/>
    <col min="7966" max="7966" width="1" style="1398" customWidth="1"/>
    <col min="7967" max="7967" width="21.5" style="1398" customWidth="1"/>
    <col min="7968" max="7968" width="1" style="1398" customWidth="1"/>
    <col min="7969" max="7969" width="11" style="1398" customWidth="1"/>
    <col min="7970" max="7970" width="1" style="1398" customWidth="1"/>
    <col min="7971" max="7971" width="21.5" style="1398" customWidth="1"/>
    <col min="7972" max="7972" width="1" style="1398" customWidth="1"/>
    <col min="7973" max="7973" width="11" style="1398" customWidth="1"/>
    <col min="7974" max="7974" width="1" style="1398" customWidth="1"/>
    <col min="7975" max="7975" width="21.5" style="1398" customWidth="1"/>
    <col min="7976" max="7976" width="1" style="1398" customWidth="1"/>
    <col min="7977" max="7977" width="11" style="1398" customWidth="1"/>
    <col min="7978" max="7978" width="1" style="1398" customWidth="1"/>
    <col min="7979" max="7979" width="21.5" style="1398" customWidth="1"/>
    <col min="7980" max="7980" width="1" style="1398" customWidth="1"/>
    <col min="7981" max="7981" width="11" style="1398" customWidth="1"/>
    <col min="7982" max="7982" width="1" style="1398" customWidth="1"/>
    <col min="7983" max="7983" width="21.5" style="1398" customWidth="1"/>
    <col min="7984" max="7984" width="1" style="1398" customWidth="1"/>
    <col min="7985" max="7985" width="11" style="1398" customWidth="1"/>
    <col min="7986" max="7986" width="1" style="1398" customWidth="1"/>
    <col min="7987" max="7987" width="21.5" style="1398" customWidth="1"/>
    <col min="7988" max="7988" width="1" style="1398" customWidth="1"/>
    <col min="7989" max="7989" width="11" style="1398" customWidth="1"/>
    <col min="7990" max="7990" width="1" style="1398" customWidth="1"/>
    <col min="7991" max="7991" width="21.5" style="1398" customWidth="1"/>
    <col min="7992" max="7992" width="1" style="1398" customWidth="1"/>
    <col min="7993" max="7993" width="11" style="1398" customWidth="1"/>
    <col min="7994" max="7994" width="1" style="1398" customWidth="1"/>
    <col min="7995" max="8192" width="10.6640625" style="1398"/>
    <col min="8193" max="8193" width="2.83203125" style="1398" customWidth="1"/>
    <col min="8194" max="8194" width="54" style="1398" customWidth="1"/>
    <col min="8195" max="8195" width="21.5" style="1398" customWidth="1"/>
    <col min="8196" max="8196" width="1" style="1398" customWidth="1"/>
    <col min="8197" max="8197" width="11" style="1398" customWidth="1"/>
    <col min="8198" max="8198" width="1" style="1398" customWidth="1"/>
    <col min="8199" max="8199" width="21.5" style="1398" customWidth="1"/>
    <col min="8200" max="8200" width="1" style="1398" customWidth="1"/>
    <col min="8201" max="8201" width="11" style="1398" customWidth="1"/>
    <col min="8202" max="8202" width="1" style="1398" customWidth="1"/>
    <col min="8203" max="8203" width="21.5" style="1398" customWidth="1"/>
    <col min="8204" max="8204" width="1" style="1398" customWidth="1"/>
    <col min="8205" max="8205" width="11" style="1398" customWidth="1"/>
    <col min="8206" max="8206" width="1" style="1398" customWidth="1"/>
    <col min="8207" max="8207" width="21.5" style="1398" customWidth="1"/>
    <col min="8208" max="8208" width="1" style="1398" customWidth="1"/>
    <col min="8209" max="8209" width="11" style="1398" customWidth="1"/>
    <col min="8210" max="8210" width="1" style="1398" customWidth="1"/>
    <col min="8211" max="8211" width="21.5" style="1398" customWidth="1"/>
    <col min="8212" max="8212" width="1" style="1398" customWidth="1"/>
    <col min="8213" max="8213" width="11" style="1398" customWidth="1"/>
    <col min="8214" max="8214" width="1" style="1398" customWidth="1"/>
    <col min="8215" max="8215" width="21.5" style="1398" customWidth="1"/>
    <col min="8216" max="8216" width="1" style="1398" customWidth="1"/>
    <col min="8217" max="8217" width="11" style="1398" customWidth="1"/>
    <col min="8218" max="8218" width="1" style="1398" customWidth="1"/>
    <col min="8219" max="8219" width="21.5" style="1398" customWidth="1"/>
    <col min="8220" max="8220" width="1" style="1398" customWidth="1"/>
    <col min="8221" max="8221" width="11" style="1398" customWidth="1"/>
    <col min="8222" max="8222" width="1" style="1398" customWidth="1"/>
    <col min="8223" max="8223" width="21.5" style="1398" customWidth="1"/>
    <col min="8224" max="8224" width="1" style="1398" customWidth="1"/>
    <col min="8225" max="8225" width="11" style="1398" customWidth="1"/>
    <col min="8226" max="8226" width="1" style="1398" customWidth="1"/>
    <col min="8227" max="8227" width="21.5" style="1398" customWidth="1"/>
    <col min="8228" max="8228" width="1" style="1398" customWidth="1"/>
    <col min="8229" max="8229" width="11" style="1398" customWidth="1"/>
    <col min="8230" max="8230" width="1" style="1398" customWidth="1"/>
    <col min="8231" max="8231" width="21.5" style="1398" customWidth="1"/>
    <col min="8232" max="8232" width="1" style="1398" customWidth="1"/>
    <col min="8233" max="8233" width="11" style="1398" customWidth="1"/>
    <col min="8234" max="8234" width="1" style="1398" customWidth="1"/>
    <col min="8235" max="8235" width="21.5" style="1398" customWidth="1"/>
    <col min="8236" max="8236" width="1" style="1398" customWidth="1"/>
    <col min="8237" max="8237" width="11" style="1398" customWidth="1"/>
    <col min="8238" max="8238" width="1" style="1398" customWidth="1"/>
    <col min="8239" max="8239" width="21.5" style="1398" customWidth="1"/>
    <col min="8240" max="8240" width="1" style="1398" customWidth="1"/>
    <col min="8241" max="8241" width="11" style="1398" customWidth="1"/>
    <col min="8242" max="8242" width="1" style="1398" customWidth="1"/>
    <col min="8243" max="8243" width="21.5" style="1398" customWidth="1"/>
    <col min="8244" max="8244" width="1" style="1398" customWidth="1"/>
    <col min="8245" max="8245" width="11" style="1398" customWidth="1"/>
    <col min="8246" max="8246" width="1" style="1398" customWidth="1"/>
    <col min="8247" max="8247" width="21.5" style="1398" customWidth="1"/>
    <col min="8248" max="8248" width="1" style="1398" customWidth="1"/>
    <col min="8249" max="8249" width="11" style="1398" customWidth="1"/>
    <col min="8250" max="8250" width="1" style="1398" customWidth="1"/>
    <col min="8251" max="8448" width="10.6640625" style="1398"/>
    <col min="8449" max="8449" width="2.83203125" style="1398" customWidth="1"/>
    <col min="8450" max="8450" width="54" style="1398" customWidth="1"/>
    <col min="8451" max="8451" width="21.5" style="1398" customWidth="1"/>
    <col min="8452" max="8452" width="1" style="1398" customWidth="1"/>
    <col min="8453" max="8453" width="11" style="1398" customWidth="1"/>
    <col min="8454" max="8454" width="1" style="1398" customWidth="1"/>
    <col min="8455" max="8455" width="21.5" style="1398" customWidth="1"/>
    <col min="8456" max="8456" width="1" style="1398" customWidth="1"/>
    <col min="8457" max="8457" width="11" style="1398" customWidth="1"/>
    <col min="8458" max="8458" width="1" style="1398" customWidth="1"/>
    <col min="8459" max="8459" width="21.5" style="1398" customWidth="1"/>
    <col min="8460" max="8460" width="1" style="1398" customWidth="1"/>
    <col min="8461" max="8461" width="11" style="1398" customWidth="1"/>
    <col min="8462" max="8462" width="1" style="1398" customWidth="1"/>
    <col min="8463" max="8463" width="21.5" style="1398" customWidth="1"/>
    <col min="8464" max="8464" width="1" style="1398" customWidth="1"/>
    <col min="8465" max="8465" width="11" style="1398" customWidth="1"/>
    <col min="8466" max="8466" width="1" style="1398" customWidth="1"/>
    <col min="8467" max="8467" width="21.5" style="1398" customWidth="1"/>
    <col min="8468" max="8468" width="1" style="1398" customWidth="1"/>
    <col min="8469" max="8469" width="11" style="1398" customWidth="1"/>
    <col min="8470" max="8470" width="1" style="1398" customWidth="1"/>
    <col min="8471" max="8471" width="21.5" style="1398" customWidth="1"/>
    <col min="8472" max="8472" width="1" style="1398" customWidth="1"/>
    <col min="8473" max="8473" width="11" style="1398" customWidth="1"/>
    <col min="8474" max="8474" width="1" style="1398" customWidth="1"/>
    <col min="8475" max="8475" width="21.5" style="1398" customWidth="1"/>
    <col min="8476" max="8476" width="1" style="1398" customWidth="1"/>
    <col min="8477" max="8477" width="11" style="1398" customWidth="1"/>
    <col min="8478" max="8478" width="1" style="1398" customWidth="1"/>
    <col min="8479" max="8479" width="21.5" style="1398" customWidth="1"/>
    <col min="8480" max="8480" width="1" style="1398" customWidth="1"/>
    <col min="8481" max="8481" width="11" style="1398" customWidth="1"/>
    <col min="8482" max="8482" width="1" style="1398" customWidth="1"/>
    <col min="8483" max="8483" width="21.5" style="1398" customWidth="1"/>
    <col min="8484" max="8484" width="1" style="1398" customWidth="1"/>
    <col min="8485" max="8485" width="11" style="1398" customWidth="1"/>
    <col min="8486" max="8486" width="1" style="1398" customWidth="1"/>
    <col min="8487" max="8487" width="21.5" style="1398" customWidth="1"/>
    <col min="8488" max="8488" width="1" style="1398" customWidth="1"/>
    <col min="8489" max="8489" width="11" style="1398" customWidth="1"/>
    <col min="8490" max="8490" width="1" style="1398" customWidth="1"/>
    <col min="8491" max="8491" width="21.5" style="1398" customWidth="1"/>
    <col min="8492" max="8492" width="1" style="1398" customWidth="1"/>
    <col min="8493" max="8493" width="11" style="1398" customWidth="1"/>
    <col min="8494" max="8494" width="1" style="1398" customWidth="1"/>
    <col min="8495" max="8495" width="21.5" style="1398" customWidth="1"/>
    <col min="8496" max="8496" width="1" style="1398" customWidth="1"/>
    <col min="8497" max="8497" width="11" style="1398" customWidth="1"/>
    <col min="8498" max="8498" width="1" style="1398" customWidth="1"/>
    <col min="8499" max="8499" width="21.5" style="1398" customWidth="1"/>
    <col min="8500" max="8500" width="1" style="1398" customWidth="1"/>
    <col min="8501" max="8501" width="11" style="1398" customWidth="1"/>
    <col min="8502" max="8502" width="1" style="1398" customWidth="1"/>
    <col min="8503" max="8503" width="21.5" style="1398" customWidth="1"/>
    <col min="8504" max="8504" width="1" style="1398" customWidth="1"/>
    <col min="8505" max="8505" width="11" style="1398" customWidth="1"/>
    <col min="8506" max="8506" width="1" style="1398" customWidth="1"/>
    <col min="8507" max="8704" width="10.6640625" style="1398"/>
    <col min="8705" max="8705" width="2.83203125" style="1398" customWidth="1"/>
    <col min="8706" max="8706" width="54" style="1398" customWidth="1"/>
    <col min="8707" max="8707" width="21.5" style="1398" customWidth="1"/>
    <col min="8708" max="8708" width="1" style="1398" customWidth="1"/>
    <col min="8709" max="8709" width="11" style="1398" customWidth="1"/>
    <col min="8710" max="8710" width="1" style="1398" customWidth="1"/>
    <col min="8711" max="8711" width="21.5" style="1398" customWidth="1"/>
    <col min="8712" max="8712" width="1" style="1398" customWidth="1"/>
    <col min="8713" max="8713" width="11" style="1398" customWidth="1"/>
    <col min="8714" max="8714" width="1" style="1398" customWidth="1"/>
    <col min="8715" max="8715" width="21.5" style="1398" customWidth="1"/>
    <col min="8716" max="8716" width="1" style="1398" customWidth="1"/>
    <col min="8717" max="8717" width="11" style="1398" customWidth="1"/>
    <col min="8718" max="8718" width="1" style="1398" customWidth="1"/>
    <col min="8719" max="8719" width="21.5" style="1398" customWidth="1"/>
    <col min="8720" max="8720" width="1" style="1398" customWidth="1"/>
    <col min="8721" max="8721" width="11" style="1398" customWidth="1"/>
    <col min="8722" max="8722" width="1" style="1398" customWidth="1"/>
    <col min="8723" max="8723" width="21.5" style="1398" customWidth="1"/>
    <col min="8724" max="8724" width="1" style="1398" customWidth="1"/>
    <col min="8725" max="8725" width="11" style="1398" customWidth="1"/>
    <col min="8726" max="8726" width="1" style="1398" customWidth="1"/>
    <col min="8727" max="8727" width="21.5" style="1398" customWidth="1"/>
    <col min="8728" max="8728" width="1" style="1398" customWidth="1"/>
    <col min="8729" max="8729" width="11" style="1398" customWidth="1"/>
    <col min="8730" max="8730" width="1" style="1398" customWidth="1"/>
    <col min="8731" max="8731" width="21.5" style="1398" customWidth="1"/>
    <col min="8732" max="8732" width="1" style="1398" customWidth="1"/>
    <col min="8733" max="8733" width="11" style="1398" customWidth="1"/>
    <col min="8734" max="8734" width="1" style="1398" customWidth="1"/>
    <col min="8735" max="8735" width="21.5" style="1398" customWidth="1"/>
    <col min="8736" max="8736" width="1" style="1398" customWidth="1"/>
    <col min="8737" max="8737" width="11" style="1398" customWidth="1"/>
    <col min="8738" max="8738" width="1" style="1398" customWidth="1"/>
    <col min="8739" max="8739" width="21.5" style="1398" customWidth="1"/>
    <col min="8740" max="8740" width="1" style="1398" customWidth="1"/>
    <col min="8741" max="8741" width="11" style="1398" customWidth="1"/>
    <col min="8742" max="8742" width="1" style="1398" customWidth="1"/>
    <col min="8743" max="8743" width="21.5" style="1398" customWidth="1"/>
    <col min="8744" max="8744" width="1" style="1398" customWidth="1"/>
    <col min="8745" max="8745" width="11" style="1398" customWidth="1"/>
    <col min="8746" max="8746" width="1" style="1398" customWidth="1"/>
    <col min="8747" max="8747" width="21.5" style="1398" customWidth="1"/>
    <col min="8748" max="8748" width="1" style="1398" customWidth="1"/>
    <col min="8749" max="8749" width="11" style="1398" customWidth="1"/>
    <col min="8750" max="8750" width="1" style="1398" customWidth="1"/>
    <col min="8751" max="8751" width="21.5" style="1398" customWidth="1"/>
    <col min="8752" max="8752" width="1" style="1398" customWidth="1"/>
    <col min="8753" max="8753" width="11" style="1398" customWidth="1"/>
    <col min="8754" max="8754" width="1" style="1398" customWidth="1"/>
    <col min="8755" max="8755" width="21.5" style="1398" customWidth="1"/>
    <col min="8756" max="8756" width="1" style="1398" customWidth="1"/>
    <col min="8757" max="8757" width="11" style="1398" customWidth="1"/>
    <col min="8758" max="8758" width="1" style="1398" customWidth="1"/>
    <col min="8759" max="8759" width="21.5" style="1398" customWidth="1"/>
    <col min="8760" max="8760" width="1" style="1398" customWidth="1"/>
    <col min="8761" max="8761" width="11" style="1398" customWidth="1"/>
    <col min="8762" max="8762" width="1" style="1398" customWidth="1"/>
    <col min="8763" max="8960" width="10.6640625" style="1398"/>
    <col min="8961" max="8961" width="2.83203125" style="1398" customWidth="1"/>
    <col min="8962" max="8962" width="54" style="1398" customWidth="1"/>
    <col min="8963" max="8963" width="21.5" style="1398" customWidth="1"/>
    <col min="8964" max="8964" width="1" style="1398" customWidth="1"/>
    <col min="8965" max="8965" width="11" style="1398" customWidth="1"/>
    <col min="8966" max="8966" width="1" style="1398" customWidth="1"/>
    <col min="8967" max="8967" width="21.5" style="1398" customWidth="1"/>
    <col min="8968" max="8968" width="1" style="1398" customWidth="1"/>
    <col min="8969" max="8969" width="11" style="1398" customWidth="1"/>
    <col min="8970" max="8970" width="1" style="1398" customWidth="1"/>
    <col min="8971" max="8971" width="21.5" style="1398" customWidth="1"/>
    <col min="8972" max="8972" width="1" style="1398" customWidth="1"/>
    <col min="8973" max="8973" width="11" style="1398" customWidth="1"/>
    <col min="8974" max="8974" width="1" style="1398" customWidth="1"/>
    <col min="8975" max="8975" width="21.5" style="1398" customWidth="1"/>
    <col min="8976" max="8976" width="1" style="1398" customWidth="1"/>
    <col min="8977" max="8977" width="11" style="1398" customWidth="1"/>
    <col min="8978" max="8978" width="1" style="1398" customWidth="1"/>
    <col min="8979" max="8979" width="21.5" style="1398" customWidth="1"/>
    <col min="8980" max="8980" width="1" style="1398" customWidth="1"/>
    <col min="8981" max="8981" width="11" style="1398" customWidth="1"/>
    <col min="8982" max="8982" width="1" style="1398" customWidth="1"/>
    <col min="8983" max="8983" width="21.5" style="1398" customWidth="1"/>
    <col min="8984" max="8984" width="1" style="1398" customWidth="1"/>
    <col min="8985" max="8985" width="11" style="1398" customWidth="1"/>
    <col min="8986" max="8986" width="1" style="1398" customWidth="1"/>
    <col min="8987" max="8987" width="21.5" style="1398" customWidth="1"/>
    <col min="8988" max="8988" width="1" style="1398" customWidth="1"/>
    <col min="8989" max="8989" width="11" style="1398" customWidth="1"/>
    <col min="8990" max="8990" width="1" style="1398" customWidth="1"/>
    <col min="8991" max="8991" width="21.5" style="1398" customWidth="1"/>
    <col min="8992" max="8992" width="1" style="1398" customWidth="1"/>
    <col min="8993" max="8993" width="11" style="1398" customWidth="1"/>
    <col min="8994" max="8994" width="1" style="1398" customWidth="1"/>
    <col min="8995" max="8995" width="21.5" style="1398" customWidth="1"/>
    <col min="8996" max="8996" width="1" style="1398" customWidth="1"/>
    <col min="8997" max="8997" width="11" style="1398" customWidth="1"/>
    <col min="8998" max="8998" width="1" style="1398" customWidth="1"/>
    <col min="8999" max="8999" width="21.5" style="1398" customWidth="1"/>
    <col min="9000" max="9000" width="1" style="1398" customWidth="1"/>
    <col min="9001" max="9001" width="11" style="1398" customWidth="1"/>
    <col min="9002" max="9002" width="1" style="1398" customWidth="1"/>
    <col min="9003" max="9003" width="21.5" style="1398" customWidth="1"/>
    <col min="9004" max="9004" width="1" style="1398" customWidth="1"/>
    <col min="9005" max="9005" width="11" style="1398" customWidth="1"/>
    <col min="9006" max="9006" width="1" style="1398" customWidth="1"/>
    <col min="9007" max="9007" width="21.5" style="1398" customWidth="1"/>
    <col min="9008" max="9008" width="1" style="1398" customWidth="1"/>
    <col min="9009" max="9009" width="11" style="1398" customWidth="1"/>
    <col min="9010" max="9010" width="1" style="1398" customWidth="1"/>
    <col min="9011" max="9011" width="21.5" style="1398" customWidth="1"/>
    <col min="9012" max="9012" width="1" style="1398" customWidth="1"/>
    <col min="9013" max="9013" width="11" style="1398" customWidth="1"/>
    <col min="9014" max="9014" width="1" style="1398" customWidth="1"/>
    <col min="9015" max="9015" width="21.5" style="1398" customWidth="1"/>
    <col min="9016" max="9016" width="1" style="1398" customWidth="1"/>
    <col min="9017" max="9017" width="11" style="1398" customWidth="1"/>
    <col min="9018" max="9018" width="1" style="1398" customWidth="1"/>
    <col min="9019" max="9216" width="10.6640625" style="1398"/>
    <col min="9217" max="9217" width="2.83203125" style="1398" customWidth="1"/>
    <col min="9218" max="9218" width="54" style="1398" customWidth="1"/>
    <col min="9219" max="9219" width="21.5" style="1398" customWidth="1"/>
    <col min="9220" max="9220" width="1" style="1398" customWidth="1"/>
    <col min="9221" max="9221" width="11" style="1398" customWidth="1"/>
    <col min="9222" max="9222" width="1" style="1398" customWidth="1"/>
    <col min="9223" max="9223" width="21.5" style="1398" customWidth="1"/>
    <col min="9224" max="9224" width="1" style="1398" customWidth="1"/>
    <col min="9225" max="9225" width="11" style="1398" customWidth="1"/>
    <col min="9226" max="9226" width="1" style="1398" customWidth="1"/>
    <col min="9227" max="9227" width="21.5" style="1398" customWidth="1"/>
    <col min="9228" max="9228" width="1" style="1398" customWidth="1"/>
    <col min="9229" max="9229" width="11" style="1398" customWidth="1"/>
    <col min="9230" max="9230" width="1" style="1398" customWidth="1"/>
    <col min="9231" max="9231" width="21.5" style="1398" customWidth="1"/>
    <col min="9232" max="9232" width="1" style="1398" customWidth="1"/>
    <col min="9233" max="9233" width="11" style="1398" customWidth="1"/>
    <col min="9234" max="9234" width="1" style="1398" customWidth="1"/>
    <col min="9235" max="9235" width="21.5" style="1398" customWidth="1"/>
    <col min="9236" max="9236" width="1" style="1398" customWidth="1"/>
    <col min="9237" max="9237" width="11" style="1398" customWidth="1"/>
    <col min="9238" max="9238" width="1" style="1398" customWidth="1"/>
    <col min="9239" max="9239" width="21.5" style="1398" customWidth="1"/>
    <col min="9240" max="9240" width="1" style="1398" customWidth="1"/>
    <col min="9241" max="9241" width="11" style="1398" customWidth="1"/>
    <col min="9242" max="9242" width="1" style="1398" customWidth="1"/>
    <col min="9243" max="9243" width="21.5" style="1398" customWidth="1"/>
    <col min="9244" max="9244" width="1" style="1398" customWidth="1"/>
    <col min="9245" max="9245" width="11" style="1398" customWidth="1"/>
    <col min="9246" max="9246" width="1" style="1398" customWidth="1"/>
    <col min="9247" max="9247" width="21.5" style="1398" customWidth="1"/>
    <col min="9248" max="9248" width="1" style="1398" customWidth="1"/>
    <col min="9249" max="9249" width="11" style="1398" customWidth="1"/>
    <col min="9250" max="9250" width="1" style="1398" customWidth="1"/>
    <col min="9251" max="9251" width="21.5" style="1398" customWidth="1"/>
    <col min="9252" max="9252" width="1" style="1398" customWidth="1"/>
    <col min="9253" max="9253" width="11" style="1398" customWidth="1"/>
    <col min="9254" max="9254" width="1" style="1398" customWidth="1"/>
    <col min="9255" max="9255" width="21.5" style="1398" customWidth="1"/>
    <col min="9256" max="9256" width="1" style="1398" customWidth="1"/>
    <col min="9257" max="9257" width="11" style="1398" customWidth="1"/>
    <col min="9258" max="9258" width="1" style="1398" customWidth="1"/>
    <col min="9259" max="9259" width="21.5" style="1398" customWidth="1"/>
    <col min="9260" max="9260" width="1" style="1398" customWidth="1"/>
    <col min="9261" max="9261" width="11" style="1398" customWidth="1"/>
    <col min="9262" max="9262" width="1" style="1398" customWidth="1"/>
    <col min="9263" max="9263" width="21.5" style="1398" customWidth="1"/>
    <col min="9264" max="9264" width="1" style="1398" customWidth="1"/>
    <col min="9265" max="9265" width="11" style="1398" customWidth="1"/>
    <col min="9266" max="9266" width="1" style="1398" customWidth="1"/>
    <col min="9267" max="9267" width="21.5" style="1398" customWidth="1"/>
    <col min="9268" max="9268" width="1" style="1398" customWidth="1"/>
    <col min="9269" max="9269" width="11" style="1398" customWidth="1"/>
    <col min="9270" max="9270" width="1" style="1398" customWidth="1"/>
    <col min="9271" max="9271" width="21.5" style="1398" customWidth="1"/>
    <col min="9272" max="9272" width="1" style="1398" customWidth="1"/>
    <col min="9273" max="9273" width="11" style="1398" customWidth="1"/>
    <col min="9274" max="9274" width="1" style="1398" customWidth="1"/>
    <col min="9275" max="9472" width="10.6640625" style="1398"/>
    <col min="9473" max="9473" width="2.83203125" style="1398" customWidth="1"/>
    <col min="9474" max="9474" width="54" style="1398" customWidth="1"/>
    <col min="9475" max="9475" width="21.5" style="1398" customWidth="1"/>
    <col min="9476" max="9476" width="1" style="1398" customWidth="1"/>
    <col min="9477" max="9477" width="11" style="1398" customWidth="1"/>
    <col min="9478" max="9478" width="1" style="1398" customWidth="1"/>
    <col min="9479" max="9479" width="21.5" style="1398" customWidth="1"/>
    <col min="9480" max="9480" width="1" style="1398" customWidth="1"/>
    <col min="9481" max="9481" width="11" style="1398" customWidth="1"/>
    <col min="9482" max="9482" width="1" style="1398" customWidth="1"/>
    <col min="9483" max="9483" width="21.5" style="1398" customWidth="1"/>
    <col min="9484" max="9484" width="1" style="1398" customWidth="1"/>
    <col min="9485" max="9485" width="11" style="1398" customWidth="1"/>
    <col min="9486" max="9486" width="1" style="1398" customWidth="1"/>
    <col min="9487" max="9487" width="21.5" style="1398" customWidth="1"/>
    <col min="9488" max="9488" width="1" style="1398" customWidth="1"/>
    <col min="9489" max="9489" width="11" style="1398" customWidth="1"/>
    <col min="9490" max="9490" width="1" style="1398" customWidth="1"/>
    <col min="9491" max="9491" width="21.5" style="1398" customWidth="1"/>
    <col min="9492" max="9492" width="1" style="1398" customWidth="1"/>
    <col min="9493" max="9493" width="11" style="1398" customWidth="1"/>
    <col min="9494" max="9494" width="1" style="1398" customWidth="1"/>
    <col min="9495" max="9495" width="21.5" style="1398" customWidth="1"/>
    <col min="9496" max="9496" width="1" style="1398" customWidth="1"/>
    <col min="9497" max="9497" width="11" style="1398" customWidth="1"/>
    <col min="9498" max="9498" width="1" style="1398" customWidth="1"/>
    <col min="9499" max="9499" width="21.5" style="1398" customWidth="1"/>
    <col min="9500" max="9500" width="1" style="1398" customWidth="1"/>
    <col min="9501" max="9501" width="11" style="1398" customWidth="1"/>
    <col min="9502" max="9502" width="1" style="1398" customWidth="1"/>
    <col min="9503" max="9503" width="21.5" style="1398" customWidth="1"/>
    <col min="9504" max="9504" width="1" style="1398" customWidth="1"/>
    <col min="9505" max="9505" width="11" style="1398" customWidth="1"/>
    <col min="9506" max="9506" width="1" style="1398" customWidth="1"/>
    <col min="9507" max="9507" width="21.5" style="1398" customWidth="1"/>
    <col min="9508" max="9508" width="1" style="1398" customWidth="1"/>
    <col min="9509" max="9509" width="11" style="1398" customWidth="1"/>
    <col min="9510" max="9510" width="1" style="1398" customWidth="1"/>
    <col min="9511" max="9511" width="21.5" style="1398" customWidth="1"/>
    <col min="9512" max="9512" width="1" style="1398" customWidth="1"/>
    <col min="9513" max="9513" width="11" style="1398" customWidth="1"/>
    <col min="9514" max="9514" width="1" style="1398" customWidth="1"/>
    <col min="9515" max="9515" width="21.5" style="1398" customWidth="1"/>
    <col min="9516" max="9516" width="1" style="1398" customWidth="1"/>
    <col min="9517" max="9517" width="11" style="1398" customWidth="1"/>
    <col min="9518" max="9518" width="1" style="1398" customWidth="1"/>
    <col min="9519" max="9519" width="21.5" style="1398" customWidth="1"/>
    <col min="9520" max="9520" width="1" style="1398" customWidth="1"/>
    <col min="9521" max="9521" width="11" style="1398" customWidth="1"/>
    <col min="9522" max="9522" width="1" style="1398" customWidth="1"/>
    <col min="9523" max="9523" width="21.5" style="1398" customWidth="1"/>
    <col min="9524" max="9524" width="1" style="1398" customWidth="1"/>
    <col min="9525" max="9525" width="11" style="1398" customWidth="1"/>
    <col min="9526" max="9526" width="1" style="1398" customWidth="1"/>
    <col min="9527" max="9527" width="21.5" style="1398" customWidth="1"/>
    <col min="9528" max="9528" width="1" style="1398" customWidth="1"/>
    <col min="9529" max="9529" width="11" style="1398" customWidth="1"/>
    <col min="9530" max="9530" width="1" style="1398" customWidth="1"/>
    <col min="9531" max="9728" width="10.6640625" style="1398"/>
    <col min="9729" max="9729" width="2.83203125" style="1398" customWidth="1"/>
    <col min="9730" max="9730" width="54" style="1398" customWidth="1"/>
    <col min="9731" max="9731" width="21.5" style="1398" customWidth="1"/>
    <col min="9732" max="9732" width="1" style="1398" customWidth="1"/>
    <col min="9733" max="9733" width="11" style="1398" customWidth="1"/>
    <col min="9734" max="9734" width="1" style="1398" customWidth="1"/>
    <col min="9735" max="9735" width="21.5" style="1398" customWidth="1"/>
    <col min="9736" max="9736" width="1" style="1398" customWidth="1"/>
    <col min="9737" max="9737" width="11" style="1398" customWidth="1"/>
    <col min="9738" max="9738" width="1" style="1398" customWidth="1"/>
    <col min="9739" max="9739" width="21.5" style="1398" customWidth="1"/>
    <col min="9740" max="9740" width="1" style="1398" customWidth="1"/>
    <col min="9741" max="9741" width="11" style="1398" customWidth="1"/>
    <col min="9742" max="9742" width="1" style="1398" customWidth="1"/>
    <col min="9743" max="9743" width="21.5" style="1398" customWidth="1"/>
    <col min="9744" max="9744" width="1" style="1398" customWidth="1"/>
    <col min="9745" max="9745" width="11" style="1398" customWidth="1"/>
    <col min="9746" max="9746" width="1" style="1398" customWidth="1"/>
    <col min="9747" max="9747" width="21.5" style="1398" customWidth="1"/>
    <col min="9748" max="9748" width="1" style="1398" customWidth="1"/>
    <col min="9749" max="9749" width="11" style="1398" customWidth="1"/>
    <col min="9750" max="9750" width="1" style="1398" customWidth="1"/>
    <col min="9751" max="9751" width="21.5" style="1398" customWidth="1"/>
    <col min="9752" max="9752" width="1" style="1398" customWidth="1"/>
    <col min="9753" max="9753" width="11" style="1398" customWidth="1"/>
    <col min="9754" max="9754" width="1" style="1398" customWidth="1"/>
    <col min="9755" max="9755" width="21.5" style="1398" customWidth="1"/>
    <col min="9756" max="9756" width="1" style="1398" customWidth="1"/>
    <col min="9757" max="9757" width="11" style="1398" customWidth="1"/>
    <col min="9758" max="9758" width="1" style="1398" customWidth="1"/>
    <col min="9759" max="9759" width="21.5" style="1398" customWidth="1"/>
    <col min="9760" max="9760" width="1" style="1398" customWidth="1"/>
    <col min="9761" max="9761" width="11" style="1398" customWidth="1"/>
    <col min="9762" max="9762" width="1" style="1398" customWidth="1"/>
    <col min="9763" max="9763" width="21.5" style="1398" customWidth="1"/>
    <col min="9764" max="9764" width="1" style="1398" customWidth="1"/>
    <col min="9765" max="9765" width="11" style="1398" customWidth="1"/>
    <col min="9766" max="9766" width="1" style="1398" customWidth="1"/>
    <col min="9767" max="9767" width="21.5" style="1398" customWidth="1"/>
    <col min="9768" max="9768" width="1" style="1398" customWidth="1"/>
    <col min="9769" max="9769" width="11" style="1398" customWidth="1"/>
    <col min="9770" max="9770" width="1" style="1398" customWidth="1"/>
    <col min="9771" max="9771" width="21.5" style="1398" customWidth="1"/>
    <col min="9772" max="9772" width="1" style="1398" customWidth="1"/>
    <col min="9773" max="9773" width="11" style="1398" customWidth="1"/>
    <col min="9774" max="9774" width="1" style="1398" customWidth="1"/>
    <col min="9775" max="9775" width="21.5" style="1398" customWidth="1"/>
    <col min="9776" max="9776" width="1" style="1398" customWidth="1"/>
    <col min="9777" max="9777" width="11" style="1398" customWidth="1"/>
    <col min="9778" max="9778" width="1" style="1398" customWidth="1"/>
    <col min="9779" max="9779" width="21.5" style="1398" customWidth="1"/>
    <col min="9780" max="9780" width="1" style="1398" customWidth="1"/>
    <col min="9781" max="9781" width="11" style="1398" customWidth="1"/>
    <col min="9782" max="9782" width="1" style="1398" customWidth="1"/>
    <col min="9783" max="9783" width="21.5" style="1398" customWidth="1"/>
    <col min="9784" max="9784" width="1" style="1398" customWidth="1"/>
    <col min="9785" max="9785" width="11" style="1398" customWidth="1"/>
    <col min="9786" max="9786" width="1" style="1398" customWidth="1"/>
    <col min="9787" max="9984" width="10.6640625" style="1398"/>
    <col min="9985" max="9985" width="2.83203125" style="1398" customWidth="1"/>
    <col min="9986" max="9986" width="54" style="1398" customWidth="1"/>
    <col min="9987" max="9987" width="21.5" style="1398" customWidth="1"/>
    <col min="9988" max="9988" width="1" style="1398" customWidth="1"/>
    <col min="9989" max="9989" width="11" style="1398" customWidth="1"/>
    <col min="9990" max="9990" width="1" style="1398" customWidth="1"/>
    <col min="9991" max="9991" width="21.5" style="1398" customWidth="1"/>
    <col min="9992" max="9992" width="1" style="1398" customWidth="1"/>
    <col min="9993" max="9993" width="11" style="1398" customWidth="1"/>
    <col min="9994" max="9994" width="1" style="1398" customWidth="1"/>
    <col min="9995" max="9995" width="21.5" style="1398" customWidth="1"/>
    <col min="9996" max="9996" width="1" style="1398" customWidth="1"/>
    <col min="9997" max="9997" width="11" style="1398" customWidth="1"/>
    <col min="9998" max="9998" width="1" style="1398" customWidth="1"/>
    <col min="9999" max="9999" width="21.5" style="1398" customWidth="1"/>
    <col min="10000" max="10000" width="1" style="1398" customWidth="1"/>
    <col min="10001" max="10001" width="11" style="1398" customWidth="1"/>
    <col min="10002" max="10002" width="1" style="1398" customWidth="1"/>
    <col min="10003" max="10003" width="21.5" style="1398" customWidth="1"/>
    <col min="10004" max="10004" width="1" style="1398" customWidth="1"/>
    <col min="10005" max="10005" width="11" style="1398" customWidth="1"/>
    <col min="10006" max="10006" width="1" style="1398" customWidth="1"/>
    <col min="10007" max="10007" width="21.5" style="1398" customWidth="1"/>
    <col min="10008" max="10008" width="1" style="1398" customWidth="1"/>
    <col min="10009" max="10009" width="11" style="1398" customWidth="1"/>
    <col min="10010" max="10010" width="1" style="1398" customWidth="1"/>
    <col min="10011" max="10011" width="21.5" style="1398" customWidth="1"/>
    <col min="10012" max="10012" width="1" style="1398" customWidth="1"/>
    <col min="10013" max="10013" width="11" style="1398" customWidth="1"/>
    <col min="10014" max="10014" width="1" style="1398" customWidth="1"/>
    <col min="10015" max="10015" width="21.5" style="1398" customWidth="1"/>
    <col min="10016" max="10016" width="1" style="1398" customWidth="1"/>
    <col min="10017" max="10017" width="11" style="1398" customWidth="1"/>
    <col min="10018" max="10018" width="1" style="1398" customWidth="1"/>
    <col min="10019" max="10019" width="21.5" style="1398" customWidth="1"/>
    <col min="10020" max="10020" width="1" style="1398" customWidth="1"/>
    <col min="10021" max="10021" width="11" style="1398" customWidth="1"/>
    <col min="10022" max="10022" width="1" style="1398" customWidth="1"/>
    <col min="10023" max="10023" width="21.5" style="1398" customWidth="1"/>
    <col min="10024" max="10024" width="1" style="1398" customWidth="1"/>
    <col min="10025" max="10025" width="11" style="1398" customWidth="1"/>
    <col min="10026" max="10026" width="1" style="1398" customWidth="1"/>
    <col min="10027" max="10027" width="21.5" style="1398" customWidth="1"/>
    <col min="10028" max="10028" width="1" style="1398" customWidth="1"/>
    <col min="10029" max="10029" width="11" style="1398" customWidth="1"/>
    <col min="10030" max="10030" width="1" style="1398" customWidth="1"/>
    <col min="10031" max="10031" width="21.5" style="1398" customWidth="1"/>
    <col min="10032" max="10032" width="1" style="1398" customWidth="1"/>
    <col min="10033" max="10033" width="11" style="1398" customWidth="1"/>
    <col min="10034" max="10034" width="1" style="1398" customWidth="1"/>
    <col min="10035" max="10035" width="21.5" style="1398" customWidth="1"/>
    <col min="10036" max="10036" width="1" style="1398" customWidth="1"/>
    <col min="10037" max="10037" width="11" style="1398" customWidth="1"/>
    <col min="10038" max="10038" width="1" style="1398" customWidth="1"/>
    <col min="10039" max="10039" width="21.5" style="1398" customWidth="1"/>
    <col min="10040" max="10040" width="1" style="1398" customWidth="1"/>
    <col min="10041" max="10041" width="11" style="1398" customWidth="1"/>
    <col min="10042" max="10042" width="1" style="1398" customWidth="1"/>
    <col min="10043" max="10240" width="10.6640625" style="1398"/>
    <col min="10241" max="10241" width="2.83203125" style="1398" customWidth="1"/>
    <col min="10242" max="10242" width="54" style="1398" customWidth="1"/>
    <col min="10243" max="10243" width="21.5" style="1398" customWidth="1"/>
    <col min="10244" max="10244" width="1" style="1398" customWidth="1"/>
    <col min="10245" max="10245" width="11" style="1398" customWidth="1"/>
    <col min="10246" max="10246" width="1" style="1398" customWidth="1"/>
    <col min="10247" max="10247" width="21.5" style="1398" customWidth="1"/>
    <col min="10248" max="10248" width="1" style="1398" customWidth="1"/>
    <col min="10249" max="10249" width="11" style="1398" customWidth="1"/>
    <col min="10250" max="10250" width="1" style="1398" customWidth="1"/>
    <col min="10251" max="10251" width="21.5" style="1398" customWidth="1"/>
    <col min="10252" max="10252" width="1" style="1398" customWidth="1"/>
    <col min="10253" max="10253" width="11" style="1398" customWidth="1"/>
    <col min="10254" max="10254" width="1" style="1398" customWidth="1"/>
    <col min="10255" max="10255" width="21.5" style="1398" customWidth="1"/>
    <col min="10256" max="10256" width="1" style="1398" customWidth="1"/>
    <col min="10257" max="10257" width="11" style="1398" customWidth="1"/>
    <col min="10258" max="10258" width="1" style="1398" customWidth="1"/>
    <col min="10259" max="10259" width="21.5" style="1398" customWidth="1"/>
    <col min="10260" max="10260" width="1" style="1398" customWidth="1"/>
    <col min="10261" max="10261" width="11" style="1398" customWidth="1"/>
    <col min="10262" max="10262" width="1" style="1398" customWidth="1"/>
    <col min="10263" max="10263" width="21.5" style="1398" customWidth="1"/>
    <col min="10264" max="10264" width="1" style="1398" customWidth="1"/>
    <col min="10265" max="10265" width="11" style="1398" customWidth="1"/>
    <col min="10266" max="10266" width="1" style="1398" customWidth="1"/>
    <col min="10267" max="10267" width="21.5" style="1398" customWidth="1"/>
    <col min="10268" max="10268" width="1" style="1398" customWidth="1"/>
    <col min="10269" max="10269" width="11" style="1398" customWidth="1"/>
    <col min="10270" max="10270" width="1" style="1398" customWidth="1"/>
    <col min="10271" max="10271" width="21.5" style="1398" customWidth="1"/>
    <col min="10272" max="10272" width="1" style="1398" customWidth="1"/>
    <col min="10273" max="10273" width="11" style="1398" customWidth="1"/>
    <col min="10274" max="10274" width="1" style="1398" customWidth="1"/>
    <col min="10275" max="10275" width="21.5" style="1398" customWidth="1"/>
    <col min="10276" max="10276" width="1" style="1398" customWidth="1"/>
    <col min="10277" max="10277" width="11" style="1398" customWidth="1"/>
    <col min="10278" max="10278" width="1" style="1398" customWidth="1"/>
    <col min="10279" max="10279" width="21.5" style="1398" customWidth="1"/>
    <col min="10280" max="10280" width="1" style="1398" customWidth="1"/>
    <col min="10281" max="10281" width="11" style="1398" customWidth="1"/>
    <col min="10282" max="10282" width="1" style="1398" customWidth="1"/>
    <col min="10283" max="10283" width="21.5" style="1398" customWidth="1"/>
    <col min="10284" max="10284" width="1" style="1398" customWidth="1"/>
    <col min="10285" max="10285" width="11" style="1398" customWidth="1"/>
    <col min="10286" max="10286" width="1" style="1398" customWidth="1"/>
    <col min="10287" max="10287" width="21.5" style="1398" customWidth="1"/>
    <col min="10288" max="10288" width="1" style="1398" customWidth="1"/>
    <col min="10289" max="10289" width="11" style="1398" customWidth="1"/>
    <col min="10290" max="10290" width="1" style="1398" customWidth="1"/>
    <col min="10291" max="10291" width="21.5" style="1398" customWidth="1"/>
    <col min="10292" max="10292" width="1" style="1398" customWidth="1"/>
    <col min="10293" max="10293" width="11" style="1398" customWidth="1"/>
    <col min="10294" max="10294" width="1" style="1398" customWidth="1"/>
    <col min="10295" max="10295" width="21.5" style="1398" customWidth="1"/>
    <col min="10296" max="10296" width="1" style="1398" customWidth="1"/>
    <col min="10297" max="10297" width="11" style="1398" customWidth="1"/>
    <col min="10298" max="10298" width="1" style="1398" customWidth="1"/>
    <col min="10299" max="10496" width="10.6640625" style="1398"/>
    <col min="10497" max="10497" width="2.83203125" style="1398" customWidth="1"/>
    <col min="10498" max="10498" width="54" style="1398" customWidth="1"/>
    <col min="10499" max="10499" width="21.5" style="1398" customWidth="1"/>
    <col min="10500" max="10500" width="1" style="1398" customWidth="1"/>
    <col min="10501" max="10501" width="11" style="1398" customWidth="1"/>
    <col min="10502" max="10502" width="1" style="1398" customWidth="1"/>
    <col min="10503" max="10503" width="21.5" style="1398" customWidth="1"/>
    <col min="10504" max="10504" width="1" style="1398" customWidth="1"/>
    <col min="10505" max="10505" width="11" style="1398" customWidth="1"/>
    <col min="10506" max="10506" width="1" style="1398" customWidth="1"/>
    <col min="10507" max="10507" width="21.5" style="1398" customWidth="1"/>
    <col min="10508" max="10508" width="1" style="1398" customWidth="1"/>
    <col min="10509" max="10509" width="11" style="1398" customWidth="1"/>
    <col min="10510" max="10510" width="1" style="1398" customWidth="1"/>
    <col min="10511" max="10511" width="21.5" style="1398" customWidth="1"/>
    <col min="10512" max="10512" width="1" style="1398" customWidth="1"/>
    <col min="10513" max="10513" width="11" style="1398" customWidth="1"/>
    <col min="10514" max="10514" width="1" style="1398" customWidth="1"/>
    <col min="10515" max="10515" width="21.5" style="1398" customWidth="1"/>
    <col min="10516" max="10516" width="1" style="1398" customWidth="1"/>
    <col min="10517" max="10517" width="11" style="1398" customWidth="1"/>
    <col min="10518" max="10518" width="1" style="1398" customWidth="1"/>
    <col min="10519" max="10519" width="21.5" style="1398" customWidth="1"/>
    <col min="10520" max="10520" width="1" style="1398" customWidth="1"/>
    <col min="10521" max="10521" width="11" style="1398" customWidth="1"/>
    <col min="10522" max="10522" width="1" style="1398" customWidth="1"/>
    <col min="10523" max="10523" width="21.5" style="1398" customWidth="1"/>
    <col min="10524" max="10524" width="1" style="1398" customWidth="1"/>
    <col min="10525" max="10525" width="11" style="1398" customWidth="1"/>
    <col min="10526" max="10526" width="1" style="1398" customWidth="1"/>
    <col min="10527" max="10527" width="21.5" style="1398" customWidth="1"/>
    <col min="10528" max="10528" width="1" style="1398" customWidth="1"/>
    <col min="10529" max="10529" width="11" style="1398" customWidth="1"/>
    <col min="10530" max="10530" width="1" style="1398" customWidth="1"/>
    <col min="10531" max="10531" width="21.5" style="1398" customWidth="1"/>
    <col min="10532" max="10532" width="1" style="1398" customWidth="1"/>
    <col min="10533" max="10533" width="11" style="1398" customWidth="1"/>
    <col min="10534" max="10534" width="1" style="1398" customWidth="1"/>
    <col min="10535" max="10535" width="21.5" style="1398" customWidth="1"/>
    <col min="10536" max="10536" width="1" style="1398" customWidth="1"/>
    <col min="10537" max="10537" width="11" style="1398" customWidth="1"/>
    <col min="10538" max="10538" width="1" style="1398" customWidth="1"/>
    <col min="10539" max="10539" width="21.5" style="1398" customWidth="1"/>
    <col min="10540" max="10540" width="1" style="1398" customWidth="1"/>
    <col min="10541" max="10541" width="11" style="1398" customWidth="1"/>
    <col min="10542" max="10542" width="1" style="1398" customWidth="1"/>
    <col min="10543" max="10543" width="21.5" style="1398" customWidth="1"/>
    <col min="10544" max="10544" width="1" style="1398" customWidth="1"/>
    <col min="10545" max="10545" width="11" style="1398" customWidth="1"/>
    <col min="10546" max="10546" width="1" style="1398" customWidth="1"/>
    <col min="10547" max="10547" width="21.5" style="1398" customWidth="1"/>
    <col min="10548" max="10548" width="1" style="1398" customWidth="1"/>
    <col min="10549" max="10549" width="11" style="1398" customWidth="1"/>
    <col min="10550" max="10550" width="1" style="1398" customWidth="1"/>
    <col min="10551" max="10551" width="21.5" style="1398" customWidth="1"/>
    <col min="10552" max="10552" width="1" style="1398" customWidth="1"/>
    <col min="10553" max="10553" width="11" style="1398" customWidth="1"/>
    <col min="10554" max="10554" width="1" style="1398" customWidth="1"/>
    <col min="10555" max="10752" width="10.6640625" style="1398"/>
    <col min="10753" max="10753" width="2.83203125" style="1398" customWidth="1"/>
    <col min="10754" max="10754" width="54" style="1398" customWidth="1"/>
    <col min="10755" max="10755" width="21.5" style="1398" customWidth="1"/>
    <col min="10756" max="10756" width="1" style="1398" customWidth="1"/>
    <col min="10757" max="10757" width="11" style="1398" customWidth="1"/>
    <col min="10758" max="10758" width="1" style="1398" customWidth="1"/>
    <col min="10759" max="10759" width="21.5" style="1398" customWidth="1"/>
    <col min="10760" max="10760" width="1" style="1398" customWidth="1"/>
    <col min="10761" max="10761" width="11" style="1398" customWidth="1"/>
    <col min="10762" max="10762" width="1" style="1398" customWidth="1"/>
    <col min="10763" max="10763" width="21.5" style="1398" customWidth="1"/>
    <col min="10764" max="10764" width="1" style="1398" customWidth="1"/>
    <col min="10765" max="10765" width="11" style="1398" customWidth="1"/>
    <col min="10766" max="10766" width="1" style="1398" customWidth="1"/>
    <col min="10767" max="10767" width="21.5" style="1398" customWidth="1"/>
    <col min="10768" max="10768" width="1" style="1398" customWidth="1"/>
    <col min="10769" max="10769" width="11" style="1398" customWidth="1"/>
    <col min="10770" max="10770" width="1" style="1398" customWidth="1"/>
    <col min="10771" max="10771" width="21.5" style="1398" customWidth="1"/>
    <col min="10772" max="10772" width="1" style="1398" customWidth="1"/>
    <col min="10773" max="10773" width="11" style="1398" customWidth="1"/>
    <col min="10774" max="10774" width="1" style="1398" customWidth="1"/>
    <col min="10775" max="10775" width="21.5" style="1398" customWidth="1"/>
    <col min="10776" max="10776" width="1" style="1398" customWidth="1"/>
    <col min="10777" max="10777" width="11" style="1398" customWidth="1"/>
    <col min="10778" max="10778" width="1" style="1398" customWidth="1"/>
    <col min="10779" max="10779" width="21.5" style="1398" customWidth="1"/>
    <col min="10780" max="10780" width="1" style="1398" customWidth="1"/>
    <col min="10781" max="10781" width="11" style="1398" customWidth="1"/>
    <col min="10782" max="10782" width="1" style="1398" customWidth="1"/>
    <col min="10783" max="10783" width="21.5" style="1398" customWidth="1"/>
    <col min="10784" max="10784" width="1" style="1398" customWidth="1"/>
    <col min="10785" max="10785" width="11" style="1398" customWidth="1"/>
    <col min="10786" max="10786" width="1" style="1398" customWidth="1"/>
    <col min="10787" max="10787" width="21.5" style="1398" customWidth="1"/>
    <col min="10788" max="10788" width="1" style="1398" customWidth="1"/>
    <col min="10789" max="10789" width="11" style="1398" customWidth="1"/>
    <col min="10790" max="10790" width="1" style="1398" customWidth="1"/>
    <col min="10791" max="10791" width="21.5" style="1398" customWidth="1"/>
    <col min="10792" max="10792" width="1" style="1398" customWidth="1"/>
    <col min="10793" max="10793" width="11" style="1398" customWidth="1"/>
    <col min="10794" max="10794" width="1" style="1398" customWidth="1"/>
    <col min="10795" max="10795" width="21.5" style="1398" customWidth="1"/>
    <col min="10796" max="10796" width="1" style="1398" customWidth="1"/>
    <col min="10797" max="10797" width="11" style="1398" customWidth="1"/>
    <col min="10798" max="10798" width="1" style="1398" customWidth="1"/>
    <col min="10799" max="10799" width="21.5" style="1398" customWidth="1"/>
    <col min="10800" max="10800" width="1" style="1398" customWidth="1"/>
    <col min="10801" max="10801" width="11" style="1398" customWidth="1"/>
    <col min="10802" max="10802" width="1" style="1398" customWidth="1"/>
    <col min="10803" max="10803" width="21.5" style="1398" customWidth="1"/>
    <col min="10804" max="10804" width="1" style="1398" customWidth="1"/>
    <col min="10805" max="10805" width="11" style="1398" customWidth="1"/>
    <col min="10806" max="10806" width="1" style="1398" customWidth="1"/>
    <col min="10807" max="10807" width="21.5" style="1398" customWidth="1"/>
    <col min="10808" max="10808" width="1" style="1398" customWidth="1"/>
    <col min="10809" max="10809" width="11" style="1398" customWidth="1"/>
    <col min="10810" max="10810" width="1" style="1398" customWidth="1"/>
    <col min="10811" max="11008" width="10.6640625" style="1398"/>
    <col min="11009" max="11009" width="2.83203125" style="1398" customWidth="1"/>
    <col min="11010" max="11010" width="54" style="1398" customWidth="1"/>
    <col min="11011" max="11011" width="21.5" style="1398" customWidth="1"/>
    <col min="11012" max="11012" width="1" style="1398" customWidth="1"/>
    <col min="11013" max="11013" width="11" style="1398" customWidth="1"/>
    <col min="11014" max="11014" width="1" style="1398" customWidth="1"/>
    <col min="11015" max="11015" width="21.5" style="1398" customWidth="1"/>
    <col min="11016" max="11016" width="1" style="1398" customWidth="1"/>
    <col min="11017" max="11017" width="11" style="1398" customWidth="1"/>
    <col min="11018" max="11018" width="1" style="1398" customWidth="1"/>
    <col min="11019" max="11019" width="21.5" style="1398" customWidth="1"/>
    <col min="11020" max="11020" width="1" style="1398" customWidth="1"/>
    <col min="11021" max="11021" width="11" style="1398" customWidth="1"/>
    <col min="11022" max="11022" width="1" style="1398" customWidth="1"/>
    <col min="11023" max="11023" width="21.5" style="1398" customWidth="1"/>
    <col min="11024" max="11024" width="1" style="1398" customWidth="1"/>
    <col min="11025" max="11025" width="11" style="1398" customWidth="1"/>
    <col min="11026" max="11026" width="1" style="1398" customWidth="1"/>
    <col min="11027" max="11027" width="21.5" style="1398" customWidth="1"/>
    <col min="11028" max="11028" width="1" style="1398" customWidth="1"/>
    <col min="11029" max="11029" width="11" style="1398" customWidth="1"/>
    <col min="11030" max="11030" width="1" style="1398" customWidth="1"/>
    <col min="11031" max="11031" width="21.5" style="1398" customWidth="1"/>
    <col min="11032" max="11032" width="1" style="1398" customWidth="1"/>
    <col min="11033" max="11033" width="11" style="1398" customWidth="1"/>
    <col min="11034" max="11034" width="1" style="1398" customWidth="1"/>
    <col min="11035" max="11035" width="21.5" style="1398" customWidth="1"/>
    <col min="11036" max="11036" width="1" style="1398" customWidth="1"/>
    <col min="11037" max="11037" width="11" style="1398" customWidth="1"/>
    <col min="11038" max="11038" width="1" style="1398" customWidth="1"/>
    <col min="11039" max="11039" width="21.5" style="1398" customWidth="1"/>
    <col min="11040" max="11040" width="1" style="1398" customWidth="1"/>
    <col min="11041" max="11041" width="11" style="1398" customWidth="1"/>
    <col min="11042" max="11042" width="1" style="1398" customWidth="1"/>
    <col min="11043" max="11043" width="21.5" style="1398" customWidth="1"/>
    <col min="11044" max="11044" width="1" style="1398" customWidth="1"/>
    <col min="11045" max="11045" width="11" style="1398" customWidth="1"/>
    <col min="11046" max="11046" width="1" style="1398" customWidth="1"/>
    <col min="11047" max="11047" width="21.5" style="1398" customWidth="1"/>
    <col min="11048" max="11048" width="1" style="1398" customWidth="1"/>
    <col min="11049" max="11049" width="11" style="1398" customWidth="1"/>
    <col min="11050" max="11050" width="1" style="1398" customWidth="1"/>
    <col min="11051" max="11051" width="21.5" style="1398" customWidth="1"/>
    <col min="11052" max="11052" width="1" style="1398" customWidth="1"/>
    <col min="11053" max="11053" width="11" style="1398" customWidth="1"/>
    <col min="11054" max="11054" width="1" style="1398" customWidth="1"/>
    <col min="11055" max="11055" width="21.5" style="1398" customWidth="1"/>
    <col min="11056" max="11056" width="1" style="1398" customWidth="1"/>
    <col min="11057" max="11057" width="11" style="1398" customWidth="1"/>
    <col min="11058" max="11058" width="1" style="1398" customWidth="1"/>
    <col min="11059" max="11059" width="21.5" style="1398" customWidth="1"/>
    <col min="11060" max="11060" width="1" style="1398" customWidth="1"/>
    <col min="11061" max="11061" width="11" style="1398" customWidth="1"/>
    <col min="11062" max="11062" width="1" style="1398" customWidth="1"/>
    <col min="11063" max="11063" width="21.5" style="1398" customWidth="1"/>
    <col min="11064" max="11064" width="1" style="1398" customWidth="1"/>
    <col min="11065" max="11065" width="11" style="1398" customWidth="1"/>
    <col min="11066" max="11066" width="1" style="1398" customWidth="1"/>
    <col min="11067" max="11264" width="10.6640625" style="1398"/>
    <col min="11265" max="11265" width="2.83203125" style="1398" customWidth="1"/>
    <col min="11266" max="11266" width="54" style="1398" customWidth="1"/>
    <col min="11267" max="11267" width="21.5" style="1398" customWidth="1"/>
    <col min="11268" max="11268" width="1" style="1398" customWidth="1"/>
    <col min="11269" max="11269" width="11" style="1398" customWidth="1"/>
    <col min="11270" max="11270" width="1" style="1398" customWidth="1"/>
    <col min="11271" max="11271" width="21.5" style="1398" customWidth="1"/>
    <col min="11272" max="11272" width="1" style="1398" customWidth="1"/>
    <col min="11273" max="11273" width="11" style="1398" customWidth="1"/>
    <col min="11274" max="11274" width="1" style="1398" customWidth="1"/>
    <col min="11275" max="11275" width="21.5" style="1398" customWidth="1"/>
    <col min="11276" max="11276" width="1" style="1398" customWidth="1"/>
    <col min="11277" max="11277" width="11" style="1398" customWidth="1"/>
    <col min="11278" max="11278" width="1" style="1398" customWidth="1"/>
    <col min="11279" max="11279" width="21.5" style="1398" customWidth="1"/>
    <col min="11280" max="11280" width="1" style="1398" customWidth="1"/>
    <col min="11281" max="11281" width="11" style="1398" customWidth="1"/>
    <col min="11282" max="11282" width="1" style="1398" customWidth="1"/>
    <col min="11283" max="11283" width="21.5" style="1398" customWidth="1"/>
    <col min="11284" max="11284" width="1" style="1398" customWidth="1"/>
    <col min="11285" max="11285" width="11" style="1398" customWidth="1"/>
    <col min="11286" max="11286" width="1" style="1398" customWidth="1"/>
    <col min="11287" max="11287" width="21.5" style="1398" customWidth="1"/>
    <col min="11288" max="11288" width="1" style="1398" customWidth="1"/>
    <col min="11289" max="11289" width="11" style="1398" customWidth="1"/>
    <col min="11290" max="11290" width="1" style="1398" customWidth="1"/>
    <col min="11291" max="11291" width="21.5" style="1398" customWidth="1"/>
    <col min="11292" max="11292" width="1" style="1398" customWidth="1"/>
    <col min="11293" max="11293" width="11" style="1398" customWidth="1"/>
    <col min="11294" max="11294" width="1" style="1398" customWidth="1"/>
    <col min="11295" max="11295" width="21.5" style="1398" customWidth="1"/>
    <col min="11296" max="11296" width="1" style="1398" customWidth="1"/>
    <col min="11297" max="11297" width="11" style="1398" customWidth="1"/>
    <col min="11298" max="11298" width="1" style="1398" customWidth="1"/>
    <col min="11299" max="11299" width="21.5" style="1398" customWidth="1"/>
    <col min="11300" max="11300" width="1" style="1398" customWidth="1"/>
    <col min="11301" max="11301" width="11" style="1398" customWidth="1"/>
    <col min="11302" max="11302" width="1" style="1398" customWidth="1"/>
    <col min="11303" max="11303" width="21.5" style="1398" customWidth="1"/>
    <col min="11304" max="11304" width="1" style="1398" customWidth="1"/>
    <col min="11305" max="11305" width="11" style="1398" customWidth="1"/>
    <col min="11306" max="11306" width="1" style="1398" customWidth="1"/>
    <col min="11307" max="11307" width="21.5" style="1398" customWidth="1"/>
    <col min="11308" max="11308" width="1" style="1398" customWidth="1"/>
    <col min="11309" max="11309" width="11" style="1398" customWidth="1"/>
    <col min="11310" max="11310" width="1" style="1398" customWidth="1"/>
    <col min="11311" max="11311" width="21.5" style="1398" customWidth="1"/>
    <col min="11312" max="11312" width="1" style="1398" customWidth="1"/>
    <col min="11313" max="11313" width="11" style="1398" customWidth="1"/>
    <col min="11314" max="11314" width="1" style="1398" customWidth="1"/>
    <col min="11315" max="11315" width="21.5" style="1398" customWidth="1"/>
    <col min="11316" max="11316" width="1" style="1398" customWidth="1"/>
    <col min="11317" max="11317" width="11" style="1398" customWidth="1"/>
    <col min="11318" max="11318" width="1" style="1398" customWidth="1"/>
    <col min="11319" max="11319" width="21.5" style="1398" customWidth="1"/>
    <col min="11320" max="11320" width="1" style="1398" customWidth="1"/>
    <col min="11321" max="11321" width="11" style="1398" customWidth="1"/>
    <col min="11322" max="11322" width="1" style="1398" customWidth="1"/>
    <col min="11323" max="11520" width="10.6640625" style="1398"/>
    <col min="11521" max="11521" width="2.83203125" style="1398" customWidth="1"/>
    <col min="11522" max="11522" width="54" style="1398" customWidth="1"/>
    <col min="11523" max="11523" width="21.5" style="1398" customWidth="1"/>
    <col min="11524" max="11524" width="1" style="1398" customWidth="1"/>
    <col min="11525" max="11525" width="11" style="1398" customWidth="1"/>
    <col min="11526" max="11526" width="1" style="1398" customWidth="1"/>
    <col min="11527" max="11527" width="21.5" style="1398" customWidth="1"/>
    <col min="11528" max="11528" width="1" style="1398" customWidth="1"/>
    <col min="11529" max="11529" width="11" style="1398" customWidth="1"/>
    <col min="11530" max="11530" width="1" style="1398" customWidth="1"/>
    <col min="11531" max="11531" width="21.5" style="1398" customWidth="1"/>
    <col min="11532" max="11532" width="1" style="1398" customWidth="1"/>
    <col min="11533" max="11533" width="11" style="1398" customWidth="1"/>
    <col min="11534" max="11534" width="1" style="1398" customWidth="1"/>
    <col min="11535" max="11535" width="21.5" style="1398" customWidth="1"/>
    <col min="11536" max="11536" width="1" style="1398" customWidth="1"/>
    <col min="11537" max="11537" width="11" style="1398" customWidth="1"/>
    <col min="11538" max="11538" width="1" style="1398" customWidth="1"/>
    <col min="11539" max="11539" width="21.5" style="1398" customWidth="1"/>
    <col min="11540" max="11540" width="1" style="1398" customWidth="1"/>
    <col min="11541" max="11541" width="11" style="1398" customWidth="1"/>
    <col min="11542" max="11542" width="1" style="1398" customWidth="1"/>
    <col min="11543" max="11543" width="21.5" style="1398" customWidth="1"/>
    <col min="11544" max="11544" width="1" style="1398" customWidth="1"/>
    <col min="11545" max="11545" width="11" style="1398" customWidth="1"/>
    <col min="11546" max="11546" width="1" style="1398" customWidth="1"/>
    <col min="11547" max="11547" width="21.5" style="1398" customWidth="1"/>
    <col min="11548" max="11548" width="1" style="1398" customWidth="1"/>
    <col min="11549" max="11549" width="11" style="1398" customWidth="1"/>
    <col min="11550" max="11550" width="1" style="1398" customWidth="1"/>
    <col min="11551" max="11551" width="21.5" style="1398" customWidth="1"/>
    <col min="11552" max="11552" width="1" style="1398" customWidth="1"/>
    <col min="11553" max="11553" width="11" style="1398" customWidth="1"/>
    <col min="11554" max="11554" width="1" style="1398" customWidth="1"/>
    <col min="11555" max="11555" width="21.5" style="1398" customWidth="1"/>
    <col min="11556" max="11556" width="1" style="1398" customWidth="1"/>
    <col min="11557" max="11557" width="11" style="1398" customWidth="1"/>
    <col min="11558" max="11558" width="1" style="1398" customWidth="1"/>
    <col min="11559" max="11559" width="21.5" style="1398" customWidth="1"/>
    <col min="11560" max="11560" width="1" style="1398" customWidth="1"/>
    <col min="11561" max="11561" width="11" style="1398" customWidth="1"/>
    <col min="11562" max="11562" width="1" style="1398" customWidth="1"/>
    <col min="11563" max="11563" width="21.5" style="1398" customWidth="1"/>
    <col min="11564" max="11564" width="1" style="1398" customWidth="1"/>
    <col min="11565" max="11565" width="11" style="1398" customWidth="1"/>
    <col min="11566" max="11566" width="1" style="1398" customWidth="1"/>
    <col min="11567" max="11567" width="21.5" style="1398" customWidth="1"/>
    <col min="11568" max="11568" width="1" style="1398" customWidth="1"/>
    <col min="11569" max="11569" width="11" style="1398" customWidth="1"/>
    <col min="11570" max="11570" width="1" style="1398" customWidth="1"/>
    <col min="11571" max="11571" width="21.5" style="1398" customWidth="1"/>
    <col min="11572" max="11572" width="1" style="1398" customWidth="1"/>
    <col min="11573" max="11573" width="11" style="1398" customWidth="1"/>
    <col min="11574" max="11574" width="1" style="1398" customWidth="1"/>
    <col min="11575" max="11575" width="21.5" style="1398" customWidth="1"/>
    <col min="11576" max="11576" width="1" style="1398" customWidth="1"/>
    <col min="11577" max="11577" width="11" style="1398" customWidth="1"/>
    <col min="11578" max="11578" width="1" style="1398" customWidth="1"/>
    <col min="11579" max="11776" width="10.6640625" style="1398"/>
    <col min="11777" max="11777" width="2.83203125" style="1398" customWidth="1"/>
    <col min="11778" max="11778" width="54" style="1398" customWidth="1"/>
    <col min="11779" max="11779" width="21.5" style="1398" customWidth="1"/>
    <col min="11780" max="11780" width="1" style="1398" customWidth="1"/>
    <col min="11781" max="11781" width="11" style="1398" customWidth="1"/>
    <col min="11782" max="11782" width="1" style="1398" customWidth="1"/>
    <col min="11783" max="11783" width="21.5" style="1398" customWidth="1"/>
    <col min="11784" max="11784" width="1" style="1398" customWidth="1"/>
    <col min="11785" max="11785" width="11" style="1398" customWidth="1"/>
    <col min="11786" max="11786" width="1" style="1398" customWidth="1"/>
    <col min="11787" max="11787" width="21.5" style="1398" customWidth="1"/>
    <col min="11788" max="11788" width="1" style="1398" customWidth="1"/>
    <col min="11789" max="11789" width="11" style="1398" customWidth="1"/>
    <col min="11790" max="11790" width="1" style="1398" customWidth="1"/>
    <col min="11791" max="11791" width="21.5" style="1398" customWidth="1"/>
    <col min="11792" max="11792" width="1" style="1398" customWidth="1"/>
    <col min="11793" max="11793" width="11" style="1398" customWidth="1"/>
    <col min="11794" max="11794" width="1" style="1398" customWidth="1"/>
    <col min="11795" max="11795" width="21.5" style="1398" customWidth="1"/>
    <col min="11796" max="11796" width="1" style="1398" customWidth="1"/>
    <col min="11797" max="11797" width="11" style="1398" customWidth="1"/>
    <col min="11798" max="11798" width="1" style="1398" customWidth="1"/>
    <col min="11799" max="11799" width="21.5" style="1398" customWidth="1"/>
    <col min="11800" max="11800" width="1" style="1398" customWidth="1"/>
    <col min="11801" max="11801" width="11" style="1398" customWidth="1"/>
    <col min="11802" max="11802" width="1" style="1398" customWidth="1"/>
    <col min="11803" max="11803" width="21.5" style="1398" customWidth="1"/>
    <col min="11804" max="11804" width="1" style="1398" customWidth="1"/>
    <col min="11805" max="11805" width="11" style="1398" customWidth="1"/>
    <col min="11806" max="11806" width="1" style="1398" customWidth="1"/>
    <col min="11807" max="11807" width="21.5" style="1398" customWidth="1"/>
    <col min="11808" max="11808" width="1" style="1398" customWidth="1"/>
    <col min="11809" max="11809" width="11" style="1398" customWidth="1"/>
    <col min="11810" max="11810" width="1" style="1398" customWidth="1"/>
    <col min="11811" max="11811" width="21.5" style="1398" customWidth="1"/>
    <col min="11812" max="11812" width="1" style="1398" customWidth="1"/>
    <col min="11813" max="11813" width="11" style="1398" customWidth="1"/>
    <col min="11814" max="11814" width="1" style="1398" customWidth="1"/>
    <col min="11815" max="11815" width="21.5" style="1398" customWidth="1"/>
    <col min="11816" max="11816" width="1" style="1398" customWidth="1"/>
    <col min="11817" max="11817" width="11" style="1398" customWidth="1"/>
    <col min="11818" max="11818" width="1" style="1398" customWidth="1"/>
    <col min="11819" max="11819" width="21.5" style="1398" customWidth="1"/>
    <col min="11820" max="11820" width="1" style="1398" customWidth="1"/>
    <col min="11821" max="11821" width="11" style="1398" customWidth="1"/>
    <col min="11822" max="11822" width="1" style="1398" customWidth="1"/>
    <col min="11823" max="11823" width="21.5" style="1398" customWidth="1"/>
    <col min="11824" max="11824" width="1" style="1398" customWidth="1"/>
    <col min="11825" max="11825" width="11" style="1398" customWidth="1"/>
    <col min="11826" max="11826" width="1" style="1398" customWidth="1"/>
    <col min="11827" max="11827" width="21.5" style="1398" customWidth="1"/>
    <col min="11828" max="11828" width="1" style="1398" customWidth="1"/>
    <col min="11829" max="11829" width="11" style="1398" customWidth="1"/>
    <col min="11830" max="11830" width="1" style="1398" customWidth="1"/>
    <col min="11831" max="11831" width="21.5" style="1398" customWidth="1"/>
    <col min="11832" max="11832" width="1" style="1398" customWidth="1"/>
    <col min="11833" max="11833" width="11" style="1398" customWidth="1"/>
    <col min="11834" max="11834" width="1" style="1398" customWidth="1"/>
    <col min="11835" max="12032" width="10.6640625" style="1398"/>
    <col min="12033" max="12033" width="2.83203125" style="1398" customWidth="1"/>
    <col min="12034" max="12034" width="54" style="1398" customWidth="1"/>
    <col min="12035" max="12035" width="21.5" style="1398" customWidth="1"/>
    <col min="12036" max="12036" width="1" style="1398" customWidth="1"/>
    <col min="12037" max="12037" width="11" style="1398" customWidth="1"/>
    <col min="12038" max="12038" width="1" style="1398" customWidth="1"/>
    <col min="12039" max="12039" width="21.5" style="1398" customWidth="1"/>
    <col min="12040" max="12040" width="1" style="1398" customWidth="1"/>
    <col min="12041" max="12041" width="11" style="1398" customWidth="1"/>
    <col min="12042" max="12042" width="1" style="1398" customWidth="1"/>
    <col min="12043" max="12043" width="21.5" style="1398" customWidth="1"/>
    <col min="12044" max="12044" width="1" style="1398" customWidth="1"/>
    <col min="12045" max="12045" width="11" style="1398" customWidth="1"/>
    <col min="12046" max="12046" width="1" style="1398" customWidth="1"/>
    <col min="12047" max="12047" width="21.5" style="1398" customWidth="1"/>
    <col min="12048" max="12048" width="1" style="1398" customWidth="1"/>
    <col min="12049" max="12049" width="11" style="1398" customWidth="1"/>
    <col min="12050" max="12050" width="1" style="1398" customWidth="1"/>
    <col min="12051" max="12051" width="21.5" style="1398" customWidth="1"/>
    <col min="12052" max="12052" width="1" style="1398" customWidth="1"/>
    <col min="12053" max="12053" width="11" style="1398" customWidth="1"/>
    <col min="12054" max="12054" width="1" style="1398" customWidth="1"/>
    <col min="12055" max="12055" width="21.5" style="1398" customWidth="1"/>
    <col min="12056" max="12056" width="1" style="1398" customWidth="1"/>
    <col min="12057" max="12057" width="11" style="1398" customWidth="1"/>
    <col min="12058" max="12058" width="1" style="1398" customWidth="1"/>
    <col min="12059" max="12059" width="21.5" style="1398" customWidth="1"/>
    <col min="12060" max="12060" width="1" style="1398" customWidth="1"/>
    <col min="12061" max="12061" width="11" style="1398" customWidth="1"/>
    <col min="12062" max="12062" width="1" style="1398" customWidth="1"/>
    <col min="12063" max="12063" width="21.5" style="1398" customWidth="1"/>
    <col min="12064" max="12064" width="1" style="1398" customWidth="1"/>
    <col min="12065" max="12065" width="11" style="1398" customWidth="1"/>
    <col min="12066" max="12066" width="1" style="1398" customWidth="1"/>
    <col min="12067" max="12067" width="21.5" style="1398" customWidth="1"/>
    <col min="12068" max="12068" width="1" style="1398" customWidth="1"/>
    <col min="12069" max="12069" width="11" style="1398" customWidth="1"/>
    <col min="12070" max="12070" width="1" style="1398" customWidth="1"/>
    <col min="12071" max="12071" width="21.5" style="1398" customWidth="1"/>
    <col min="12072" max="12072" width="1" style="1398" customWidth="1"/>
    <col min="12073" max="12073" width="11" style="1398" customWidth="1"/>
    <col min="12074" max="12074" width="1" style="1398" customWidth="1"/>
    <col min="12075" max="12075" width="21.5" style="1398" customWidth="1"/>
    <col min="12076" max="12076" width="1" style="1398" customWidth="1"/>
    <col min="12077" max="12077" width="11" style="1398" customWidth="1"/>
    <col min="12078" max="12078" width="1" style="1398" customWidth="1"/>
    <col min="12079" max="12079" width="21.5" style="1398" customWidth="1"/>
    <col min="12080" max="12080" width="1" style="1398" customWidth="1"/>
    <col min="12081" max="12081" width="11" style="1398" customWidth="1"/>
    <col min="12082" max="12082" width="1" style="1398" customWidth="1"/>
    <col min="12083" max="12083" width="21.5" style="1398" customWidth="1"/>
    <col min="12084" max="12084" width="1" style="1398" customWidth="1"/>
    <col min="12085" max="12085" width="11" style="1398" customWidth="1"/>
    <col min="12086" max="12086" width="1" style="1398" customWidth="1"/>
    <col min="12087" max="12087" width="21.5" style="1398" customWidth="1"/>
    <col min="12088" max="12088" width="1" style="1398" customWidth="1"/>
    <col min="12089" max="12089" width="11" style="1398" customWidth="1"/>
    <col min="12090" max="12090" width="1" style="1398" customWidth="1"/>
    <col min="12091" max="12288" width="10.6640625" style="1398"/>
    <col min="12289" max="12289" width="2.83203125" style="1398" customWidth="1"/>
    <col min="12290" max="12290" width="54" style="1398" customWidth="1"/>
    <col min="12291" max="12291" width="21.5" style="1398" customWidth="1"/>
    <col min="12292" max="12292" width="1" style="1398" customWidth="1"/>
    <col min="12293" max="12293" width="11" style="1398" customWidth="1"/>
    <col min="12294" max="12294" width="1" style="1398" customWidth="1"/>
    <col min="12295" max="12295" width="21.5" style="1398" customWidth="1"/>
    <col min="12296" max="12296" width="1" style="1398" customWidth="1"/>
    <col min="12297" max="12297" width="11" style="1398" customWidth="1"/>
    <col min="12298" max="12298" width="1" style="1398" customWidth="1"/>
    <col min="12299" max="12299" width="21.5" style="1398" customWidth="1"/>
    <col min="12300" max="12300" width="1" style="1398" customWidth="1"/>
    <col min="12301" max="12301" width="11" style="1398" customWidth="1"/>
    <col min="12302" max="12302" width="1" style="1398" customWidth="1"/>
    <col min="12303" max="12303" width="21.5" style="1398" customWidth="1"/>
    <col min="12304" max="12304" width="1" style="1398" customWidth="1"/>
    <col min="12305" max="12305" width="11" style="1398" customWidth="1"/>
    <col min="12306" max="12306" width="1" style="1398" customWidth="1"/>
    <col min="12307" max="12307" width="21.5" style="1398" customWidth="1"/>
    <col min="12308" max="12308" width="1" style="1398" customWidth="1"/>
    <col min="12309" max="12309" width="11" style="1398" customWidth="1"/>
    <col min="12310" max="12310" width="1" style="1398" customWidth="1"/>
    <col min="12311" max="12311" width="21.5" style="1398" customWidth="1"/>
    <col min="12312" max="12312" width="1" style="1398" customWidth="1"/>
    <col min="12313" max="12313" width="11" style="1398" customWidth="1"/>
    <col min="12314" max="12314" width="1" style="1398" customWidth="1"/>
    <col min="12315" max="12315" width="21.5" style="1398" customWidth="1"/>
    <col min="12316" max="12316" width="1" style="1398" customWidth="1"/>
    <col min="12317" max="12317" width="11" style="1398" customWidth="1"/>
    <col min="12318" max="12318" width="1" style="1398" customWidth="1"/>
    <col min="12319" max="12319" width="21.5" style="1398" customWidth="1"/>
    <col min="12320" max="12320" width="1" style="1398" customWidth="1"/>
    <col min="12321" max="12321" width="11" style="1398" customWidth="1"/>
    <col min="12322" max="12322" width="1" style="1398" customWidth="1"/>
    <col min="12323" max="12323" width="21.5" style="1398" customWidth="1"/>
    <col min="12324" max="12324" width="1" style="1398" customWidth="1"/>
    <col min="12325" max="12325" width="11" style="1398" customWidth="1"/>
    <col min="12326" max="12326" width="1" style="1398" customWidth="1"/>
    <col min="12327" max="12327" width="21.5" style="1398" customWidth="1"/>
    <col min="12328" max="12328" width="1" style="1398" customWidth="1"/>
    <col min="12329" max="12329" width="11" style="1398" customWidth="1"/>
    <col min="12330" max="12330" width="1" style="1398" customWidth="1"/>
    <col min="12331" max="12331" width="21.5" style="1398" customWidth="1"/>
    <col min="12332" max="12332" width="1" style="1398" customWidth="1"/>
    <col min="12333" max="12333" width="11" style="1398" customWidth="1"/>
    <col min="12334" max="12334" width="1" style="1398" customWidth="1"/>
    <col min="12335" max="12335" width="21.5" style="1398" customWidth="1"/>
    <col min="12336" max="12336" width="1" style="1398" customWidth="1"/>
    <col min="12337" max="12337" width="11" style="1398" customWidth="1"/>
    <col min="12338" max="12338" width="1" style="1398" customWidth="1"/>
    <col min="12339" max="12339" width="21.5" style="1398" customWidth="1"/>
    <col min="12340" max="12340" width="1" style="1398" customWidth="1"/>
    <col min="12341" max="12341" width="11" style="1398" customWidth="1"/>
    <col min="12342" max="12342" width="1" style="1398" customWidth="1"/>
    <col min="12343" max="12343" width="21.5" style="1398" customWidth="1"/>
    <col min="12344" max="12344" width="1" style="1398" customWidth="1"/>
    <col min="12345" max="12345" width="11" style="1398" customWidth="1"/>
    <col min="12346" max="12346" width="1" style="1398" customWidth="1"/>
    <col min="12347" max="12544" width="10.6640625" style="1398"/>
    <col min="12545" max="12545" width="2.83203125" style="1398" customWidth="1"/>
    <col min="12546" max="12546" width="54" style="1398" customWidth="1"/>
    <col min="12547" max="12547" width="21.5" style="1398" customWidth="1"/>
    <col min="12548" max="12548" width="1" style="1398" customWidth="1"/>
    <col min="12549" max="12549" width="11" style="1398" customWidth="1"/>
    <col min="12550" max="12550" width="1" style="1398" customWidth="1"/>
    <col min="12551" max="12551" width="21.5" style="1398" customWidth="1"/>
    <col min="12552" max="12552" width="1" style="1398" customWidth="1"/>
    <col min="12553" max="12553" width="11" style="1398" customWidth="1"/>
    <col min="12554" max="12554" width="1" style="1398" customWidth="1"/>
    <col min="12555" max="12555" width="21.5" style="1398" customWidth="1"/>
    <col min="12556" max="12556" width="1" style="1398" customWidth="1"/>
    <col min="12557" max="12557" width="11" style="1398" customWidth="1"/>
    <col min="12558" max="12558" width="1" style="1398" customWidth="1"/>
    <col min="12559" max="12559" width="21.5" style="1398" customWidth="1"/>
    <col min="12560" max="12560" width="1" style="1398" customWidth="1"/>
    <col min="12561" max="12561" width="11" style="1398" customWidth="1"/>
    <col min="12562" max="12562" width="1" style="1398" customWidth="1"/>
    <col min="12563" max="12563" width="21.5" style="1398" customWidth="1"/>
    <col min="12564" max="12564" width="1" style="1398" customWidth="1"/>
    <col min="12565" max="12565" width="11" style="1398" customWidth="1"/>
    <col min="12566" max="12566" width="1" style="1398" customWidth="1"/>
    <col min="12567" max="12567" width="21.5" style="1398" customWidth="1"/>
    <col min="12568" max="12568" width="1" style="1398" customWidth="1"/>
    <col min="12569" max="12569" width="11" style="1398" customWidth="1"/>
    <col min="12570" max="12570" width="1" style="1398" customWidth="1"/>
    <col min="12571" max="12571" width="21.5" style="1398" customWidth="1"/>
    <col min="12572" max="12572" width="1" style="1398" customWidth="1"/>
    <col min="12573" max="12573" width="11" style="1398" customWidth="1"/>
    <col min="12574" max="12574" width="1" style="1398" customWidth="1"/>
    <col min="12575" max="12575" width="21.5" style="1398" customWidth="1"/>
    <col min="12576" max="12576" width="1" style="1398" customWidth="1"/>
    <col min="12577" max="12577" width="11" style="1398" customWidth="1"/>
    <col min="12578" max="12578" width="1" style="1398" customWidth="1"/>
    <col min="12579" max="12579" width="21.5" style="1398" customWidth="1"/>
    <col min="12580" max="12580" width="1" style="1398" customWidth="1"/>
    <col min="12581" max="12581" width="11" style="1398" customWidth="1"/>
    <col min="12582" max="12582" width="1" style="1398" customWidth="1"/>
    <col min="12583" max="12583" width="21.5" style="1398" customWidth="1"/>
    <col min="12584" max="12584" width="1" style="1398" customWidth="1"/>
    <col min="12585" max="12585" width="11" style="1398" customWidth="1"/>
    <col min="12586" max="12586" width="1" style="1398" customWidth="1"/>
    <col min="12587" max="12587" width="21.5" style="1398" customWidth="1"/>
    <col min="12588" max="12588" width="1" style="1398" customWidth="1"/>
    <col min="12589" max="12589" width="11" style="1398" customWidth="1"/>
    <col min="12590" max="12590" width="1" style="1398" customWidth="1"/>
    <col min="12591" max="12591" width="21.5" style="1398" customWidth="1"/>
    <col min="12592" max="12592" width="1" style="1398" customWidth="1"/>
    <col min="12593" max="12593" width="11" style="1398" customWidth="1"/>
    <col min="12594" max="12594" width="1" style="1398" customWidth="1"/>
    <col min="12595" max="12595" width="21.5" style="1398" customWidth="1"/>
    <col min="12596" max="12596" width="1" style="1398" customWidth="1"/>
    <col min="12597" max="12597" width="11" style="1398" customWidth="1"/>
    <col min="12598" max="12598" width="1" style="1398" customWidth="1"/>
    <col min="12599" max="12599" width="21.5" style="1398" customWidth="1"/>
    <col min="12600" max="12600" width="1" style="1398" customWidth="1"/>
    <col min="12601" max="12601" width="11" style="1398" customWidth="1"/>
    <col min="12602" max="12602" width="1" style="1398" customWidth="1"/>
    <col min="12603" max="12800" width="10.6640625" style="1398"/>
    <col min="12801" max="12801" width="2.83203125" style="1398" customWidth="1"/>
    <col min="12802" max="12802" width="54" style="1398" customWidth="1"/>
    <col min="12803" max="12803" width="21.5" style="1398" customWidth="1"/>
    <col min="12804" max="12804" width="1" style="1398" customWidth="1"/>
    <col min="12805" max="12805" width="11" style="1398" customWidth="1"/>
    <col min="12806" max="12806" width="1" style="1398" customWidth="1"/>
    <col min="12807" max="12807" width="21.5" style="1398" customWidth="1"/>
    <col min="12808" max="12808" width="1" style="1398" customWidth="1"/>
    <col min="12809" max="12809" width="11" style="1398" customWidth="1"/>
    <col min="12810" max="12810" width="1" style="1398" customWidth="1"/>
    <col min="12811" max="12811" width="21.5" style="1398" customWidth="1"/>
    <col min="12812" max="12812" width="1" style="1398" customWidth="1"/>
    <col min="12813" max="12813" width="11" style="1398" customWidth="1"/>
    <col min="12814" max="12814" width="1" style="1398" customWidth="1"/>
    <col min="12815" max="12815" width="21.5" style="1398" customWidth="1"/>
    <col min="12816" max="12816" width="1" style="1398" customWidth="1"/>
    <col min="12817" max="12817" width="11" style="1398" customWidth="1"/>
    <col min="12818" max="12818" width="1" style="1398" customWidth="1"/>
    <col min="12819" max="12819" width="21.5" style="1398" customWidth="1"/>
    <col min="12820" max="12820" width="1" style="1398" customWidth="1"/>
    <col min="12821" max="12821" width="11" style="1398" customWidth="1"/>
    <col min="12822" max="12822" width="1" style="1398" customWidth="1"/>
    <col min="12823" max="12823" width="21.5" style="1398" customWidth="1"/>
    <col min="12824" max="12824" width="1" style="1398" customWidth="1"/>
    <col min="12825" max="12825" width="11" style="1398" customWidth="1"/>
    <col min="12826" max="12826" width="1" style="1398" customWidth="1"/>
    <col min="12827" max="12827" width="21.5" style="1398" customWidth="1"/>
    <col min="12828" max="12828" width="1" style="1398" customWidth="1"/>
    <col min="12829" max="12829" width="11" style="1398" customWidth="1"/>
    <col min="12830" max="12830" width="1" style="1398" customWidth="1"/>
    <col min="12831" max="12831" width="21.5" style="1398" customWidth="1"/>
    <col min="12832" max="12832" width="1" style="1398" customWidth="1"/>
    <col min="12833" max="12833" width="11" style="1398" customWidth="1"/>
    <col min="12834" max="12834" width="1" style="1398" customWidth="1"/>
    <col min="12835" max="12835" width="21.5" style="1398" customWidth="1"/>
    <col min="12836" max="12836" width="1" style="1398" customWidth="1"/>
    <col min="12837" max="12837" width="11" style="1398" customWidth="1"/>
    <col min="12838" max="12838" width="1" style="1398" customWidth="1"/>
    <col min="12839" max="12839" width="21.5" style="1398" customWidth="1"/>
    <col min="12840" max="12840" width="1" style="1398" customWidth="1"/>
    <col min="12841" max="12841" width="11" style="1398" customWidth="1"/>
    <col min="12842" max="12842" width="1" style="1398" customWidth="1"/>
    <col min="12843" max="12843" width="21.5" style="1398" customWidth="1"/>
    <col min="12844" max="12844" width="1" style="1398" customWidth="1"/>
    <col min="12845" max="12845" width="11" style="1398" customWidth="1"/>
    <col min="12846" max="12846" width="1" style="1398" customWidth="1"/>
    <col min="12847" max="12847" width="21.5" style="1398" customWidth="1"/>
    <col min="12848" max="12848" width="1" style="1398" customWidth="1"/>
    <col min="12849" max="12849" width="11" style="1398" customWidth="1"/>
    <col min="12850" max="12850" width="1" style="1398" customWidth="1"/>
    <col min="12851" max="12851" width="21.5" style="1398" customWidth="1"/>
    <col min="12852" max="12852" width="1" style="1398" customWidth="1"/>
    <col min="12853" max="12853" width="11" style="1398" customWidth="1"/>
    <col min="12854" max="12854" width="1" style="1398" customWidth="1"/>
    <col min="12855" max="12855" width="21.5" style="1398" customWidth="1"/>
    <col min="12856" max="12856" width="1" style="1398" customWidth="1"/>
    <col min="12857" max="12857" width="11" style="1398" customWidth="1"/>
    <col min="12858" max="12858" width="1" style="1398" customWidth="1"/>
    <col min="12859" max="13056" width="10.6640625" style="1398"/>
    <col min="13057" max="13057" width="2.83203125" style="1398" customWidth="1"/>
    <col min="13058" max="13058" width="54" style="1398" customWidth="1"/>
    <col min="13059" max="13059" width="21.5" style="1398" customWidth="1"/>
    <col min="13060" max="13060" width="1" style="1398" customWidth="1"/>
    <col min="13061" max="13061" width="11" style="1398" customWidth="1"/>
    <col min="13062" max="13062" width="1" style="1398" customWidth="1"/>
    <col min="13063" max="13063" width="21.5" style="1398" customWidth="1"/>
    <col min="13064" max="13064" width="1" style="1398" customWidth="1"/>
    <col min="13065" max="13065" width="11" style="1398" customWidth="1"/>
    <col min="13066" max="13066" width="1" style="1398" customWidth="1"/>
    <col min="13067" max="13067" width="21.5" style="1398" customWidth="1"/>
    <col min="13068" max="13068" width="1" style="1398" customWidth="1"/>
    <col min="13069" max="13069" width="11" style="1398" customWidth="1"/>
    <col min="13070" max="13070" width="1" style="1398" customWidth="1"/>
    <col min="13071" max="13071" width="21.5" style="1398" customWidth="1"/>
    <col min="13072" max="13072" width="1" style="1398" customWidth="1"/>
    <col min="13073" max="13073" width="11" style="1398" customWidth="1"/>
    <col min="13074" max="13074" width="1" style="1398" customWidth="1"/>
    <col min="13075" max="13075" width="21.5" style="1398" customWidth="1"/>
    <col min="13076" max="13076" width="1" style="1398" customWidth="1"/>
    <col min="13077" max="13077" width="11" style="1398" customWidth="1"/>
    <col min="13078" max="13078" width="1" style="1398" customWidth="1"/>
    <col min="13079" max="13079" width="21.5" style="1398" customWidth="1"/>
    <col min="13080" max="13080" width="1" style="1398" customWidth="1"/>
    <col min="13081" max="13081" width="11" style="1398" customWidth="1"/>
    <col min="13082" max="13082" width="1" style="1398" customWidth="1"/>
    <col min="13083" max="13083" width="21.5" style="1398" customWidth="1"/>
    <col min="13084" max="13084" width="1" style="1398" customWidth="1"/>
    <col min="13085" max="13085" width="11" style="1398" customWidth="1"/>
    <col min="13086" max="13086" width="1" style="1398" customWidth="1"/>
    <col min="13087" max="13087" width="21.5" style="1398" customWidth="1"/>
    <col min="13088" max="13088" width="1" style="1398" customWidth="1"/>
    <col min="13089" max="13089" width="11" style="1398" customWidth="1"/>
    <col min="13090" max="13090" width="1" style="1398" customWidth="1"/>
    <col min="13091" max="13091" width="21.5" style="1398" customWidth="1"/>
    <col min="13092" max="13092" width="1" style="1398" customWidth="1"/>
    <col min="13093" max="13093" width="11" style="1398" customWidth="1"/>
    <col min="13094" max="13094" width="1" style="1398" customWidth="1"/>
    <col min="13095" max="13095" width="21.5" style="1398" customWidth="1"/>
    <col min="13096" max="13096" width="1" style="1398" customWidth="1"/>
    <col min="13097" max="13097" width="11" style="1398" customWidth="1"/>
    <col min="13098" max="13098" width="1" style="1398" customWidth="1"/>
    <col min="13099" max="13099" width="21.5" style="1398" customWidth="1"/>
    <col min="13100" max="13100" width="1" style="1398" customWidth="1"/>
    <col min="13101" max="13101" width="11" style="1398" customWidth="1"/>
    <col min="13102" max="13102" width="1" style="1398" customWidth="1"/>
    <col min="13103" max="13103" width="21.5" style="1398" customWidth="1"/>
    <col min="13104" max="13104" width="1" style="1398" customWidth="1"/>
    <col min="13105" max="13105" width="11" style="1398" customWidth="1"/>
    <col min="13106" max="13106" width="1" style="1398" customWidth="1"/>
    <col min="13107" max="13107" width="21.5" style="1398" customWidth="1"/>
    <col min="13108" max="13108" width="1" style="1398" customWidth="1"/>
    <col min="13109" max="13109" width="11" style="1398" customWidth="1"/>
    <col min="13110" max="13110" width="1" style="1398" customWidth="1"/>
    <col min="13111" max="13111" width="21.5" style="1398" customWidth="1"/>
    <col min="13112" max="13112" width="1" style="1398" customWidth="1"/>
    <col min="13113" max="13113" width="11" style="1398" customWidth="1"/>
    <col min="13114" max="13114" width="1" style="1398" customWidth="1"/>
    <col min="13115" max="13312" width="10.6640625" style="1398"/>
    <col min="13313" max="13313" width="2.83203125" style="1398" customWidth="1"/>
    <col min="13314" max="13314" width="54" style="1398" customWidth="1"/>
    <col min="13315" max="13315" width="21.5" style="1398" customWidth="1"/>
    <col min="13316" max="13316" width="1" style="1398" customWidth="1"/>
    <col min="13317" max="13317" width="11" style="1398" customWidth="1"/>
    <col min="13318" max="13318" width="1" style="1398" customWidth="1"/>
    <col min="13319" max="13319" width="21.5" style="1398" customWidth="1"/>
    <col min="13320" max="13320" width="1" style="1398" customWidth="1"/>
    <col min="13321" max="13321" width="11" style="1398" customWidth="1"/>
    <col min="13322" max="13322" width="1" style="1398" customWidth="1"/>
    <col min="13323" max="13323" width="21.5" style="1398" customWidth="1"/>
    <col min="13324" max="13324" width="1" style="1398" customWidth="1"/>
    <col min="13325" max="13325" width="11" style="1398" customWidth="1"/>
    <col min="13326" max="13326" width="1" style="1398" customWidth="1"/>
    <col min="13327" max="13327" width="21.5" style="1398" customWidth="1"/>
    <col min="13328" max="13328" width="1" style="1398" customWidth="1"/>
    <col min="13329" max="13329" width="11" style="1398" customWidth="1"/>
    <col min="13330" max="13330" width="1" style="1398" customWidth="1"/>
    <col min="13331" max="13331" width="21.5" style="1398" customWidth="1"/>
    <col min="13332" max="13332" width="1" style="1398" customWidth="1"/>
    <col min="13333" max="13333" width="11" style="1398" customWidth="1"/>
    <col min="13334" max="13334" width="1" style="1398" customWidth="1"/>
    <col min="13335" max="13335" width="21.5" style="1398" customWidth="1"/>
    <col min="13336" max="13336" width="1" style="1398" customWidth="1"/>
    <col min="13337" max="13337" width="11" style="1398" customWidth="1"/>
    <col min="13338" max="13338" width="1" style="1398" customWidth="1"/>
    <col min="13339" max="13339" width="21.5" style="1398" customWidth="1"/>
    <col min="13340" max="13340" width="1" style="1398" customWidth="1"/>
    <col min="13341" max="13341" width="11" style="1398" customWidth="1"/>
    <col min="13342" max="13342" width="1" style="1398" customWidth="1"/>
    <col min="13343" max="13343" width="21.5" style="1398" customWidth="1"/>
    <col min="13344" max="13344" width="1" style="1398" customWidth="1"/>
    <col min="13345" max="13345" width="11" style="1398" customWidth="1"/>
    <col min="13346" max="13346" width="1" style="1398" customWidth="1"/>
    <col min="13347" max="13347" width="21.5" style="1398" customWidth="1"/>
    <col min="13348" max="13348" width="1" style="1398" customWidth="1"/>
    <col min="13349" max="13349" width="11" style="1398" customWidth="1"/>
    <col min="13350" max="13350" width="1" style="1398" customWidth="1"/>
    <col min="13351" max="13351" width="21.5" style="1398" customWidth="1"/>
    <col min="13352" max="13352" width="1" style="1398" customWidth="1"/>
    <col min="13353" max="13353" width="11" style="1398" customWidth="1"/>
    <col min="13354" max="13354" width="1" style="1398" customWidth="1"/>
    <col min="13355" max="13355" width="21.5" style="1398" customWidth="1"/>
    <col min="13356" max="13356" width="1" style="1398" customWidth="1"/>
    <col min="13357" max="13357" width="11" style="1398" customWidth="1"/>
    <col min="13358" max="13358" width="1" style="1398" customWidth="1"/>
    <col min="13359" max="13359" width="21.5" style="1398" customWidth="1"/>
    <col min="13360" max="13360" width="1" style="1398" customWidth="1"/>
    <col min="13361" max="13361" width="11" style="1398" customWidth="1"/>
    <col min="13362" max="13362" width="1" style="1398" customWidth="1"/>
    <col min="13363" max="13363" width="21.5" style="1398" customWidth="1"/>
    <col min="13364" max="13364" width="1" style="1398" customWidth="1"/>
    <col min="13365" max="13365" width="11" style="1398" customWidth="1"/>
    <col min="13366" max="13366" width="1" style="1398" customWidth="1"/>
    <col min="13367" max="13367" width="21.5" style="1398" customWidth="1"/>
    <col min="13368" max="13368" width="1" style="1398" customWidth="1"/>
    <col min="13369" max="13369" width="11" style="1398" customWidth="1"/>
    <col min="13370" max="13370" width="1" style="1398" customWidth="1"/>
    <col min="13371" max="13568" width="10.6640625" style="1398"/>
    <col min="13569" max="13569" width="2.83203125" style="1398" customWidth="1"/>
    <col min="13570" max="13570" width="54" style="1398" customWidth="1"/>
    <col min="13571" max="13571" width="21.5" style="1398" customWidth="1"/>
    <col min="13572" max="13572" width="1" style="1398" customWidth="1"/>
    <col min="13573" max="13573" width="11" style="1398" customWidth="1"/>
    <col min="13574" max="13574" width="1" style="1398" customWidth="1"/>
    <col min="13575" max="13575" width="21.5" style="1398" customWidth="1"/>
    <col min="13576" max="13576" width="1" style="1398" customWidth="1"/>
    <col min="13577" max="13577" width="11" style="1398" customWidth="1"/>
    <col min="13578" max="13578" width="1" style="1398" customWidth="1"/>
    <col min="13579" max="13579" width="21.5" style="1398" customWidth="1"/>
    <col min="13580" max="13580" width="1" style="1398" customWidth="1"/>
    <col min="13581" max="13581" width="11" style="1398" customWidth="1"/>
    <col min="13582" max="13582" width="1" style="1398" customWidth="1"/>
    <col min="13583" max="13583" width="21.5" style="1398" customWidth="1"/>
    <col min="13584" max="13584" width="1" style="1398" customWidth="1"/>
    <col min="13585" max="13585" width="11" style="1398" customWidth="1"/>
    <col min="13586" max="13586" width="1" style="1398" customWidth="1"/>
    <col min="13587" max="13587" width="21.5" style="1398" customWidth="1"/>
    <col min="13588" max="13588" width="1" style="1398" customWidth="1"/>
    <col min="13589" max="13589" width="11" style="1398" customWidth="1"/>
    <col min="13590" max="13590" width="1" style="1398" customWidth="1"/>
    <col min="13591" max="13591" width="21.5" style="1398" customWidth="1"/>
    <col min="13592" max="13592" width="1" style="1398" customWidth="1"/>
    <col min="13593" max="13593" width="11" style="1398" customWidth="1"/>
    <col min="13594" max="13594" width="1" style="1398" customWidth="1"/>
    <col min="13595" max="13595" width="21.5" style="1398" customWidth="1"/>
    <col min="13596" max="13596" width="1" style="1398" customWidth="1"/>
    <col min="13597" max="13597" width="11" style="1398" customWidth="1"/>
    <col min="13598" max="13598" width="1" style="1398" customWidth="1"/>
    <col min="13599" max="13599" width="21.5" style="1398" customWidth="1"/>
    <col min="13600" max="13600" width="1" style="1398" customWidth="1"/>
    <col min="13601" max="13601" width="11" style="1398" customWidth="1"/>
    <col min="13602" max="13602" width="1" style="1398" customWidth="1"/>
    <col min="13603" max="13603" width="21.5" style="1398" customWidth="1"/>
    <col min="13604" max="13604" width="1" style="1398" customWidth="1"/>
    <col min="13605" max="13605" width="11" style="1398" customWidth="1"/>
    <col min="13606" max="13606" width="1" style="1398" customWidth="1"/>
    <col min="13607" max="13607" width="21.5" style="1398" customWidth="1"/>
    <col min="13608" max="13608" width="1" style="1398" customWidth="1"/>
    <col min="13609" max="13609" width="11" style="1398" customWidth="1"/>
    <col min="13610" max="13610" width="1" style="1398" customWidth="1"/>
    <col min="13611" max="13611" width="21.5" style="1398" customWidth="1"/>
    <col min="13612" max="13612" width="1" style="1398" customWidth="1"/>
    <col min="13613" max="13613" width="11" style="1398" customWidth="1"/>
    <col min="13614" max="13614" width="1" style="1398" customWidth="1"/>
    <col min="13615" max="13615" width="21.5" style="1398" customWidth="1"/>
    <col min="13616" max="13616" width="1" style="1398" customWidth="1"/>
    <col min="13617" max="13617" width="11" style="1398" customWidth="1"/>
    <col min="13618" max="13618" width="1" style="1398" customWidth="1"/>
    <col min="13619" max="13619" width="21.5" style="1398" customWidth="1"/>
    <col min="13620" max="13620" width="1" style="1398" customWidth="1"/>
    <col min="13621" max="13621" width="11" style="1398" customWidth="1"/>
    <col min="13622" max="13622" width="1" style="1398" customWidth="1"/>
    <col min="13623" max="13623" width="21.5" style="1398" customWidth="1"/>
    <col min="13624" max="13624" width="1" style="1398" customWidth="1"/>
    <col min="13625" max="13625" width="11" style="1398" customWidth="1"/>
    <col min="13626" max="13626" width="1" style="1398" customWidth="1"/>
    <col min="13627" max="13824" width="10.6640625" style="1398"/>
    <col min="13825" max="13825" width="2.83203125" style="1398" customWidth="1"/>
    <col min="13826" max="13826" width="54" style="1398" customWidth="1"/>
    <col min="13827" max="13827" width="21.5" style="1398" customWidth="1"/>
    <col min="13828" max="13828" width="1" style="1398" customWidth="1"/>
    <col min="13829" max="13829" width="11" style="1398" customWidth="1"/>
    <col min="13830" max="13830" width="1" style="1398" customWidth="1"/>
    <col min="13831" max="13831" width="21.5" style="1398" customWidth="1"/>
    <col min="13832" max="13832" width="1" style="1398" customWidth="1"/>
    <col min="13833" max="13833" width="11" style="1398" customWidth="1"/>
    <col min="13834" max="13834" width="1" style="1398" customWidth="1"/>
    <col min="13835" max="13835" width="21.5" style="1398" customWidth="1"/>
    <col min="13836" max="13836" width="1" style="1398" customWidth="1"/>
    <col min="13837" max="13837" width="11" style="1398" customWidth="1"/>
    <col min="13838" max="13838" width="1" style="1398" customWidth="1"/>
    <col min="13839" max="13839" width="21.5" style="1398" customWidth="1"/>
    <col min="13840" max="13840" width="1" style="1398" customWidth="1"/>
    <col min="13841" max="13841" width="11" style="1398" customWidth="1"/>
    <col min="13842" max="13842" width="1" style="1398" customWidth="1"/>
    <col min="13843" max="13843" width="21.5" style="1398" customWidth="1"/>
    <col min="13844" max="13844" width="1" style="1398" customWidth="1"/>
    <col min="13845" max="13845" width="11" style="1398" customWidth="1"/>
    <col min="13846" max="13846" width="1" style="1398" customWidth="1"/>
    <col min="13847" max="13847" width="21.5" style="1398" customWidth="1"/>
    <col min="13848" max="13848" width="1" style="1398" customWidth="1"/>
    <col min="13849" max="13849" width="11" style="1398" customWidth="1"/>
    <col min="13850" max="13850" width="1" style="1398" customWidth="1"/>
    <col min="13851" max="13851" width="21.5" style="1398" customWidth="1"/>
    <col min="13852" max="13852" width="1" style="1398" customWidth="1"/>
    <col min="13853" max="13853" width="11" style="1398" customWidth="1"/>
    <col min="13854" max="13854" width="1" style="1398" customWidth="1"/>
    <col min="13855" max="13855" width="21.5" style="1398" customWidth="1"/>
    <col min="13856" max="13856" width="1" style="1398" customWidth="1"/>
    <col min="13857" max="13857" width="11" style="1398" customWidth="1"/>
    <col min="13858" max="13858" width="1" style="1398" customWidth="1"/>
    <col min="13859" max="13859" width="21.5" style="1398" customWidth="1"/>
    <col min="13860" max="13860" width="1" style="1398" customWidth="1"/>
    <col min="13861" max="13861" width="11" style="1398" customWidth="1"/>
    <col min="13862" max="13862" width="1" style="1398" customWidth="1"/>
    <col min="13863" max="13863" width="21.5" style="1398" customWidth="1"/>
    <col min="13864" max="13864" width="1" style="1398" customWidth="1"/>
    <col min="13865" max="13865" width="11" style="1398" customWidth="1"/>
    <col min="13866" max="13866" width="1" style="1398" customWidth="1"/>
    <col min="13867" max="13867" width="21.5" style="1398" customWidth="1"/>
    <col min="13868" max="13868" width="1" style="1398" customWidth="1"/>
    <col min="13869" max="13869" width="11" style="1398" customWidth="1"/>
    <col min="13870" max="13870" width="1" style="1398" customWidth="1"/>
    <col min="13871" max="13871" width="21.5" style="1398" customWidth="1"/>
    <col min="13872" max="13872" width="1" style="1398" customWidth="1"/>
    <col min="13873" max="13873" width="11" style="1398" customWidth="1"/>
    <col min="13874" max="13874" width="1" style="1398" customWidth="1"/>
    <col min="13875" max="13875" width="21.5" style="1398" customWidth="1"/>
    <col min="13876" max="13876" width="1" style="1398" customWidth="1"/>
    <col min="13877" max="13877" width="11" style="1398" customWidth="1"/>
    <col min="13878" max="13878" width="1" style="1398" customWidth="1"/>
    <col min="13879" max="13879" width="21.5" style="1398" customWidth="1"/>
    <col min="13880" max="13880" width="1" style="1398" customWidth="1"/>
    <col min="13881" max="13881" width="11" style="1398" customWidth="1"/>
    <col min="13882" max="13882" width="1" style="1398" customWidth="1"/>
    <col min="13883" max="14080" width="10.6640625" style="1398"/>
    <col min="14081" max="14081" width="2.83203125" style="1398" customWidth="1"/>
    <col min="14082" max="14082" width="54" style="1398" customWidth="1"/>
    <col min="14083" max="14083" width="21.5" style="1398" customWidth="1"/>
    <col min="14084" max="14084" width="1" style="1398" customWidth="1"/>
    <col min="14085" max="14085" width="11" style="1398" customWidth="1"/>
    <col min="14086" max="14086" width="1" style="1398" customWidth="1"/>
    <col min="14087" max="14087" width="21.5" style="1398" customWidth="1"/>
    <col min="14088" max="14088" width="1" style="1398" customWidth="1"/>
    <col min="14089" max="14089" width="11" style="1398" customWidth="1"/>
    <col min="14090" max="14090" width="1" style="1398" customWidth="1"/>
    <col min="14091" max="14091" width="21.5" style="1398" customWidth="1"/>
    <col min="14092" max="14092" width="1" style="1398" customWidth="1"/>
    <col min="14093" max="14093" width="11" style="1398" customWidth="1"/>
    <col min="14094" max="14094" width="1" style="1398" customWidth="1"/>
    <col min="14095" max="14095" width="21.5" style="1398" customWidth="1"/>
    <col min="14096" max="14096" width="1" style="1398" customWidth="1"/>
    <col min="14097" max="14097" width="11" style="1398" customWidth="1"/>
    <col min="14098" max="14098" width="1" style="1398" customWidth="1"/>
    <col min="14099" max="14099" width="21.5" style="1398" customWidth="1"/>
    <col min="14100" max="14100" width="1" style="1398" customWidth="1"/>
    <col min="14101" max="14101" width="11" style="1398" customWidth="1"/>
    <col min="14102" max="14102" width="1" style="1398" customWidth="1"/>
    <col min="14103" max="14103" width="21.5" style="1398" customWidth="1"/>
    <col min="14104" max="14104" width="1" style="1398" customWidth="1"/>
    <col min="14105" max="14105" width="11" style="1398" customWidth="1"/>
    <col min="14106" max="14106" width="1" style="1398" customWidth="1"/>
    <col min="14107" max="14107" width="21.5" style="1398" customWidth="1"/>
    <col min="14108" max="14108" width="1" style="1398" customWidth="1"/>
    <col min="14109" max="14109" width="11" style="1398" customWidth="1"/>
    <col min="14110" max="14110" width="1" style="1398" customWidth="1"/>
    <col min="14111" max="14111" width="21.5" style="1398" customWidth="1"/>
    <col min="14112" max="14112" width="1" style="1398" customWidth="1"/>
    <col min="14113" max="14113" width="11" style="1398" customWidth="1"/>
    <col min="14114" max="14114" width="1" style="1398" customWidth="1"/>
    <col min="14115" max="14115" width="21.5" style="1398" customWidth="1"/>
    <col min="14116" max="14116" width="1" style="1398" customWidth="1"/>
    <col min="14117" max="14117" width="11" style="1398" customWidth="1"/>
    <col min="14118" max="14118" width="1" style="1398" customWidth="1"/>
    <col min="14119" max="14119" width="21.5" style="1398" customWidth="1"/>
    <col min="14120" max="14120" width="1" style="1398" customWidth="1"/>
    <col min="14121" max="14121" width="11" style="1398" customWidth="1"/>
    <col min="14122" max="14122" width="1" style="1398" customWidth="1"/>
    <col min="14123" max="14123" width="21.5" style="1398" customWidth="1"/>
    <col min="14124" max="14124" width="1" style="1398" customWidth="1"/>
    <col min="14125" max="14125" width="11" style="1398" customWidth="1"/>
    <col min="14126" max="14126" width="1" style="1398" customWidth="1"/>
    <col min="14127" max="14127" width="21.5" style="1398" customWidth="1"/>
    <col min="14128" max="14128" width="1" style="1398" customWidth="1"/>
    <col min="14129" max="14129" width="11" style="1398" customWidth="1"/>
    <col min="14130" max="14130" width="1" style="1398" customWidth="1"/>
    <col min="14131" max="14131" width="21.5" style="1398" customWidth="1"/>
    <col min="14132" max="14132" width="1" style="1398" customWidth="1"/>
    <col min="14133" max="14133" width="11" style="1398" customWidth="1"/>
    <col min="14134" max="14134" width="1" style="1398" customWidth="1"/>
    <col min="14135" max="14135" width="21.5" style="1398" customWidth="1"/>
    <col min="14136" max="14136" width="1" style="1398" customWidth="1"/>
    <col min="14137" max="14137" width="11" style="1398" customWidth="1"/>
    <col min="14138" max="14138" width="1" style="1398" customWidth="1"/>
    <col min="14139" max="14336" width="10.6640625" style="1398"/>
    <col min="14337" max="14337" width="2.83203125" style="1398" customWidth="1"/>
    <col min="14338" max="14338" width="54" style="1398" customWidth="1"/>
    <col min="14339" max="14339" width="21.5" style="1398" customWidth="1"/>
    <col min="14340" max="14340" width="1" style="1398" customWidth="1"/>
    <col min="14341" max="14341" width="11" style="1398" customWidth="1"/>
    <col min="14342" max="14342" width="1" style="1398" customWidth="1"/>
    <col min="14343" max="14343" width="21.5" style="1398" customWidth="1"/>
    <col min="14344" max="14344" width="1" style="1398" customWidth="1"/>
    <col min="14345" max="14345" width="11" style="1398" customWidth="1"/>
    <col min="14346" max="14346" width="1" style="1398" customWidth="1"/>
    <col min="14347" max="14347" width="21.5" style="1398" customWidth="1"/>
    <col min="14348" max="14348" width="1" style="1398" customWidth="1"/>
    <col min="14349" max="14349" width="11" style="1398" customWidth="1"/>
    <col min="14350" max="14350" width="1" style="1398" customWidth="1"/>
    <col min="14351" max="14351" width="21.5" style="1398" customWidth="1"/>
    <col min="14352" max="14352" width="1" style="1398" customWidth="1"/>
    <col min="14353" max="14353" width="11" style="1398" customWidth="1"/>
    <col min="14354" max="14354" width="1" style="1398" customWidth="1"/>
    <col min="14355" max="14355" width="21.5" style="1398" customWidth="1"/>
    <col min="14356" max="14356" width="1" style="1398" customWidth="1"/>
    <col min="14357" max="14357" width="11" style="1398" customWidth="1"/>
    <col min="14358" max="14358" width="1" style="1398" customWidth="1"/>
    <col min="14359" max="14359" width="21.5" style="1398" customWidth="1"/>
    <col min="14360" max="14360" width="1" style="1398" customWidth="1"/>
    <col min="14361" max="14361" width="11" style="1398" customWidth="1"/>
    <col min="14362" max="14362" width="1" style="1398" customWidth="1"/>
    <col min="14363" max="14363" width="21.5" style="1398" customWidth="1"/>
    <col min="14364" max="14364" width="1" style="1398" customWidth="1"/>
    <col min="14365" max="14365" width="11" style="1398" customWidth="1"/>
    <col min="14366" max="14366" width="1" style="1398" customWidth="1"/>
    <col min="14367" max="14367" width="21.5" style="1398" customWidth="1"/>
    <col min="14368" max="14368" width="1" style="1398" customWidth="1"/>
    <col min="14369" max="14369" width="11" style="1398" customWidth="1"/>
    <col min="14370" max="14370" width="1" style="1398" customWidth="1"/>
    <col min="14371" max="14371" width="21.5" style="1398" customWidth="1"/>
    <col min="14372" max="14372" width="1" style="1398" customWidth="1"/>
    <col min="14373" max="14373" width="11" style="1398" customWidth="1"/>
    <col min="14374" max="14374" width="1" style="1398" customWidth="1"/>
    <col min="14375" max="14375" width="21.5" style="1398" customWidth="1"/>
    <col min="14376" max="14376" width="1" style="1398" customWidth="1"/>
    <col min="14377" max="14377" width="11" style="1398" customWidth="1"/>
    <col min="14378" max="14378" width="1" style="1398" customWidth="1"/>
    <col min="14379" max="14379" width="21.5" style="1398" customWidth="1"/>
    <col min="14380" max="14380" width="1" style="1398" customWidth="1"/>
    <col min="14381" max="14381" width="11" style="1398" customWidth="1"/>
    <col min="14382" max="14382" width="1" style="1398" customWidth="1"/>
    <col min="14383" max="14383" width="21.5" style="1398" customWidth="1"/>
    <col min="14384" max="14384" width="1" style="1398" customWidth="1"/>
    <col min="14385" max="14385" width="11" style="1398" customWidth="1"/>
    <col min="14386" max="14386" width="1" style="1398" customWidth="1"/>
    <col min="14387" max="14387" width="21.5" style="1398" customWidth="1"/>
    <col min="14388" max="14388" width="1" style="1398" customWidth="1"/>
    <col min="14389" max="14389" width="11" style="1398" customWidth="1"/>
    <col min="14390" max="14390" width="1" style="1398" customWidth="1"/>
    <col min="14391" max="14391" width="21.5" style="1398" customWidth="1"/>
    <col min="14392" max="14392" width="1" style="1398" customWidth="1"/>
    <col min="14393" max="14393" width="11" style="1398" customWidth="1"/>
    <col min="14394" max="14394" width="1" style="1398" customWidth="1"/>
    <col min="14395" max="14592" width="10.6640625" style="1398"/>
    <col min="14593" max="14593" width="2.83203125" style="1398" customWidth="1"/>
    <col min="14594" max="14594" width="54" style="1398" customWidth="1"/>
    <col min="14595" max="14595" width="21.5" style="1398" customWidth="1"/>
    <col min="14596" max="14596" width="1" style="1398" customWidth="1"/>
    <col min="14597" max="14597" width="11" style="1398" customWidth="1"/>
    <col min="14598" max="14598" width="1" style="1398" customWidth="1"/>
    <col min="14599" max="14599" width="21.5" style="1398" customWidth="1"/>
    <col min="14600" max="14600" width="1" style="1398" customWidth="1"/>
    <col min="14601" max="14601" width="11" style="1398" customWidth="1"/>
    <col min="14602" max="14602" width="1" style="1398" customWidth="1"/>
    <col min="14603" max="14603" width="21.5" style="1398" customWidth="1"/>
    <col min="14604" max="14604" width="1" style="1398" customWidth="1"/>
    <col min="14605" max="14605" width="11" style="1398" customWidth="1"/>
    <col min="14606" max="14606" width="1" style="1398" customWidth="1"/>
    <col min="14607" max="14607" width="21.5" style="1398" customWidth="1"/>
    <col min="14608" max="14608" width="1" style="1398" customWidth="1"/>
    <col min="14609" max="14609" width="11" style="1398" customWidth="1"/>
    <col min="14610" max="14610" width="1" style="1398" customWidth="1"/>
    <col min="14611" max="14611" width="21.5" style="1398" customWidth="1"/>
    <col min="14612" max="14612" width="1" style="1398" customWidth="1"/>
    <col min="14613" max="14613" width="11" style="1398" customWidth="1"/>
    <col min="14614" max="14614" width="1" style="1398" customWidth="1"/>
    <col min="14615" max="14615" width="21.5" style="1398" customWidth="1"/>
    <col min="14616" max="14616" width="1" style="1398" customWidth="1"/>
    <col min="14617" max="14617" width="11" style="1398" customWidth="1"/>
    <col min="14618" max="14618" width="1" style="1398" customWidth="1"/>
    <col min="14619" max="14619" width="21.5" style="1398" customWidth="1"/>
    <col min="14620" max="14620" width="1" style="1398" customWidth="1"/>
    <col min="14621" max="14621" width="11" style="1398" customWidth="1"/>
    <col min="14622" max="14622" width="1" style="1398" customWidth="1"/>
    <col min="14623" max="14623" width="21.5" style="1398" customWidth="1"/>
    <col min="14624" max="14624" width="1" style="1398" customWidth="1"/>
    <col min="14625" max="14625" width="11" style="1398" customWidth="1"/>
    <col min="14626" max="14626" width="1" style="1398" customWidth="1"/>
    <col min="14627" max="14627" width="21.5" style="1398" customWidth="1"/>
    <col min="14628" max="14628" width="1" style="1398" customWidth="1"/>
    <col min="14629" max="14629" width="11" style="1398" customWidth="1"/>
    <col min="14630" max="14630" width="1" style="1398" customWidth="1"/>
    <col min="14631" max="14631" width="21.5" style="1398" customWidth="1"/>
    <col min="14632" max="14632" width="1" style="1398" customWidth="1"/>
    <col min="14633" max="14633" width="11" style="1398" customWidth="1"/>
    <col min="14634" max="14634" width="1" style="1398" customWidth="1"/>
    <col min="14635" max="14635" width="21.5" style="1398" customWidth="1"/>
    <col min="14636" max="14636" width="1" style="1398" customWidth="1"/>
    <col min="14637" max="14637" width="11" style="1398" customWidth="1"/>
    <col min="14638" max="14638" width="1" style="1398" customWidth="1"/>
    <col min="14639" max="14639" width="21.5" style="1398" customWidth="1"/>
    <col min="14640" max="14640" width="1" style="1398" customWidth="1"/>
    <col min="14641" max="14641" width="11" style="1398" customWidth="1"/>
    <col min="14642" max="14642" width="1" style="1398" customWidth="1"/>
    <col min="14643" max="14643" width="21.5" style="1398" customWidth="1"/>
    <col min="14644" max="14644" width="1" style="1398" customWidth="1"/>
    <col min="14645" max="14645" width="11" style="1398" customWidth="1"/>
    <col min="14646" max="14646" width="1" style="1398" customWidth="1"/>
    <col min="14647" max="14647" width="21.5" style="1398" customWidth="1"/>
    <col min="14648" max="14648" width="1" style="1398" customWidth="1"/>
    <col min="14649" max="14649" width="11" style="1398" customWidth="1"/>
    <col min="14650" max="14650" width="1" style="1398" customWidth="1"/>
    <col min="14651" max="14848" width="10.6640625" style="1398"/>
    <col min="14849" max="14849" width="2.83203125" style="1398" customWidth="1"/>
    <col min="14850" max="14850" width="54" style="1398" customWidth="1"/>
    <col min="14851" max="14851" width="21.5" style="1398" customWidth="1"/>
    <col min="14852" max="14852" width="1" style="1398" customWidth="1"/>
    <col min="14853" max="14853" width="11" style="1398" customWidth="1"/>
    <col min="14854" max="14854" width="1" style="1398" customWidth="1"/>
    <col min="14855" max="14855" width="21.5" style="1398" customWidth="1"/>
    <col min="14856" max="14856" width="1" style="1398" customWidth="1"/>
    <col min="14857" max="14857" width="11" style="1398" customWidth="1"/>
    <col min="14858" max="14858" width="1" style="1398" customWidth="1"/>
    <col min="14859" max="14859" width="21.5" style="1398" customWidth="1"/>
    <col min="14860" max="14860" width="1" style="1398" customWidth="1"/>
    <col min="14861" max="14861" width="11" style="1398" customWidth="1"/>
    <col min="14862" max="14862" width="1" style="1398" customWidth="1"/>
    <col min="14863" max="14863" width="21.5" style="1398" customWidth="1"/>
    <col min="14864" max="14864" width="1" style="1398" customWidth="1"/>
    <col min="14865" max="14865" width="11" style="1398" customWidth="1"/>
    <col min="14866" max="14866" width="1" style="1398" customWidth="1"/>
    <col min="14867" max="14867" width="21.5" style="1398" customWidth="1"/>
    <col min="14868" max="14868" width="1" style="1398" customWidth="1"/>
    <col min="14869" max="14869" width="11" style="1398" customWidth="1"/>
    <col min="14870" max="14870" width="1" style="1398" customWidth="1"/>
    <col min="14871" max="14871" width="21.5" style="1398" customWidth="1"/>
    <col min="14872" max="14872" width="1" style="1398" customWidth="1"/>
    <col min="14873" max="14873" width="11" style="1398" customWidth="1"/>
    <col min="14874" max="14874" width="1" style="1398" customWidth="1"/>
    <col min="14875" max="14875" width="21.5" style="1398" customWidth="1"/>
    <col min="14876" max="14876" width="1" style="1398" customWidth="1"/>
    <col min="14877" max="14877" width="11" style="1398" customWidth="1"/>
    <col min="14878" max="14878" width="1" style="1398" customWidth="1"/>
    <col min="14879" max="14879" width="21.5" style="1398" customWidth="1"/>
    <col min="14880" max="14880" width="1" style="1398" customWidth="1"/>
    <col min="14881" max="14881" width="11" style="1398" customWidth="1"/>
    <col min="14882" max="14882" width="1" style="1398" customWidth="1"/>
    <col min="14883" max="14883" width="21.5" style="1398" customWidth="1"/>
    <col min="14884" max="14884" width="1" style="1398" customWidth="1"/>
    <col min="14885" max="14885" width="11" style="1398" customWidth="1"/>
    <col min="14886" max="14886" width="1" style="1398" customWidth="1"/>
    <col min="14887" max="14887" width="21.5" style="1398" customWidth="1"/>
    <col min="14888" max="14888" width="1" style="1398" customWidth="1"/>
    <col min="14889" max="14889" width="11" style="1398" customWidth="1"/>
    <col min="14890" max="14890" width="1" style="1398" customWidth="1"/>
    <col min="14891" max="14891" width="21.5" style="1398" customWidth="1"/>
    <col min="14892" max="14892" width="1" style="1398" customWidth="1"/>
    <col min="14893" max="14893" width="11" style="1398" customWidth="1"/>
    <col min="14894" max="14894" width="1" style="1398" customWidth="1"/>
    <col min="14895" max="14895" width="21.5" style="1398" customWidth="1"/>
    <col min="14896" max="14896" width="1" style="1398" customWidth="1"/>
    <col min="14897" max="14897" width="11" style="1398" customWidth="1"/>
    <col min="14898" max="14898" width="1" style="1398" customWidth="1"/>
    <col min="14899" max="14899" width="21.5" style="1398" customWidth="1"/>
    <col min="14900" max="14900" width="1" style="1398" customWidth="1"/>
    <col min="14901" max="14901" width="11" style="1398" customWidth="1"/>
    <col min="14902" max="14902" width="1" style="1398" customWidth="1"/>
    <col min="14903" max="14903" width="21.5" style="1398" customWidth="1"/>
    <col min="14904" max="14904" width="1" style="1398" customWidth="1"/>
    <col min="14905" max="14905" width="11" style="1398" customWidth="1"/>
    <col min="14906" max="14906" width="1" style="1398" customWidth="1"/>
    <col min="14907" max="15104" width="10.6640625" style="1398"/>
    <col min="15105" max="15105" width="2.83203125" style="1398" customWidth="1"/>
    <col min="15106" max="15106" width="54" style="1398" customWidth="1"/>
    <col min="15107" max="15107" width="21.5" style="1398" customWidth="1"/>
    <col min="15108" max="15108" width="1" style="1398" customWidth="1"/>
    <col min="15109" max="15109" width="11" style="1398" customWidth="1"/>
    <col min="15110" max="15110" width="1" style="1398" customWidth="1"/>
    <col min="15111" max="15111" width="21.5" style="1398" customWidth="1"/>
    <col min="15112" max="15112" width="1" style="1398" customWidth="1"/>
    <col min="15113" max="15113" width="11" style="1398" customWidth="1"/>
    <col min="15114" max="15114" width="1" style="1398" customWidth="1"/>
    <col min="15115" max="15115" width="21.5" style="1398" customWidth="1"/>
    <col min="15116" max="15116" width="1" style="1398" customWidth="1"/>
    <col min="15117" max="15117" width="11" style="1398" customWidth="1"/>
    <col min="15118" max="15118" width="1" style="1398" customWidth="1"/>
    <col min="15119" max="15119" width="21.5" style="1398" customWidth="1"/>
    <col min="15120" max="15120" width="1" style="1398" customWidth="1"/>
    <col min="15121" max="15121" width="11" style="1398" customWidth="1"/>
    <col min="15122" max="15122" width="1" style="1398" customWidth="1"/>
    <col min="15123" max="15123" width="21.5" style="1398" customWidth="1"/>
    <col min="15124" max="15124" width="1" style="1398" customWidth="1"/>
    <col min="15125" max="15125" width="11" style="1398" customWidth="1"/>
    <col min="15126" max="15126" width="1" style="1398" customWidth="1"/>
    <col min="15127" max="15127" width="21.5" style="1398" customWidth="1"/>
    <col min="15128" max="15128" width="1" style="1398" customWidth="1"/>
    <col min="15129" max="15129" width="11" style="1398" customWidth="1"/>
    <col min="15130" max="15130" width="1" style="1398" customWidth="1"/>
    <col min="15131" max="15131" width="21.5" style="1398" customWidth="1"/>
    <col min="15132" max="15132" width="1" style="1398" customWidth="1"/>
    <col min="15133" max="15133" width="11" style="1398" customWidth="1"/>
    <col min="15134" max="15134" width="1" style="1398" customWidth="1"/>
    <col min="15135" max="15135" width="21.5" style="1398" customWidth="1"/>
    <col min="15136" max="15136" width="1" style="1398" customWidth="1"/>
    <col min="15137" max="15137" width="11" style="1398" customWidth="1"/>
    <col min="15138" max="15138" width="1" style="1398" customWidth="1"/>
    <col min="15139" max="15139" width="21.5" style="1398" customWidth="1"/>
    <col min="15140" max="15140" width="1" style="1398" customWidth="1"/>
    <col min="15141" max="15141" width="11" style="1398" customWidth="1"/>
    <col min="15142" max="15142" width="1" style="1398" customWidth="1"/>
    <col min="15143" max="15143" width="21.5" style="1398" customWidth="1"/>
    <col min="15144" max="15144" width="1" style="1398" customWidth="1"/>
    <col min="15145" max="15145" width="11" style="1398" customWidth="1"/>
    <col min="15146" max="15146" width="1" style="1398" customWidth="1"/>
    <col min="15147" max="15147" width="21.5" style="1398" customWidth="1"/>
    <col min="15148" max="15148" width="1" style="1398" customWidth="1"/>
    <col min="15149" max="15149" width="11" style="1398" customWidth="1"/>
    <col min="15150" max="15150" width="1" style="1398" customWidth="1"/>
    <col min="15151" max="15151" width="21.5" style="1398" customWidth="1"/>
    <col min="15152" max="15152" width="1" style="1398" customWidth="1"/>
    <col min="15153" max="15153" width="11" style="1398" customWidth="1"/>
    <col min="15154" max="15154" width="1" style="1398" customWidth="1"/>
    <col min="15155" max="15155" width="21.5" style="1398" customWidth="1"/>
    <col min="15156" max="15156" width="1" style="1398" customWidth="1"/>
    <col min="15157" max="15157" width="11" style="1398" customWidth="1"/>
    <col min="15158" max="15158" width="1" style="1398" customWidth="1"/>
    <col min="15159" max="15159" width="21.5" style="1398" customWidth="1"/>
    <col min="15160" max="15160" width="1" style="1398" customWidth="1"/>
    <col min="15161" max="15161" width="11" style="1398" customWidth="1"/>
    <col min="15162" max="15162" width="1" style="1398" customWidth="1"/>
    <col min="15163" max="15360" width="10.6640625" style="1398"/>
    <col min="15361" max="15361" width="2.83203125" style="1398" customWidth="1"/>
    <col min="15362" max="15362" width="54" style="1398" customWidth="1"/>
    <col min="15363" max="15363" width="21.5" style="1398" customWidth="1"/>
    <col min="15364" max="15364" width="1" style="1398" customWidth="1"/>
    <col min="15365" max="15365" width="11" style="1398" customWidth="1"/>
    <col min="15366" max="15366" width="1" style="1398" customWidth="1"/>
    <col min="15367" max="15367" width="21.5" style="1398" customWidth="1"/>
    <col min="15368" max="15368" width="1" style="1398" customWidth="1"/>
    <col min="15369" max="15369" width="11" style="1398" customWidth="1"/>
    <col min="15370" max="15370" width="1" style="1398" customWidth="1"/>
    <col min="15371" max="15371" width="21.5" style="1398" customWidth="1"/>
    <col min="15372" max="15372" width="1" style="1398" customWidth="1"/>
    <col min="15373" max="15373" width="11" style="1398" customWidth="1"/>
    <col min="15374" max="15374" width="1" style="1398" customWidth="1"/>
    <col min="15375" max="15375" width="21.5" style="1398" customWidth="1"/>
    <col min="15376" max="15376" width="1" style="1398" customWidth="1"/>
    <col min="15377" max="15377" width="11" style="1398" customWidth="1"/>
    <col min="15378" max="15378" width="1" style="1398" customWidth="1"/>
    <col min="15379" max="15379" width="21.5" style="1398" customWidth="1"/>
    <col min="15380" max="15380" width="1" style="1398" customWidth="1"/>
    <col min="15381" max="15381" width="11" style="1398" customWidth="1"/>
    <col min="15382" max="15382" width="1" style="1398" customWidth="1"/>
    <col min="15383" max="15383" width="21.5" style="1398" customWidth="1"/>
    <col min="15384" max="15384" width="1" style="1398" customWidth="1"/>
    <col min="15385" max="15385" width="11" style="1398" customWidth="1"/>
    <col min="15386" max="15386" width="1" style="1398" customWidth="1"/>
    <col min="15387" max="15387" width="21.5" style="1398" customWidth="1"/>
    <col min="15388" max="15388" width="1" style="1398" customWidth="1"/>
    <col min="15389" max="15389" width="11" style="1398" customWidth="1"/>
    <col min="15390" max="15390" width="1" style="1398" customWidth="1"/>
    <col min="15391" max="15391" width="21.5" style="1398" customWidth="1"/>
    <col min="15392" max="15392" width="1" style="1398" customWidth="1"/>
    <col min="15393" max="15393" width="11" style="1398" customWidth="1"/>
    <col min="15394" max="15394" width="1" style="1398" customWidth="1"/>
    <col min="15395" max="15395" width="21.5" style="1398" customWidth="1"/>
    <col min="15396" max="15396" width="1" style="1398" customWidth="1"/>
    <col min="15397" max="15397" width="11" style="1398" customWidth="1"/>
    <col min="15398" max="15398" width="1" style="1398" customWidth="1"/>
    <col min="15399" max="15399" width="21.5" style="1398" customWidth="1"/>
    <col min="15400" max="15400" width="1" style="1398" customWidth="1"/>
    <col min="15401" max="15401" width="11" style="1398" customWidth="1"/>
    <col min="15402" max="15402" width="1" style="1398" customWidth="1"/>
    <col min="15403" max="15403" width="21.5" style="1398" customWidth="1"/>
    <col min="15404" max="15404" width="1" style="1398" customWidth="1"/>
    <col min="15405" max="15405" width="11" style="1398" customWidth="1"/>
    <col min="15406" max="15406" width="1" style="1398" customWidth="1"/>
    <col min="15407" max="15407" width="21.5" style="1398" customWidth="1"/>
    <col min="15408" max="15408" width="1" style="1398" customWidth="1"/>
    <col min="15409" max="15409" width="11" style="1398" customWidth="1"/>
    <col min="15410" max="15410" width="1" style="1398" customWidth="1"/>
    <col min="15411" max="15411" width="21.5" style="1398" customWidth="1"/>
    <col min="15412" max="15412" width="1" style="1398" customWidth="1"/>
    <col min="15413" max="15413" width="11" style="1398" customWidth="1"/>
    <col min="15414" max="15414" width="1" style="1398" customWidth="1"/>
    <col min="15415" max="15415" width="21.5" style="1398" customWidth="1"/>
    <col min="15416" max="15416" width="1" style="1398" customWidth="1"/>
    <col min="15417" max="15417" width="11" style="1398" customWidth="1"/>
    <col min="15418" max="15418" width="1" style="1398" customWidth="1"/>
    <col min="15419" max="15616" width="10.6640625" style="1398"/>
    <col min="15617" max="15617" width="2.83203125" style="1398" customWidth="1"/>
    <col min="15618" max="15618" width="54" style="1398" customWidth="1"/>
    <col min="15619" max="15619" width="21.5" style="1398" customWidth="1"/>
    <col min="15620" max="15620" width="1" style="1398" customWidth="1"/>
    <col min="15621" max="15621" width="11" style="1398" customWidth="1"/>
    <col min="15622" max="15622" width="1" style="1398" customWidth="1"/>
    <col min="15623" max="15623" width="21.5" style="1398" customWidth="1"/>
    <col min="15624" max="15624" width="1" style="1398" customWidth="1"/>
    <col min="15625" max="15625" width="11" style="1398" customWidth="1"/>
    <col min="15626" max="15626" width="1" style="1398" customWidth="1"/>
    <col min="15627" max="15627" width="21.5" style="1398" customWidth="1"/>
    <col min="15628" max="15628" width="1" style="1398" customWidth="1"/>
    <col min="15629" max="15629" width="11" style="1398" customWidth="1"/>
    <col min="15630" max="15630" width="1" style="1398" customWidth="1"/>
    <col min="15631" max="15631" width="21.5" style="1398" customWidth="1"/>
    <col min="15632" max="15632" width="1" style="1398" customWidth="1"/>
    <col min="15633" max="15633" width="11" style="1398" customWidth="1"/>
    <col min="15634" max="15634" width="1" style="1398" customWidth="1"/>
    <col min="15635" max="15635" width="21.5" style="1398" customWidth="1"/>
    <col min="15636" max="15636" width="1" style="1398" customWidth="1"/>
    <col min="15637" max="15637" width="11" style="1398" customWidth="1"/>
    <col min="15638" max="15638" width="1" style="1398" customWidth="1"/>
    <col min="15639" max="15639" width="21.5" style="1398" customWidth="1"/>
    <col min="15640" max="15640" width="1" style="1398" customWidth="1"/>
    <col min="15641" max="15641" width="11" style="1398" customWidth="1"/>
    <col min="15642" max="15642" width="1" style="1398" customWidth="1"/>
    <col min="15643" max="15643" width="21.5" style="1398" customWidth="1"/>
    <col min="15644" max="15644" width="1" style="1398" customWidth="1"/>
    <col min="15645" max="15645" width="11" style="1398" customWidth="1"/>
    <col min="15646" max="15646" width="1" style="1398" customWidth="1"/>
    <col min="15647" max="15647" width="21.5" style="1398" customWidth="1"/>
    <col min="15648" max="15648" width="1" style="1398" customWidth="1"/>
    <col min="15649" max="15649" width="11" style="1398" customWidth="1"/>
    <col min="15650" max="15650" width="1" style="1398" customWidth="1"/>
    <col min="15651" max="15651" width="21.5" style="1398" customWidth="1"/>
    <col min="15652" max="15652" width="1" style="1398" customWidth="1"/>
    <col min="15653" max="15653" width="11" style="1398" customWidth="1"/>
    <col min="15654" max="15654" width="1" style="1398" customWidth="1"/>
    <col min="15655" max="15655" width="21.5" style="1398" customWidth="1"/>
    <col min="15656" max="15656" width="1" style="1398" customWidth="1"/>
    <col min="15657" max="15657" width="11" style="1398" customWidth="1"/>
    <col min="15658" max="15658" width="1" style="1398" customWidth="1"/>
    <col min="15659" max="15659" width="21.5" style="1398" customWidth="1"/>
    <col min="15660" max="15660" width="1" style="1398" customWidth="1"/>
    <col min="15661" max="15661" width="11" style="1398" customWidth="1"/>
    <col min="15662" max="15662" width="1" style="1398" customWidth="1"/>
    <col min="15663" max="15663" width="21.5" style="1398" customWidth="1"/>
    <col min="15664" max="15664" width="1" style="1398" customWidth="1"/>
    <col min="15665" max="15665" width="11" style="1398" customWidth="1"/>
    <col min="15666" max="15666" width="1" style="1398" customWidth="1"/>
    <col min="15667" max="15667" width="21.5" style="1398" customWidth="1"/>
    <col min="15668" max="15668" width="1" style="1398" customWidth="1"/>
    <col min="15669" max="15669" width="11" style="1398" customWidth="1"/>
    <col min="15670" max="15670" width="1" style="1398" customWidth="1"/>
    <col min="15671" max="15671" width="21.5" style="1398" customWidth="1"/>
    <col min="15672" max="15672" width="1" style="1398" customWidth="1"/>
    <col min="15673" max="15673" width="11" style="1398" customWidth="1"/>
    <col min="15674" max="15674" width="1" style="1398" customWidth="1"/>
    <col min="15675" max="15872" width="10.6640625" style="1398"/>
    <col min="15873" max="15873" width="2.83203125" style="1398" customWidth="1"/>
    <col min="15874" max="15874" width="54" style="1398" customWidth="1"/>
    <col min="15875" max="15875" width="21.5" style="1398" customWidth="1"/>
    <col min="15876" max="15876" width="1" style="1398" customWidth="1"/>
    <col min="15877" max="15877" width="11" style="1398" customWidth="1"/>
    <col min="15878" max="15878" width="1" style="1398" customWidth="1"/>
    <col min="15879" max="15879" width="21.5" style="1398" customWidth="1"/>
    <col min="15880" max="15880" width="1" style="1398" customWidth="1"/>
    <col min="15881" max="15881" width="11" style="1398" customWidth="1"/>
    <col min="15882" max="15882" width="1" style="1398" customWidth="1"/>
    <col min="15883" max="15883" width="21.5" style="1398" customWidth="1"/>
    <col min="15884" max="15884" width="1" style="1398" customWidth="1"/>
    <col min="15885" max="15885" width="11" style="1398" customWidth="1"/>
    <col min="15886" max="15886" width="1" style="1398" customWidth="1"/>
    <col min="15887" max="15887" width="21.5" style="1398" customWidth="1"/>
    <col min="15888" max="15888" width="1" style="1398" customWidth="1"/>
    <col min="15889" max="15889" width="11" style="1398" customWidth="1"/>
    <col min="15890" max="15890" width="1" style="1398" customWidth="1"/>
    <col min="15891" max="15891" width="21.5" style="1398" customWidth="1"/>
    <col min="15892" max="15892" width="1" style="1398" customWidth="1"/>
    <col min="15893" max="15893" width="11" style="1398" customWidth="1"/>
    <col min="15894" max="15894" width="1" style="1398" customWidth="1"/>
    <col min="15895" max="15895" width="21.5" style="1398" customWidth="1"/>
    <col min="15896" max="15896" width="1" style="1398" customWidth="1"/>
    <col min="15897" max="15897" width="11" style="1398" customWidth="1"/>
    <col min="15898" max="15898" width="1" style="1398" customWidth="1"/>
    <col min="15899" max="15899" width="21.5" style="1398" customWidth="1"/>
    <col min="15900" max="15900" width="1" style="1398" customWidth="1"/>
    <col min="15901" max="15901" width="11" style="1398" customWidth="1"/>
    <col min="15902" max="15902" width="1" style="1398" customWidth="1"/>
    <col min="15903" max="15903" width="21.5" style="1398" customWidth="1"/>
    <col min="15904" max="15904" width="1" style="1398" customWidth="1"/>
    <col min="15905" max="15905" width="11" style="1398" customWidth="1"/>
    <col min="15906" max="15906" width="1" style="1398" customWidth="1"/>
    <col min="15907" max="15907" width="21.5" style="1398" customWidth="1"/>
    <col min="15908" max="15908" width="1" style="1398" customWidth="1"/>
    <col min="15909" max="15909" width="11" style="1398" customWidth="1"/>
    <col min="15910" max="15910" width="1" style="1398" customWidth="1"/>
    <col min="15911" max="15911" width="21.5" style="1398" customWidth="1"/>
    <col min="15912" max="15912" width="1" style="1398" customWidth="1"/>
    <col min="15913" max="15913" width="11" style="1398" customWidth="1"/>
    <col min="15914" max="15914" width="1" style="1398" customWidth="1"/>
    <col min="15915" max="15915" width="21.5" style="1398" customWidth="1"/>
    <col min="15916" max="15916" width="1" style="1398" customWidth="1"/>
    <col min="15917" max="15917" width="11" style="1398" customWidth="1"/>
    <col min="15918" max="15918" width="1" style="1398" customWidth="1"/>
    <col min="15919" max="15919" width="21.5" style="1398" customWidth="1"/>
    <col min="15920" max="15920" width="1" style="1398" customWidth="1"/>
    <col min="15921" max="15921" width="11" style="1398" customWidth="1"/>
    <col min="15922" max="15922" width="1" style="1398" customWidth="1"/>
    <col min="15923" max="15923" width="21.5" style="1398" customWidth="1"/>
    <col min="15924" max="15924" width="1" style="1398" customWidth="1"/>
    <col min="15925" max="15925" width="11" style="1398" customWidth="1"/>
    <col min="15926" max="15926" width="1" style="1398" customWidth="1"/>
    <col min="15927" max="15927" width="21.5" style="1398" customWidth="1"/>
    <col min="15928" max="15928" width="1" style="1398" customWidth="1"/>
    <col min="15929" max="15929" width="11" style="1398" customWidth="1"/>
    <col min="15930" max="15930" width="1" style="1398" customWidth="1"/>
    <col min="15931" max="16128" width="10.6640625" style="1398"/>
    <col min="16129" max="16129" width="2.83203125" style="1398" customWidth="1"/>
    <col min="16130" max="16130" width="54" style="1398" customWidth="1"/>
    <col min="16131" max="16131" width="21.5" style="1398" customWidth="1"/>
    <col min="16132" max="16132" width="1" style="1398" customWidth="1"/>
    <col min="16133" max="16133" width="11" style="1398" customWidth="1"/>
    <col min="16134" max="16134" width="1" style="1398" customWidth="1"/>
    <col min="16135" max="16135" width="21.5" style="1398" customWidth="1"/>
    <col min="16136" max="16136" width="1" style="1398" customWidth="1"/>
    <col min="16137" max="16137" width="11" style="1398" customWidth="1"/>
    <col min="16138" max="16138" width="1" style="1398" customWidth="1"/>
    <col min="16139" max="16139" width="21.5" style="1398" customWidth="1"/>
    <col min="16140" max="16140" width="1" style="1398" customWidth="1"/>
    <col min="16141" max="16141" width="11" style="1398" customWidth="1"/>
    <col min="16142" max="16142" width="1" style="1398" customWidth="1"/>
    <col min="16143" max="16143" width="21.5" style="1398" customWidth="1"/>
    <col min="16144" max="16144" width="1" style="1398" customWidth="1"/>
    <col min="16145" max="16145" width="11" style="1398" customWidth="1"/>
    <col min="16146" max="16146" width="1" style="1398" customWidth="1"/>
    <col min="16147" max="16147" width="21.5" style="1398" customWidth="1"/>
    <col min="16148" max="16148" width="1" style="1398" customWidth="1"/>
    <col min="16149" max="16149" width="11" style="1398" customWidth="1"/>
    <col min="16150" max="16150" width="1" style="1398" customWidth="1"/>
    <col min="16151" max="16151" width="21.5" style="1398" customWidth="1"/>
    <col min="16152" max="16152" width="1" style="1398" customWidth="1"/>
    <col min="16153" max="16153" width="11" style="1398" customWidth="1"/>
    <col min="16154" max="16154" width="1" style="1398" customWidth="1"/>
    <col min="16155" max="16155" width="21.5" style="1398" customWidth="1"/>
    <col min="16156" max="16156" width="1" style="1398" customWidth="1"/>
    <col min="16157" max="16157" width="11" style="1398" customWidth="1"/>
    <col min="16158" max="16158" width="1" style="1398" customWidth="1"/>
    <col min="16159" max="16159" width="21.5" style="1398" customWidth="1"/>
    <col min="16160" max="16160" width="1" style="1398" customWidth="1"/>
    <col min="16161" max="16161" width="11" style="1398" customWidth="1"/>
    <col min="16162" max="16162" width="1" style="1398" customWidth="1"/>
    <col min="16163" max="16163" width="21.5" style="1398" customWidth="1"/>
    <col min="16164" max="16164" width="1" style="1398" customWidth="1"/>
    <col min="16165" max="16165" width="11" style="1398" customWidth="1"/>
    <col min="16166" max="16166" width="1" style="1398" customWidth="1"/>
    <col min="16167" max="16167" width="21.5" style="1398" customWidth="1"/>
    <col min="16168" max="16168" width="1" style="1398" customWidth="1"/>
    <col min="16169" max="16169" width="11" style="1398" customWidth="1"/>
    <col min="16170" max="16170" width="1" style="1398" customWidth="1"/>
    <col min="16171" max="16171" width="21.5" style="1398" customWidth="1"/>
    <col min="16172" max="16172" width="1" style="1398" customWidth="1"/>
    <col min="16173" max="16173" width="11" style="1398" customWidth="1"/>
    <col min="16174" max="16174" width="1" style="1398" customWidth="1"/>
    <col min="16175" max="16175" width="21.5" style="1398" customWidth="1"/>
    <col min="16176" max="16176" width="1" style="1398" customWidth="1"/>
    <col min="16177" max="16177" width="11" style="1398" customWidth="1"/>
    <col min="16178" max="16178" width="1" style="1398" customWidth="1"/>
    <col min="16179" max="16179" width="21.5" style="1398" customWidth="1"/>
    <col min="16180" max="16180" width="1" style="1398" customWidth="1"/>
    <col min="16181" max="16181" width="11" style="1398" customWidth="1"/>
    <col min="16182" max="16182" width="1" style="1398" customWidth="1"/>
    <col min="16183" max="16183" width="21.5" style="1398" customWidth="1"/>
    <col min="16184" max="16184" width="1" style="1398" customWidth="1"/>
    <col min="16185" max="16185" width="11" style="1398" customWidth="1"/>
    <col min="16186" max="16186" width="1" style="1398" customWidth="1"/>
    <col min="16187" max="16384" width="10.6640625" style="1398"/>
  </cols>
  <sheetData>
    <row r="4" spans="2:57" ht="15">
      <c r="C4" s="1399" t="s">
        <v>1772</v>
      </c>
      <c r="D4" s="1399"/>
      <c r="E4" s="1399"/>
      <c r="F4" s="1400"/>
      <c r="G4" s="1399" t="s">
        <v>1773</v>
      </c>
      <c r="H4" s="1399"/>
      <c r="I4" s="1399"/>
      <c r="J4" s="1400"/>
      <c r="K4" s="1401" t="s">
        <v>1774</v>
      </c>
      <c r="L4" s="1399"/>
      <c r="M4" s="1399"/>
      <c r="N4" s="1400"/>
      <c r="O4" s="1401" t="s">
        <v>1775</v>
      </c>
      <c r="P4" s="1399"/>
      <c r="Q4" s="1399"/>
      <c r="R4" s="1400"/>
      <c r="S4" s="1401" t="s">
        <v>1776</v>
      </c>
      <c r="T4" s="1399"/>
      <c r="U4" s="1399"/>
      <c r="V4" s="1400"/>
      <c r="W4" s="1399" t="s">
        <v>1777</v>
      </c>
      <c r="X4" s="1399"/>
      <c r="Y4" s="1399"/>
      <c r="Z4" s="1400"/>
      <c r="AA4" s="1399" t="s">
        <v>1778</v>
      </c>
      <c r="AB4" s="1399"/>
      <c r="AC4" s="1399"/>
      <c r="AD4" s="1402"/>
      <c r="AE4" s="1399" t="s">
        <v>1779</v>
      </c>
      <c r="AF4" s="1399"/>
      <c r="AG4" s="1399"/>
      <c r="AH4" s="1403"/>
      <c r="AI4" s="1399" t="s">
        <v>1780</v>
      </c>
      <c r="AJ4" s="1399"/>
      <c r="AK4" s="1399"/>
      <c r="AL4" s="1400"/>
      <c r="AM4" s="1399" t="s">
        <v>1781</v>
      </c>
      <c r="AN4" s="1399"/>
      <c r="AO4" s="1399"/>
      <c r="AP4" s="1400"/>
      <c r="AQ4" s="1399" t="s">
        <v>1782</v>
      </c>
      <c r="AR4" s="1399"/>
      <c r="AS4" s="1399"/>
      <c r="AT4" s="1400"/>
      <c r="AU4" s="1404" t="s">
        <v>1783</v>
      </c>
      <c r="AV4" s="1405"/>
      <c r="AW4" s="1405"/>
      <c r="AX4" s="1400"/>
      <c r="AY4" s="1406" t="s">
        <v>1784</v>
      </c>
      <c r="AZ4" s="1407"/>
      <c r="BA4" s="1407"/>
      <c r="BB4" s="1408"/>
      <c r="BC4" s="1409" t="s">
        <v>1785</v>
      </c>
      <c r="BD4" s="1410"/>
      <c r="BE4" s="1410"/>
    </row>
    <row r="5" spans="2:57" ht="14.25">
      <c r="C5" s="1411"/>
      <c r="D5" s="1411"/>
      <c r="E5" s="1411"/>
      <c r="F5" s="1411"/>
      <c r="G5" s="1411"/>
      <c r="H5" s="1411"/>
      <c r="I5" s="1411"/>
      <c r="J5" s="1411"/>
      <c r="K5" s="1412"/>
      <c r="L5" s="1411"/>
      <c r="M5" s="1411"/>
      <c r="N5" s="1411"/>
      <c r="O5" s="1412"/>
      <c r="P5" s="1411"/>
      <c r="Q5" s="1411"/>
      <c r="R5" s="1411"/>
      <c r="S5" s="1412"/>
      <c r="T5" s="1411"/>
      <c r="U5" s="1411"/>
      <c r="V5" s="1411"/>
      <c r="W5" s="1411"/>
      <c r="X5" s="1411"/>
      <c r="Y5" s="1411"/>
      <c r="Z5" s="1411"/>
      <c r="AA5" s="1411"/>
      <c r="AB5" s="1411"/>
      <c r="AC5" s="1411"/>
      <c r="AD5" s="1411"/>
      <c r="AE5" s="1411"/>
      <c r="AF5" s="1411"/>
      <c r="AG5" s="1411"/>
      <c r="AH5" s="1413"/>
      <c r="AI5" s="1411"/>
      <c r="AJ5" s="1411"/>
      <c r="AK5" s="1411"/>
      <c r="AL5" s="1411"/>
      <c r="AM5" s="1411"/>
      <c r="AN5" s="1411"/>
      <c r="AO5" s="1411"/>
      <c r="AP5" s="1411"/>
      <c r="AQ5" s="1411"/>
      <c r="AR5" s="1411"/>
      <c r="AS5" s="1411"/>
      <c r="AT5" s="1411"/>
      <c r="AU5" s="1414"/>
      <c r="AV5" s="1414"/>
      <c r="AW5" s="1414"/>
      <c r="AX5" s="1411"/>
      <c r="AY5" s="1413"/>
      <c r="AZ5" s="1413"/>
      <c r="BA5" s="1413"/>
      <c r="BB5" s="1408"/>
      <c r="BC5" s="1415"/>
      <c r="BD5" s="1411"/>
      <c r="BE5" s="1411"/>
    </row>
    <row r="6" spans="2:57" ht="14.25">
      <c r="C6" s="1416" t="s">
        <v>41</v>
      </c>
      <c r="D6" s="1417"/>
      <c r="E6" s="1416" t="s">
        <v>1786</v>
      </c>
      <c r="F6" s="1417"/>
      <c r="G6" s="1416" t="s">
        <v>41</v>
      </c>
      <c r="H6" s="1417"/>
      <c r="I6" s="1416" t="s">
        <v>1786</v>
      </c>
      <c r="J6" s="1417"/>
      <c r="K6" s="1418" t="s">
        <v>41</v>
      </c>
      <c r="L6" s="1417"/>
      <c r="M6" s="1416" t="s">
        <v>1786</v>
      </c>
      <c r="N6" s="1417"/>
      <c r="O6" s="1418" t="s">
        <v>41</v>
      </c>
      <c r="P6" s="1417"/>
      <c r="Q6" s="1416" t="s">
        <v>1786</v>
      </c>
      <c r="R6" s="1417"/>
      <c r="S6" s="1418" t="s">
        <v>41</v>
      </c>
      <c r="T6" s="1417"/>
      <c r="U6" s="1416" t="s">
        <v>1786</v>
      </c>
      <c r="V6" s="1417"/>
      <c r="W6" s="1416" t="s">
        <v>41</v>
      </c>
      <c r="X6" s="1417"/>
      <c r="Y6" s="1416" t="s">
        <v>1786</v>
      </c>
      <c r="Z6" s="1417"/>
      <c r="AA6" s="1416" t="s">
        <v>41</v>
      </c>
      <c r="AB6" s="1417"/>
      <c r="AC6" s="1416" t="s">
        <v>1786</v>
      </c>
      <c r="AD6" s="1417"/>
      <c r="AE6" s="1416" t="s">
        <v>41</v>
      </c>
      <c r="AF6" s="1417"/>
      <c r="AG6" s="1416" t="s">
        <v>1786</v>
      </c>
      <c r="AH6" s="1419"/>
      <c r="AI6" s="1416" t="s">
        <v>41</v>
      </c>
      <c r="AJ6" s="1417"/>
      <c r="AK6" s="1416" t="s">
        <v>1786</v>
      </c>
      <c r="AL6" s="1417"/>
      <c r="AM6" s="1416" t="s">
        <v>41</v>
      </c>
      <c r="AN6" s="1417"/>
      <c r="AO6" s="1416" t="s">
        <v>1786</v>
      </c>
      <c r="AP6" s="1417"/>
      <c r="AQ6" s="1416" t="s">
        <v>41</v>
      </c>
      <c r="AR6" s="1417"/>
      <c r="AS6" s="1416" t="s">
        <v>1786</v>
      </c>
      <c r="AT6" s="1417"/>
      <c r="AU6" s="1420" t="s">
        <v>41</v>
      </c>
      <c r="AV6" s="1421"/>
      <c r="AW6" s="1420" t="s">
        <v>1786</v>
      </c>
      <c r="AX6" s="1417"/>
      <c r="AY6" s="1422" t="s">
        <v>41</v>
      </c>
      <c r="AZ6" s="1419"/>
      <c r="BA6" s="1422" t="s">
        <v>1786</v>
      </c>
      <c r="BB6" s="1423"/>
      <c r="BC6" s="1424" t="s">
        <v>41</v>
      </c>
      <c r="BD6" s="1417"/>
      <c r="BE6" s="1416" t="s">
        <v>1786</v>
      </c>
    </row>
    <row r="7" spans="2:57" ht="15">
      <c r="B7" s="1425" t="s">
        <v>1659</v>
      </c>
      <c r="C7" s="1426"/>
      <c r="D7" s="1426"/>
      <c r="E7" s="1426"/>
      <c r="F7" s="1426"/>
      <c r="G7" s="1426"/>
      <c r="H7" s="1426"/>
      <c r="I7" s="1426"/>
      <c r="J7" s="1426"/>
      <c r="K7" s="1426"/>
      <c r="L7" s="1426"/>
      <c r="M7" s="1426"/>
      <c r="N7" s="1408"/>
      <c r="O7" s="1408"/>
      <c r="P7" s="1408"/>
      <c r="Q7" s="1408"/>
      <c r="R7" s="1408"/>
      <c r="S7" s="1408"/>
      <c r="T7" s="1426"/>
      <c r="U7" s="1426"/>
      <c r="V7" s="1426"/>
      <c r="W7" s="1426"/>
      <c r="X7" s="1426"/>
      <c r="Y7" s="1426"/>
      <c r="Z7" s="1426"/>
      <c r="AA7" s="1426"/>
      <c r="AB7" s="1426"/>
      <c r="AC7" s="1426"/>
      <c r="AD7" s="1426"/>
      <c r="AE7" s="1426"/>
      <c r="AF7" s="1426"/>
      <c r="AG7" s="1426"/>
      <c r="AH7" s="1427"/>
      <c r="AI7" s="1426"/>
      <c r="AJ7" s="1426"/>
      <c r="AK7" s="1426"/>
      <c r="AL7" s="1426"/>
      <c r="AM7" s="1426"/>
      <c r="AN7" s="1426"/>
      <c r="AO7" s="1426"/>
      <c r="AP7" s="1426"/>
      <c r="AQ7" s="1426"/>
      <c r="AR7" s="1426"/>
      <c r="AS7" s="1426"/>
      <c r="AT7" s="1426"/>
      <c r="AU7" s="1428"/>
      <c r="AV7" s="1428"/>
      <c r="AW7" s="1428"/>
      <c r="AX7" s="1426"/>
      <c r="AY7" s="1427"/>
      <c r="AZ7" s="1427"/>
      <c r="BA7" s="1427"/>
      <c r="BB7" s="1426"/>
      <c r="BC7" s="1429"/>
      <c r="BD7" s="1426"/>
      <c r="BE7" s="1426"/>
    </row>
    <row r="8" spans="2:57" ht="14.25">
      <c r="B8" s="1411"/>
      <c r="C8" s="1426"/>
      <c r="D8" s="1408"/>
      <c r="E8" s="1408"/>
      <c r="F8" s="1408"/>
      <c r="G8" s="1408"/>
      <c r="H8" s="1408"/>
      <c r="I8" s="1408"/>
      <c r="J8" s="1408"/>
      <c r="K8" s="1426"/>
      <c r="L8" s="1408"/>
      <c r="M8" s="1408"/>
      <c r="N8" s="1408"/>
      <c r="O8" s="1408"/>
      <c r="P8" s="1408"/>
      <c r="Q8" s="1408"/>
      <c r="R8" s="1430"/>
      <c r="S8" s="1408"/>
      <c r="T8" s="1408"/>
      <c r="U8" s="1408"/>
      <c r="V8" s="1430"/>
      <c r="W8" s="1408"/>
      <c r="X8" s="1408"/>
      <c r="Y8" s="1408"/>
      <c r="Z8" s="1430"/>
      <c r="AA8" s="1408"/>
      <c r="AB8" s="1408"/>
      <c r="AC8" s="1408"/>
      <c r="AD8" s="1430"/>
      <c r="AE8" s="1408"/>
      <c r="AF8" s="1408"/>
      <c r="AG8" s="1408"/>
      <c r="AH8" s="1430"/>
      <c r="AI8" s="1408"/>
      <c r="AJ8" s="1408"/>
      <c r="AK8" s="1408"/>
      <c r="AL8" s="1430"/>
      <c r="AM8" s="1408"/>
      <c r="AN8" s="1408"/>
      <c r="AO8" s="1408"/>
      <c r="AP8" s="1430"/>
      <c r="AQ8" s="1408"/>
      <c r="AR8" s="1408"/>
      <c r="AS8" s="1408"/>
      <c r="AT8" s="1430"/>
      <c r="AU8" s="1431"/>
      <c r="AV8" s="1431"/>
      <c r="AW8" s="1431"/>
      <c r="AX8" s="1430"/>
      <c r="AY8" s="1430"/>
      <c r="AZ8" s="1430"/>
      <c r="BA8" s="1430"/>
      <c r="BB8" s="1430"/>
      <c r="BC8" s="1430"/>
      <c r="BD8" s="1408"/>
      <c r="BE8" s="1408"/>
    </row>
    <row r="9" spans="2:57" ht="14.25">
      <c r="B9" s="1432" t="s">
        <v>1663</v>
      </c>
      <c r="C9" s="1433">
        <v>3554018.1</v>
      </c>
      <c r="D9" s="1408"/>
      <c r="E9" s="1434">
        <f>+C9/$C$41</f>
        <v>0.19925878877726372</v>
      </c>
      <c r="F9" s="1408"/>
      <c r="G9" s="1435">
        <v>4033868.8</v>
      </c>
      <c r="H9" s="1408"/>
      <c r="I9" s="1434">
        <f>+G9/$G$41</f>
        <v>0.2405169835176835</v>
      </c>
      <c r="J9" s="1426"/>
      <c r="K9" s="1435">
        <v>5025900.93</v>
      </c>
      <c r="L9" s="1408"/>
      <c r="M9" s="1434">
        <f>+K9/$K$41</f>
        <v>0.26673632273297571</v>
      </c>
      <c r="N9" s="1426"/>
      <c r="O9" s="1435">
        <v>4580001.6500000004</v>
      </c>
      <c r="P9" s="1426"/>
      <c r="Q9" s="1434">
        <f>+O9/$O$41</f>
        <v>0.24817789185036263</v>
      </c>
      <c r="R9" s="1426"/>
      <c r="S9" s="1435">
        <v>4305737.03</v>
      </c>
      <c r="T9" s="1426"/>
      <c r="U9" s="1434">
        <f>+S9/$S$41</f>
        <v>0.24274104844044003</v>
      </c>
      <c r="V9" s="1426"/>
      <c r="W9" s="1435">
        <v>4662016.8899999997</v>
      </c>
      <c r="X9" s="1426"/>
      <c r="Y9" s="1434">
        <f>+W9/$W$41</f>
        <v>0.26171955060140467</v>
      </c>
      <c r="Z9" s="1426"/>
      <c r="AA9" s="1435">
        <v>4071292.25</v>
      </c>
      <c r="AB9" s="1426"/>
      <c r="AC9" s="1434">
        <f>+AA9/$AA$41</f>
        <v>0.22454481504454693</v>
      </c>
      <c r="AD9" s="1426"/>
      <c r="AE9" s="1435">
        <v>4121934.41</v>
      </c>
      <c r="AF9" s="1426"/>
      <c r="AG9" s="1434">
        <f>+AE9/$AE$41</f>
        <v>0.22938044104371452</v>
      </c>
      <c r="AH9" s="1427"/>
      <c r="AI9" s="1435">
        <v>4095692</v>
      </c>
      <c r="AJ9" s="1426"/>
      <c r="AK9" s="1434">
        <f>+AI9/$AI$41</f>
        <v>0.22937220038570502</v>
      </c>
      <c r="AL9" s="1426"/>
      <c r="AM9" s="1435">
        <v>4433190.47</v>
      </c>
      <c r="AN9" s="1426"/>
      <c r="AO9" s="1434">
        <f>+AM9/$AM$41</f>
        <v>0.24723068717493379</v>
      </c>
      <c r="AP9" s="1426"/>
      <c r="AQ9" s="1435">
        <v>3961248.06</v>
      </c>
      <c r="AR9" s="1426"/>
      <c r="AS9" s="1434">
        <f>+AQ9/$AQ$41</f>
        <v>0.20377784729625897</v>
      </c>
      <c r="AT9" s="1426"/>
      <c r="AU9" s="1436">
        <v>4229266.29</v>
      </c>
      <c r="AV9" s="1428"/>
      <c r="AW9" s="1437">
        <f>+AU9/$AU$41</f>
        <v>0.2156400641538001</v>
      </c>
      <c r="AX9" s="1408"/>
      <c r="AY9" s="1438">
        <f>C9+G9+K9+O9+S9+W9+AA9+AE9+AI9+AM9+AQ9+AU9</f>
        <v>51074166.880000003</v>
      </c>
      <c r="AZ9" s="1439"/>
      <c r="BA9" s="1440">
        <f>+AY9/$AY$41</f>
        <v>0.2338604553515336</v>
      </c>
      <c r="BB9" s="1408"/>
      <c r="BC9" s="1438">
        <v>52080705.129999995</v>
      </c>
      <c r="BD9" s="1439"/>
      <c r="BE9" s="1440">
        <f>+BC9/BC41</f>
        <v>0.24712876555373522</v>
      </c>
    </row>
    <row r="10" spans="2:57" ht="14.25">
      <c r="B10" s="1441" t="s">
        <v>1664</v>
      </c>
      <c r="C10" s="1442">
        <v>281507.65000000002</v>
      </c>
      <c r="D10" s="1408"/>
      <c r="E10" s="1443">
        <f>+C10/$C$41</f>
        <v>1.5782945328988024E-2</v>
      </c>
      <c r="F10" s="1408"/>
      <c r="G10" s="1444">
        <v>550984.29</v>
      </c>
      <c r="H10" s="1408"/>
      <c r="I10" s="1443">
        <f>+G10/$G$41</f>
        <v>3.2852104509802735E-2</v>
      </c>
      <c r="J10" s="1426"/>
      <c r="K10" s="1444">
        <v>665780.29</v>
      </c>
      <c r="L10" s="1408"/>
      <c r="M10" s="1443">
        <f>+K10/$K$41</f>
        <v>3.5334517885670734E-2</v>
      </c>
      <c r="N10" s="1426"/>
      <c r="O10" s="1444">
        <v>574255.30000000005</v>
      </c>
      <c r="P10" s="1426"/>
      <c r="Q10" s="1443">
        <f>+O10/$O$41</f>
        <v>3.1117340260761159E-2</v>
      </c>
      <c r="R10" s="1426"/>
      <c r="S10" s="1444">
        <v>477952.55</v>
      </c>
      <c r="T10" s="1426"/>
      <c r="U10" s="1443">
        <f>+S10/$S$41</f>
        <v>2.6945143719513644E-2</v>
      </c>
      <c r="V10" s="1426"/>
      <c r="W10" s="1444">
        <v>356276.97</v>
      </c>
      <c r="X10" s="1426"/>
      <c r="Y10" s="1443">
        <f>+W10/$W$41</f>
        <v>2.0000924638012226E-2</v>
      </c>
      <c r="Z10" s="1426"/>
      <c r="AA10" s="1444">
        <v>385753.29</v>
      </c>
      <c r="AB10" s="1426"/>
      <c r="AC10" s="1443">
        <f>+AA10/$AA$41</f>
        <v>2.1275530184765162E-2</v>
      </c>
      <c r="AD10" s="1426"/>
      <c r="AE10" s="1444">
        <v>382465.15</v>
      </c>
      <c r="AF10" s="1426"/>
      <c r="AG10" s="1443">
        <f>+AE10/$AE$41</f>
        <v>2.1283702277749353E-2</v>
      </c>
      <c r="AH10" s="1427"/>
      <c r="AI10" s="1444">
        <v>438944.11</v>
      </c>
      <c r="AJ10" s="1426"/>
      <c r="AK10" s="1443">
        <f>+AI10/$AI$41</f>
        <v>2.4582311452385808E-2</v>
      </c>
      <c r="AL10" s="1426"/>
      <c r="AM10" s="1444">
        <v>773566.65</v>
      </c>
      <c r="AN10" s="1426"/>
      <c r="AO10" s="1443">
        <f>+AM10/$AM$41</f>
        <v>4.3140355856424895E-2</v>
      </c>
      <c r="AP10" s="1426"/>
      <c r="AQ10" s="1444">
        <v>284132.51</v>
      </c>
      <c r="AR10" s="1426"/>
      <c r="AS10" s="1443">
        <f>+AQ10/$AQ$41</f>
        <v>1.4616583045971318E-2</v>
      </c>
      <c r="AT10" s="1426"/>
      <c r="AU10" s="1445">
        <v>517244.57</v>
      </c>
      <c r="AV10" s="1428"/>
      <c r="AW10" s="1446">
        <f>+AU10/$AU$41</f>
        <v>2.6373050219546414E-2</v>
      </c>
      <c r="AX10" s="1408"/>
      <c r="AY10" s="1447">
        <f>C10+G10+K10+O10+S10+W10+AA10+AE10+AI10+AM10+AQ10+AU10</f>
        <v>5688863.3300000001</v>
      </c>
      <c r="AZ10" s="1439"/>
      <c r="BA10" s="1448">
        <f>+AY10/$AY$41</f>
        <v>2.6048396871793316E-2</v>
      </c>
      <c r="BB10" s="1408"/>
      <c r="BC10" s="1447">
        <v>4876724.45</v>
      </c>
      <c r="BD10" s="1439"/>
      <c r="BE10" s="1448">
        <f>+BC10/BC41</f>
        <v>2.3140602460468618E-2</v>
      </c>
    </row>
    <row r="11" spans="2:57" ht="14.25">
      <c r="B11" s="1441" t="s">
        <v>18</v>
      </c>
      <c r="C11" s="1449"/>
      <c r="D11" s="1408"/>
      <c r="E11" s="1450"/>
      <c r="F11" s="1408"/>
      <c r="G11" s="1412"/>
      <c r="H11" s="1408"/>
      <c r="I11" s="1434"/>
      <c r="J11" s="1426"/>
      <c r="K11" s="1412"/>
      <c r="L11" s="1408"/>
      <c r="M11" s="1434"/>
      <c r="N11" s="1426"/>
      <c r="O11" s="1412"/>
      <c r="P11" s="1426"/>
      <c r="Q11" s="1434"/>
      <c r="R11" s="1426"/>
      <c r="S11" s="1412"/>
      <c r="T11" s="1426"/>
      <c r="U11" s="1434"/>
      <c r="V11" s="1426"/>
      <c r="W11" s="1412"/>
      <c r="X11" s="1426"/>
      <c r="Y11" s="1434"/>
      <c r="Z11" s="1426"/>
      <c r="AA11" s="1412"/>
      <c r="AB11" s="1426"/>
      <c r="AC11" s="1434"/>
      <c r="AD11" s="1426"/>
      <c r="AE11" s="1412"/>
      <c r="AF11" s="1426"/>
      <c r="AG11" s="1434"/>
      <c r="AH11" s="1427"/>
      <c r="AI11" s="1412"/>
      <c r="AJ11" s="1426"/>
      <c r="AK11" s="1434"/>
      <c r="AL11" s="1426"/>
      <c r="AM11" s="1412"/>
      <c r="AN11" s="1426"/>
      <c r="AO11" s="1434"/>
      <c r="AP11" s="1426"/>
      <c r="AQ11" s="1412"/>
      <c r="AR11" s="1426"/>
      <c r="AS11" s="1434"/>
      <c r="AT11" s="1426"/>
      <c r="AU11" s="1451"/>
      <c r="AV11" s="1428"/>
      <c r="AW11" s="1437"/>
      <c r="AX11" s="1408"/>
      <c r="AY11" s="1452"/>
      <c r="AZ11" s="1439"/>
      <c r="BA11" s="1453"/>
      <c r="BB11" s="1408"/>
      <c r="BC11" s="1452"/>
      <c r="BD11" s="1439"/>
      <c r="BE11" s="1453"/>
    </row>
    <row r="12" spans="2:57" ht="14.25">
      <c r="B12" s="1441" t="s">
        <v>1665</v>
      </c>
      <c r="C12" s="1449">
        <f>SUM(C9:C11)</f>
        <v>3835525.75</v>
      </c>
      <c r="D12" s="1408"/>
      <c r="E12" s="1434">
        <f>+C12/$C$41</f>
        <v>0.21504173410625174</v>
      </c>
      <c r="F12" s="1408"/>
      <c r="G12" s="1412">
        <f>SUM(G9:G10)</f>
        <v>4584853.09</v>
      </c>
      <c r="H12" s="1408"/>
      <c r="I12" s="1434">
        <f>+G12/$G$41</f>
        <v>0.27336908802748622</v>
      </c>
      <c r="J12" s="1426"/>
      <c r="K12" s="1412">
        <f>SUM(K9:K10)</f>
        <v>5691681.2199999997</v>
      </c>
      <c r="L12" s="1408"/>
      <c r="M12" s="1434">
        <f>+K12/$K$41</f>
        <v>0.30207084061864642</v>
      </c>
      <c r="N12" s="1426"/>
      <c r="O12" s="1412">
        <f>SUM(O9:O10)</f>
        <v>5154256.95</v>
      </c>
      <c r="P12" s="1426"/>
      <c r="Q12" s="1434">
        <f>+O12/$O$41</f>
        <v>0.27929523211112378</v>
      </c>
      <c r="R12" s="1426"/>
      <c r="S12" s="1412">
        <f>SUM(S9:S10)</f>
        <v>4783689.58</v>
      </c>
      <c r="T12" s="1426"/>
      <c r="U12" s="1434">
        <f>+S12/$S$41</f>
        <v>0.26968619215995365</v>
      </c>
      <c r="V12" s="1426"/>
      <c r="W12" s="1412">
        <f>SUM(W9:W10)</f>
        <v>5018293.8599999994</v>
      </c>
      <c r="X12" s="1426"/>
      <c r="Y12" s="1434">
        <f>+W12/$W$41</f>
        <v>0.2817204752394169</v>
      </c>
      <c r="Z12" s="1426"/>
      <c r="AA12" s="1412">
        <f>SUM(AA9:AA10)</f>
        <v>4457045.54</v>
      </c>
      <c r="AB12" s="1426"/>
      <c r="AC12" s="1434">
        <f>+AA12/$AA$41</f>
        <v>0.24582034522931209</v>
      </c>
      <c r="AD12" s="1426"/>
      <c r="AE12" s="1412">
        <f>SUM(AE9:AE10)</f>
        <v>4504399.5600000005</v>
      </c>
      <c r="AF12" s="1426"/>
      <c r="AG12" s="1434">
        <f>+AE12/$AE$41</f>
        <v>0.25066414332146392</v>
      </c>
      <c r="AH12" s="1427"/>
      <c r="AI12" s="1412">
        <f>SUM(AI9:AI10)</f>
        <v>4534636.1100000003</v>
      </c>
      <c r="AJ12" s="1426"/>
      <c r="AK12" s="1434">
        <f>+AI12/$AI$41</f>
        <v>0.25395451183809087</v>
      </c>
      <c r="AL12" s="1426"/>
      <c r="AM12" s="1412">
        <f>SUM(AM9:AM10)</f>
        <v>5206757.12</v>
      </c>
      <c r="AN12" s="1426"/>
      <c r="AO12" s="1434">
        <f>+AM12/$AM$41</f>
        <v>0.29037104303135874</v>
      </c>
      <c r="AP12" s="1426"/>
      <c r="AQ12" s="1412">
        <f>SUM(AQ9:AQ10)</f>
        <v>4245380.57</v>
      </c>
      <c r="AR12" s="1426"/>
      <c r="AS12" s="1434">
        <f>+AQ12/$AQ$41</f>
        <v>0.2183944303422303</v>
      </c>
      <c r="AT12" s="1426"/>
      <c r="AU12" s="1451">
        <f>SUM(AU9:AU10)</f>
        <v>4746510.8600000003</v>
      </c>
      <c r="AV12" s="1428"/>
      <c r="AW12" s="1437">
        <f>+AU12/$AU$41</f>
        <v>0.24201311437334652</v>
      </c>
      <c r="AX12" s="1408"/>
      <c r="AY12" s="1452">
        <f>C12+G12+K12+O12+S12+W12+AA12+AE12+AI12+AM12+AQ12+AU12</f>
        <v>56763030.209999993</v>
      </c>
      <c r="AZ12" s="1439"/>
      <c r="BA12" s="1440">
        <f>+AY12/$AY$41</f>
        <v>0.25990885222332688</v>
      </c>
      <c r="BB12" s="1408"/>
      <c r="BC12" s="1452">
        <f>SUM(BC9:BC10)</f>
        <v>56957429.579999998</v>
      </c>
      <c r="BD12" s="1439"/>
      <c r="BE12" s="1440">
        <f>SUM(BE9:BE11)</f>
        <v>0.27026936801420387</v>
      </c>
    </row>
    <row r="13" spans="2:57" ht="14.25">
      <c r="B13" s="1411"/>
      <c r="C13" s="1449"/>
      <c r="D13" s="1408"/>
      <c r="E13" s="1450"/>
      <c r="F13" s="1408"/>
      <c r="G13" s="1412"/>
      <c r="H13" s="1408"/>
      <c r="I13" s="1434"/>
      <c r="J13" s="1426"/>
      <c r="K13" s="1412"/>
      <c r="L13" s="1408"/>
      <c r="M13" s="1434"/>
      <c r="N13" s="1426"/>
      <c r="O13" s="1412"/>
      <c r="P13" s="1426"/>
      <c r="Q13" s="1434"/>
      <c r="R13" s="1426"/>
      <c r="S13" s="1412"/>
      <c r="T13" s="1426"/>
      <c r="U13" s="1434"/>
      <c r="V13" s="1426"/>
      <c r="W13" s="1412"/>
      <c r="X13" s="1426"/>
      <c r="Y13" s="1434"/>
      <c r="Z13" s="1426"/>
      <c r="AA13" s="1412"/>
      <c r="AB13" s="1426"/>
      <c r="AC13" s="1434"/>
      <c r="AD13" s="1426"/>
      <c r="AE13" s="1412"/>
      <c r="AF13" s="1426"/>
      <c r="AG13" s="1434"/>
      <c r="AH13" s="1427"/>
      <c r="AI13" s="1412"/>
      <c r="AJ13" s="1426"/>
      <c r="AK13" s="1434"/>
      <c r="AL13" s="1426"/>
      <c r="AM13" s="1412"/>
      <c r="AN13" s="1426"/>
      <c r="AO13" s="1434"/>
      <c r="AP13" s="1426"/>
      <c r="AQ13" s="1412"/>
      <c r="AR13" s="1426"/>
      <c r="AS13" s="1434"/>
      <c r="AT13" s="1426"/>
      <c r="AU13" s="1451"/>
      <c r="AV13" s="1428"/>
      <c r="AW13" s="1437"/>
      <c r="AX13" s="1408"/>
      <c r="AY13" s="1452"/>
      <c r="AZ13" s="1439"/>
      <c r="BA13" s="1453"/>
      <c r="BB13" s="1408"/>
      <c r="BC13" s="1452"/>
      <c r="BD13" s="1439"/>
      <c r="BE13" s="1453"/>
    </row>
    <row r="14" spans="2:57" ht="14.25">
      <c r="B14" s="1441" t="s">
        <v>1666</v>
      </c>
      <c r="C14" s="1449">
        <v>231427.91</v>
      </c>
      <c r="D14" s="1408"/>
      <c r="E14" s="1434">
        <f>+C14/$C$41</f>
        <v>1.2975185758298079E-2</v>
      </c>
      <c r="F14" s="1408"/>
      <c r="G14" s="1412">
        <v>246127.47</v>
      </c>
      <c r="H14" s="1408"/>
      <c r="I14" s="1434">
        <f>+G14/$G$41</f>
        <v>1.4675201296888768E-2</v>
      </c>
      <c r="J14" s="1426"/>
      <c r="K14" s="1412">
        <v>304118.64</v>
      </c>
      <c r="L14" s="1408"/>
      <c r="M14" s="1434">
        <f>+K14/$K$41</f>
        <v>1.6140287848482055E-2</v>
      </c>
      <c r="N14" s="1426"/>
      <c r="O14" s="1412">
        <v>271147.65999999997</v>
      </c>
      <c r="P14" s="1426"/>
      <c r="Q14" s="1434">
        <f>+O14/$O$41</f>
        <v>1.469275772836433E-2</v>
      </c>
      <c r="R14" s="1426"/>
      <c r="S14" s="1412">
        <v>245412.06</v>
      </c>
      <c r="T14" s="1426"/>
      <c r="U14" s="1434">
        <f>+S14/$S$41</f>
        <v>1.3835396897039059E-2</v>
      </c>
      <c r="V14" s="1426"/>
      <c r="W14" s="1412">
        <v>273777.26</v>
      </c>
      <c r="X14" s="1426"/>
      <c r="Y14" s="1434">
        <f>+W14/$W$41</f>
        <v>1.5369498468737622E-2</v>
      </c>
      <c r="Z14" s="1426"/>
      <c r="AA14" s="1412">
        <v>244148.7</v>
      </c>
      <c r="AB14" s="1426"/>
      <c r="AC14" s="1434">
        <f>+AA14/$AA$41</f>
        <v>1.3465583239539381E-2</v>
      </c>
      <c r="AD14" s="1426"/>
      <c r="AE14" s="1412">
        <v>261728.36</v>
      </c>
      <c r="AF14" s="1426"/>
      <c r="AG14" s="1434">
        <f>+AE14/$AE$41</f>
        <v>1.4564852488870168E-2</v>
      </c>
      <c r="AH14" s="1427"/>
      <c r="AI14" s="1412">
        <v>248763.43</v>
      </c>
      <c r="AJ14" s="1426"/>
      <c r="AK14" s="1434">
        <f>+AI14/$AI$41</f>
        <v>1.3931568905717348E-2</v>
      </c>
      <c r="AL14" s="1426"/>
      <c r="AM14" s="1412">
        <v>278482.78000000003</v>
      </c>
      <c r="AN14" s="1426"/>
      <c r="AO14" s="1434">
        <f>+AM14/$AM$41</f>
        <v>1.5530460405818278E-2</v>
      </c>
      <c r="AP14" s="1426"/>
      <c r="AQ14" s="1412">
        <v>265232.59999999998</v>
      </c>
      <c r="AR14" s="1426"/>
      <c r="AS14" s="1434">
        <f>+AQ14/$AQ$41</f>
        <v>1.3644318013446937E-2</v>
      </c>
      <c r="AT14" s="1426"/>
      <c r="AU14" s="1451">
        <v>264525.2</v>
      </c>
      <c r="AV14" s="1428"/>
      <c r="AW14" s="1437">
        <f>+AU14/$AU$41</f>
        <v>1.3487500475714146E-2</v>
      </c>
      <c r="AX14" s="1408"/>
      <c r="AY14" s="1452">
        <f>C14+G14+K14+O14+S14+W14+AA14+AE14+AI14+AM14+AQ14+AU14</f>
        <v>3134892.0700000008</v>
      </c>
      <c r="AZ14" s="1439"/>
      <c r="BA14" s="1440">
        <f>+AY14/$AY$41</f>
        <v>1.4354170253831303E-2</v>
      </c>
      <c r="BB14" s="1408"/>
      <c r="BC14" s="1452">
        <v>3144443.51</v>
      </c>
      <c r="BD14" s="1439"/>
      <c r="BE14" s="1440">
        <f>+BC14/BC41</f>
        <v>1.492073582798195E-2</v>
      </c>
    </row>
    <row r="15" spans="2:57" ht="14.25">
      <c r="B15" s="1441" t="s">
        <v>1667</v>
      </c>
      <c r="C15" s="1449">
        <v>546273.56000000006</v>
      </c>
      <c r="D15" s="1408"/>
      <c r="E15" s="1434">
        <f>+C15/$C$41</f>
        <v>3.0627251984632241E-2</v>
      </c>
      <c r="F15" s="1408"/>
      <c r="G15" s="1412">
        <v>602694.79</v>
      </c>
      <c r="H15" s="1408"/>
      <c r="I15" s="1434">
        <f>+G15/$G$41</f>
        <v>3.5935311746535664E-2</v>
      </c>
      <c r="J15" s="1426"/>
      <c r="K15" s="1412">
        <v>755984.53</v>
      </c>
      <c r="L15" s="1408"/>
      <c r="M15" s="1434">
        <f>+K15/$K$41</f>
        <v>4.0121867976258933E-2</v>
      </c>
      <c r="N15" s="1426"/>
      <c r="O15" s="1412">
        <v>653295.51</v>
      </c>
      <c r="P15" s="1426"/>
      <c r="Q15" s="1434">
        <f>+O15/$O$41</f>
        <v>3.5400315287464464E-2</v>
      </c>
      <c r="R15" s="1426"/>
      <c r="S15" s="1412">
        <v>587251.32999999996</v>
      </c>
      <c r="T15" s="1426"/>
      <c r="U15" s="1434">
        <f>+S15/$S$41</f>
        <v>3.3106992496065843E-2</v>
      </c>
      <c r="V15" s="1426"/>
      <c r="W15" s="1412">
        <v>629007.23</v>
      </c>
      <c r="X15" s="1426"/>
      <c r="Y15" s="1434">
        <f>+W15/$W$41</f>
        <v>3.531164589166351E-2</v>
      </c>
      <c r="Z15" s="1426"/>
      <c r="AA15" s="1412">
        <v>597705.02</v>
      </c>
      <c r="AB15" s="1426"/>
      <c r="AC15" s="1434">
        <f>+AA15/$AA$41</f>
        <v>3.2965347345697726E-2</v>
      </c>
      <c r="AD15" s="1426"/>
      <c r="AE15" s="1412">
        <v>604811.68999999994</v>
      </c>
      <c r="AF15" s="1426"/>
      <c r="AG15" s="1434">
        <f>+AE15/$AE$41</f>
        <v>3.3657006250275179E-2</v>
      </c>
      <c r="AH15" s="1427"/>
      <c r="AI15" s="1412">
        <v>570490.62</v>
      </c>
      <c r="AJ15" s="1426"/>
      <c r="AK15" s="1434">
        <f>+AI15/$AI$41</f>
        <v>3.1949347951165538E-2</v>
      </c>
      <c r="AL15" s="1426"/>
      <c r="AM15" s="1412">
        <v>614209.6</v>
      </c>
      <c r="AN15" s="1426"/>
      <c r="AO15" s="1434">
        <f>+AM15/$AM$41</f>
        <v>3.4253313162391878E-2</v>
      </c>
      <c r="AP15" s="1426"/>
      <c r="AQ15" s="1412">
        <v>555794.01</v>
      </c>
      <c r="AR15" s="1426"/>
      <c r="AS15" s="1434">
        <f>+AQ15/$AQ$41</f>
        <v>2.8591621928861336E-2</v>
      </c>
      <c r="AT15" s="1426"/>
      <c r="AU15" s="1451">
        <v>544377.73</v>
      </c>
      <c r="AV15" s="1428"/>
      <c r="AW15" s="1437">
        <f>+AU15/$AU$41</f>
        <v>2.775650445531536E-2</v>
      </c>
      <c r="AX15" s="1408"/>
      <c r="AY15" s="1452">
        <f>C15+G15+K15+O15+S15+W15+AA15+AE15+AI15+AM15+AQ15+AU15</f>
        <v>7261895.6199999992</v>
      </c>
      <c r="AZ15" s="1439"/>
      <c r="BA15" s="1440">
        <f>+AY15/$AY$41</f>
        <v>3.3251060568420712E-2</v>
      </c>
      <c r="BB15" s="1408"/>
      <c r="BC15" s="1452">
        <v>7689423.4500000002</v>
      </c>
      <c r="BD15" s="1439"/>
      <c r="BE15" s="1440">
        <f>+BC15/BC41</f>
        <v>3.6487173518006552E-2</v>
      </c>
    </row>
    <row r="16" spans="2:57" ht="14.25">
      <c r="B16" s="1441" t="s">
        <v>1668</v>
      </c>
      <c r="C16" s="1449">
        <v>123482.31</v>
      </c>
      <c r="D16" s="1408"/>
      <c r="E16" s="1434">
        <f>+C16/$C$41</f>
        <v>6.9231317437630944E-3</v>
      </c>
      <c r="F16" s="1408"/>
      <c r="G16" s="1412">
        <v>135615.01</v>
      </c>
      <c r="H16" s="1408"/>
      <c r="I16" s="1434">
        <f>+G16/$G$41</f>
        <v>8.0859628168671437E-3</v>
      </c>
      <c r="J16" s="1426"/>
      <c r="K16" s="1412">
        <v>165638.1</v>
      </c>
      <c r="L16" s="1408"/>
      <c r="M16" s="1434">
        <f>+K16/$K$41</f>
        <v>8.790801552564011E-3</v>
      </c>
      <c r="N16" s="1426"/>
      <c r="O16" s="1412">
        <v>145015.09</v>
      </c>
      <c r="P16" s="1426"/>
      <c r="Q16" s="1434">
        <f>+O16/$O$41</f>
        <v>7.8579751871247893E-3</v>
      </c>
      <c r="R16" s="1426"/>
      <c r="S16" s="1412">
        <v>140476.79</v>
      </c>
      <c r="T16" s="1426"/>
      <c r="U16" s="1434">
        <f>+S16/$S$41</f>
        <v>7.9195461888548081E-3</v>
      </c>
      <c r="V16" s="1426"/>
      <c r="W16" s="1412">
        <v>137848.75</v>
      </c>
      <c r="X16" s="1426"/>
      <c r="Y16" s="1434">
        <f>+W16/$W$41</f>
        <v>7.738649119515606E-3</v>
      </c>
      <c r="Z16" s="1426"/>
      <c r="AA16" s="1412">
        <v>137978.23000000001</v>
      </c>
      <c r="AB16" s="1426"/>
      <c r="AC16" s="1434">
        <f>+AA16/$AA$41</f>
        <v>7.6099415696635284E-3</v>
      </c>
      <c r="AD16" s="1426"/>
      <c r="AE16" s="1412">
        <v>130589.43</v>
      </c>
      <c r="AF16" s="1426"/>
      <c r="AG16" s="1434">
        <f>+AE16/$AE$41</f>
        <v>7.2671367541356103E-3</v>
      </c>
      <c r="AH16" s="1427"/>
      <c r="AI16" s="1412">
        <v>134278.66</v>
      </c>
      <c r="AJ16" s="1426"/>
      <c r="AK16" s="1434">
        <f>+AI16/$AI$41</f>
        <v>7.5200458699150119E-3</v>
      </c>
      <c r="AL16" s="1426"/>
      <c r="AM16" s="1412">
        <v>148430.65</v>
      </c>
      <c r="AN16" s="1426"/>
      <c r="AO16" s="1434">
        <f>+AM16/$AM$41</f>
        <v>8.2776979346258703E-3</v>
      </c>
      <c r="AP16" s="1426"/>
      <c r="AQ16" s="1412">
        <v>142996.26999999999</v>
      </c>
      <c r="AR16" s="1426"/>
      <c r="AS16" s="1434">
        <f>+AQ16/$AQ$41</f>
        <v>7.3561341351580526E-3</v>
      </c>
      <c r="AT16" s="1426"/>
      <c r="AU16" s="1451">
        <v>141212.45000000001</v>
      </c>
      <c r="AV16" s="1428"/>
      <c r="AW16" s="1437">
        <f>+AU16/$AU$41</f>
        <v>7.2000814536829017E-3</v>
      </c>
      <c r="AX16" s="1408"/>
      <c r="AY16" s="1452">
        <f>C16+G16+K16+O16+S16+W16+AA16+AE16+AI16+AM16+AQ16+AU16</f>
        <v>1683561.7399999998</v>
      </c>
      <c r="AZ16" s="1439"/>
      <c r="BA16" s="1440">
        <f>+AY16/$AY$41</f>
        <v>7.7087604004167391E-3</v>
      </c>
      <c r="BB16" s="1408"/>
      <c r="BC16" s="1452">
        <v>1700267.3</v>
      </c>
      <c r="BD16" s="1439"/>
      <c r="BE16" s="1440">
        <f>+BC16/BC41</f>
        <v>8.0679583333510534E-3</v>
      </c>
    </row>
    <row r="17" spans="2:57" ht="14.25">
      <c r="B17" s="1432" t="s">
        <v>1787</v>
      </c>
      <c r="C17" s="1449">
        <v>0</v>
      </c>
      <c r="D17" s="1408"/>
      <c r="E17" s="1434">
        <f>+C17/$C$41</f>
        <v>0</v>
      </c>
      <c r="F17" s="1408"/>
      <c r="G17" s="1408">
        <v>0</v>
      </c>
      <c r="H17" s="1408"/>
      <c r="I17" s="1434">
        <f>+G17/$G$41</f>
        <v>0</v>
      </c>
      <c r="J17" s="1426"/>
      <c r="K17" s="1412">
        <v>0</v>
      </c>
      <c r="L17" s="1408"/>
      <c r="M17" s="1434">
        <f>+K17/$K$41</f>
        <v>0</v>
      </c>
      <c r="N17" s="1426"/>
      <c r="O17" s="1412">
        <v>0</v>
      </c>
      <c r="P17" s="1426"/>
      <c r="Q17" s="1434">
        <f>+O17/$O$41</f>
        <v>0</v>
      </c>
      <c r="R17" s="1426"/>
      <c r="S17" s="1412">
        <v>0</v>
      </c>
      <c r="T17" s="1426"/>
      <c r="U17" s="1434">
        <f>+S17/$S$41</f>
        <v>0</v>
      </c>
      <c r="V17" s="1426"/>
      <c r="W17" s="1412">
        <v>0</v>
      </c>
      <c r="X17" s="1426"/>
      <c r="Y17" s="1434">
        <f>+W17/$W$41</f>
        <v>0</v>
      </c>
      <c r="Z17" s="1426"/>
      <c r="AA17" s="1412">
        <v>0</v>
      </c>
      <c r="AB17" s="1426"/>
      <c r="AC17" s="1434">
        <f>+AA17/$AA$41</f>
        <v>0</v>
      </c>
      <c r="AD17" s="1426"/>
      <c r="AE17" s="1412">
        <v>0</v>
      </c>
      <c r="AF17" s="1426"/>
      <c r="AG17" s="1434">
        <f>+AE17/$AE$41</f>
        <v>0</v>
      </c>
      <c r="AH17" s="1427"/>
      <c r="AI17" s="1412">
        <v>0</v>
      </c>
      <c r="AJ17" s="1426"/>
      <c r="AK17" s="1434">
        <f>+AI17/$AI$41</f>
        <v>0</v>
      </c>
      <c r="AL17" s="1426"/>
      <c r="AM17" s="1412">
        <v>0</v>
      </c>
      <c r="AN17" s="1426"/>
      <c r="AO17" s="1434">
        <f>+AM17/$AM$41</f>
        <v>0</v>
      </c>
      <c r="AP17" s="1426"/>
      <c r="AQ17" s="1412">
        <v>1156482.52</v>
      </c>
      <c r="AR17" s="1426"/>
      <c r="AS17" s="1434">
        <f>+AQ17/$AQ$41</f>
        <v>5.9492744405749927E-2</v>
      </c>
      <c r="AT17" s="1426"/>
      <c r="AU17" s="1451">
        <v>569159.79</v>
      </c>
      <c r="AV17" s="1428"/>
      <c r="AW17" s="1437">
        <f>+AU17/$AU$41</f>
        <v>2.9020081785714042E-2</v>
      </c>
      <c r="AX17" s="1408"/>
      <c r="AY17" s="1452">
        <f>C17+G17+K17+O17+S17+W17+AA17+AE17+AI17+AM17+AQ17+AU17</f>
        <v>1725642.31</v>
      </c>
      <c r="AZ17" s="1439"/>
      <c r="BA17" s="1440">
        <f>+AY17/$AY$41</f>
        <v>7.901440611623586E-3</v>
      </c>
      <c r="BB17" s="1408"/>
      <c r="BC17" s="1452">
        <v>975.5</v>
      </c>
      <c r="BD17" s="1439"/>
      <c r="BE17" s="1440">
        <f>+BC17/BC41</f>
        <v>4.6288565063763514E-6</v>
      </c>
    </row>
    <row r="18" spans="2:57" ht="14.25">
      <c r="B18" s="1441" t="s">
        <v>1670</v>
      </c>
      <c r="C18" s="1442">
        <v>239004.55</v>
      </c>
      <c r="D18" s="1408"/>
      <c r="E18" s="1443">
        <f>+C18/$C$41</f>
        <v>1.3399975972338172E-2</v>
      </c>
      <c r="F18" s="1408"/>
      <c r="G18" s="1444">
        <v>213961.46</v>
      </c>
      <c r="H18" s="1454"/>
      <c r="I18" s="1443">
        <f>+G18/$G$41</f>
        <v>1.2757322436525326E-2</v>
      </c>
      <c r="J18" s="1426"/>
      <c r="K18" s="1444">
        <v>243098.51</v>
      </c>
      <c r="L18" s="1408"/>
      <c r="M18" s="1443">
        <f>+K18/$K$41</f>
        <v>1.2901806765073964E-2</v>
      </c>
      <c r="N18" s="1426"/>
      <c r="O18" s="1444">
        <v>259520.39</v>
      </c>
      <c r="P18" s="1455"/>
      <c r="Q18" s="1443">
        <f>+O18/$O$41</f>
        <v>1.4062707440811496E-2</v>
      </c>
      <c r="R18" s="1426"/>
      <c r="S18" s="1444">
        <v>199014.58</v>
      </c>
      <c r="T18" s="1455"/>
      <c r="U18" s="1443">
        <f>+S18/$S$41</f>
        <v>1.1219683753917927E-2</v>
      </c>
      <c r="V18" s="1426"/>
      <c r="W18" s="1444">
        <v>267454.34000000003</v>
      </c>
      <c r="X18" s="1455"/>
      <c r="Y18" s="1443">
        <f>+W18/$W$41</f>
        <v>1.5014537982764645E-2</v>
      </c>
      <c r="Z18" s="1426"/>
      <c r="AA18" s="1444">
        <v>285777.44</v>
      </c>
      <c r="AB18" s="1426"/>
      <c r="AC18" s="1443">
        <f>+AA18/$AA$41</f>
        <v>1.5761541660072206E-2</v>
      </c>
      <c r="AD18" s="1426"/>
      <c r="AE18" s="1444">
        <v>251058.11</v>
      </c>
      <c r="AF18" s="1426"/>
      <c r="AG18" s="1443">
        <f>+AE18/$AE$41</f>
        <v>1.3971066560324378E-2</v>
      </c>
      <c r="AH18" s="1427"/>
      <c r="AI18" s="1444">
        <v>342545.15</v>
      </c>
      <c r="AJ18" s="1426"/>
      <c r="AK18" s="1443">
        <f>+AI18/$AI$41</f>
        <v>1.9183653162139973E-2</v>
      </c>
      <c r="AL18" s="1426"/>
      <c r="AM18" s="1444">
        <v>260267.67</v>
      </c>
      <c r="AN18" s="1426"/>
      <c r="AO18" s="1443">
        <f>+AM18/$AM$41</f>
        <v>1.4514638010470799E-2</v>
      </c>
      <c r="AP18" s="1426"/>
      <c r="AQ18" s="1444">
        <v>212805.94</v>
      </c>
      <c r="AR18" s="1426"/>
      <c r="AS18" s="1443">
        <f>+AQ18/$AQ$41</f>
        <v>1.0947341769113255E-2</v>
      </c>
      <c r="AT18" s="1426"/>
      <c r="AU18" s="1445">
        <v>278066.53000000003</v>
      </c>
      <c r="AV18" s="1428"/>
      <c r="AW18" s="1446">
        <f>+AU18/$AU$41</f>
        <v>1.4177940157138837E-2</v>
      </c>
      <c r="AX18" s="1408"/>
      <c r="AY18" s="1447">
        <f>C18+G18+K18+O18+S18+W18+AA18+AE18+AI18+AM18+AQ18+AU18</f>
        <v>3052574.67</v>
      </c>
      <c r="AZ18" s="1439"/>
      <c r="BA18" s="1448">
        <f>+AY18/$AY$41</f>
        <v>1.3977252022495591E-2</v>
      </c>
      <c r="BB18" s="1408"/>
      <c r="BC18" s="1447">
        <v>2438882.65</v>
      </c>
      <c r="BD18" s="1439"/>
      <c r="BE18" s="1448">
        <f>+BC18/BC41</f>
        <v>1.1572770705013734E-2</v>
      </c>
    </row>
    <row r="19" spans="2:57" ht="14.25">
      <c r="B19" s="1411"/>
      <c r="C19" s="1449"/>
      <c r="D19" s="1408"/>
      <c r="E19" s="1434"/>
      <c r="F19" s="1408"/>
      <c r="G19" s="1408"/>
      <c r="H19" s="1408"/>
      <c r="I19" s="1408"/>
      <c r="J19" s="1408"/>
      <c r="K19" s="1408"/>
      <c r="L19" s="1408"/>
      <c r="M19" s="1434"/>
      <c r="N19" s="1426"/>
      <c r="O19" s="1408"/>
      <c r="P19" s="1426"/>
      <c r="Q19" s="1434"/>
      <c r="R19" s="1426"/>
      <c r="S19" s="1408"/>
      <c r="T19" s="1426"/>
      <c r="U19" s="1434"/>
      <c r="V19" s="1426"/>
      <c r="W19" s="1408"/>
      <c r="X19" s="1426"/>
      <c r="Y19" s="1434"/>
      <c r="Z19" s="1426"/>
      <c r="AA19" s="1408"/>
      <c r="AB19" s="1426"/>
      <c r="AC19" s="1434"/>
      <c r="AD19" s="1426"/>
      <c r="AE19" s="1408"/>
      <c r="AF19" s="1426"/>
      <c r="AG19" s="1434"/>
      <c r="AH19" s="1427"/>
      <c r="AI19" s="1408"/>
      <c r="AJ19" s="1426"/>
      <c r="AK19" s="1434"/>
      <c r="AL19" s="1426"/>
      <c r="AM19" s="1408"/>
      <c r="AN19" s="1426"/>
      <c r="AO19" s="1434"/>
      <c r="AP19" s="1426"/>
      <c r="AQ19" s="1408"/>
      <c r="AR19" s="1426"/>
      <c r="AS19" s="1434"/>
      <c r="AT19" s="1426"/>
      <c r="AU19" s="1431"/>
      <c r="AV19" s="1428"/>
      <c r="AW19" s="1437"/>
      <c r="AX19" s="1408"/>
      <c r="AY19" s="1452"/>
      <c r="AZ19" s="1439"/>
      <c r="BA19" s="1453"/>
      <c r="BB19" s="1408"/>
      <c r="BC19" s="1452"/>
      <c r="BD19" s="1439"/>
      <c r="BE19" s="1453"/>
    </row>
    <row r="20" spans="2:57" ht="14.25">
      <c r="B20" s="1441" t="s">
        <v>1671</v>
      </c>
      <c r="C20" s="1449">
        <f>SUM(C12:C18)</f>
        <v>4975714.08</v>
      </c>
      <c r="D20" s="1408"/>
      <c r="E20" s="1434">
        <f>+C20/$C$41</f>
        <v>0.27896727956528333</v>
      </c>
      <c r="F20" s="1408"/>
      <c r="G20" s="1412">
        <f>SUM(G12:G18)</f>
        <v>5783251.8199999994</v>
      </c>
      <c r="H20" s="1408"/>
      <c r="I20" s="1434">
        <f>+G20/$G$41</f>
        <v>0.34482288632430308</v>
      </c>
      <c r="J20" s="1426"/>
      <c r="K20" s="1412">
        <f>SUM(K12:K18)</f>
        <v>7160520.9999999991</v>
      </c>
      <c r="L20" s="1408"/>
      <c r="M20" s="1434">
        <f>+K20/$K$41</f>
        <v>0.38002560476102537</v>
      </c>
      <c r="N20" s="1426"/>
      <c r="O20" s="1412">
        <f>SUM(O12:O18)</f>
        <v>6483235.5999999996</v>
      </c>
      <c r="P20" s="1426"/>
      <c r="Q20" s="1434">
        <f>+O20/$O$41</f>
        <v>0.35130898775488884</v>
      </c>
      <c r="R20" s="1426"/>
      <c r="S20" s="1412">
        <f>SUM(S12:S18)</f>
        <v>5955844.3399999999</v>
      </c>
      <c r="T20" s="1426"/>
      <c r="U20" s="1434">
        <f>+S20/$S$41</f>
        <v>0.33576781149583129</v>
      </c>
      <c r="V20" s="1426"/>
      <c r="W20" s="1412">
        <f>SUM(W12:W18)</f>
        <v>6326381.4399999995</v>
      </c>
      <c r="X20" s="1426"/>
      <c r="Y20" s="1434">
        <f>+W20/$W$41</f>
        <v>0.35515480670209826</v>
      </c>
      <c r="Z20" s="1426"/>
      <c r="AA20" s="1412">
        <f>SUM(AA12:AA18)</f>
        <v>5722654.9300000006</v>
      </c>
      <c r="AB20" s="1426"/>
      <c r="AC20" s="1434">
        <f>+AA20/$AA$41</f>
        <v>0.315622759044285</v>
      </c>
      <c r="AD20" s="1426"/>
      <c r="AE20" s="1412">
        <f>SUM(AE12:AE18)</f>
        <v>5752587.1500000013</v>
      </c>
      <c r="AF20" s="1426"/>
      <c r="AG20" s="1434">
        <f>+AE20/$AE$41</f>
        <v>0.3201242053750693</v>
      </c>
      <c r="AH20" s="1427"/>
      <c r="AI20" s="1412">
        <f>SUM(AI12:AI18)</f>
        <v>5830713.9700000007</v>
      </c>
      <c r="AJ20" s="1426"/>
      <c r="AK20" s="1434">
        <f>+AI20/$AI$41</f>
        <v>0.32653912772702876</v>
      </c>
      <c r="AL20" s="1426"/>
      <c r="AM20" s="1412">
        <f>SUM(AM12:AM18)</f>
        <v>6508147.8200000003</v>
      </c>
      <c r="AN20" s="1426"/>
      <c r="AO20" s="1434">
        <f>+AM20/$AM$41</f>
        <v>0.36294715254466553</v>
      </c>
      <c r="AP20" s="1426"/>
      <c r="AQ20" s="1412">
        <f>SUM(AQ12:AQ18)</f>
        <v>6578691.9099999992</v>
      </c>
      <c r="AR20" s="1426"/>
      <c r="AS20" s="1434">
        <f>+AQ20/$AQ$41</f>
        <v>0.33842659059455976</v>
      </c>
      <c r="AT20" s="1426"/>
      <c r="AU20" s="1451">
        <f>SUM(AU12:AU18)</f>
        <v>6543852.5600000015</v>
      </c>
      <c r="AV20" s="1428"/>
      <c r="AW20" s="1437">
        <f>+AU20/$AU$41</f>
        <v>0.33365522270091186</v>
      </c>
      <c r="AX20" s="1408"/>
      <c r="AY20" s="1452">
        <f>C20+G20+K20+O20+S20+W20+AA20+AE20+AI20+AM20+AQ20+AU20</f>
        <v>73621596.61999999</v>
      </c>
      <c r="AZ20" s="1439"/>
      <c r="BA20" s="1440">
        <f>+AY20/$AY$41</f>
        <v>0.33710153608011478</v>
      </c>
      <c r="BB20" s="1408"/>
      <c r="BC20" s="1452">
        <f>SUM(BC12:BC18)</f>
        <v>71931421.989999995</v>
      </c>
      <c r="BD20" s="1439"/>
      <c r="BE20" s="1440">
        <f>SUM(BE12:BE18)</f>
        <v>0.34132263525506351</v>
      </c>
    </row>
    <row r="21" spans="2:57" ht="14.25">
      <c r="B21" s="1411"/>
      <c r="C21" s="1449"/>
      <c r="D21" s="1408"/>
      <c r="E21" s="1434"/>
      <c r="F21" s="1408"/>
      <c r="G21" s="1412"/>
      <c r="H21" s="1408"/>
      <c r="I21" s="1434"/>
      <c r="J21" s="1426"/>
      <c r="K21" s="1412"/>
      <c r="L21" s="1408"/>
      <c r="M21" s="1434"/>
      <c r="N21" s="1426"/>
      <c r="O21" s="1412"/>
      <c r="P21" s="1426"/>
      <c r="Q21" s="1434"/>
      <c r="R21" s="1426"/>
      <c r="S21" s="1412"/>
      <c r="T21" s="1426"/>
      <c r="U21" s="1434"/>
      <c r="V21" s="1426"/>
      <c r="W21" s="1412"/>
      <c r="X21" s="1426"/>
      <c r="Y21" s="1434"/>
      <c r="Z21" s="1426"/>
      <c r="AA21" s="1412"/>
      <c r="AB21" s="1426"/>
      <c r="AC21" s="1434"/>
      <c r="AD21" s="1426"/>
      <c r="AE21" s="1412"/>
      <c r="AF21" s="1426"/>
      <c r="AG21" s="1434"/>
      <c r="AH21" s="1427"/>
      <c r="AI21" s="1412"/>
      <c r="AJ21" s="1426"/>
      <c r="AK21" s="1434"/>
      <c r="AL21" s="1426"/>
      <c r="AM21" s="1412"/>
      <c r="AN21" s="1426"/>
      <c r="AO21" s="1434"/>
      <c r="AP21" s="1426"/>
      <c r="AQ21" s="1412"/>
      <c r="AR21" s="1426"/>
      <c r="AS21" s="1434"/>
      <c r="AT21" s="1426"/>
      <c r="AU21" s="1451"/>
      <c r="AV21" s="1428"/>
      <c r="AW21" s="1437"/>
      <c r="AX21" s="1408"/>
      <c r="AY21" s="1452"/>
      <c r="AZ21" s="1439"/>
      <c r="BA21" s="1453"/>
      <c r="BB21" s="1408"/>
      <c r="BC21" s="1452"/>
      <c r="BD21" s="1439"/>
      <c r="BE21" s="1453"/>
    </row>
    <row r="22" spans="2:57" ht="14.25">
      <c r="B22" s="1411"/>
      <c r="C22" s="1449"/>
      <c r="D22" s="1408"/>
      <c r="E22" s="1434"/>
      <c r="F22" s="1408"/>
      <c r="G22" s="1412"/>
      <c r="H22" s="1408"/>
      <c r="I22" s="1434"/>
      <c r="J22" s="1426"/>
      <c r="K22" s="1412"/>
      <c r="L22" s="1408"/>
      <c r="M22" s="1434"/>
      <c r="N22" s="1426"/>
      <c r="O22" s="1412"/>
      <c r="P22" s="1426"/>
      <c r="Q22" s="1434"/>
      <c r="R22" s="1426"/>
      <c r="S22" s="1412"/>
      <c r="T22" s="1426"/>
      <c r="U22" s="1434"/>
      <c r="V22" s="1426"/>
      <c r="W22" s="1412"/>
      <c r="X22" s="1426"/>
      <c r="Y22" s="1434"/>
      <c r="Z22" s="1426"/>
      <c r="AA22" s="1412"/>
      <c r="AB22" s="1426"/>
      <c r="AC22" s="1434"/>
      <c r="AD22" s="1426"/>
      <c r="AE22" s="1412"/>
      <c r="AF22" s="1426"/>
      <c r="AG22" s="1434"/>
      <c r="AH22" s="1427"/>
      <c r="AI22" s="1412"/>
      <c r="AJ22" s="1426"/>
      <c r="AK22" s="1434"/>
      <c r="AL22" s="1426"/>
      <c r="AM22" s="1412"/>
      <c r="AN22" s="1426"/>
      <c r="AO22" s="1434"/>
      <c r="AP22" s="1426"/>
      <c r="AQ22" s="1412"/>
      <c r="AR22" s="1426"/>
      <c r="AS22" s="1434"/>
      <c r="AT22" s="1426"/>
      <c r="AU22" s="1451"/>
      <c r="AV22" s="1428"/>
      <c r="AW22" s="1437"/>
      <c r="AX22" s="1408"/>
      <c r="AY22" s="1452"/>
      <c r="AZ22" s="1439"/>
      <c r="BA22" s="1453"/>
      <c r="BB22" s="1408"/>
      <c r="BC22" s="1452"/>
      <c r="BD22" s="1439"/>
      <c r="BE22" s="1453"/>
    </row>
    <row r="23" spans="2:57" ht="15">
      <c r="B23" s="1425" t="s">
        <v>1672</v>
      </c>
      <c r="C23" s="1449"/>
      <c r="D23" s="1408"/>
      <c r="E23" s="1434"/>
      <c r="F23" s="1408"/>
      <c r="G23" s="1412"/>
      <c r="H23" s="1408"/>
      <c r="I23" s="1434"/>
      <c r="J23" s="1426"/>
      <c r="K23" s="1412"/>
      <c r="L23" s="1408"/>
      <c r="M23" s="1434"/>
      <c r="N23" s="1426"/>
      <c r="O23" s="1412"/>
      <c r="P23" s="1426"/>
      <c r="Q23" s="1434"/>
      <c r="R23" s="1426"/>
      <c r="S23" s="1412"/>
      <c r="T23" s="1426"/>
      <c r="U23" s="1434"/>
      <c r="V23" s="1426"/>
      <c r="W23" s="1412"/>
      <c r="X23" s="1426"/>
      <c r="Y23" s="1434"/>
      <c r="Z23" s="1426"/>
      <c r="AA23" s="1412"/>
      <c r="AB23" s="1426"/>
      <c r="AC23" s="1434"/>
      <c r="AD23" s="1426"/>
      <c r="AE23" s="1412"/>
      <c r="AF23" s="1426"/>
      <c r="AG23" s="1434"/>
      <c r="AH23" s="1427"/>
      <c r="AI23" s="1412"/>
      <c r="AJ23" s="1426"/>
      <c r="AK23" s="1434"/>
      <c r="AL23" s="1426"/>
      <c r="AM23" s="1412"/>
      <c r="AN23" s="1426"/>
      <c r="AO23" s="1434"/>
      <c r="AP23" s="1426"/>
      <c r="AQ23" s="1412"/>
      <c r="AR23" s="1426"/>
      <c r="AS23" s="1434"/>
      <c r="AT23" s="1426"/>
      <c r="AU23" s="1451"/>
      <c r="AV23" s="1428"/>
      <c r="AW23" s="1437"/>
      <c r="AX23" s="1408"/>
      <c r="AY23" s="1452"/>
      <c r="AZ23" s="1439"/>
      <c r="BA23" s="1453"/>
      <c r="BB23" s="1408"/>
      <c r="BC23" s="1452"/>
      <c r="BD23" s="1439"/>
      <c r="BE23" s="1453"/>
    </row>
    <row r="24" spans="2:57" ht="14.25">
      <c r="B24" s="1411"/>
      <c r="C24" s="1449"/>
      <c r="D24" s="1408"/>
      <c r="E24" s="1434"/>
      <c r="F24" s="1408"/>
      <c r="G24" s="1412"/>
      <c r="H24" s="1408"/>
      <c r="I24" s="1434"/>
      <c r="J24" s="1426"/>
      <c r="K24" s="1412"/>
      <c r="L24" s="1408"/>
      <c r="M24" s="1434"/>
      <c r="N24" s="1426"/>
      <c r="O24" s="1412"/>
      <c r="P24" s="1426"/>
      <c r="Q24" s="1434"/>
      <c r="R24" s="1426"/>
      <c r="S24" s="1412"/>
      <c r="T24" s="1426"/>
      <c r="U24" s="1434"/>
      <c r="V24" s="1426"/>
      <c r="W24" s="1412"/>
      <c r="X24" s="1426"/>
      <c r="Y24" s="1434"/>
      <c r="Z24" s="1426"/>
      <c r="AA24" s="1412"/>
      <c r="AB24" s="1426"/>
      <c r="AC24" s="1434"/>
      <c r="AD24" s="1426"/>
      <c r="AE24" s="1412"/>
      <c r="AF24" s="1426"/>
      <c r="AG24" s="1434"/>
      <c r="AH24" s="1427"/>
      <c r="AI24" s="1412"/>
      <c r="AJ24" s="1426"/>
      <c r="AK24" s="1434"/>
      <c r="AL24" s="1426"/>
      <c r="AM24" s="1412"/>
      <c r="AN24" s="1426"/>
      <c r="AO24" s="1434"/>
      <c r="AP24" s="1426"/>
      <c r="AQ24" s="1412"/>
      <c r="AR24" s="1426"/>
      <c r="AS24" s="1434"/>
      <c r="AT24" s="1426"/>
      <c r="AU24" s="1451"/>
      <c r="AV24" s="1428"/>
      <c r="AW24" s="1437"/>
      <c r="AX24" s="1408"/>
      <c r="AY24" s="1452"/>
      <c r="AZ24" s="1439"/>
      <c r="BA24" s="1453"/>
      <c r="BB24" s="1408"/>
      <c r="BC24" s="1452"/>
      <c r="BD24" s="1439"/>
      <c r="BE24" s="1453"/>
    </row>
    <row r="25" spans="2:57" ht="14.25" hidden="1">
      <c r="B25" s="1456" t="s">
        <v>1788</v>
      </c>
      <c r="C25" s="1457">
        <v>1591680.61</v>
      </c>
      <c r="D25" s="1426"/>
      <c r="E25" s="1458">
        <f t="shared" ref="E25:E30" si="0">+C25/$C$41</f>
        <v>8.9238811267971951E-2</v>
      </c>
      <c r="F25" s="1426"/>
      <c r="G25" s="1457">
        <v>1519645.01</v>
      </c>
      <c r="H25" s="1426"/>
      <c r="I25" s="1458">
        <f t="shared" ref="I25:I30" si="1">+G25/$G$41</f>
        <v>9.0607913133639834E-2</v>
      </c>
      <c r="J25" s="1426"/>
      <c r="K25" s="1457">
        <v>1802935.69</v>
      </c>
      <c r="L25" s="1426"/>
      <c r="M25" s="1458">
        <f t="shared" ref="M25:M30" si="2">+K25/$K$41</f>
        <v>9.5686015855199175E-2</v>
      </c>
      <c r="N25" s="1426"/>
      <c r="O25" s="1457">
        <v>1686713.44</v>
      </c>
      <c r="P25" s="1426"/>
      <c r="Q25" s="1458">
        <f t="shared" ref="Q25:Q30" si="3">+O25/$O$41</f>
        <v>9.1398435564946368E-2</v>
      </c>
      <c r="R25" s="1426"/>
      <c r="S25" s="1457">
        <v>1609773.47</v>
      </c>
      <c r="T25" s="1426"/>
      <c r="U25" s="1458">
        <f t="shared" ref="U25:U30" si="4">+S25/$S$41</f>
        <v>9.0752894832363984E-2</v>
      </c>
      <c r="V25" s="1426"/>
      <c r="W25" s="1457">
        <v>1630707.25</v>
      </c>
      <c r="X25" s="1426"/>
      <c r="Y25" s="1458">
        <f t="shared" ref="Y25:Y30" si="5">+W25/$W$41</f>
        <v>9.1545779155779189E-2</v>
      </c>
      <c r="Z25" s="1426"/>
      <c r="AA25" s="1457">
        <v>1582383.65</v>
      </c>
      <c r="AB25" s="1426"/>
      <c r="AC25" s="1458">
        <f t="shared" ref="AC25:AC30" si="6">+AA25/$AA$41</f>
        <v>8.7273529434976099E-2</v>
      </c>
      <c r="AD25" s="1426"/>
      <c r="AE25" s="1457">
        <v>1638521.21</v>
      </c>
      <c r="AF25" s="1426"/>
      <c r="AG25" s="1458">
        <f t="shared" ref="AG25:AG30" si="7">+AE25/$AE$41</f>
        <v>9.1181634743499176E-2</v>
      </c>
      <c r="AH25" s="1427"/>
      <c r="AI25" s="1457">
        <v>1613952.21</v>
      </c>
      <c r="AJ25" s="1426"/>
      <c r="AK25" s="1458">
        <f t="shared" ref="AK25:AK30" si="8">+AI25/$AI$41</f>
        <v>9.0386623243415634E-2</v>
      </c>
      <c r="AL25" s="1426"/>
      <c r="AM25" s="1457">
        <v>1770503.28</v>
      </c>
      <c r="AN25" s="1426"/>
      <c r="AO25" s="1458">
        <f t="shared" ref="AO25:AO30" si="9">+AM25/$AM$41</f>
        <v>9.8737635010722719E-2</v>
      </c>
      <c r="AP25" s="1426"/>
      <c r="AQ25" s="1457">
        <v>1594246.72</v>
      </c>
      <c r="AR25" s="1426"/>
      <c r="AS25" s="1458">
        <f t="shared" ref="AS25:AS30" si="10">+AQ25/$AQ$41</f>
        <v>8.2012577788607793E-2</v>
      </c>
      <c r="AT25" s="1426"/>
      <c r="AU25" s="1459">
        <v>1617202.52</v>
      </c>
      <c r="AV25" s="1428"/>
      <c r="AW25" s="1460">
        <f t="shared" ref="AW25:AW30" si="11">+AU25/$AU$41</f>
        <v>8.2457247013993817E-2</v>
      </c>
      <c r="AX25" s="1426"/>
      <c r="AY25" s="1452">
        <f t="shared" ref="AY25:AY30" si="12">C25+G25+K25+O25+S25+W25+AA25+AE25+AI25+AM25+AQ25+AU25</f>
        <v>19658265.059999999</v>
      </c>
      <c r="AZ25" s="1427"/>
      <c r="BA25" s="1440">
        <f t="shared" ref="BA25:BA30" si="13">+AY25/$AY$41</f>
        <v>9.0012056959327194E-2</v>
      </c>
      <c r="BB25" s="1426"/>
      <c r="BC25" s="1452">
        <v>18756700.169999998</v>
      </c>
      <c r="BD25" s="1427"/>
      <c r="BE25" s="1440">
        <f>+BC25/BC41</f>
        <v>8.9002638257360239E-2</v>
      </c>
    </row>
    <row r="26" spans="2:57" ht="14.25" hidden="1">
      <c r="B26" s="1456" t="s">
        <v>1789</v>
      </c>
      <c r="C26" s="1457">
        <v>180693.65</v>
      </c>
      <c r="D26" s="1426"/>
      <c r="E26" s="1458">
        <f t="shared" si="0"/>
        <v>1.0130730014780402E-2</v>
      </c>
      <c r="F26" s="1426"/>
      <c r="G26" s="1457">
        <v>186158.01</v>
      </c>
      <c r="H26" s="1426"/>
      <c r="I26" s="1458">
        <f t="shared" si="1"/>
        <v>1.1099558573361326E-2</v>
      </c>
      <c r="J26" s="1426"/>
      <c r="K26" s="1457">
        <v>213610.74</v>
      </c>
      <c r="L26" s="1426"/>
      <c r="M26" s="1458">
        <f t="shared" si="2"/>
        <v>1.1336821811143373E-2</v>
      </c>
      <c r="N26" s="1426"/>
      <c r="O26" s="1457">
        <v>235217.46</v>
      </c>
      <c r="P26" s="1426"/>
      <c r="Q26" s="1458">
        <f t="shared" si="3"/>
        <v>1.2745797449482794E-2</v>
      </c>
      <c r="R26" s="1426"/>
      <c r="S26" s="1457">
        <v>257953.69</v>
      </c>
      <c r="T26" s="1426"/>
      <c r="U26" s="1458">
        <f t="shared" si="4"/>
        <v>1.4542446211509635E-2</v>
      </c>
      <c r="V26" s="1426"/>
      <c r="W26" s="1457">
        <v>214073.34</v>
      </c>
      <c r="X26" s="1426"/>
      <c r="Y26" s="1458">
        <f t="shared" si="5"/>
        <v>1.2017798232503124E-2</v>
      </c>
      <c r="Z26" s="1426"/>
      <c r="AA26" s="1457">
        <v>224741.03</v>
      </c>
      <c r="AB26" s="1426"/>
      <c r="AC26" s="1458">
        <f t="shared" si="6"/>
        <v>1.2395188042388991E-2</v>
      </c>
      <c r="AD26" s="1426"/>
      <c r="AE26" s="1457">
        <v>234678.03</v>
      </c>
      <c r="AF26" s="1426"/>
      <c r="AG26" s="1458">
        <f t="shared" si="7"/>
        <v>1.3059535807768972E-2</v>
      </c>
      <c r="AH26" s="1427"/>
      <c r="AI26" s="1457">
        <v>218411.51999999999</v>
      </c>
      <c r="AJ26" s="1426"/>
      <c r="AK26" s="1458">
        <f t="shared" si="8"/>
        <v>1.2231762283879358E-2</v>
      </c>
      <c r="AL26" s="1426"/>
      <c r="AM26" s="1457">
        <v>222091.25</v>
      </c>
      <c r="AN26" s="1426"/>
      <c r="AO26" s="1458">
        <f t="shared" si="9"/>
        <v>1.2385610932940588E-2</v>
      </c>
      <c r="AP26" s="1426"/>
      <c r="AQ26" s="1457">
        <v>275538.65999999997</v>
      </c>
      <c r="AR26" s="1426"/>
      <c r="AS26" s="1458">
        <f t="shared" si="10"/>
        <v>1.4174491001630382E-2</v>
      </c>
      <c r="AT26" s="1426"/>
      <c r="AU26" s="1459">
        <v>151522.23000000001</v>
      </c>
      <c r="AV26" s="1428"/>
      <c r="AW26" s="1460">
        <f t="shared" si="11"/>
        <v>7.7257522126673315E-3</v>
      </c>
      <c r="AX26" s="1426"/>
      <c r="AY26" s="1452">
        <f t="shared" si="12"/>
        <v>2614689.6100000003</v>
      </c>
      <c r="AZ26" s="1427"/>
      <c r="BA26" s="1440">
        <f t="shared" si="13"/>
        <v>1.19722462479749E-2</v>
      </c>
      <c r="BB26" s="1426"/>
      <c r="BC26" s="1452">
        <v>2707408.35</v>
      </c>
      <c r="BD26" s="1427"/>
      <c r="BE26" s="1440">
        <f>+BC26/BC41</f>
        <v>1.284695515767828E-2</v>
      </c>
    </row>
    <row r="27" spans="2:57" ht="14.25" hidden="1">
      <c r="B27" s="1456" t="s">
        <v>1790</v>
      </c>
      <c r="C27" s="1442">
        <v>1727598.7</v>
      </c>
      <c r="D27" s="1426"/>
      <c r="E27" s="1461">
        <f t="shared" si="0"/>
        <v>9.6859164688884211E-2</v>
      </c>
      <c r="F27" s="1426"/>
      <c r="G27" s="1442">
        <v>1373223.3</v>
      </c>
      <c r="H27" s="1426"/>
      <c r="I27" s="1461">
        <f t="shared" si="1"/>
        <v>8.187760737587671E-2</v>
      </c>
      <c r="J27" s="1426"/>
      <c r="K27" s="1442">
        <v>1488222.41</v>
      </c>
      <c r="L27" s="1426"/>
      <c r="M27" s="1461">
        <f t="shared" si="2"/>
        <v>7.8983445670944993E-2</v>
      </c>
      <c r="N27" s="1426"/>
      <c r="O27" s="1442">
        <v>1528764.83</v>
      </c>
      <c r="P27" s="1426"/>
      <c r="Q27" s="1461">
        <f t="shared" si="3"/>
        <v>8.2839627938644508E-2</v>
      </c>
      <c r="R27" s="1426"/>
      <c r="S27" s="1442">
        <v>1488861.92</v>
      </c>
      <c r="T27" s="1426"/>
      <c r="U27" s="1461">
        <f t="shared" si="4"/>
        <v>8.3936362329086911E-2</v>
      </c>
      <c r="V27" s="1426"/>
      <c r="W27" s="1442">
        <v>1645887.41</v>
      </c>
      <c r="X27" s="1426"/>
      <c r="Y27" s="1461">
        <f t="shared" si="5"/>
        <v>9.2397973548677959E-2</v>
      </c>
      <c r="Z27" s="1426"/>
      <c r="AA27" s="1442">
        <v>1539062.65</v>
      </c>
      <c r="AB27" s="1426"/>
      <c r="AC27" s="1461">
        <f t="shared" si="6"/>
        <v>8.4884237452180017E-2</v>
      </c>
      <c r="AD27" s="1426"/>
      <c r="AE27" s="1442">
        <v>1707622.67</v>
      </c>
      <c r="AF27" s="1426"/>
      <c r="AG27" s="1461">
        <f t="shared" si="7"/>
        <v>9.5027043669247843E-2</v>
      </c>
      <c r="AH27" s="1427"/>
      <c r="AI27" s="1442">
        <v>1689956.45</v>
      </c>
      <c r="AJ27" s="1426"/>
      <c r="AK27" s="1461">
        <f t="shared" si="8"/>
        <v>9.4643110246696943E-2</v>
      </c>
      <c r="AL27" s="1426"/>
      <c r="AM27" s="1442">
        <v>1409341.08</v>
      </c>
      <c r="AN27" s="1426"/>
      <c r="AO27" s="1461">
        <f t="shared" si="9"/>
        <v>7.8596298992825234E-2</v>
      </c>
      <c r="AP27" s="1426"/>
      <c r="AQ27" s="1442">
        <v>1745446.21</v>
      </c>
      <c r="AR27" s="1426"/>
      <c r="AS27" s="1461">
        <f t="shared" si="10"/>
        <v>8.9790708851799086E-2</v>
      </c>
      <c r="AT27" s="1426"/>
      <c r="AU27" s="1462">
        <v>1648422.95</v>
      </c>
      <c r="AV27" s="1428"/>
      <c r="AW27" s="1463">
        <f t="shared" si="11"/>
        <v>8.404910126635616E-2</v>
      </c>
      <c r="AX27" s="1426"/>
      <c r="AY27" s="1447">
        <f t="shared" si="12"/>
        <v>18992410.579999998</v>
      </c>
      <c r="AZ27" s="1427"/>
      <c r="BA27" s="1448">
        <f t="shared" si="13"/>
        <v>8.696321560952075E-2</v>
      </c>
      <c r="BB27" s="1426"/>
      <c r="BC27" s="1447">
        <v>19320417.390000001</v>
      </c>
      <c r="BD27" s="1427"/>
      <c r="BE27" s="1448">
        <f>+BC27/BC41</f>
        <v>9.1677539458337579E-2</v>
      </c>
    </row>
    <row r="28" spans="2:57" ht="14.25">
      <c r="B28" s="1441" t="s">
        <v>1673</v>
      </c>
      <c r="C28" s="1412">
        <f>SUM(C25:C27)</f>
        <v>3499972.96</v>
      </c>
      <c r="D28" s="1408"/>
      <c r="E28" s="1434">
        <f t="shared" si="0"/>
        <v>0.19622870597163658</v>
      </c>
      <c r="F28" s="1408"/>
      <c r="G28" s="1412">
        <f>SUM(G25:G27)</f>
        <v>3079026.3200000003</v>
      </c>
      <c r="H28" s="1408"/>
      <c r="I28" s="1434">
        <f t="shared" si="1"/>
        <v>0.18358507908287788</v>
      </c>
      <c r="J28" s="1426"/>
      <c r="K28" s="1412">
        <f>SUM(K25:K27)</f>
        <v>3504768.84</v>
      </c>
      <c r="L28" s="1408"/>
      <c r="M28" s="1434">
        <f t="shared" si="2"/>
        <v>0.18600628333728753</v>
      </c>
      <c r="N28" s="1426"/>
      <c r="O28" s="1412">
        <f>SUM(O25:O27)</f>
        <v>3450695.73</v>
      </c>
      <c r="P28" s="1426"/>
      <c r="Q28" s="1434">
        <f t="shared" si="3"/>
        <v>0.18698386095307368</v>
      </c>
      <c r="R28" s="1426"/>
      <c r="S28" s="1412">
        <f>SUM(S25:S27)</f>
        <v>3356589.08</v>
      </c>
      <c r="T28" s="1426"/>
      <c r="U28" s="1434">
        <f t="shared" si="4"/>
        <v>0.18923170337296052</v>
      </c>
      <c r="V28" s="1426"/>
      <c r="W28" s="1412">
        <f>SUM(W25:W27)</f>
        <v>3490668</v>
      </c>
      <c r="X28" s="1426"/>
      <c r="Y28" s="1434">
        <f t="shared" si="5"/>
        <v>0.19596155093696027</v>
      </c>
      <c r="Z28" s="1426"/>
      <c r="AA28" s="1412">
        <f>SUM(AA25:AA27)</f>
        <v>3346187.33</v>
      </c>
      <c r="AB28" s="1426"/>
      <c r="AC28" s="1434">
        <f t="shared" si="6"/>
        <v>0.18455295492954513</v>
      </c>
      <c r="AD28" s="1426"/>
      <c r="AE28" s="1412">
        <f>SUM(AE25:AE27)</f>
        <v>3580821.91</v>
      </c>
      <c r="AF28" s="1426"/>
      <c r="AG28" s="1434">
        <f t="shared" si="7"/>
        <v>0.19926821422051602</v>
      </c>
      <c r="AH28" s="1427"/>
      <c r="AI28" s="1412">
        <f>SUM(AI25:AI27)</f>
        <v>3522320.1799999997</v>
      </c>
      <c r="AJ28" s="1426"/>
      <c r="AK28" s="1434">
        <f t="shared" si="8"/>
        <v>0.19726149577399191</v>
      </c>
      <c r="AL28" s="1426"/>
      <c r="AM28" s="1412">
        <f>SUM(AM25:AM27)</f>
        <v>3401935.6100000003</v>
      </c>
      <c r="AN28" s="1426"/>
      <c r="AO28" s="1434">
        <f t="shared" si="9"/>
        <v>0.18971954493648854</v>
      </c>
      <c r="AP28" s="1426"/>
      <c r="AQ28" s="1412">
        <f>SUM(AQ25:AQ27)</f>
        <v>3615231.59</v>
      </c>
      <c r="AR28" s="1426"/>
      <c r="AS28" s="1434">
        <f t="shared" si="10"/>
        <v>0.18597777764203727</v>
      </c>
      <c r="AT28" s="1426"/>
      <c r="AU28" s="1451">
        <f>SUM(AU25:AU27)</f>
        <v>3417147.7</v>
      </c>
      <c r="AV28" s="1428"/>
      <c r="AW28" s="1437">
        <f t="shared" si="11"/>
        <v>0.17423210049301732</v>
      </c>
      <c r="AX28" s="1408"/>
      <c r="AY28" s="1452">
        <f t="shared" si="12"/>
        <v>41265365.25</v>
      </c>
      <c r="AZ28" s="1439"/>
      <c r="BA28" s="1440">
        <f t="shared" si="13"/>
        <v>0.18894751881682287</v>
      </c>
      <c r="BB28" s="1408"/>
      <c r="BC28" s="1452">
        <f>SUM(BC25:BC27)</f>
        <v>40784525.909999996</v>
      </c>
      <c r="BD28" s="1439"/>
      <c r="BE28" s="1440">
        <f>+BC28/BC41</f>
        <v>0.19352713287337608</v>
      </c>
    </row>
    <row r="29" spans="2:57" ht="14.25">
      <c r="B29" s="1441" t="s">
        <v>1674</v>
      </c>
      <c r="C29" s="1449">
        <v>1695640.91</v>
      </c>
      <c r="D29" s="1408"/>
      <c r="E29" s="1434">
        <f t="shared" si="0"/>
        <v>9.5067426338593275E-2</v>
      </c>
      <c r="F29" s="1408"/>
      <c r="G29" s="1412">
        <v>1426351.11</v>
      </c>
      <c r="H29" s="1408"/>
      <c r="I29" s="1434">
        <f t="shared" si="1"/>
        <v>8.5045320862765686E-2</v>
      </c>
      <c r="J29" s="1426"/>
      <c r="K29" s="1412">
        <v>1928778.88</v>
      </c>
      <c r="L29" s="1408"/>
      <c r="M29" s="1434">
        <f t="shared" si="2"/>
        <v>0.10236480841579729</v>
      </c>
      <c r="N29" s="1426"/>
      <c r="O29" s="1412">
        <v>1925027.01</v>
      </c>
      <c r="P29" s="1426"/>
      <c r="Q29" s="1434">
        <f t="shared" si="3"/>
        <v>0.10431200283449829</v>
      </c>
      <c r="R29" s="1426"/>
      <c r="S29" s="1412">
        <v>1757343.91</v>
      </c>
      <c r="T29" s="1426"/>
      <c r="U29" s="1434">
        <f t="shared" si="4"/>
        <v>9.9072353980666175E-2</v>
      </c>
      <c r="V29" s="1426"/>
      <c r="W29" s="1412">
        <v>1513133.01</v>
      </c>
      <c r="X29" s="1426"/>
      <c r="Y29" s="1434">
        <f t="shared" si="5"/>
        <v>8.4945314596951357E-2</v>
      </c>
      <c r="Z29" s="1426"/>
      <c r="AA29" s="1412">
        <v>1652473.07</v>
      </c>
      <c r="AB29" s="1426"/>
      <c r="AC29" s="1434">
        <f t="shared" si="6"/>
        <v>9.1139185566755779E-2</v>
      </c>
      <c r="AD29" s="1426"/>
      <c r="AE29" s="1412">
        <v>1702362.28</v>
      </c>
      <c r="AF29" s="1426"/>
      <c r="AG29" s="1434">
        <f t="shared" si="7"/>
        <v>9.4734309613282622E-2</v>
      </c>
      <c r="AH29" s="1427"/>
      <c r="AI29" s="1412">
        <v>1632547.2</v>
      </c>
      <c r="AJ29" s="1426"/>
      <c r="AK29" s="1434">
        <f t="shared" si="8"/>
        <v>9.1428003740887165E-2</v>
      </c>
      <c r="AL29" s="1426"/>
      <c r="AM29" s="1412">
        <v>1881281.09</v>
      </c>
      <c r="AN29" s="1426"/>
      <c r="AO29" s="1434">
        <f t="shared" si="9"/>
        <v>0.10491550493879605</v>
      </c>
      <c r="AP29" s="1426"/>
      <c r="AQ29" s="1412">
        <v>1838460.67</v>
      </c>
      <c r="AR29" s="1426"/>
      <c r="AS29" s="1434">
        <f t="shared" si="10"/>
        <v>9.4575636768235591E-2</v>
      </c>
      <c r="AT29" s="1426"/>
      <c r="AU29" s="1451">
        <v>1641023.89</v>
      </c>
      <c r="AV29" s="1428"/>
      <c r="AW29" s="1437">
        <f t="shared" si="11"/>
        <v>8.3671841083697421E-2</v>
      </c>
      <c r="AX29" s="1408"/>
      <c r="AY29" s="1452">
        <f t="shared" si="12"/>
        <v>20594423.030000001</v>
      </c>
      <c r="AZ29" s="1439"/>
      <c r="BA29" s="1440">
        <f t="shared" si="13"/>
        <v>9.429857483165098E-2</v>
      </c>
      <c r="BB29" s="1408"/>
      <c r="BC29" s="1452">
        <v>20023981.34</v>
      </c>
      <c r="BD29" s="1439"/>
      <c r="BE29" s="1440">
        <f>+BC29/BC41</f>
        <v>9.5016029020212875E-2</v>
      </c>
    </row>
    <row r="30" spans="2:57" ht="14.25">
      <c r="B30" s="1464" t="s">
        <v>1675</v>
      </c>
      <c r="C30" s="1442">
        <v>3998192.07</v>
      </c>
      <c r="D30" s="1408"/>
      <c r="E30" s="1443">
        <f t="shared" si="0"/>
        <v>0.2241617478445202</v>
      </c>
      <c r="F30" s="1408"/>
      <c r="G30" s="1444">
        <v>4291404.79</v>
      </c>
      <c r="H30" s="1408"/>
      <c r="I30" s="1443">
        <f t="shared" si="1"/>
        <v>0.25587241090839097</v>
      </c>
      <c r="J30" s="1426"/>
      <c r="K30" s="1444">
        <v>5194185.18</v>
      </c>
      <c r="L30" s="1408"/>
      <c r="M30" s="1443">
        <f t="shared" si="2"/>
        <v>0.27566756165790945</v>
      </c>
      <c r="N30" s="1426"/>
      <c r="O30" s="1444">
        <v>4534475.24</v>
      </c>
      <c r="P30" s="1426"/>
      <c r="Q30" s="1443">
        <f t="shared" si="3"/>
        <v>0.24571093892747115</v>
      </c>
      <c r="R30" s="1426"/>
      <c r="S30" s="1444">
        <v>4223835.32</v>
      </c>
      <c r="T30" s="1426"/>
      <c r="U30" s="1443">
        <f t="shared" si="4"/>
        <v>0.23812374208476952</v>
      </c>
      <c r="V30" s="1426"/>
      <c r="W30" s="1444">
        <v>4551429.4800000004</v>
      </c>
      <c r="X30" s="1426"/>
      <c r="Y30" s="1443">
        <f t="shared" si="5"/>
        <v>0.25551131757044859</v>
      </c>
      <c r="Z30" s="1426"/>
      <c r="AA30" s="1444">
        <v>4164718.55</v>
      </c>
      <c r="AB30" s="1426"/>
      <c r="AC30" s="1443">
        <f t="shared" si="6"/>
        <v>0.22969757489709652</v>
      </c>
      <c r="AD30" s="1426"/>
      <c r="AE30" s="1444">
        <v>4456146.4800000004</v>
      </c>
      <c r="AF30" s="1426"/>
      <c r="AG30" s="1443">
        <f t="shared" si="7"/>
        <v>0.24797892039669697</v>
      </c>
      <c r="AH30" s="1427"/>
      <c r="AI30" s="1444">
        <v>4262835.4400000004</v>
      </c>
      <c r="AJ30" s="1426"/>
      <c r="AK30" s="1443">
        <f t="shared" si="8"/>
        <v>0.23873278184857774</v>
      </c>
      <c r="AL30" s="1426"/>
      <c r="AM30" s="1444">
        <v>4525497.5</v>
      </c>
      <c r="AN30" s="1426"/>
      <c r="AO30" s="1443">
        <f t="shared" si="9"/>
        <v>0.25237847647305012</v>
      </c>
      <c r="AP30" s="1426"/>
      <c r="AQ30" s="1444">
        <v>4360057.13</v>
      </c>
      <c r="AR30" s="1426"/>
      <c r="AS30" s="1443">
        <f t="shared" si="10"/>
        <v>0.22429371818742022</v>
      </c>
      <c r="AT30" s="1426"/>
      <c r="AU30" s="1445">
        <v>4215918.63</v>
      </c>
      <c r="AV30" s="1428"/>
      <c r="AW30" s="1446">
        <f t="shared" si="11"/>
        <v>0.21495949923749091</v>
      </c>
      <c r="AX30" s="1465"/>
      <c r="AY30" s="1447">
        <f t="shared" si="12"/>
        <v>52778695.810000002</v>
      </c>
      <c r="AZ30" s="1439"/>
      <c r="BA30" s="1448">
        <f t="shared" si="13"/>
        <v>0.24166522116721953</v>
      </c>
      <c r="BB30" s="1466"/>
      <c r="BC30" s="1447">
        <v>51664203.590000004</v>
      </c>
      <c r="BD30" s="1439"/>
      <c r="BE30" s="1448">
        <f>+BC30/BC41</f>
        <v>0.24515241920484263</v>
      </c>
    </row>
    <row r="31" spans="2:57" ht="14.25">
      <c r="B31" s="1411"/>
      <c r="C31" s="1449"/>
      <c r="D31" s="1408"/>
      <c r="E31" s="1434"/>
      <c r="F31" s="1408"/>
      <c r="G31" s="1412"/>
      <c r="H31" s="1408"/>
      <c r="I31" s="1434"/>
      <c r="J31" s="1426"/>
      <c r="K31" s="1412"/>
      <c r="L31" s="1408"/>
      <c r="M31" s="1434"/>
      <c r="N31" s="1426"/>
      <c r="O31" s="1412"/>
      <c r="P31" s="1426"/>
      <c r="Q31" s="1434"/>
      <c r="R31" s="1426"/>
      <c r="S31" s="1412"/>
      <c r="T31" s="1426"/>
      <c r="U31" s="1434"/>
      <c r="V31" s="1426"/>
      <c r="W31" s="1412"/>
      <c r="X31" s="1426"/>
      <c r="Y31" s="1434"/>
      <c r="Z31" s="1426"/>
      <c r="AA31" s="1412"/>
      <c r="AB31" s="1426"/>
      <c r="AC31" s="1434"/>
      <c r="AD31" s="1426"/>
      <c r="AE31" s="1412"/>
      <c r="AF31" s="1426"/>
      <c r="AG31" s="1434"/>
      <c r="AH31" s="1427"/>
      <c r="AI31" s="1412"/>
      <c r="AJ31" s="1426"/>
      <c r="AK31" s="1434"/>
      <c r="AL31" s="1426"/>
      <c r="AM31" s="1412"/>
      <c r="AN31" s="1426"/>
      <c r="AO31" s="1434"/>
      <c r="AP31" s="1426"/>
      <c r="AQ31" s="1412"/>
      <c r="AR31" s="1426"/>
      <c r="AS31" s="1434"/>
      <c r="AT31" s="1426"/>
      <c r="AU31" s="1451"/>
      <c r="AV31" s="1428"/>
      <c r="AW31" s="1437"/>
      <c r="AX31" s="1408"/>
      <c r="AY31" s="1452"/>
      <c r="AZ31" s="1439"/>
      <c r="BA31" s="1453"/>
      <c r="BB31" s="1466"/>
      <c r="BC31" s="1452"/>
      <c r="BD31" s="1439"/>
      <c r="BE31" s="1453"/>
    </row>
    <row r="32" spans="2:57" ht="14.25">
      <c r="B32" s="1441" t="s">
        <v>1676</v>
      </c>
      <c r="C32" s="1442">
        <f>SUM(C28:C31)</f>
        <v>9193805.9399999995</v>
      </c>
      <c r="D32" s="1408"/>
      <c r="E32" s="1443">
        <f>+C32/$C$41</f>
        <v>0.51545788015475003</v>
      </c>
      <c r="F32" s="1465"/>
      <c r="G32" s="1444">
        <f>SUM(G28:G31)</f>
        <v>8796782.2200000007</v>
      </c>
      <c r="H32" s="1408"/>
      <c r="I32" s="1443">
        <f>+G32/$G$41</f>
        <v>0.52450281085403461</v>
      </c>
      <c r="J32" s="1426"/>
      <c r="K32" s="1444">
        <f>SUM(K28:K31)</f>
        <v>10627732.899999999</v>
      </c>
      <c r="L32" s="1408"/>
      <c r="M32" s="1443">
        <f>+K32/$K$41</f>
        <v>0.56403865341099424</v>
      </c>
      <c r="N32" s="1426"/>
      <c r="O32" s="1444">
        <f>SUM(O28:O31)</f>
        <v>9910197.9800000004</v>
      </c>
      <c r="P32" s="1426"/>
      <c r="Q32" s="1443">
        <f>+O32/$O$41</f>
        <v>0.53700680271504309</v>
      </c>
      <c r="R32" s="1426"/>
      <c r="S32" s="1444">
        <f>SUM(S28:S31)</f>
        <v>9337768.3100000005</v>
      </c>
      <c r="T32" s="1426"/>
      <c r="U32" s="1443">
        <f>+S32/$S$41</f>
        <v>0.52642779943839624</v>
      </c>
      <c r="V32" s="1426"/>
      <c r="W32" s="1444">
        <f>SUM(W28:W31)</f>
        <v>9555230.4900000002</v>
      </c>
      <c r="X32" s="1426"/>
      <c r="Y32" s="1443">
        <f>+W32/$W$41</f>
        <v>0.53641818310436018</v>
      </c>
      <c r="Z32" s="1426"/>
      <c r="AA32" s="1444">
        <f>SUM(AA28:AA31)</f>
        <v>9163378.9499999993</v>
      </c>
      <c r="AB32" s="1426"/>
      <c r="AC32" s="1443">
        <f>+AA32/$AA$41</f>
        <v>0.50538971539339739</v>
      </c>
      <c r="AD32" s="1426"/>
      <c r="AE32" s="1444">
        <f>SUM(AE28:AE31)</f>
        <v>9739330.6700000018</v>
      </c>
      <c r="AF32" s="1426"/>
      <c r="AG32" s="1443">
        <f>+AE32/$AE$41</f>
        <v>0.54198144423049566</v>
      </c>
      <c r="AH32" s="1427"/>
      <c r="AI32" s="1444">
        <f>SUM(AI28:AI31)</f>
        <v>9417702.8200000003</v>
      </c>
      <c r="AJ32" s="1426"/>
      <c r="AK32" s="1443">
        <f>+AI32/$AI$41</f>
        <v>0.52742228136345681</v>
      </c>
      <c r="AL32" s="1426"/>
      <c r="AM32" s="1444">
        <f>SUM(AM28:AM31)</f>
        <v>9808714.1999999993</v>
      </c>
      <c r="AN32" s="1426"/>
      <c r="AO32" s="1443">
        <f>+AM32/$AM$41</f>
        <v>0.54701352634833467</v>
      </c>
      <c r="AP32" s="1426"/>
      <c r="AQ32" s="1444">
        <f>SUM(AQ28:AQ31)</f>
        <v>9813749.3900000006</v>
      </c>
      <c r="AR32" s="1426"/>
      <c r="AS32" s="1443">
        <f>+AQ32/$AQ$41</f>
        <v>0.50484713259769309</v>
      </c>
      <c r="AT32" s="1426"/>
      <c r="AU32" s="1445">
        <f>SUM(AU28:AU31)</f>
        <v>9274090.2199999988</v>
      </c>
      <c r="AV32" s="1428"/>
      <c r="AW32" s="1446">
        <f>+AU32/$AU$41</f>
        <v>0.47286344081420562</v>
      </c>
      <c r="AX32" s="1465"/>
      <c r="AY32" s="1447">
        <f>C32+G32+K32+O32+S32+W32+AA32+AE32+AI32+AM32+AQ32+AU32</f>
        <v>114638484.09</v>
      </c>
      <c r="AZ32" s="1439"/>
      <c r="BA32" s="1448">
        <f>+AY32/$AY$41</f>
        <v>0.52491131481569342</v>
      </c>
      <c r="BB32" s="1466"/>
      <c r="BC32" s="1447">
        <f>SUM(BC28:BC31)</f>
        <v>112472710.84</v>
      </c>
      <c r="BD32" s="1439"/>
      <c r="BE32" s="1448">
        <f>+BC32/BC41</f>
        <v>0.53369558109843163</v>
      </c>
    </row>
    <row r="33" spans="2:57" ht="14.25">
      <c r="B33" s="1411"/>
      <c r="C33" s="1449"/>
      <c r="D33" s="1408"/>
      <c r="E33" s="1450"/>
      <c r="F33" s="1408"/>
      <c r="G33" s="1412"/>
      <c r="H33" s="1408"/>
      <c r="I33" s="1434"/>
      <c r="J33" s="1426"/>
      <c r="K33" s="1412"/>
      <c r="L33" s="1408"/>
      <c r="M33" s="1434"/>
      <c r="N33" s="1426"/>
      <c r="O33" s="1412"/>
      <c r="P33" s="1426"/>
      <c r="Q33" s="1434"/>
      <c r="R33" s="1426"/>
      <c r="S33" s="1412"/>
      <c r="T33" s="1426"/>
      <c r="U33" s="1434"/>
      <c r="V33" s="1426"/>
      <c r="W33" s="1412"/>
      <c r="X33" s="1426"/>
      <c r="Y33" s="1434"/>
      <c r="Z33" s="1426"/>
      <c r="AA33" s="1412"/>
      <c r="AB33" s="1426"/>
      <c r="AC33" s="1434"/>
      <c r="AD33" s="1426"/>
      <c r="AE33" s="1412"/>
      <c r="AF33" s="1426"/>
      <c r="AG33" s="1434"/>
      <c r="AH33" s="1427"/>
      <c r="AI33" s="1412"/>
      <c r="AJ33" s="1426"/>
      <c r="AK33" s="1434"/>
      <c r="AL33" s="1426"/>
      <c r="AM33" s="1412"/>
      <c r="AN33" s="1426"/>
      <c r="AO33" s="1434"/>
      <c r="AP33" s="1426"/>
      <c r="AQ33" s="1412"/>
      <c r="AR33" s="1426"/>
      <c r="AS33" s="1434"/>
      <c r="AT33" s="1426"/>
      <c r="AU33" s="1451"/>
      <c r="AV33" s="1428"/>
      <c r="AW33" s="1437"/>
      <c r="AX33" s="1408"/>
      <c r="AY33" s="1452"/>
      <c r="AZ33" s="1439"/>
      <c r="BA33" s="1453"/>
      <c r="BB33" s="1466"/>
      <c r="BC33" s="1452"/>
      <c r="BD33" s="1439"/>
      <c r="BE33" s="1453"/>
    </row>
    <row r="34" spans="2:57" ht="14.25">
      <c r="B34" s="1441" t="s">
        <v>1677</v>
      </c>
      <c r="C34" s="1442">
        <v>88299.22</v>
      </c>
      <c r="D34" s="1408"/>
      <c r="E34" s="1443">
        <f>+C34/$C$41</f>
        <v>4.9505644406192357E-3</v>
      </c>
      <c r="F34" s="1465"/>
      <c r="G34" s="1444">
        <v>90890.9</v>
      </c>
      <c r="H34" s="1408"/>
      <c r="I34" s="1443">
        <f>+G34/$G$41</f>
        <v>5.4193148515904671E-3</v>
      </c>
      <c r="J34" s="1426"/>
      <c r="K34" s="1444">
        <v>104636.04</v>
      </c>
      <c r="L34" s="1408"/>
      <c r="M34" s="1443">
        <f>+K34/$K$41</f>
        <v>5.5532794863388914E-3</v>
      </c>
      <c r="N34" s="1426"/>
      <c r="O34" s="1444">
        <v>99465.59</v>
      </c>
      <c r="P34" s="1426"/>
      <c r="Q34" s="1443">
        <f>+O34/$O$41</f>
        <v>5.3897710796354205E-3</v>
      </c>
      <c r="R34" s="1426"/>
      <c r="S34" s="1444">
        <v>83441.98</v>
      </c>
      <c r="T34" s="1426"/>
      <c r="U34" s="1443">
        <f>+S34/$S$41</f>
        <v>4.7041409096798062E-3</v>
      </c>
      <c r="V34" s="1426"/>
      <c r="W34" s="1444">
        <v>83710.539999999994</v>
      </c>
      <c r="X34" s="1426"/>
      <c r="Y34" s="1443">
        <f>+W34/$W$41</f>
        <v>4.6994005869851986E-3</v>
      </c>
      <c r="Z34" s="1426"/>
      <c r="AA34" s="1444">
        <v>80304.56</v>
      </c>
      <c r="AB34" s="1426"/>
      <c r="AC34" s="1443">
        <f>+AA34/$AA$41</f>
        <v>4.4290538397074595E-3</v>
      </c>
      <c r="AD34" s="1426"/>
      <c r="AE34" s="1444">
        <v>77066.929999999993</v>
      </c>
      <c r="AF34" s="1426"/>
      <c r="AG34" s="1443">
        <f>+AE34/$AE$41</f>
        <v>4.2886772653146299E-3</v>
      </c>
      <c r="AH34" s="1427"/>
      <c r="AI34" s="1444">
        <v>79169.95</v>
      </c>
      <c r="AJ34" s="1426"/>
      <c r="AK34" s="1443">
        <f>+AI34/$AI$41</f>
        <v>4.4337771580300099E-3</v>
      </c>
      <c r="AL34" s="1426"/>
      <c r="AM34" s="1444">
        <v>97193.71</v>
      </c>
      <c r="AN34" s="1426"/>
      <c r="AO34" s="1443">
        <f>+AM34/$AM$41</f>
        <v>5.4203102427000478E-3</v>
      </c>
      <c r="AP34" s="1426"/>
      <c r="AQ34" s="1444">
        <v>99711.26</v>
      </c>
      <c r="AR34" s="1426"/>
      <c r="AS34" s="1443">
        <f>+AQ34/$AQ$41</f>
        <v>5.1294303225225364E-3</v>
      </c>
      <c r="AT34" s="1426"/>
      <c r="AU34" s="1445">
        <v>99337.2</v>
      </c>
      <c r="AV34" s="1428"/>
      <c r="AW34" s="1446">
        <f>+AU34/$AU$41</f>
        <v>5.0649636868476469E-3</v>
      </c>
      <c r="AX34" s="1465"/>
      <c r="AY34" s="1447">
        <f>+C34+G34+K34+O34+S34+W34+AA34+AE34+AI34+AM34+AQ34+AU34</f>
        <v>1083227.8799999999</v>
      </c>
      <c r="AZ34" s="1439"/>
      <c r="BA34" s="1448">
        <f>+AY34/$AY$41</f>
        <v>4.9599275081954382E-3</v>
      </c>
      <c r="BB34" s="1466"/>
      <c r="BC34" s="1447">
        <v>1064397.1200000001</v>
      </c>
      <c r="BD34" s="1439"/>
      <c r="BE34" s="1448">
        <f>+BC34/BC41</f>
        <v>5.050683274505639E-3</v>
      </c>
    </row>
    <row r="35" spans="2:57" ht="14.25">
      <c r="B35" s="1411"/>
      <c r="C35" s="1449"/>
      <c r="D35" s="1408"/>
      <c r="E35" s="1450"/>
      <c r="F35" s="1408"/>
      <c r="G35" s="1412"/>
      <c r="H35" s="1408"/>
      <c r="I35" s="1434"/>
      <c r="J35" s="1426"/>
      <c r="K35" s="1412"/>
      <c r="L35" s="1408"/>
      <c r="M35" s="1434"/>
      <c r="N35" s="1426"/>
      <c r="O35" s="1412"/>
      <c r="P35" s="1426"/>
      <c r="Q35" s="1434"/>
      <c r="R35" s="1426"/>
      <c r="S35" s="1412"/>
      <c r="T35" s="1426"/>
      <c r="U35" s="1434"/>
      <c r="V35" s="1426"/>
      <c r="W35" s="1412"/>
      <c r="X35" s="1426"/>
      <c r="Y35" s="1434"/>
      <c r="Z35" s="1426"/>
      <c r="AA35" s="1412"/>
      <c r="AB35" s="1426"/>
      <c r="AC35" s="1434"/>
      <c r="AD35" s="1426"/>
      <c r="AE35" s="1412"/>
      <c r="AF35" s="1426"/>
      <c r="AG35" s="1434"/>
      <c r="AH35" s="1427"/>
      <c r="AI35" s="1412"/>
      <c r="AJ35" s="1426"/>
      <c r="AK35" s="1434"/>
      <c r="AL35" s="1426"/>
      <c r="AM35" s="1412"/>
      <c r="AN35" s="1426"/>
      <c r="AO35" s="1434"/>
      <c r="AP35" s="1426"/>
      <c r="AQ35" s="1412"/>
      <c r="AR35" s="1426"/>
      <c r="AS35" s="1434"/>
      <c r="AT35" s="1426"/>
      <c r="AU35" s="1451"/>
      <c r="AV35" s="1428"/>
      <c r="AW35" s="1437"/>
      <c r="AX35" s="1408"/>
      <c r="AY35" s="1452"/>
      <c r="AZ35" s="1439"/>
      <c r="BA35" s="1453"/>
      <c r="BB35" s="1466"/>
      <c r="BC35" s="1452"/>
      <c r="BD35" s="1439"/>
      <c r="BE35" s="1453"/>
    </row>
    <row r="36" spans="2:57" ht="14.25">
      <c r="B36" s="1441" t="s">
        <v>1678</v>
      </c>
      <c r="C36" s="1442">
        <f>+C20+C32+C34</f>
        <v>14257819.24</v>
      </c>
      <c r="D36" s="1408"/>
      <c r="E36" s="1443">
        <f>+C36/$C$41</f>
        <v>0.79937572416065261</v>
      </c>
      <c r="F36" s="1465"/>
      <c r="G36" s="1444">
        <f>+G20+G32+G34</f>
        <v>14670924.939999999</v>
      </c>
      <c r="H36" s="1408"/>
      <c r="I36" s="1443">
        <f>+G36/$G$41</f>
        <v>0.87474501202992805</v>
      </c>
      <c r="J36" s="1426"/>
      <c r="K36" s="1444">
        <f>+K20+K32+K34</f>
        <v>17892889.939999998</v>
      </c>
      <c r="L36" s="1408"/>
      <c r="M36" s="1443">
        <f>+K36/$K$41</f>
        <v>0.94961753765835855</v>
      </c>
      <c r="N36" s="1426"/>
      <c r="O36" s="1444">
        <f>+O20+O32+O34</f>
        <v>16492899.17</v>
      </c>
      <c r="P36" s="1426"/>
      <c r="Q36" s="1443">
        <f>+O36/$O$41</f>
        <v>0.89370556154956737</v>
      </c>
      <c r="R36" s="1426"/>
      <c r="S36" s="1444">
        <f>+S20+S32+S34</f>
        <v>15377054.630000001</v>
      </c>
      <c r="T36" s="1426"/>
      <c r="U36" s="1443">
        <f>+S36/$S$41</f>
        <v>0.86689975184390744</v>
      </c>
      <c r="V36" s="1426"/>
      <c r="W36" s="1444">
        <f>+W20+W32+W34</f>
        <v>15965322.469999999</v>
      </c>
      <c r="X36" s="1426"/>
      <c r="Y36" s="1443">
        <f>+W36/$W$41</f>
        <v>0.89627239039344364</v>
      </c>
      <c r="Z36" s="1426"/>
      <c r="AA36" s="1444">
        <f>+AA20+AA32+AA34</f>
        <v>14966338.439999999</v>
      </c>
      <c r="AB36" s="1426"/>
      <c r="AC36" s="1443">
        <f>+AA36/$AA$41</f>
        <v>0.82544152827738981</v>
      </c>
      <c r="AD36" s="1426"/>
      <c r="AE36" s="1444">
        <f>+AE20+AE32+AE34</f>
        <v>15568984.750000004</v>
      </c>
      <c r="AF36" s="1426"/>
      <c r="AG36" s="1443">
        <f>+AE36/$AE$41</f>
        <v>0.86639432687087969</v>
      </c>
      <c r="AH36" s="1427"/>
      <c r="AI36" s="1444">
        <f>+AI20+AI32+AI34</f>
        <v>15327586.74</v>
      </c>
      <c r="AJ36" s="1426"/>
      <c r="AK36" s="1443">
        <f>+AI36/$AI$41</f>
        <v>0.85839518624851552</v>
      </c>
      <c r="AL36" s="1426"/>
      <c r="AM36" s="1444">
        <f>+AM20+AM32+AM34</f>
        <v>16414055.73</v>
      </c>
      <c r="AN36" s="1426"/>
      <c r="AO36" s="1443">
        <f>+AM36/$AM$41</f>
        <v>0.91538098913570032</v>
      </c>
      <c r="AP36" s="1426"/>
      <c r="AQ36" s="1444">
        <f>+AQ20+AQ32+AQ34</f>
        <v>16492152.560000001</v>
      </c>
      <c r="AR36" s="1426"/>
      <c r="AS36" s="1443">
        <f>+AQ36/$AQ$41</f>
        <v>0.84840315351477547</v>
      </c>
      <c r="AT36" s="1426"/>
      <c r="AU36" s="1445">
        <f>+AU20+AU32+AU34</f>
        <v>15917279.98</v>
      </c>
      <c r="AV36" s="1428"/>
      <c r="AW36" s="1446">
        <f>+AU36/$AU$41</f>
        <v>0.81158362720196509</v>
      </c>
      <c r="AX36" s="1465"/>
      <c r="AY36" s="1447">
        <f>+C36+G36+K36+O36+S36+W36+AA36+AE36+AI36+AM36+AQ36+AU36</f>
        <v>189343308.58999997</v>
      </c>
      <c r="AZ36" s="1439"/>
      <c r="BA36" s="1448">
        <f>+AY36/$AY$41</f>
        <v>0.86697277840400355</v>
      </c>
      <c r="BB36" s="1466"/>
      <c r="BC36" s="1447">
        <f>+BC20+BC32+BC34</f>
        <v>185468529.94999999</v>
      </c>
      <c r="BD36" s="1439"/>
      <c r="BE36" s="1448">
        <f>+BC36/BC41</f>
        <v>0.88006889962800072</v>
      </c>
    </row>
    <row r="37" spans="2:57" ht="14.25">
      <c r="B37" s="1411"/>
      <c r="C37" s="1449"/>
      <c r="D37" s="1408"/>
      <c r="E37" s="1450"/>
      <c r="F37" s="1408"/>
      <c r="G37" s="1412"/>
      <c r="H37" s="1408"/>
      <c r="I37" s="1434"/>
      <c r="J37" s="1426"/>
      <c r="K37" s="1412"/>
      <c r="L37" s="1408"/>
      <c r="M37" s="1434"/>
      <c r="N37" s="1426"/>
      <c r="O37" s="1412"/>
      <c r="P37" s="1426"/>
      <c r="Q37" s="1434"/>
      <c r="R37" s="1426"/>
      <c r="S37" s="1412"/>
      <c r="T37" s="1426"/>
      <c r="U37" s="1434"/>
      <c r="V37" s="1426"/>
      <c r="W37" s="1412"/>
      <c r="X37" s="1426"/>
      <c r="Y37" s="1434"/>
      <c r="Z37" s="1426"/>
      <c r="AA37" s="1412"/>
      <c r="AB37" s="1426"/>
      <c r="AC37" s="1434"/>
      <c r="AD37" s="1426"/>
      <c r="AE37" s="1412"/>
      <c r="AF37" s="1426"/>
      <c r="AG37" s="1434"/>
      <c r="AH37" s="1427"/>
      <c r="AI37" s="1412"/>
      <c r="AJ37" s="1426"/>
      <c r="AK37" s="1434"/>
      <c r="AL37" s="1426"/>
      <c r="AM37" s="1412"/>
      <c r="AN37" s="1426"/>
      <c r="AO37" s="1434"/>
      <c r="AP37" s="1426"/>
      <c r="AQ37" s="1412"/>
      <c r="AR37" s="1426"/>
      <c r="AS37" s="1434"/>
      <c r="AT37" s="1426"/>
      <c r="AU37" s="1451"/>
      <c r="AV37" s="1428"/>
      <c r="AW37" s="1437"/>
      <c r="AX37" s="1408"/>
      <c r="AY37" s="1452"/>
      <c r="AZ37" s="1439"/>
      <c r="BA37" s="1453"/>
      <c r="BB37" s="1408"/>
      <c r="BC37" s="1452"/>
      <c r="BD37" s="1439"/>
      <c r="BE37" s="1453"/>
    </row>
    <row r="38" spans="2:57" ht="14.25">
      <c r="B38" s="1432" t="s">
        <v>1679</v>
      </c>
      <c r="C38" s="1442">
        <v>3578373.19</v>
      </c>
      <c r="D38" s="1408"/>
      <c r="E38" s="1443">
        <f>+C38/$C$41</f>
        <v>0.20062427583934739</v>
      </c>
      <c r="F38" s="1465"/>
      <c r="G38" s="1444">
        <v>2100733.9300000002</v>
      </c>
      <c r="H38" s="1408"/>
      <c r="I38" s="1443">
        <f>+G38/$G$41</f>
        <v>0.12525498797007192</v>
      </c>
      <c r="J38" s="1426"/>
      <c r="K38" s="1444">
        <v>949316.77</v>
      </c>
      <c r="L38" s="1408"/>
      <c r="M38" s="1443">
        <f>+K38/$K$41</f>
        <v>5.0382462341641523E-2</v>
      </c>
      <c r="N38" s="1426"/>
      <c r="O38" s="1444">
        <v>1961611.89</v>
      </c>
      <c r="P38" s="1426"/>
      <c r="Q38" s="1443">
        <f>+O38/$O$41</f>
        <v>0.10629443845043272</v>
      </c>
      <c r="R38" s="1426"/>
      <c r="S38" s="1444">
        <v>2360930.1800000002</v>
      </c>
      <c r="T38" s="1426"/>
      <c r="U38" s="1443">
        <f>+S38/$S$41</f>
        <v>0.13310024815609253</v>
      </c>
      <c r="V38" s="1426"/>
      <c r="W38" s="1444">
        <v>1847702.5</v>
      </c>
      <c r="X38" s="1426"/>
      <c r="Y38" s="1443">
        <f>+W38/$W$41</f>
        <v>0.10372760960655635</v>
      </c>
      <c r="Z38" s="1426"/>
      <c r="AA38" s="1444">
        <v>3164974.23</v>
      </c>
      <c r="AB38" s="1426"/>
      <c r="AC38" s="1443">
        <f>+AA38/$AA$41</f>
        <v>0.17455847172261027</v>
      </c>
      <c r="AD38" s="1426"/>
      <c r="AE38" s="1444">
        <v>2400875.2400000002</v>
      </c>
      <c r="AF38" s="1426"/>
      <c r="AG38" s="1443">
        <f>+AE38/$AE$41</f>
        <v>0.13360567312912047</v>
      </c>
      <c r="AH38" s="1427"/>
      <c r="AI38" s="1444">
        <v>2528509.13</v>
      </c>
      <c r="AJ38" s="1426"/>
      <c r="AK38" s="1443">
        <f>+AI38/$AI$41</f>
        <v>0.1416048137514844</v>
      </c>
      <c r="AL38" s="1426"/>
      <c r="AM38" s="1444">
        <v>1517336.69</v>
      </c>
      <c r="AN38" s="1426"/>
      <c r="AO38" s="1443">
        <f>+AM38/$AM$41</f>
        <v>8.4619010864299612E-2</v>
      </c>
      <c r="AP38" s="1426"/>
      <c r="AQ38" s="1444">
        <v>2946898.9</v>
      </c>
      <c r="AR38" s="1426"/>
      <c r="AS38" s="1443">
        <f>+AQ38/$AQ$41</f>
        <v>0.15159684648522453</v>
      </c>
      <c r="AT38" s="1426"/>
      <c r="AU38" s="1445">
        <v>3695338.42</v>
      </c>
      <c r="AV38" s="1428"/>
      <c r="AW38" s="1446">
        <f>+AU38/$AU$41</f>
        <v>0.18841637279803497</v>
      </c>
      <c r="AX38" s="1408"/>
      <c r="AY38" s="1447">
        <f>+C38+G38+K38+O38+S38+W38+AA38+AE38+AI38+AM38+AQ38+AU38</f>
        <v>29052601.07</v>
      </c>
      <c r="AZ38" s="1439"/>
      <c r="BA38" s="1448">
        <f>+AY38/$AY$41</f>
        <v>0.13302722159599625</v>
      </c>
      <c r="BB38" s="1408"/>
      <c r="BC38" s="1447">
        <v>25274662.999999996</v>
      </c>
      <c r="BD38" s="1439"/>
      <c r="BE38" s="1448">
        <f>+BC38/BC41</f>
        <v>0.11993110022964594</v>
      </c>
    </row>
    <row r="39" spans="2:57" ht="14.25">
      <c r="B39" s="1467"/>
      <c r="C39" s="1449"/>
      <c r="D39" s="1408"/>
      <c r="E39" s="1434"/>
      <c r="F39" s="1408"/>
      <c r="G39" s="1412"/>
      <c r="H39" s="1408"/>
      <c r="I39" s="1434"/>
      <c r="J39" s="1426"/>
      <c r="K39" s="1412"/>
      <c r="L39" s="1408"/>
      <c r="M39" s="1434"/>
      <c r="N39" s="1426"/>
      <c r="O39" s="1412"/>
      <c r="P39" s="1426"/>
      <c r="Q39" s="1434"/>
      <c r="R39" s="1426"/>
      <c r="S39" s="1412"/>
      <c r="T39" s="1426"/>
      <c r="U39" s="1434"/>
      <c r="V39" s="1426"/>
      <c r="W39" s="1412"/>
      <c r="X39" s="1426"/>
      <c r="Y39" s="1434"/>
      <c r="Z39" s="1426"/>
      <c r="AA39" s="1412"/>
      <c r="AB39" s="1426"/>
      <c r="AC39" s="1434"/>
      <c r="AD39" s="1426"/>
      <c r="AE39" s="1412"/>
      <c r="AF39" s="1426"/>
      <c r="AG39" s="1434"/>
      <c r="AH39" s="1427"/>
      <c r="AI39" s="1412"/>
      <c r="AJ39" s="1426"/>
      <c r="AK39" s="1434"/>
      <c r="AL39" s="1426"/>
      <c r="AM39" s="1412"/>
      <c r="AN39" s="1426"/>
      <c r="AO39" s="1434"/>
      <c r="AP39" s="1426"/>
      <c r="AQ39" s="1412"/>
      <c r="AR39" s="1426"/>
      <c r="AS39" s="1434"/>
      <c r="AT39" s="1426"/>
      <c r="AU39" s="1451"/>
      <c r="AV39" s="1428"/>
      <c r="AW39" s="1437"/>
      <c r="AX39" s="1408"/>
      <c r="AY39" s="1452"/>
      <c r="AZ39" s="1439"/>
      <c r="BA39" s="1440"/>
      <c r="BB39" s="1408"/>
      <c r="BC39" s="1452"/>
      <c r="BD39" s="1439"/>
      <c r="BE39" s="1440"/>
    </row>
    <row r="40" spans="2:57" ht="14.25">
      <c r="B40" s="1411"/>
      <c r="C40" s="1449"/>
      <c r="D40" s="1408"/>
      <c r="E40" s="1434"/>
      <c r="F40" s="1408"/>
      <c r="G40" s="1412"/>
      <c r="H40" s="1408"/>
      <c r="I40" s="1434"/>
      <c r="J40" s="1408"/>
      <c r="K40" s="1412"/>
      <c r="L40" s="1408"/>
      <c r="M40" s="1434"/>
      <c r="N40" s="1408"/>
      <c r="O40" s="1412"/>
      <c r="P40" s="1408"/>
      <c r="Q40" s="1434"/>
      <c r="R40" s="1408"/>
      <c r="S40" s="1412"/>
      <c r="T40" s="1408"/>
      <c r="U40" s="1434"/>
      <c r="V40" s="1408"/>
      <c r="W40" s="1412"/>
      <c r="X40" s="1408"/>
      <c r="Y40" s="1434"/>
      <c r="Z40" s="1408"/>
      <c r="AA40" s="1412"/>
      <c r="AB40" s="1408"/>
      <c r="AC40" s="1434"/>
      <c r="AD40" s="1408"/>
      <c r="AE40" s="1412"/>
      <c r="AF40" s="1408"/>
      <c r="AG40" s="1434"/>
      <c r="AH40" s="1439"/>
      <c r="AI40" s="1412"/>
      <c r="AJ40" s="1408"/>
      <c r="AK40" s="1434"/>
      <c r="AL40" s="1408"/>
      <c r="AM40" s="1412"/>
      <c r="AN40" s="1408"/>
      <c r="AO40" s="1434"/>
      <c r="AP40" s="1408"/>
      <c r="AQ40" s="1412"/>
      <c r="AR40" s="1408"/>
      <c r="AS40" s="1434"/>
      <c r="AT40" s="1408"/>
      <c r="AU40" s="1451"/>
      <c r="AV40" s="1431"/>
      <c r="AW40" s="1437"/>
      <c r="AX40" s="1408"/>
      <c r="AY40" s="1452"/>
      <c r="AZ40" s="1439"/>
      <c r="BA40" s="1440"/>
      <c r="BB40" s="1408"/>
      <c r="BC40" s="1452"/>
      <c r="BD40" s="1439"/>
      <c r="BE40" s="1440"/>
    </row>
    <row r="41" spans="2:57" ht="15.75" thickBot="1">
      <c r="B41" s="1468" t="s">
        <v>1246</v>
      </c>
      <c r="C41" s="1469">
        <f>+C36+C38</f>
        <v>17836192.43</v>
      </c>
      <c r="D41" s="1426"/>
      <c r="E41" s="1470">
        <f>+C41/$C$41</f>
        <v>1</v>
      </c>
      <c r="F41" s="1426"/>
      <c r="G41" s="1469">
        <f>+G36+G38</f>
        <v>16771658.869999999</v>
      </c>
      <c r="H41" s="1426"/>
      <c r="I41" s="1470">
        <f>+G41/$G$41</f>
        <v>1</v>
      </c>
      <c r="J41" s="1426"/>
      <c r="K41" s="1469">
        <f>+K36+K38</f>
        <v>18842206.709999997</v>
      </c>
      <c r="L41" s="1426"/>
      <c r="M41" s="1470">
        <f>+K41/$K$41</f>
        <v>1</v>
      </c>
      <c r="N41" s="1426"/>
      <c r="O41" s="1469">
        <f>+O36+O38</f>
        <v>18454511.059999999</v>
      </c>
      <c r="P41" s="1426"/>
      <c r="Q41" s="1470">
        <f>+O41/$O$41</f>
        <v>1</v>
      </c>
      <c r="R41" s="1426"/>
      <c r="S41" s="1469">
        <f>+S36+S38</f>
        <v>17737984.810000002</v>
      </c>
      <c r="T41" s="1426"/>
      <c r="U41" s="1470">
        <f>+S41/$S$41</f>
        <v>1</v>
      </c>
      <c r="V41" s="1426"/>
      <c r="W41" s="1469">
        <f>+W36+W38</f>
        <v>17813024.969999999</v>
      </c>
      <c r="X41" s="1426"/>
      <c r="Y41" s="1470">
        <f>+W41/$W$41</f>
        <v>1</v>
      </c>
      <c r="Z41" s="1426"/>
      <c r="AA41" s="1469">
        <f>+AA36+AA38</f>
        <v>18131312.669999998</v>
      </c>
      <c r="AB41" s="1426"/>
      <c r="AC41" s="1470">
        <f>+AA41/$AA$41</f>
        <v>1</v>
      </c>
      <c r="AD41" s="1426"/>
      <c r="AE41" s="1469">
        <f>+AE36+AE38</f>
        <v>17969859.990000002</v>
      </c>
      <c r="AF41" s="1426"/>
      <c r="AG41" s="1470">
        <f>+AE41/$AE$41</f>
        <v>1</v>
      </c>
      <c r="AH41" s="1427"/>
      <c r="AI41" s="1469">
        <f>+AI36+AI38</f>
        <v>17856095.870000001</v>
      </c>
      <c r="AJ41" s="1426"/>
      <c r="AK41" s="1470">
        <f>+AI41/$AI$41</f>
        <v>1</v>
      </c>
      <c r="AL41" s="1426"/>
      <c r="AM41" s="1469">
        <f>+AM36+AM38</f>
        <v>17931392.420000002</v>
      </c>
      <c r="AN41" s="1426"/>
      <c r="AO41" s="1470">
        <f>+AM41/$AM$41</f>
        <v>1</v>
      </c>
      <c r="AP41" s="1426"/>
      <c r="AQ41" s="1469">
        <f>+AQ36+AQ38</f>
        <v>19439051.460000001</v>
      </c>
      <c r="AR41" s="1426"/>
      <c r="AS41" s="1470">
        <f>+AQ41/$AQ$41</f>
        <v>1</v>
      </c>
      <c r="AT41" s="1426"/>
      <c r="AU41" s="1471">
        <f>+AU36+AU38</f>
        <v>19612618.399999999</v>
      </c>
      <c r="AV41" s="1428"/>
      <c r="AW41" s="1472">
        <f>+AU41/$AU$41</f>
        <v>1</v>
      </c>
      <c r="AX41" s="1426"/>
      <c r="AY41" s="1473">
        <f>C41+G41+K41+O41+S41+W41+AA41+AE41+AI41+AM41+AQ41+AU41</f>
        <v>218395909.66000003</v>
      </c>
      <c r="AZ41" s="1427"/>
      <c r="BA41" s="1474">
        <f>+AY41/$AY$41</f>
        <v>1</v>
      </c>
      <c r="BB41" s="1426"/>
      <c r="BC41" s="1473">
        <f>+BC36+BC38+0.03</f>
        <v>210743192.97999999</v>
      </c>
      <c r="BD41" s="1427"/>
      <c r="BE41" s="1474">
        <v>1</v>
      </c>
    </row>
    <row r="42" spans="2:57" ht="15" thickTop="1">
      <c r="B42" s="1411"/>
      <c r="C42" s="1426"/>
      <c r="D42" s="1408"/>
      <c r="E42" s="1408"/>
      <c r="F42" s="1408"/>
      <c r="G42" s="1408"/>
      <c r="H42" s="1408"/>
      <c r="I42" s="1408"/>
      <c r="J42" s="1408"/>
      <c r="K42" s="1450"/>
      <c r="L42" s="1408"/>
      <c r="M42" s="1408"/>
      <c r="N42" s="1408"/>
      <c r="O42" s="1408"/>
      <c r="P42" s="1408"/>
      <c r="Q42" s="1408"/>
      <c r="R42" s="1408"/>
      <c r="S42" s="1408"/>
      <c r="T42" s="1408"/>
      <c r="U42" s="1408"/>
      <c r="V42" s="1408"/>
      <c r="W42" s="1408"/>
      <c r="X42" s="1408"/>
      <c r="Y42" s="1408"/>
      <c r="Z42" s="1408"/>
      <c r="AA42" s="1408"/>
      <c r="AB42" s="1408"/>
      <c r="AC42" s="1408"/>
      <c r="AD42" s="1408"/>
      <c r="AE42" s="1475"/>
      <c r="AF42" s="1408"/>
      <c r="AG42" s="1408"/>
      <c r="AH42" s="1439"/>
      <c r="AI42" s="1408"/>
      <c r="AJ42" s="1408"/>
      <c r="AK42" s="1408"/>
      <c r="AL42" s="1408"/>
      <c r="AM42" s="1408"/>
      <c r="AN42" s="1408"/>
      <c r="AO42" s="1450"/>
      <c r="AP42" s="1408"/>
      <c r="AQ42" s="1408"/>
      <c r="AR42" s="1408"/>
      <c r="AS42" s="1408"/>
      <c r="AT42" s="1408"/>
      <c r="AU42" s="1431"/>
      <c r="AV42" s="1431"/>
      <c r="AW42" s="1431"/>
      <c r="AX42" s="1408"/>
      <c r="AY42" s="1439"/>
      <c r="AZ42" s="1439"/>
      <c r="BA42" s="1439"/>
      <c r="BB42" s="1408"/>
      <c r="BC42" s="1439"/>
      <c r="BD42" s="1439"/>
      <c r="BE42" s="1439"/>
    </row>
    <row r="43" spans="2:57" ht="14.25">
      <c r="B43" s="1411" t="s">
        <v>1791</v>
      </c>
      <c r="C43" s="1450">
        <f>C20/C36</f>
        <v>0.34898142529684645</v>
      </c>
      <c r="D43" s="1408"/>
      <c r="E43" s="1408"/>
      <c r="F43" s="1408"/>
      <c r="G43" s="1450">
        <f>G20/G36</f>
        <v>0.39419817384738115</v>
      </c>
      <c r="H43" s="1408"/>
      <c r="I43" s="1408"/>
      <c r="J43" s="1408"/>
      <c r="K43" s="1450">
        <f>K20/K36</f>
        <v>0.40018806486885483</v>
      </c>
      <c r="L43" s="1408"/>
      <c r="M43" s="1408"/>
      <c r="N43" s="1408"/>
      <c r="O43" s="1450">
        <f>O20/O36</f>
        <v>0.39309253838117048</v>
      </c>
      <c r="P43" s="1408"/>
      <c r="Q43" s="1408"/>
      <c r="R43" s="1408"/>
      <c r="S43" s="1476">
        <f>S20/S36</f>
        <v>0.38732023025920664</v>
      </c>
      <c r="T43" s="1408"/>
      <c r="U43" s="1408"/>
      <c r="V43" s="1408"/>
      <c r="W43" s="1450">
        <f>W20/W36</f>
        <v>0.39625766732164225</v>
      </c>
      <c r="X43" s="1408"/>
      <c r="Y43" s="1408"/>
      <c r="Z43" s="1408"/>
      <c r="AA43" s="1450">
        <f>AA20/AA36</f>
        <v>0.38236840312960346</v>
      </c>
      <c r="AB43" s="1408"/>
      <c r="AC43" s="1408"/>
      <c r="AD43" s="1408"/>
      <c r="AE43" s="1450">
        <f>AE20/AE36</f>
        <v>0.36949019106721137</v>
      </c>
      <c r="AF43" s="1408"/>
      <c r="AG43" s="1408"/>
      <c r="AH43" s="1439"/>
      <c r="AI43" s="1450">
        <f>AI20/AI36</f>
        <v>0.38040652249474732</v>
      </c>
      <c r="AJ43" s="1408"/>
      <c r="AK43" s="1408"/>
      <c r="AL43" s="1408"/>
      <c r="AM43" s="1450">
        <f>AM20/AM36</f>
        <v>0.39649846004269662</v>
      </c>
      <c r="AN43" s="1408"/>
      <c r="AO43" s="1408"/>
      <c r="AP43" s="1408"/>
      <c r="AQ43" s="1450">
        <f>AQ20/AQ36</f>
        <v>0.39889831761294348</v>
      </c>
      <c r="AR43" s="1408"/>
      <c r="AS43" s="1408"/>
      <c r="AT43" s="1408"/>
      <c r="AU43" s="1477">
        <f>AU20/AU36</f>
        <v>0.4111162565603122</v>
      </c>
      <c r="AV43" s="1431"/>
      <c r="AW43" s="1431"/>
      <c r="AX43" s="1408"/>
      <c r="AY43" s="1453">
        <f>AY20/AY36-0.0001</f>
        <v>0.3887259752522792</v>
      </c>
      <c r="AZ43" s="1439"/>
      <c r="BA43" s="1439"/>
      <c r="BB43" s="1408"/>
      <c r="BC43" s="1453">
        <f>BC20/BC36</f>
        <v>0.3878362653189294</v>
      </c>
      <c r="BD43" s="1439"/>
      <c r="BE43" s="1439"/>
    </row>
    <row r="44" spans="2:57" ht="14.25">
      <c r="B44" s="1411" t="s">
        <v>1792</v>
      </c>
      <c r="C44" s="1450">
        <f>1-C43</f>
        <v>0.65101857470315361</v>
      </c>
      <c r="D44" s="1408"/>
      <c r="E44" s="1408"/>
      <c r="F44" s="1408"/>
      <c r="G44" s="1450">
        <f>1-G43</f>
        <v>0.60580182615261879</v>
      </c>
      <c r="H44" s="1408"/>
      <c r="I44" s="1408"/>
      <c r="J44" s="1408"/>
      <c r="K44" s="1450">
        <f>1-K43</f>
        <v>0.59981193513114517</v>
      </c>
      <c r="L44" s="1408"/>
      <c r="M44" s="1408"/>
      <c r="N44" s="1408"/>
      <c r="O44" s="1450">
        <f>1-O43</f>
        <v>0.60690746161882947</v>
      </c>
      <c r="P44" s="1408"/>
      <c r="Q44" s="1408"/>
      <c r="R44" s="1408"/>
      <c r="S44" s="1476">
        <f>1-S43</f>
        <v>0.6126797697407933</v>
      </c>
      <c r="T44" s="1408"/>
      <c r="U44" s="1408"/>
      <c r="V44" s="1408"/>
      <c r="W44" s="1450">
        <f>1-W43</f>
        <v>0.60374233267835775</v>
      </c>
      <c r="X44" s="1408"/>
      <c r="Y44" s="1408"/>
      <c r="Z44" s="1408"/>
      <c r="AA44" s="1450">
        <f>1-AA43</f>
        <v>0.61763159687039648</v>
      </c>
      <c r="AB44" s="1408"/>
      <c r="AC44" s="1408"/>
      <c r="AD44" s="1408"/>
      <c r="AE44" s="1450">
        <f>1-AE43</f>
        <v>0.63050980893278863</v>
      </c>
      <c r="AF44" s="1408"/>
      <c r="AG44" s="1408"/>
      <c r="AH44" s="1439"/>
      <c r="AI44" s="1450">
        <f>1-AI43</f>
        <v>0.61959347750525273</v>
      </c>
      <c r="AJ44" s="1408"/>
      <c r="AK44" s="1408"/>
      <c r="AL44" s="1408"/>
      <c r="AM44" s="1450">
        <f>1-AM43</f>
        <v>0.60350153995730338</v>
      </c>
      <c r="AN44" s="1408"/>
      <c r="AO44" s="1408"/>
      <c r="AP44" s="1408"/>
      <c r="AQ44" s="1450">
        <f>1-AQ43</f>
        <v>0.60110168238705652</v>
      </c>
      <c r="AR44" s="1408"/>
      <c r="AS44" s="1408"/>
      <c r="AT44" s="1408"/>
      <c r="AU44" s="1477">
        <f>1-AU43</f>
        <v>0.58888374343968786</v>
      </c>
      <c r="AV44" s="1431"/>
      <c r="AW44" s="1431"/>
      <c r="AX44" s="1408"/>
      <c r="AY44" s="1453">
        <f>1-AY43</f>
        <v>0.61127402474772086</v>
      </c>
      <c r="AZ44" s="1439"/>
      <c r="BA44" s="1439"/>
      <c r="BB44" s="1408"/>
      <c r="BC44" s="1453">
        <f>1-BC43</f>
        <v>0.61216373468107066</v>
      </c>
      <c r="BD44" s="1439"/>
      <c r="BE44" s="1439"/>
    </row>
    <row r="45" spans="2:57" ht="14.25">
      <c r="C45" s="1439"/>
      <c r="D45" s="1439"/>
      <c r="E45" s="1439"/>
      <c r="F45" s="1439"/>
      <c r="G45" s="1439"/>
      <c r="H45" s="1439"/>
      <c r="I45" s="1439"/>
      <c r="J45" s="1439"/>
      <c r="K45" s="1439"/>
      <c r="L45" s="1439"/>
      <c r="M45" s="1439"/>
      <c r="N45" s="1439"/>
      <c r="O45" s="1439"/>
      <c r="P45" s="1439"/>
      <c r="Q45" s="1439"/>
      <c r="R45" s="1439"/>
      <c r="S45" s="1439"/>
      <c r="T45" s="1439"/>
      <c r="U45" s="1439"/>
      <c r="V45" s="1439"/>
      <c r="W45" s="1439"/>
      <c r="X45" s="1439"/>
      <c r="Y45" s="1439"/>
      <c r="Z45" s="1439"/>
      <c r="AA45" s="1439"/>
      <c r="AB45" s="1439"/>
      <c r="AC45" s="1439"/>
      <c r="AD45" s="1439"/>
      <c r="AE45" s="1439"/>
      <c r="AF45" s="1439"/>
      <c r="AG45" s="1439"/>
      <c r="AH45" s="1439"/>
      <c r="AI45" s="1439"/>
      <c r="AJ45" s="1439"/>
      <c r="AK45" s="1439"/>
      <c r="AL45" s="1439"/>
      <c r="AM45" s="1439"/>
      <c r="AN45" s="1439"/>
      <c r="AO45" s="1439"/>
      <c r="AP45" s="1439"/>
      <c r="AQ45" s="1439"/>
      <c r="AR45" s="1439"/>
      <c r="AS45" s="1439"/>
      <c r="AT45" s="1439"/>
      <c r="AU45" s="1431"/>
      <c r="AV45" s="1431"/>
      <c r="AW45" s="1431"/>
      <c r="AX45" s="1439"/>
      <c r="AY45" s="1439"/>
      <c r="AZ45" s="1439"/>
      <c r="BA45" s="1439"/>
      <c r="BB45" s="1408"/>
      <c r="BC45" s="1478"/>
      <c r="BD45" s="1408"/>
      <c r="BE45" s="1408"/>
    </row>
    <row r="46" spans="2:57" ht="15">
      <c r="C46" s="1452"/>
      <c r="D46" s="1439"/>
      <c r="E46" s="1439"/>
      <c r="F46" s="1408"/>
      <c r="G46" s="1439"/>
      <c r="H46" s="1439"/>
      <c r="I46" s="1439"/>
      <c r="J46" s="1408"/>
      <c r="K46" s="1439"/>
      <c r="L46" s="1439"/>
      <c r="M46" s="1439"/>
      <c r="N46" s="1408"/>
      <c r="O46" s="1439"/>
      <c r="P46" s="1439"/>
      <c r="Q46" s="1439"/>
      <c r="R46" s="1408"/>
      <c r="S46" s="1430"/>
      <c r="T46" s="1430"/>
      <c r="U46" s="1430"/>
      <c r="V46" s="1408"/>
      <c r="W46" s="1408"/>
      <c r="X46" s="1408"/>
      <c r="Y46" s="1408"/>
      <c r="Z46" s="1408"/>
      <c r="AA46" s="1412"/>
      <c r="AB46" s="1408"/>
      <c r="AC46" s="1408"/>
      <c r="AD46" s="1408"/>
      <c r="AE46" s="1452"/>
      <c r="AF46" s="1439"/>
      <c r="AG46" s="1439"/>
      <c r="AH46" s="1439"/>
      <c r="AI46" s="1452"/>
      <c r="AJ46" s="1439"/>
      <c r="AK46" s="1439"/>
      <c r="AL46" s="1408"/>
      <c r="AM46" s="1439"/>
      <c r="AN46" s="1439"/>
      <c r="AO46" s="1439"/>
      <c r="AP46" s="1408"/>
      <c r="AQ46" s="1439"/>
      <c r="AR46" s="1439"/>
      <c r="AS46" s="1439"/>
      <c r="AT46" s="1408"/>
      <c r="AU46" s="1431"/>
      <c r="AV46" s="1431"/>
      <c r="AW46" s="1431"/>
      <c r="AX46" s="1408"/>
      <c r="AY46" s="1479"/>
      <c r="AZ46" s="1479"/>
      <c r="BA46" s="1479"/>
      <c r="BB46" s="1408"/>
      <c r="BC46" s="1478"/>
      <c r="BD46" s="1408"/>
      <c r="BE46" s="1408"/>
    </row>
    <row r="47" spans="2:57" ht="15">
      <c r="C47" s="1480" t="s">
        <v>1793</v>
      </c>
      <c r="D47" s="1439"/>
      <c r="E47" s="1439"/>
      <c r="F47" s="1408"/>
      <c r="G47" s="1439"/>
      <c r="H47" s="1439"/>
      <c r="I47" s="1439"/>
      <c r="J47" s="1408"/>
      <c r="K47" s="1439"/>
      <c r="L47" s="1439"/>
      <c r="M47" s="1439"/>
      <c r="N47" s="1408"/>
      <c r="O47" s="1439"/>
      <c r="P47" s="1439"/>
      <c r="Q47" s="1439"/>
      <c r="R47" s="1408"/>
      <c r="T47" s="1430"/>
      <c r="U47" s="1430"/>
      <c r="V47" s="1408"/>
      <c r="W47" s="1480" t="s">
        <v>1793</v>
      </c>
      <c r="X47" s="1408"/>
      <c r="Y47" s="1481"/>
      <c r="Z47" s="1408"/>
      <c r="AB47" s="1408"/>
      <c r="AC47" s="1408"/>
      <c r="AD47" s="1408"/>
      <c r="AE47" s="1480"/>
      <c r="AF47" s="1439"/>
      <c r="AG47" s="1480"/>
      <c r="AH47" s="1439"/>
      <c r="AI47" s="1480"/>
      <c r="AJ47" s="1439"/>
      <c r="AK47" s="1439"/>
      <c r="AL47" s="1408"/>
      <c r="AM47" s="1439"/>
      <c r="AN47" s="1439"/>
      <c r="AO47" s="1439"/>
      <c r="AP47" s="1408"/>
      <c r="AQ47" s="1480" t="s">
        <v>1793</v>
      </c>
      <c r="AR47" s="1439"/>
      <c r="AS47" s="1439"/>
      <c r="AT47" s="1408"/>
      <c r="AU47" s="1431"/>
      <c r="AV47" s="1431"/>
      <c r="AW47" s="1431"/>
      <c r="AX47" s="1408"/>
      <c r="AZ47" s="1479"/>
      <c r="BA47" s="1479"/>
      <c r="BB47" s="1408"/>
      <c r="BC47" s="1478"/>
      <c r="BD47" s="1408"/>
      <c r="BE47" s="1408"/>
    </row>
    <row r="48" spans="2:57" ht="15">
      <c r="C48" s="1452" t="s">
        <v>1794</v>
      </c>
      <c r="D48" s="1439"/>
      <c r="E48" s="1439"/>
      <c r="F48" s="1408"/>
      <c r="G48" s="1439"/>
      <c r="H48" s="1439"/>
      <c r="I48" s="1439"/>
      <c r="J48" s="1408"/>
      <c r="K48" s="1439"/>
      <c r="L48" s="1439"/>
      <c r="M48" s="1439"/>
      <c r="N48" s="1408"/>
      <c r="O48" s="1439"/>
      <c r="P48" s="1439"/>
      <c r="Q48" s="1439"/>
      <c r="R48" s="1408"/>
      <c r="T48" s="1430"/>
      <c r="U48" s="1430"/>
      <c r="V48" s="1408"/>
      <c r="W48" s="1452" t="s">
        <v>1794</v>
      </c>
      <c r="X48" s="1408"/>
      <c r="Y48" s="1412"/>
      <c r="Z48" s="1408"/>
      <c r="AB48" s="1408"/>
      <c r="AC48" s="1408"/>
      <c r="AD48" s="1408"/>
      <c r="AE48" s="1452"/>
      <c r="AF48" s="1439"/>
      <c r="AG48" s="1452"/>
      <c r="AH48" s="1439"/>
      <c r="AI48" s="1452"/>
      <c r="AJ48" s="1439"/>
      <c r="AK48" s="1439"/>
      <c r="AL48" s="1408"/>
      <c r="AM48" s="1439"/>
      <c r="AN48" s="1439"/>
      <c r="AO48" s="1439"/>
      <c r="AP48" s="1408"/>
      <c r="AQ48" s="1452" t="s">
        <v>1794</v>
      </c>
      <c r="AR48" s="1439"/>
      <c r="AS48" s="1439"/>
      <c r="AT48" s="1408"/>
      <c r="AU48" s="1431"/>
      <c r="AV48" s="1431"/>
      <c r="AW48" s="1431"/>
      <c r="AX48" s="1408"/>
      <c r="AZ48" s="1479"/>
      <c r="BA48" s="1479"/>
      <c r="BB48" s="1408"/>
      <c r="BC48" s="1478"/>
      <c r="BD48" s="1408"/>
      <c r="BE48" s="1408"/>
    </row>
  </sheetData>
  <pageMargins left="0.18" right="0.17" top="1.1000000000000001" bottom="0.4" header="0.18" footer="0.19"/>
  <pageSetup scale="65" orientation="landscape" r:id="rId1"/>
  <headerFooter alignWithMargins="0">
    <oddHeader>&amp;C&amp;"Arial,Bold"&amp;12
PUGET SOUND ENERGY
ALLOCATION OF DIRECT LABOR COSTS
(COMBINED GAS AND ELECTRIC)
2010</oddHeader>
    <oddFooter>&amp;C2</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8" tint="0.39997558519241921"/>
  </sheetPr>
  <dimension ref="A1:Q386"/>
  <sheetViews>
    <sheetView workbookViewId="0">
      <pane ySplit="3" topLeftCell="A356" activePane="bottomLeft" state="frozen"/>
      <selection activeCell="O32" sqref="O32"/>
      <selection pane="bottomLeft" activeCell="C387" sqref="C387"/>
    </sheetView>
  </sheetViews>
  <sheetFormatPr defaultRowHeight="12.75"/>
  <cols>
    <col min="1" max="1" width="39" style="151" customWidth="1"/>
    <col min="2" max="2" width="20.5" style="151" customWidth="1"/>
    <col min="3" max="9" width="13.33203125" style="151" customWidth="1"/>
    <col min="10" max="10" width="13.33203125" style="220" customWidth="1"/>
    <col min="11" max="15" width="13.33203125" style="151" customWidth="1"/>
    <col min="16" max="16" width="19.6640625" style="151" bestFit="1" customWidth="1"/>
    <col min="17" max="17" width="12" style="151" hidden="1" customWidth="1"/>
    <col min="18" max="256" width="9.33203125" style="151"/>
    <col min="257" max="257" width="39" style="151" customWidth="1"/>
    <col min="258" max="258" width="20.5" style="151" customWidth="1"/>
    <col min="259" max="271" width="13.33203125" style="151" customWidth="1"/>
    <col min="272" max="272" width="19.6640625" style="151" bestFit="1" customWidth="1"/>
    <col min="273" max="273" width="0" style="151" hidden="1" customWidth="1"/>
    <col min="274" max="512" width="9.33203125" style="151"/>
    <col min="513" max="513" width="39" style="151" customWidth="1"/>
    <col min="514" max="514" width="20.5" style="151" customWidth="1"/>
    <col min="515" max="527" width="13.33203125" style="151" customWidth="1"/>
    <col min="528" max="528" width="19.6640625" style="151" bestFit="1" customWidth="1"/>
    <col min="529" max="529" width="0" style="151" hidden="1" customWidth="1"/>
    <col min="530" max="768" width="9.33203125" style="151"/>
    <col min="769" max="769" width="39" style="151" customWidth="1"/>
    <col min="770" max="770" width="20.5" style="151" customWidth="1"/>
    <col min="771" max="783" width="13.33203125" style="151" customWidth="1"/>
    <col min="784" max="784" width="19.6640625" style="151" bestFit="1" customWidth="1"/>
    <col min="785" max="785" width="0" style="151" hidden="1" customWidth="1"/>
    <col min="786" max="1024" width="9.33203125" style="151"/>
    <col min="1025" max="1025" width="39" style="151" customWidth="1"/>
    <col min="1026" max="1026" width="20.5" style="151" customWidth="1"/>
    <col min="1027" max="1039" width="13.33203125" style="151" customWidth="1"/>
    <col min="1040" max="1040" width="19.6640625" style="151" bestFit="1" customWidth="1"/>
    <col min="1041" max="1041" width="0" style="151" hidden="1" customWidth="1"/>
    <col min="1042" max="1280" width="9.33203125" style="151"/>
    <col min="1281" max="1281" width="39" style="151" customWidth="1"/>
    <col min="1282" max="1282" width="20.5" style="151" customWidth="1"/>
    <col min="1283" max="1295" width="13.33203125" style="151" customWidth="1"/>
    <col min="1296" max="1296" width="19.6640625" style="151" bestFit="1" customWidth="1"/>
    <col min="1297" max="1297" width="0" style="151" hidden="1" customWidth="1"/>
    <col min="1298" max="1536" width="9.33203125" style="151"/>
    <col min="1537" max="1537" width="39" style="151" customWidth="1"/>
    <col min="1538" max="1538" width="20.5" style="151" customWidth="1"/>
    <col min="1539" max="1551" width="13.33203125" style="151" customWidth="1"/>
    <col min="1552" max="1552" width="19.6640625" style="151" bestFit="1" customWidth="1"/>
    <col min="1553" max="1553" width="0" style="151" hidden="1" customWidth="1"/>
    <col min="1554" max="1792" width="9.33203125" style="151"/>
    <col min="1793" max="1793" width="39" style="151" customWidth="1"/>
    <col min="1794" max="1794" width="20.5" style="151" customWidth="1"/>
    <col min="1795" max="1807" width="13.33203125" style="151" customWidth="1"/>
    <col min="1808" max="1808" width="19.6640625" style="151" bestFit="1" customWidth="1"/>
    <col min="1809" max="1809" width="0" style="151" hidden="1" customWidth="1"/>
    <col min="1810" max="2048" width="9.33203125" style="151"/>
    <col min="2049" max="2049" width="39" style="151" customWidth="1"/>
    <col min="2050" max="2050" width="20.5" style="151" customWidth="1"/>
    <col min="2051" max="2063" width="13.33203125" style="151" customWidth="1"/>
    <col min="2064" max="2064" width="19.6640625" style="151" bestFit="1" customWidth="1"/>
    <col min="2065" max="2065" width="0" style="151" hidden="1" customWidth="1"/>
    <col min="2066" max="2304" width="9.33203125" style="151"/>
    <col min="2305" max="2305" width="39" style="151" customWidth="1"/>
    <col min="2306" max="2306" width="20.5" style="151" customWidth="1"/>
    <col min="2307" max="2319" width="13.33203125" style="151" customWidth="1"/>
    <col min="2320" max="2320" width="19.6640625" style="151" bestFit="1" customWidth="1"/>
    <col min="2321" max="2321" width="0" style="151" hidden="1" customWidth="1"/>
    <col min="2322" max="2560" width="9.33203125" style="151"/>
    <col min="2561" max="2561" width="39" style="151" customWidth="1"/>
    <col min="2562" max="2562" width="20.5" style="151" customWidth="1"/>
    <col min="2563" max="2575" width="13.33203125" style="151" customWidth="1"/>
    <col min="2576" max="2576" width="19.6640625" style="151" bestFit="1" customWidth="1"/>
    <col min="2577" max="2577" width="0" style="151" hidden="1" customWidth="1"/>
    <col min="2578" max="2816" width="9.33203125" style="151"/>
    <col min="2817" max="2817" width="39" style="151" customWidth="1"/>
    <col min="2818" max="2818" width="20.5" style="151" customWidth="1"/>
    <col min="2819" max="2831" width="13.33203125" style="151" customWidth="1"/>
    <col min="2832" max="2832" width="19.6640625" style="151" bestFit="1" customWidth="1"/>
    <col min="2833" max="2833" width="0" style="151" hidden="1" customWidth="1"/>
    <col min="2834" max="3072" width="9.33203125" style="151"/>
    <col min="3073" max="3073" width="39" style="151" customWidth="1"/>
    <col min="3074" max="3074" width="20.5" style="151" customWidth="1"/>
    <col min="3075" max="3087" width="13.33203125" style="151" customWidth="1"/>
    <col min="3088" max="3088" width="19.6640625" style="151" bestFit="1" customWidth="1"/>
    <col min="3089" max="3089" width="0" style="151" hidden="1" customWidth="1"/>
    <col min="3090" max="3328" width="9.33203125" style="151"/>
    <col min="3329" max="3329" width="39" style="151" customWidth="1"/>
    <col min="3330" max="3330" width="20.5" style="151" customWidth="1"/>
    <col min="3331" max="3343" width="13.33203125" style="151" customWidth="1"/>
    <col min="3344" max="3344" width="19.6640625" style="151" bestFit="1" customWidth="1"/>
    <col min="3345" max="3345" width="0" style="151" hidden="1" customWidth="1"/>
    <col min="3346" max="3584" width="9.33203125" style="151"/>
    <col min="3585" max="3585" width="39" style="151" customWidth="1"/>
    <col min="3586" max="3586" width="20.5" style="151" customWidth="1"/>
    <col min="3587" max="3599" width="13.33203125" style="151" customWidth="1"/>
    <col min="3600" max="3600" width="19.6640625" style="151" bestFit="1" customWidth="1"/>
    <col min="3601" max="3601" width="0" style="151" hidden="1" customWidth="1"/>
    <col min="3602" max="3840" width="9.33203125" style="151"/>
    <col min="3841" max="3841" width="39" style="151" customWidth="1"/>
    <col min="3842" max="3842" width="20.5" style="151" customWidth="1"/>
    <col min="3843" max="3855" width="13.33203125" style="151" customWidth="1"/>
    <col min="3856" max="3856" width="19.6640625" style="151" bestFit="1" customWidth="1"/>
    <col min="3857" max="3857" width="0" style="151" hidden="1" customWidth="1"/>
    <col min="3858" max="4096" width="9.33203125" style="151"/>
    <col min="4097" max="4097" width="39" style="151" customWidth="1"/>
    <col min="4098" max="4098" width="20.5" style="151" customWidth="1"/>
    <col min="4099" max="4111" width="13.33203125" style="151" customWidth="1"/>
    <col min="4112" max="4112" width="19.6640625" style="151" bestFit="1" customWidth="1"/>
    <col min="4113" max="4113" width="0" style="151" hidden="1" customWidth="1"/>
    <col min="4114" max="4352" width="9.33203125" style="151"/>
    <col min="4353" max="4353" width="39" style="151" customWidth="1"/>
    <col min="4354" max="4354" width="20.5" style="151" customWidth="1"/>
    <col min="4355" max="4367" width="13.33203125" style="151" customWidth="1"/>
    <col min="4368" max="4368" width="19.6640625" style="151" bestFit="1" customWidth="1"/>
    <col min="4369" max="4369" width="0" style="151" hidden="1" customWidth="1"/>
    <col min="4370" max="4608" width="9.33203125" style="151"/>
    <col min="4609" max="4609" width="39" style="151" customWidth="1"/>
    <col min="4610" max="4610" width="20.5" style="151" customWidth="1"/>
    <col min="4611" max="4623" width="13.33203125" style="151" customWidth="1"/>
    <col min="4624" max="4624" width="19.6640625" style="151" bestFit="1" customWidth="1"/>
    <col min="4625" max="4625" width="0" style="151" hidden="1" customWidth="1"/>
    <col min="4626" max="4864" width="9.33203125" style="151"/>
    <col min="4865" max="4865" width="39" style="151" customWidth="1"/>
    <col min="4866" max="4866" width="20.5" style="151" customWidth="1"/>
    <col min="4867" max="4879" width="13.33203125" style="151" customWidth="1"/>
    <col min="4880" max="4880" width="19.6640625" style="151" bestFit="1" customWidth="1"/>
    <col min="4881" max="4881" width="0" style="151" hidden="1" customWidth="1"/>
    <col min="4882" max="5120" width="9.33203125" style="151"/>
    <col min="5121" max="5121" width="39" style="151" customWidth="1"/>
    <col min="5122" max="5122" width="20.5" style="151" customWidth="1"/>
    <col min="5123" max="5135" width="13.33203125" style="151" customWidth="1"/>
    <col min="5136" max="5136" width="19.6640625" style="151" bestFit="1" customWidth="1"/>
    <col min="5137" max="5137" width="0" style="151" hidden="1" customWidth="1"/>
    <col min="5138" max="5376" width="9.33203125" style="151"/>
    <col min="5377" max="5377" width="39" style="151" customWidth="1"/>
    <col min="5378" max="5378" width="20.5" style="151" customWidth="1"/>
    <col min="5379" max="5391" width="13.33203125" style="151" customWidth="1"/>
    <col min="5392" max="5392" width="19.6640625" style="151" bestFit="1" customWidth="1"/>
    <col min="5393" max="5393" width="0" style="151" hidden="1" customWidth="1"/>
    <col min="5394" max="5632" width="9.33203125" style="151"/>
    <col min="5633" max="5633" width="39" style="151" customWidth="1"/>
    <col min="5634" max="5634" width="20.5" style="151" customWidth="1"/>
    <col min="5635" max="5647" width="13.33203125" style="151" customWidth="1"/>
    <col min="5648" max="5648" width="19.6640625" style="151" bestFit="1" customWidth="1"/>
    <col min="5649" max="5649" width="0" style="151" hidden="1" customWidth="1"/>
    <col min="5650" max="5888" width="9.33203125" style="151"/>
    <col min="5889" max="5889" width="39" style="151" customWidth="1"/>
    <col min="5890" max="5890" width="20.5" style="151" customWidth="1"/>
    <col min="5891" max="5903" width="13.33203125" style="151" customWidth="1"/>
    <col min="5904" max="5904" width="19.6640625" style="151" bestFit="1" customWidth="1"/>
    <col min="5905" max="5905" width="0" style="151" hidden="1" customWidth="1"/>
    <col min="5906" max="6144" width="9.33203125" style="151"/>
    <col min="6145" max="6145" width="39" style="151" customWidth="1"/>
    <col min="6146" max="6146" width="20.5" style="151" customWidth="1"/>
    <col min="6147" max="6159" width="13.33203125" style="151" customWidth="1"/>
    <col min="6160" max="6160" width="19.6640625" style="151" bestFit="1" customWidth="1"/>
    <col min="6161" max="6161" width="0" style="151" hidden="1" customWidth="1"/>
    <col min="6162" max="6400" width="9.33203125" style="151"/>
    <col min="6401" max="6401" width="39" style="151" customWidth="1"/>
    <col min="6402" max="6402" width="20.5" style="151" customWidth="1"/>
    <col min="6403" max="6415" width="13.33203125" style="151" customWidth="1"/>
    <col min="6416" max="6416" width="19.6640625" style="151" bestFit="1" customWidth="1"/>
    <col min="6417" max="6417" width="0" style="151" hidden="1" customWidth="1"/>
    <col min="6418" max="6656" width="9.33203125" style="151"/>
    <col min="6657" max="6657" width="39" style="151" customWidth="1"/>
    <col min="6658" max="6658" width="20.5" style="151" customWidth="1"/>
    <col min="6659" max="6671" width="13.33203125" style="151" customWidth="1"/>
    <col min="6672" max="6672" width="19.6640625" style="151" bestFit="1" customWidth="1"/>
    <col min="6673" max="6673" width="0" style="151" hidden="1" customWidth="1"/>
    <col min="6674" max="6912" width="9.33203125" style="151"/>
    <col min="6913" max="6913" width="39" style="151" customWidth="1"/>
    <col min="6914" max="6914" width="20.5" style="151" customWidth="1"/>
    <col min="6915" max="6927" width="13.33203125" style="151" customWidth="1"/>
    <col min="6928" max="6928" width="19.6640625" style="151" bestFit="1" customWidth="1"/>
    <col min="6929" max="6929" width="0" style="151" hidden="1" customWidth="1"/>
    <col min="6930" max="7168" width="9.33203125" style="151"/>
    <col min="7169" max="7169" width="39" style="151" customWidth="1"/>
    <col min="7170" max="7170" width="20.5" style="151" customWidth="1"/>
    <col min="7171" max="7183" width="13.33203125" style="151" customWidth="1"/>
    <col min="7184" max="7184" width="19.6640625" style="151" bestFit="1" customWidth="1"/>
    <col min="7185" max="7185" width="0" style="151" hidden="1" customWidth="1"/>
    <col min="7186" max="7424" width="9.33203125" style="151"/>
    <col min="7425" max="7425" width="39" style="151" customWidth="1"/>
    <col min="7426" max="7426" width="20.5" style="151" customWidth="1"/>
    <col min="7427" max="7439" width="13.33203125" style="151" customWidth="1"/>
    <col min="7440" max="7440" width="19.6640625" style="151" bestFit="1" customWidth="1"/>
    <col min="7441" max="7441" width="0" style="151" hidden="1" customWidth="1"/>
    <col min="7442" max="7680" width="9.33203125" style="151"/>
    <col min="7681" max="7681" width="39" style="151" customWidth="1"/>
    <col min="7682" max="7682" width="20.5" style="151" customWidth="1"/>
    <col min="7683" max="7695" width="13.33203125" style="151" customWidth="1"/>
    <col min="7696" max="7696" width="19.6640625" style="151" bestFit="1" customWidth="1"/>
    <col min="7697" max="7697" width="0" style="151" hidden="1" customWidth="1"/>
    <col min="7698" max="7936" width="9.33203125" style="151"/>
    <col min="7937" max="7937" width="39" style="151" customWidth="1"/>
    <col min="7938" max="7938" width="20.5" style="151" customWidth="1"/>
    <col min="7939" max="7951" width="13.33203125" style="151" customWidth="1"/>
    <col min="7952" max="7952" width="19.6640625" style="151" bestFit="1" customWidth="1"/>
    <col min="7953" max="7953" width="0" style="151" hidden="1" customWidth="1"/>
    <col min="7954" max="8192" width="9.33203125" style="151"/>
    <col min="8193" max="8193" width="39" style="151" customWidth="1"/>
    <col min="8194" max="8194" width="20.5" style="151" customWidth="1"/>
    <col min="8195" max="8207" width="13.33203125" style="151" customWidth="1"/>
    <col min="8208" max="8208" width="19.6640625" style="151" bestFit="1" customWidth="1"/>
    <col min="8209" max="8209" width="0" style="151" hidden="1" customWidth="1"/>
    <col min="8210" max="8448" width="9.33203125" style="151"/>
    <col min="8449" max="8449" width="39" style="151" customWidth="1"/>
    <col min="8450" max="8450" width="20.5" style="151" customWidth="1"/>
    <col min="8451" max="8463" width="13.33203125" style="151" customWidth="1"/>
    <col min="8464" max="8464" width="19.6640625" style="151" bestFit="1" customWidth="1"/>
    <col min="8465" max="8465" width="0" style="151" hidden="1" customWidth="1"/>
    <col min="8466" max="8704" width="9.33203125" style="151"/>
    <col min="8705" max="8705" width="39" style="151" customWidth="1"/>
    <col min="8706" max="8706" width="20.5" style="151" customWidth="1"/>
    <col min="8707" max="8719" width="13.33203125" style="151" customWidth="1"/>
    <col min="8720" max="8720" width="19.6640625" style="151" bestFit="1" customWidth="1"/>
    <col min="8721" max="8721" width="0" style="151" hidden="1" customWidth="1"/>
    <col min="8722" max="8960" width="9.33203125" style="151"/>
    <col min="8961" max="8961" width="39" style="151" customWidth="1"/>
    <col min="8962" max="8962" width="20.5" style="151" customWidth="1"/>
    <col min="8963" max="8975" width="13.33203125" style="151" customWidth="1"/>
    <col min="8976" max="8976" width="19.6640625" style="151" bestFit="1" customWidth="1"/>
    <col min="8977" max="8977" width="0" style="151" hidden="1" customWidth="1"/>
    <col min="8978" max="9216" width="9.33203125" style="151"/>
    <col min="9217" max="9217" width="39" style="151" customWidth="1"/>
    <col min="9218" max="9218" width="20.5" style="151" customWidth="1"/>
    <col min="9219" max="9231" width="13.33203125" style="151" customWidth="1"/>
    <col min="9232" max="9232" width="19.6640625" style="151" bestFit="1" customWidth="1"/>
    <col min="9233" max="9233" width="0" style="151" hidden="1" customWidth="1"/>
    <col min="9234" max="9472" width="9.33203125" style="151"/>
    <col min="9473" max="9473" width="39" style="151" customWidth="1"/>
    <col min="9474" max="9474" width="20.5" style="151" customWidth="1"/>
    <col min="9475" max="9487" width="13.33203125" style="151" customWidth="1"/>
    <col min="9488" max="9488" width="19.6640625" style="151" bestFit="1" customWidth="1"/>
    <col min="9489" max="9489" width="0" style="151" hidden="1" customWidth="1"/>
    <col min="9490" max="9728" width="9.33203125" style="151"/>
    <col min="9729" max="9729" width="39" style="151" customWidth="1"/>
    <col min="9730" max="9730" width="20.5" style="151" customWidth="1"/>
    <col min="9731" max="9743" width="13.33203125" style="151" customWidth="1"/>
    <col min="9744" max="9744" width="19.6640625" style="151" bestFit="1" customWidth="1"/>
    <col min="9745" max="9745" width="0" style="151" hidden="1" customWidth="1"/>
    <col min="9746" max="9984" width="9.33203125" style="151"/>
    <col min="9985" max="9985" width="39" style="151" customWidth="1"/>
    <col min="9986" max="9986" width="20.5" style="151" customWidth="1"/>
    <col min="9987" max="9999" width="13.33203125" style="151" customWidth="1"/>
    <col min="10000" max="10000" width="19.6640625" style="151" bestFit="1" customWidth="1"/>
    <col min="10001" max="10001" width="0" style="151" hidden="1" customWidth="1"/>
    <col min="10002" max="10240" width="9.33203125" style="151"/>
    <col min="10241" max="10241" width="39" style="151" customWidth="1"/>
    <col min="10242" max="10242" width="20.5" style="151" customWidth="1"/>
    <col min="10243" max="10255" width="13.33203125" style="151" customWidth="1"/>
    <col min="10256" max="10256" width="19.6640625" style="151" bestFit="1" customWidth="1"/>
    <col min="10257" max="10257" width="0" style="151" hidden="1" customWidth="1"/>
    <col min="10258" max="10496" width="9.33203125" style="151"/>
    <col min="10497" max="10497" width="39" style="151" customWidth="1"/>
    <col min="10498" max="10498" width="20.5" style="151" customWidth="1"/>
    <col min="10499" max="10511" width="13.33203125" style="151" customWidth="1"/>
    <col min="10512" max="10512" width="19.6640625" style="151" bestFit="1" customWidth="1"/>
    <col min="10513" max="10513" width="0" style="151" hidden="1" customWidth="1"/>
    <col min="10514" max="10752" width="9.33203125" style="151"/>
    <col min="10753" max="10753" width="39" style="151" customWidth="1"/>
    <col min="10754" max="10754" width="20.5" style="151" customWidth="1"/>
    <col min="10755" max="10767" width="13.33203125" style="151" customWidth="1"/>
    <col min="10768" max="10768" width="19.6640625" style="151" bestFit="1" customWidth="1"/>
    <col min="10769" max="10769" width="0" style="151" hidden="1" customWidth="1"/>
    <col min="10770" max="11008" width="9.33203125" style="151"/>
    <col min="11009" max="11009" width="39" style="151" customWidth="1"/>
    <col min="11010" max="11010" width="20.5" style="151" customWidth="1"/>
    <col min="11011" max="11023" width="13.33203125" style="151" customWidth="1"/>
    <col min="11024" max="11024" width="19.6640625" style="151" bestFit="1" customWidth="1"/>
    <col min="11025" max="11025" width="0" style="151" hidden="1" customWidth="1"/>
    <col min="11026" max="11264" width="9.33203125" style="151"/>
    <col min="11265" max="11265" width="39" style="151" customWidth="1"/>
    <col min="11266" max="11266" width="20.5" style="151" customWidth="1"/>
    <col min="11267" max="11279" width="13.33203125" style="151" customWidth="1"/>
    <col min="11280" max="11280" width="19.6640625" style="151" bestFit="1" customWidth="1"/>
    <col min="11281" max="11281" width="0" style="151" hidden="1" customWidth="1"/>
    <col min="11282" max="11520" width="9.33203125" style="151"/>
    <col min="11521" max="11521" width="39" style="151" customWidth="1"/>
    <col min="11522" max="11522" width="20.5" style="151" customWidth="1"/>
    <col min="11523" max="11535" width="13.33203125" style="151" customWidth="1"/>
    <col min="11536" max="11536" width="19.6640625" style="151" bestFit="1" customWidth="1"/>
    <col min="11537" max="11537" width="0" style="151" hidden="1" customWidth="1"/>
    <col min="11538" max="11776" width="9.33203125" style="151"/>
    <col min="11777" max="11777" width="39" style="151" customWidth="1"/>
    <col min="11778" max="11778" width="20.5" style="151" customWidth="1"/>
    <col min="11779" max="11791" width="13.33203125" style="151" customWidth="1"/>
    <col min="11792" max="11792" width="19.6640625" style="151" bestFit="1" customWidth="1"/>
    <col min="11793" max="11793" width="0" style="151" hidden="1" customWidth="1"/>
    <col min="11794" max="12032" width="9.33203125" style="151"/>
    <col min="12033" max="12033" width="39" style="151" customWidth="1"/>
    <col min="12034" max="12034" width="20.5" style="151" customWidth="1"/>
    <col min="12035" max="12047" width="13.33203125" style="151" customWidth="1"/>
    <col min="12048" max="12048" width="19.6640625" style="151" bestFit="1" customWidth="1"/>
    <col min="12049" max="12049" width="0" style="151" hidden="1" customWidth="1"/>
    <col min="12050" max="12288" width="9.33203125" style="151"/>
    <col min="12289" max="12289" width="39" style="151" customWidth="1"/>
    <col min="12290" max="12290" width="20.5" style="151" customWidth="1"/>
    <col min="12291" max="12303" width="13.33203125" style="151" customWidth="1"/>
    <col min="12304" max="12304" width="19.6640625" style="151" bestFit="1" customWidth="1"/>
    <col min="12305" max="12305" width="0" style="151" hidden="1" customWidth="1"/>
    <col min="12306" max="12544" width="9.33203125" style="151"/>
    <col min="12545" max="12545" width="39" style="151" customWidth="1"/>
    <col min="12546" max="12546" width="20.5" style="151" customWidth="1"/>
    <col min="12547" max="12559" width="13.33203125" style="151" customWidth="1"/>
    <col min="12560" max="12560" width="19.6640625" style="151" bestFit="1" customWidth="1"/>
    <col min="12561" max="12561" width="0" style="151" hidden="1" customWidth="1"/>
    <col min="12562" max="12800" width="9.33203125" style="151"/>
    <col min="12801" max="12801" width="39" style="151" customWidth="1"/>
    <col min="12802" max="12802" width="20.5" style="151" customWidth="1"/>
    <col min="12803" max="12815" width="13.33203125" style="151" customWidth="1"/>
    <col min="12816" max="12816" width="19.6640625" style="151" bestFit="1" customWidth="1"/>
    <col min="12817" max="12817" width="0" style="151" hidden="1" customWidth="1"/>
    <col min="12818" max="13056" width="9.33203125" style="151"/>
    <col min="13057" max="13057" width="39" style="151" customWidth="1"/>
    <col min="13058" max="13058" width="20.5" style="151" customWidth="1"/>
    <col min="13059" max="13071" width="13.33203125" style="151" customWidth="1"/>
    <col min="13072" max="13072" width="19.6640625" style="151" bestFit="1" customWidth="1"/>
    <col min="13073" max="13073" width="0" style="151" hidden="1" customWidth="1"/>
    <col min="13074" max="13312" width="9.33203125" style="151"/>
    <col min="13313" max="13313" width="39" style="151" customWidth="1"/>
    <col min="13314" max="13314" width="20.5" style="151" customWidth="1"/>
    <col min="13315" max="13327" width="13.33203125" style="151" customWidth="1"/>
    <col min="13328" max="13328" width="19.6640625" style="151" bestFit="1" customWidth="1"/>
    <col min="13329" max="13329" width="0" style="151" hidden="1" customWidth="1"/>
    <col min="13330" max="13568" width="9.33203125" style="151"/>
    <col min="13569" max="13569" width="39" style="151" customWidth="1"/>
    <col min="13570" max="13570" width="20.5" style="151" customWidth="1"/>
    <col min="13571" max="13583" width="13.33203125" style="151" customWidth="1"/>
    <col min="13584" max="13584" width="19.6640625" style="151" bestFit="1" customWidth="1"/>
    <col min="13585" max="13585" width="0" style="151" hidden="1" customWidth="1"/>
    <col min="13586" max="13824" width="9.33203125" style="151"/>
    <col min="13825" max="13825" width="39" style="151" customWidth="1"/>
    <col min="13826" max="13826" width="20.5" style="151" customWidth="1"/>
    <col min="13827" max="13839" width="13.33203125" style="151" customWidth="1"/>
    <col min="13840" max="13840" width="19.6640625" style="151" bestFit="1" customWidth="1"/>
    <col min="13841" max="13841" width="0" style="151" hidden="1" customWidth="1"/>
    <col min="13842" max="14080" width="9.33203125" style="151"/>
    <col min="14081" max="14081" width="39" style="151" customWidth="1"/>
    <col min="14082" max="14082" width="20.5" style="151" customWidth="1"/>
    <col min="14083" max="14095" width="13.33203125" style="151" customWidth="1"/>
    <col min="14096" max="14096" width="19.6640625" style="151" bestFit="1" customWidth="1"/>
    <col min="14097" max="14097" width="0" style="151" hidden="1" customWidth="1"/>
    <col min="14098" max="14336" width="9.33203125" style="151"/>
    <col min="14337" max="14337" width="39" style="151" customWidth="1"/>
    <col min="14338" max="14338" width="20.5" style="151" customWidth="1"/>
    <col min="14339" max="14351" width="13.33203125" style="151" customWidth="1"/>
    <col min="14352" max="14352" width="19.6640625" style="151" bestFit="1" customWidth="1"/>
    <col min="14353" max="14353" width="0" style="151" hidden="1" customWidth="1"/>
    <col min="14354" max="14592" width="9.33203125" style="151"/>
    <col min="14593" max="14593" width="39" style="151" customWidth="1"/>
    <col min="14594" max="14594" width="20.5" style="151" customWidth="1"/>
    <col min="14595" max="14607" width="13.33203125" style="151" customWidth="1"/>
    <col min="14608" max="14608" width="19.6640625" style="151" bestFit="1" customWidth="1"/>
    <col min="14609" max="14609" width="0" style="151" hidden="1" customWidth="1"/>
    <col min="14610" max="14848" width="9.33203125" style="151"/>
    <col min="14849" max="14849" width="39" style="151" customWidth="1"/>
    <col min="14850" max="14850" width="20.5" style="151" customWidth="1"/>
    <col min="14851" max="14863" width="13.33203125" style="151" customWidth="1"/>
    <col min="14864" max="14864" width="19.6640625" style="151" bestFit="1" customWidth="1"/>
    <col min="14865" max="14865" width="0" style="151" hidden="1" customWidth="1"/>
    <col min="14866" max="15104" width="9.33203125" style="151"/>
    <col min="15105" max="15105" width="39" style="151" customWidth="1"/>
    <col min="15106" max="15106" width="20.5" style="151" customWidth="1"/>
    <col min="15107" max="15119" width="13.33203125" style="151" customWidth="1"/>
    <col min="15120" max="15120" width="19.6640625" style="151" bestFit="1" customWidth="1"/>
    <col min="15121" max="15121" width="0" style="151" hidden="1" customWidth="1"/>
    <col min="15122" max="15360" width="9.33203125" style="151"/>
    <col min="15361" max="15361" width="39" style="151" customWidth="1"/>
    <col min="15362" max="15362" width="20.5" style="151" customWidth="1"/>
    <col min="15363" max="15375" width="13.33203125" style="151" customWidth="1"/>
    <col min="15376" max="15376" width="19.6640625" style="151" bestFit="1" customWidth="1"/>
    <col min="15377" max="15377" width="0" style="151" hidden="1" customWidth="1"/>
    <col min="15378" max="15616" width="9.33203125" style="151"/>
    <col min="15617" max="15617" width="39" style="151" customWidth="1"/>
    <col min="15618" max="15618" width="20.5" style="151" customWidth="1"/>
    <col min="15619" max="15631" width="13.33203125" style="151" customWidth="1"/>
    <col min="15632" max="15632" width="19.6640625" style="151" bestFit="1" customWidth="1"/>
    <col min="15633" max="15633" width="0" style="151" hidden="1" customWidth="1"/>
    <col min="15634" max="15872" width="9.33203125" style="151"/>
    <col min="15873" max="15873" width="39" style="151" customWidth="1"/>
    <col min="15874" max="15874" width="20.5" style="151" customWidth="1"/>
    <col min="15875" max="15887" width="13.33203125" style="151" customWidth="1"/>
    <col min="15888" max="15888" width="19.6640625" style="151" bestFit="1" customWidth="1"/>
    <col min="15889" max="15889" width="0" style="151" hidden="1" customWidth="1"/>
    <col min="15890" max="16128" width="9.33203125" style="151"/>
    <col min="16129" max="16129" width="39" style="151" customWidth="1"/>
    <col min="16130" max="16130" width="20.5" style="151" customWidth="1"/>
    <col min="16131" max="16143" width="13.33203125" style="151" customWidth="1"/>
    <col min="16144" max="16144" width="19.6640625" style="151" bestFit="1" customWidth="1"/>
    <col min="16145" max="16145" width="0" style="151" hidden="1" customWidth="1"/>
    <col min="16146" max="16384" width="9.33203125" style="151"/>
  </cols>
  <sheetData>
    <row r="1" spans="1:16" ht="13.5" thickBot="1">
      <c r="C1" s="2905" t="s">
        <v>1795</v>
      </c>
      <c r="D1" s="2906"/>
      <c r="E1" s="2906"/>
      <c r="F1" s="2906"/>
      <c r="G1" s="2906"/>
      <c r="H1" s="2906"/>
      <c r="I1" s="2906"/>
      <c r="J1" s="2906"/>
      <c r="K1" s="2906"/>
      <c r="L1" s="2906"/>
      <c r="M1" s="2906"/>
      <c r="N1" s="2906"/>
      <c r="O1" s="2907"/>
    </row>
    <row r="2" spans="1:16">
      <c r="A2" s="2908" t="s">
        <v>1796</v>
      </c>
      <c r="B2" s="2908" t="s">
        <v>523</v>
      </c>
      <c r="C2" s="1483"/>
      <c r="D2" s="1483"/>
      <c r="E2" s="1483"/>
      <c r="F2" s="1483"/>
      <c r="G2" s="1484"/>
      <c r="H2" s="1483"/>
      <c r="I2" s="1485"/>
      <c r="J2" s="1484"/>
      <c r="K2" s="1483"/>
      <c r="L2" s="1483"/>
      <c r="M2" s="1484"/>
      <c r="N2" s="1483"/>
      <c r="O2" s="1485"/>
      <c r="P2" s="2908" t="s">
        <v>1797</v>
      </c>
    </row>
    <row r="3" spans="1:16" ht="13.5" thickBot="1">
      <c r="A3" s="2909"/>
      <c r="B3" s="2909"/>
      <c r="C3" s="1486" t="s">
        <v>1798</v>
      </c>
      <c r="D3" s="1486" t="s">
        <v>1799</v>
      </c>
      <c r="E3" s="1486" t="s">
        <v>1800</v>
      </c>
      <c r="F3" s="1487" t="s">
        <v>1801</v>
      </c>
      <c r="G3" s="1486" t="s">
        <v>1802</v>
      </c>
      <c r="H3" s="1486" t="s">
        <v>1803</v>
      </c>
      <c r="I3" s="1486" t="s">
        <v>1804</v>
      </c>
      <c r="J3" s="1487" t="s">
        <v>1805</v>
      </c>
      <c r="K3" s="1487" t="s">
        <v>1806</v>
      </c>
      <c r="L3" s="1487" t="s">
        <v>1807</v>
      </c>
      <c r="M3" s="1486" t="s">
        <v>1808</v>
      </c>
      <c r="N3" s="1486" t="s">
        <v>1809</v>
      </c>
      <c r="O3" s="1486" t="s">
        <v>1810</v>
      </c>
      <c r="P3" s="2909"/>
    </row>
    <row r="4" spans="1:16" s="1488" customFormat="1">
      <c r="C4" s="1489"/>
      <c r="D4" s="1489"/>
      <c r="E4" s="1489"/>
      <c r="F4" s="1489"/>
      <c r="G4" s="1489"/>
      <c r="H4" s="1489"/>
      <c r="I4" s="1489"/>
      <c r="J4" s="1490"/>
      <c r="K4" s="1489"/>
      <c r="L4" s="1489"/>
      <c r="M4" s="1489"/>
      <c r="N4" s="1489"/>
      <c r="O4" s="1489"/>
      <c r="P4" s="1489"/>
    </row>
    <row r="5" spans="1:16" s="1488" customFormat="1" ht="21.75">
      <c r="A5" s="1394" t="s">
        <v>1811</v>
      </c>
      <c r="B5" s="1394" t="s">
        <v>1812</v>
      </c>
      <c r="C5" s="1489">
        <v>2139</v>
      </c>
      <c r="D5" s="1489">
        <v>2138</v>
      </c>
      <c r="E5" s="1489">
        <v>2138</v>
      </c>
      <c r="F5" s="1489">
        <v>2138</v>
      </c>
      <c r="G5" s="1489">
        <v>2138</v>
      </c>
      <c r="H5" s="1489">
        <v>2138</v>
      </c>
      <c r="I5" s="1489">
        <v>2138</v>
      </c>
      <c r="J5" s="1490">
        <v>2138</v>
      </c>
      <c r="K5" s="1489">
        <v>2138</v>
      </c>
      <c r="L5" s="1489">
        <v>2138</v>
      </c>
      <c r="M5" s="1489">
        <v>2138</v>
      </c>
      <c r="N5" s="1489">
        <v>2138</v>
      </c>
      <c r="O5" s="1489">
        <v>2138</v>
      </c>
      <c r="P5" s="1489">
        <v>2138486</v>
      </c>
    </row>
    <row r="6" spans="1:16" s="1488" customFormat="1" ht="21.75">
      <c r="A6" s="1394" t="s">
        <v>1813</v>
      </c>
      <c r="B6" s="1394" t="s">
        <v>1812</v>
      </c>
      <c r="C6" s="1489">
        <v>899</v>
      </c>
      <c r="D6" s="1489">
        <v>899</v>
      </c>
      <c r="E6" s="1489">
        <v>899</v>
      </c>
      <c r="F6" s="1489">
        <v>899</v>
      </c>
      <c r="G6" s="1489">
        <v>899</v>
      </c>
      <c r="H6" s="1489">
        <v>899</v>
      </c>
      <c r="I6" s="1489">
        <v>899</v>
      </c>
      <c r="J6" s="1490">
        <v>899</v>
      </c>
      <c r="K6" s="1489">
        <v>899</v>
      </c>
      <c r="L6" s="1489">
        <v>899</v>
      </c>
      <c r="M6" s="1489">
        <v>934</v>
      </c>
      <c r="N6" s="1489">
        <v>934</v>
      </c>
      <c r="O6" s="1489">
        <v>903</v>
      </c>
      <c r="P6" s="1489">
        <v>904849</v>
      </c>
    </row>
    <row r="7" spans="1:16" s="1488" customFormat="1" ht="21.75">
      <c r="A7" s="1394" t="s">
        <v>1814</v>
      </c>
      <c r="B7" s="1394" t="s">
        <v>1812</v>
      </c>
      <c r="C7" s="1489">
        <v>1769</v>
      </c>
      <c r="D7" s="1489">
        <v>1769</v>
      </c>
      <c r="E7" s="1489">
        <v>1769</v>
      </c>
      <c r="F7" s="1489">
        <v>1769</v>
      </c>
      <c r="G7" s="1489">
        <v>1769</v>
      </c>
      <c r="H7" s="1489">
        <v>1769</v>
      </c>
      <c r="I7" s="1489">
        <v>1769</v>
      </c>
      <c r="J7" s="1490">
        <v>1769</v>
      </c>
      <c r="K7" s="1489">
        <v>1769</v>
      </c>
      <c r="L7" s="1489">
        <v>1769</v>
      </c>
      <c r="M7" s="1489">
        <v>1769</v>
      </c>
      <c r="N7" s="1489">
        <v>1769</v>
      </c>
      <c r="O7" s="1489">
        <v>1769</v>
      </c>
      <c r="P7" s="1489">
        <v>1769178</v>
      </c>
    </row>
    <row r="8" spans="1:16" s="1488" customFormat="1" ht="21.75">
      <c r="A8" s="1394" t="s">
        <v>1815</v>
      </c>
      <c r="B8" s="1394" t="s">
        <v>1812</v>
      </c>
      <c r="C8" s="1489">
        <v>0</v>
      </c>
      <c r="D8" s="1489">
        <v>0</v>
      </c>
      <c r="E8" s="1489">
        <v>0</v>
      </c>
      <c r="F8" s="1489">
        <v>0</v>
      </c>
      <c r="G8" s="1489">
        <v>0</v>
      </c>
      <c r="H8" s="1489">
        <v>0</v>
      </c>
      <c r="I8" s="1489">
        <v>0</v>
      </c>
      <c r="J8" s="1490">
        <v>0</v>
      </c>
      <c r="K8" s="1489">
        <v>0</v>
      </c>
      <c r="L8" s="1489">
        <v>0</v>
      </c>
      <c r="M8" s="1489">
        <v>0</v>
      </c>
      <c r="N8" s="1489">
        <v>0</v>
      </c>
      <c r="O8" s="1489">
        <v>0</v>
      </c>
      <c r="P8" s="1489">
        <v>0</v>
      </c>
    </row>
    <row r="9" spans="1:16" s="1488" customFormat="1" ht="21.75">
      <c r="A9" s="1394" t="s">
        <v>1816</v>
      </c>
      <c r="B9" s="1394" t="s">
        <v>1812</v>
      </c>
      <c r="C9" s="1489">
        <v>10</v>
      </c>
      <c r="D9" s="1489">
        <v>10</v>
      </c>
      <c r="E9" s="1489">
        <v>10</v>
      </c>
      <c r="F9" s="1489">
        <v>10</v>
      </c>
      <c r="G9" s="1489">
        <v>10</v>
      </c>
      <c r="H9" s="1489">
        <v>10</v>
      </c>
      <c r="I9" s="1489">
        <v>10</v>
      </c>
      <c r="J9" s="1490">
        <v>10</v>
      </c>
      <c r="K9" s="1489">
        <v>10</v>
      </c>
      <c r="L9" s="1489">
        <v>10</v>
      </c>
      <c r="M9" s="1489">
        <v>10</v>
      </c>
      <c r="N9" s="1489">
        <v>10</v>
      </c>
      <c r="O9" s="1489">
        <v>10</v>
      </c>
      <c r="P9" s="1489">
        <v>10247</v>
      </c>
    </row>
    <row r="10" spans="1:16" s="1488" customFormat="1" ht="21.75">
      <c r="A10" s="1394" t="s">
        <v>1817</v>
      </c>
      <c r="B10" s="1394" t="s">
        <v>1812</v>
      </c>
      <c r="C10" s="1489">
        <v>31</v>
      </c>
      <c r="D10" s="1489">
        <v>31</v>
      </c>
      <c r="E10" s="1489">
        <v>31</v>
      </c>
      <c r="F10" s="1489">
        <v>31</v>
      </c>
      <c r="G10" s="1489">
        <v>31</v>
      </c>
      <c r="H10" s="1489">
        <v>31</v>
      </c>
      <c r="I10" s="1489">
        <v>31</v>
      </c>
      <c r="J10" s="1490">
        <v>31</v>
      </c>
      <c r="K10" s="1489">
        <v>31</v>
      </c>
      <c r="L10" s="1489">
        <v>31</v>
      </c>
      <c r="M10" s="1489">
        <v>0</v>
      </c>
      <c r="N10" s="1489">
        <v>0</v>
      </c>
      <c r="O10" s="1489">
        <v>31</v>
      </c>
      <c r="P10" s="1489">
        <v>25504</v>
      </c>
    </row>
    <row r="11" spans="1:16" s="1488" customFormat="1" ht="21.75">
      <c r="A11" s="1394" t="s">
        <v>1818</v>
      </c>
      <c r="B11" s="1394" t="s">
        <v>1812</v>
      </c>
      <c r="C11" s="1489">
        <v>2</v>
      </c>
      <c r="D11" s="1489">
        <v>2</v>
      </c>
      <c r="E11" s="1489">
        <v>2</v>
      </c>
      <c r="F11" s="1489">
        <v>2</v>
      </c>
      <c r="G11" s="1489">
        <v>2</v>
      </c>
      <c r="H11" s="1489">
        <v>2</v>
      </c>
      <c r="I11" s="1489">
        <v>2</v>
      </c>
      <c r="J11" s="1490">
        <v>2</v>
      </c>
      <c r="K11" s="1489">
        <v>2</v>
      </c>
      <c r="L11" s="1489">
        <v>2</v>
      </c>
      <c r="M11" s="1489">
        <v>2</v>
      </c>
      <c r="N11" s="1489">
        <v>2</v>
      </c>
      <c r="O11" s="1489">
        <v>2</v>
      </c>
      <c r="P11" s="1489">
        <v>1908</v>
      </c>
    </row>
    <row r="12" spans="1:16" s="1488" customFormat="1" ht="21.75">
      <c r="A12" s="1394" t="s">
        <v>1819</v>
      </c>
      <c r="B12" s="1394" t="s">
        <v>1812</v>
      </c>
      <c r="C12" s="1489">
        <v>52</v>
      </c>
      <c r="D12" s="1489">
        <v>52</v>
      </c>
      <c r="E12" s="1489">
        <v>52</v>
      </c>
      <c r="F12" s="1489">
        <v>52</v>
      </c>
      <c r="G12" s="1489">
        <v>52</v>
      </c>
      <c r="H12" s="1489">
        <v>52</v>
      </c>
      <c r="I12" s="1489">
        <v>52</v>
      </c>
      <c r="J12" s="1490">
        <v>52</v>
      </c>
      <c r="K12" s="1489">
        <v>52</v>
      </c>
      <c r="L12" s="1489">
        <v>52</v>
      </c>
      <c r="M12" s="1489">
        <v>52</v>
      </c>
      <c r="N12" s="1489">
        <v>52</v>
      </c>
      <c r="O12" s="1489">
        <v>52</v>
      </c>
      <c r="P12" s="1489">
        <v>52087</v>
      </c>
    </row>
    <row r="13" spans="1:16" s="1488" customFormat="1" ht="21.75">
      <c r="A13" s="1394" t="s">
        <v>1820</v>
      </c>
      <c r="B13" s="1394" t="s">
        <v>1812</v>
      </c>
      <c r="C13" s="1489">
        <v>279</v>
      </c>
      <c r="D13" s="1489">
        <v>279</v>
      </c>
      <c r="E13" s="1489">
        <v>279</v>
      </c>
      <c r="F13" s="1489">
        <v>279</v>
      </c>
      <c r="G13" s="1489">
        <v>279</v>
      </c>
      <c r="H13" s="1489">
        <v>279</v>
      </c>
      <c r="I13" s="1489">
        <v>279</v>
      </c>
      <c r="J13" s="1490">
        <v>279</v>
      </c>
      <c r="K13" s="1489">
        <v>279</v>
      </c>
      <c r="L13" s="1489">
        <v>279</v>
      </c>
      <c r="M13" s="1489">
        <v>279</v>
      </c>
      <c r="N13" s="1489">
        <v>279</v>
      </c>
      <c r="O13" s="1489">
        <v>279</v>
      </c>
      <c r="P13" s="1489">
        <v>278851</v>
      </c>
    </row>
    <row r="14" spans="1:16" s="1488" customFormat="1" ht="21.75">
      <c r="A14" s="1394" t="s">
        <v>1821</v>
      </c>
      <c r="B14" s="1394" t="s">
        <v>1812</v>
      </c>
      <c r="C14" s="1489">
        <v>3258</v>
      </c>
      <c r="D14" s="1489">
        <v>3258</v>
      </c>
      <c r="E14" s="1489">
        <v>3258</v>
      </c>
      <c r="F14" s="1489">
        <v>3258</v>
      </c>
      <c r="G14" s="1489">
        <v>3258</v>
      </c>
      <c r="H14" s="1489">
        <v>3258</v>
      </c>
      <c r="I14" s="1489">
        <v>3416</v>
      </c>
      <c r="J14" s="1490">
        <v>3416</v>
      </c>
      <c r="K14" s="1489">
        <v>3416</v>
      </c>
      <c r="L14" s="1489">
        <v>3416</v>
      </c>
      <c r="M14" s="1489">
        <v>3769</v>
      </c>
      <c r="N14" s="1489">
        <v>4596</v>
      </c>
      <c r="O14" s="1489">
        <v>3637</v>
      </c>
      <c r="P14" s="1489">
        <v>3480640</v>
      </c>
    </row>
    <row r="15" spans="1:16" s="1488" customFormat="1" ht="21.75">
      <c r="A15" s="1394" t="s">
        <v>1822</v>
      </c>
      <c r="B15" s="1394" t="s">
        <v>1812</v>
      </c>
      <c r="C15" s="1489">
        <v>0</v>
      </c>
      <c r="D15" s="1489">
        <v>0</v>
      </c>
      <c r="E15" s="1489">
        <v>0</v>
      </c>
      <c r="F15" s="1489">
        <v>0</v>
      </c>
      <c r="G15" s="1489">
        <v>0</v>
      </c>
      <c r="H15" s="1489">
        <v>0</v>
      </c>
      <c r="I15" s="1489">
        <v>0</v>
      </c>
      <c r="J15" s="1490">
        <v>0</v>
      </c>
      <c r="K15" s="1489">
        <v>0</v>
      </c>
      <c r="L15" s="1489">
        <v>0</v>
      </c>
      <c r="M15" s="1489">
        <v>0</v>
      </c>
      <c r="N15" s="1489">
        <v>0</v>
      </c>
      <c r="O15" s="1489">
        <v>0</v>
      </c>
      <c r="P15" s="1489">
        <v>0</v>
      </c>
    </row>
    <row r="16" spans="1:16" s="1488" customFormat="1" ht="21.75">
      <c r="A16" s="1394" t="s">
        <v>1823</v>
      </c>
      <c r="B16" s="1394" t="s">
        <v>1812</v>
      </c>
      <c r="C16" s="1489">
        <v>686</v>
      </c>
      <c r="D16" s="1489">
        <v>686</v>
      </c>
      <c r="E16" s="1489">
        <v>686</v>
      </c>
      <c r="F16" s="1489">
        <v>686</v>
      </c>
      <c r="G16" s="1489">
        <v>686</v>
      </c>
      <c r="H16" s="1489">
        <v>686</v>
      </c>
      <c r="I16" s="1489">
        <v>686</v>
      </c>
      <c r="J16" s="1490">
        <v>686</v>
      </c>
      <c r="K16" s="1489">
        <v>686</v>
      </c>
      <c r="L16" s="1489">
        <v>686</v>
      </c>
      <c r="M16" s="1489">
        <v>686</v>
      </c>
      <c r="N16" s="1489">
        <v>686</v>
      </c>
      <c r="O16" s="1489">
        <v>686</v>
      </c>
      <c r="P16" s="1489">
        <v>685927</v>
      </c>
    </row>
    <row r="17" spans="1:16" s="1488" customFormat="1" ht="21.75">
      <c r="A17" s="1394" t="s">
        <v>1824</v>
      </c>
      <c r="B17" s="1394" t="s">
        <v>1812</v>
      </c>
      <c r="C17" s="1489">
        <v>1071</v>
      </c>
      <c r="D17" s="1489">
        <v>1071</v>
      </c>
      <c r="E17" s="1489">
        <v>1071</v>
      </c>
      <c r="F17" s="1489">
        <v>1071</v>
      </c>
      <c r="G17" s="1489">
        <v>1071</v>
      </c>
      <c r="H17" s="1489">
        <v>1071</v>
      </c>
      <c r="I17" s="1489">
        <v>1071</v>
      </c>
      <c r="J17" s="1490">
        <v>1071</v>
      </c>
      <c r="K17" s="1489">
        <v>1071</v>
      </c>
      <c r="L17" s="1489">
        <v>1071</v>
      </c>
      <c r="M17" s="1489">
        <v>1071</v>
      </c>
      <c r="N17" s="1489">
        <v>1071</v>
      </c>
      <c r="O17" s="1489">
        <v>1071</v>
      </c>
      <c r="P17" s="1489">
        <v>1071124</v>
      </c>
    </row>
    <row r="18" spans="1:16" s="1488" customFormat="1" ht="21.75">
      <c r="A18" s="1394" t="s">
        <v>1825</v>
      </c>
      <c r="B18" s="1394" t="s">
        <v>1812</v>
      </c>
      <c r="C18" s="1489">
        <v>0</v>
      </c>
      <c r="D18" s="1489">
        <v>0</v>
      </c>
      <c r="E18" s="1489">
        <v>0</v>
      </c>
      <c r="F18" s="1489">
        <v>0</v>
      </c>
      <c r="G18" s="1489">
        <v>0</v>
      </c>
      <c r="H18" s="1489">
        <v>0</v>
      </c>
      <c r="I18" s="1489">
        <v>0</v>
      </c>
      <c r="J18" s="1490">
        <v>0</v>
      </c>
      <c r="K18" s="1489">
        <v>0</v>
      </c>
      <c r="L18" s="1489">
        <v>0</v>
      </c>
      <c r="M18" s="1489">
        <v>0</v>
      </c>
      <c r="N18" s="1489">
        <v>0</v>
      </c>
      <c r="O18" s="1489">
        <v>0</v>
      </c>
      <c r="P18" s="1489">
        <v>0</v>
      </c>
    </row>
    <row r="19" spans="1:16" s="1488" customFormat="1" ht="21.75">
      <c r="A19" s="1394" t="s">
        <v>1826</v>
      </c>
      <c r="B19" s="1394" t="s">
        <v>1812</v>
      </c>
      <c r="C19" s="1489">
        <v>158</v>
      </c>
      <c r="D19" s="1489">
        <v>158</v>
      </c>
      <c r="E19" s="1489">
        <v>158</v>
      </c>
      <c r="F19" s="1489">
        <v>158</v>
      </c>
      <c r="G19" s="1489">
        <v>158</v>
      </c>
      <c r="H19" s="1489">
        <v>158</v>
      </c>
      <c r="I19" s="1489">
        <v>0</v>
      </c>
      <c r="J19" s="1490">
        <v>0</v>
      </c>
      <c r="K19" s="1489">
        <v>0</v>
      </c>
      <c r="L19" s="1489">
        <v>0</v>
      </c>
      <c r="M19" s="1489">
        <v>0</v>
      </c>
      <c r="N19" s="1489">
        <v>0</v>
      </c>
      <c r="O19" s="1489">
        <v>132</v>
      </c>
      <c r="P19" s="1489">
        <v>78133</v>
      </c>
    </row>
    <row r="20" spans="1:16" s="1488" customFormat="1" ht="21.75">
      <c r="A20" s="1394" t="s">
        <v>1827</v>
      </c>
      <c r="B20" s="1394" t="s">
        <v>1812</v>
      </c>
      <c r="C20" s="1489">
        <v>139</v>
      </c>
      <c r="D20" s="1489">
        <v>139</v>
      </c>
      <c r="E20" s="1489">
        <v>139</v>
      </c>
      <c r="F20" s="1489">
        <v>139</v>
      </c>
      <c r="G20" s="1489">
        <v>139</v>
      </c>
      <c r="H20" s="1489">
        <v>139</v>
      </c>
      <c r="I20" s="1489">
        <v>139</v>
      </c>
      <c r="J20" s="1490">
        <v>139</v>
      </c>
      <c r="K20" s="1489">
        <v>139</v>
      </c>
      <c r="L20" s="1489">
        <v>139</v>
      </c>
      <c r="M20" s="1489">
        <v>0</v>
      </c>
      <c r="N20" s="1489">
        <v>0</v>
      </c>
      <c r="O20" s="1489">
        <v>7</v>
      </c>
      <c r="P20" s="1489">
        <v>110569</v>
      </c>
    </row>
    <row r="21" spans="1:16" s="1488" customFormat="1" ht="21.75">
      <c r="A21" s="1394" t="s">
        <v>1828</v>
      </c>
      <c r="B21" s="1394" t="s">
        <v>1812</v>
      </c>
      <c r="C21" s="1489">
        <v>1276</v>
      </c>
      <c r="D21" s="1489">
        <v>1276</v>
      </c>
      <c r="E21" s="1489">
        <v>1276</v>
      </c>
      <c r="F21" s="1489">
        <v>1276</v>
      </c>
      <c r="G21" s="1489">
        <v>1276</v>
      </c>
      <c r="H21" s="1489">
        <v>1276</v>
      </c>
      <c r="I21" s="1489">
        <v>1276</v>
      </c>
      <c r="J21" s="1490">
        <v>1276</v>
      </c>
      <c r="K21" s="1489">
        <v>1276</v>
      </c>
      <c r="L21" s="1489">
        <v>1276</v>
      </c>
      <c r="M21" s="1489">
        <v>1276</v>
      </c>
      <c r="N21" s="1489">
        <v>1276</v>
      </c>
      <c r="O21" s="1489">
        <v>1276</v>
      </c>
      <c r="P21" s="1489">
        <v>1276264</v>
      </c>
    </row>
    <row r="22" spans="1:16" s="1488" customFormat="1" ht="21.75">
      <c r="A22" s="1394" t="s">
        <v>1829</v>
      </c>
      <c r="B22" s="1394" t="s">
        <v>1812</v>
      </c>
      <c r="C22" s="1489">
        <v>0</v>
      </c>
      <c r="D22" s="1489">
        <v>0</v>
      </c>
      <c r="E22" s="1489">
        <v>0</v>
      </c>
      <c r="F22" s="1489">
        <v>0</v>
      </c>
      <c r="G22" s="1489">
        <v>0</v>
      </c>
      <c r="H22" s="1489">
        <v>0</v>
      </c>
      <c r="I22" s="1489">
        <v>0</v>
      </c>
      <c r="J22" s="1490">
        <v>0</v>
      </c>
      <c r="K22" s="1489">
        <v>0</v>
      </c>
      <c r="L22" s="1489">
        <v>0</v>
      </c>
      <c r="M22" s="1489">
        <v>0</v>
      </c>
      <c r="N22" s="1489">
        <v>0</v>
      </c>
      <c r="O22" s="1489">
        <v>0</v>
      </c>
      <c r="P22" s="1489">
        <v>0</v>
      </c>
    </row>
    <row r="23" spans="1:16" s="1488" customFormat="1" ht="21.75">
      <c r="A23" s="1394" t="s">
        <v>1830</v>
      </c>
      <c r="B23" s="1394" t="s">
        <v>1812</v>
      </c>
      <c r="C23" s="1489">
        <v>489</v>
      </c>
      <c r="D23" s="1489">
        <v>489</v>
      </c>
      <c r="E23" s="1489">
        <v>489</v>
      </c>
      <c r="F23" s="1489">
        <v>489</v>
      </c>
      <c r="G23" s="1489">
        <v>489</v>
      </c>
      <c r="H23" s="1489">
        <v>489</v>
      </c>
      <c r="I23" s="1489">
        <v>489</v>
      </c>
      <c r="J23" s="1490">
        <v>489</v>
      </c>
      <c r="K23" s="1489">
        <v>489</v>
      </c>
      <c r="L23" s="1489">
        <v>489</v>
      </c>
      <c r="M23" s="1489">
        <v>489</v>
      </c>
      <c r="N23" s="1489">
        <v>489</v>
      </c>
      <c r="O23" s="1489">
        <v>489</v>
      </c>
      <c r="P23" s="1489">
        <v>488761</v>
      </c>
    </row>
    <row r="24" spans="1:16" s="1488" customFormat="1" ht="21.75">
      <c r="A24" s="1394" t="s">
        <v>1831</v>
      </c>
      <c r="B24" s="1394" t="s">
        <v>1812</v>
      </c>
      <c r="C24" s="1489">
        <v>198</v>
      </c>
      <c r="D24" s="1489">
        <v>0</v>
      </c>
      <c r="E24" s="1489">
        <v>0</v>
      </c>
      <c r="F24" s="1489">
        <v>0</v>
      </c>
      <c r="G24" s="1489">
        <v>0</v>
      </c>
      <c r="H24" s="1489">
        <v>0</v>
      </c>
      <c r="I24" s="1489">
        <v>0</v>
      </c>
      <c r="J24" s="1490">
        <v>0</v>
      </c>
      <c r="K24" s="1489">
        <v>0</v>
      </c>
      <c r="L24" s="1489">
        <v>0</v>
      </c>
      <c r="M24" s="1489">
        <v>0</v>
      </c>
      <c r="N24" s="1489">
        <v>0</v>
      </c>
      <c r="O24" s="1489">
        <v>0</v>
      </c>
      <c r="P24" s="1489">
        <v>8248</v>
      </c>
    </row>
    <row r="25" spans="1:16" s="1488" customFormat="1" ht="21.75">
      <c r="A25" s="1394" t="s">
        <v>1832</v>
      </c>
      <c r="B25" s="1394" t="s">
        <v>1812</v>
      </c>
      <c r="C25" s="1489">
        <v>0</v>
      </c>
      <c r="D25" s="1489">
        <v>198</v>
      </c>
      <c r="E25" s="1489">
        <v>198</v>
      </c>
      <c r="F25" s="1489">
        <v>198</v>
      </c>
      <c r="G25" s="1489">
        <v>198</v>
      </c>
      <c r="H25" s="1489">
        <v>198</v>
      </c>
      <c r="I25" s="1489">
        <v>153</v>
      </c>
      <c r="J25" s="1490">
        <v>153</v>
      </c>
      <c r="K25" s="1489">
        <v>153</v>
      </c>
      <c r="L25" s="1489">
        <v>0</v>
      </c>
      <c r="M25" s="1489">
        <v>0</v>
      </c>
      <c r="N25" s="1489">
        <v>0</v>
      </c>
      <c r="O25" s="1489">
        <v>0</v>
      </c>
      <c r="P25" s="1489">
        <v>120747</v>
      </c>
    </row>
    <row r="26" spans="1:16" s="1488" customFormat="1" ht="21.75">
      <c r="A26" s="1394" t="s">
        <v>1833</v>
      </c>
      <c r="B26" s="1394" t="s">
        <v>1812</v>
      </c>
      <c r="C26" s="1489">
        <v>778</v>
      </c>
      <c r="D26" s="1489">
        <v>778</v>
      </c>
      <c r="E26" s="1489">
        <v>778</v>
      </c>
      <c r="F26" s="1489">
        <v>778</v>
      </c>
      <c r="G26" s="1489">
        <v>778</v>
      </c>
      <c r="H26" s="1489">
        <v>778</v>
      </c>
      <c r="I26" s="1489">
        <v>778</v>
      </c>
      <c r="J26" s="1490">
        <v>778</v>
      </c>
      <c r="K26" s="1489">
        <v>778</v>
      </c>
      <c r="L26" s="1489">
        <v>931</v>
      </c>
      <c r="M26" s="1489">
        <v>931</v>
      </c>
      <c r="N26" s="1489">
        <v>931</v>
      </c>
      <c r="O26" s="1489">
        <v>931</v>
      </c>
      <c r="P26" s="1489">
        <v>822764</v>
      </c>
    </row>
    <row r="27" spans="1:16" s="1488" customFormat="1" ht="21.75">
      <c r="A27" s="1394" t="s">
        <v>1834</v>
      </c>
      <c r="B27" s="1394" t="s">
        <v>1812</v>
      </c>
      <c r="C27" s="1489">
        <v>0</v>
      </c>
      <c r="D27" s="1489">
        <v>0</v>
      </c>
      <c r="E27" s="1489">
        <v>0</v>
      </c>
      <c r="F27" s="1489">
        <v>0</v>
      </c>
      <c r="G27" s="1489">
        <v>0</v>
      </c>
      <c r="H27" s="1489">
        <v>0</v>
      </c>
      <c r="I27" s="1489">
        <v>0</v>
      </c>
      <c r="J27" s="1490">
        <v>0</v>
      </c>
      <c r="K27" s="1489">
        <v>0</v>
      </c>
      <c r="L27" s="1489">
        <v>0</v>
      </c>
      <c r="M27" s="1489">
        <v>0</v>
      </c>
      <c r="N27" s="1489">
        <v>0</v>
      </c>
      <c r="O27" s="1489">
        <v>0</v>
      </c>
      <c r="P27" s="1489">
        <v>0</v>
      </c>
    </row>
    <row r="28" spans="1:16" s="1488" customFormat="1" ht="21.75">
      <c r="A28" s="1394" t="s">
        <v>1835</v>
      </c>
      <c r="B28" s="1394" t="s">
        <v>1812</v>
      </c>
      <c r="C28" s="1489">
        <v>9139</v>
      </c>
      <c r="D28" s="1489">
        <v>9139</v>
      </c>
      <c r="E28" s="1489">
        <v>9139</v>
      </c>
      <c r="F28" s="1489">
        <v>9139</v>
      </c>
      <c r="G28" s="1489">
        <v>9139</v>
      </c>
      <c r="H28" s="1489">
        <v>9139</v>
      </c>
      <c r="I28" s="1489">
        <v>9139</v>
      </c>
      <c r="J28" s="1490">
        <v>9139</v>
      </c>
      <c r="K28" s="1489">
        <v>9139</v>
      </c>
      <c r="L28" s="1489">
        <v>9139</v>
      </c>
      <c r="M28" s="1489">
        <v>9139</v>
      </c>
      <c r="N28" s="1489">
        <v>9139</v>
      </c>
      <c r="O28" s="1489">
        <v>9150</v>
      </c>
      <c r="P28" s="1489">
        <v>9139562</v>
      </c>
    </row>
    <row r="29" spans="1:16" s="1488" customFormat="1" ht="21.75">
      <c r="A29" s="1394" t="s">
        <v>1836</v>
      </c>
      <c r="B29" s="1394" t="s">
        <v>1812</v>
      </c>
      <c r="C29" s="1489">
        <v>32769</v>
      </c>
      <c r="D29" s="1489">
        <v>32769</v>
      </c>
      <c r="E29" s="1489">
        <v>32769</v>
      </c>
      <c r="F29" s="1489">
        <v>32769</v>
      </c>
      <c r="G29" s="1489">
        <v>32769</v>
      </c>
      <c r="H29" s="1489">
        <v>32769</v>
      </c>
      <c r="I29" s="1489">
        <v>32769</v>
      </c>
      <c r="J29" s="1490">
        <v>32769</v>
      </c>
      <c r="K29" s="1489">
        <v>32769</v>
      </c>
      <c r="L29" s="1489">
        <v>32769</v>
      </c>
      <c r="M29" s="1489">
        <v>32769</v>
      </c>
      <c r="N29" s="1489">
        <v>32769</v>
      </c>
      <c r="O29" s="1489">
        <v>32769</v>
      </c>
      <c r="P29" s="1489">
        <v>32769281</v>
      </c>
    </row>
    <row r="30" spans="1:16" s="1488" customFormat="1" ht="21.75">
      <c r="A30" s="1394" t="s">
        <v>1837</v>
      </c>
      <c r="B30" s="1394" t="s">
        <v>1812</v>
      </c>
      <c r="C30" s="1489">
        <v>0</v>
      </c>
      <c r="D30" s="1489">
        <v>0</v>
      </c>
      <c r="E30" s="1489">
        <v>0</v>
      </c>
      <c r="F30" s="1489">
        <v>0</v>
      </c>
      <c r="G30" s="1489">
        <v>0</v>
      </c>
      <c r="H30" s="1489">
        <v>0</v>
      </c>
      <c r="I30" s="1489">
        <v>0</v>
      </c>
      <c r="J30" s="1490">
        <v>0</v>
      </c>
      <c r="K30" s="1489">
        <v>0</v>
      </c>
      <c r="L30" s="1489">
        <v>0</v>
      </c>
      <c r="M30" s="1489">
        <v>0</v>
      </c>
      <c r="N30" s="1489">
        <v>0</v>
      </c>
      <c r="O30" s="1489">
        <v>0</v>
      </c>
      <c r="P30" s="1489">
        <v>0</v>
      </c>
    </row>
    <row r="31" spans="1:16" s="1488" customFormat="1" ht="21.75">
      <c r="A31" s="1394" t="s">
        <v>1838</v>
      </c>
      <c r="B31" s="1394" t="s">
        <v>1812</v>
      </c>
      <c r="C31" s="1489">
        <v>1231</v>
      </c>
      <c r="D31" s="1489">
        <v>1231</v>
      </c>
      <c r="E31" s="1489">
        <v>1231</v>
      </c>
      <c r="F31" s="1489">
        <v>1231</v>
      </c>
      <c r="G31" s="1489">
        <v>1231</v>
      </c>
      <c r="H31" s="1489">
        <v>1231</v>
      </c>
      <c r="I31" s="1489">
        <v>1231</v>
      </c>
      <c r="J31" s="1490">
        <v>1231</v>
      </c>
      <c r="K31" s="1489">
        <v>1231</v>
      </c>
      <c r="L31" s="1489">
        <v>1231</v>
      </c>
      <c r="M31" s="1489">
        <v>1231</v>
      </c>
      <c r="N31" s="1489">
        <v>1231</v>
      </c>
      <c r="O31" s="1489">
        <v>1231</v>
      </c>
      <c r="P31" s="1489">
        <v>1231131</v>
      </c>
    </row>
    <row r="32" spans="1:16" s="1488" customFormat="1" ht="21.75">
      <c r="A32" s="1394" t="s">
        <v>1839</v>
      </c>
      <c r="B32" s="1394" t="s">
        <v>1812</v>
      </c>
      <c r="C32" s="1489">
        <v>19380</v>
      </c>
      <c r="D32" s="1489">
        <v>19380</v>
      </c>
      <c r="E32" s="1489">
        <v>19458</v>
      </c>
      <c r="F32" s="1489">
        <v>19469</v>
      </c>
      <c r="G32" s="1489">
        <v>19630</v>
      </c>
      <c r="H32" s="1489">
        <v>19653</v>
      </c>
      <c r="I32" s="1489">
        <v>19819</v>
      </c>
      <c r="J32" s="1490">
        <v>19835</v>
      </c>
      <c r="K32" s="1489">
        <v>19859</v>
      </c>
      <c r="L32" s="1489">
        <v>19882</v>
      </c>
      <c r="M32" s="1489">
        <v>19915</v>
      </c>
      <c r="N32" s="1489">
        <v>19931</v>
      </c>
      <c r="O32" s="1489">
        <v>19964</v>
      </c>
      <c r="P32" s="1489">
        <v>19708485</v>
      </c>
    </row>
    <row r="33" spans="1:16" s="1488" customFormat="1" ht="21.75">
      <c r="A33" s="1394" t="s">
        <v>1840</v>
      </c>
      <c r="B33" s="1394" t="s">
        <v>1812</v>
      </c>
      <c r="C33" s="1489">
        <v>0</v>
      </c>
      <c r="D33" s="1489">
        <v>0</v>
      </c>
      <c r="E33" s="1489">
        <v>0</v>
      </c>
      <c r="F33" s="1489">
        <v>0</v>
      </c>
      <c r="G33" s="1489">
        <v>0</v>
      </c>
      <c r="H33" s="1489">
        <v>0</v>
      </c>
      <c r="I33" s="1489">
        <v>0</v>
      </c>
      <c r="J33" s="1490">
        <v>0</v>
      </c>
      <c r="K33" s="1489">
        <v>0</v>
      </c>
      <c r="L33" s="1489">
        <v>0</v>
      </c>
      <c r="M33" s="1489">
        <v>0</v>
      </c>
      <c r="N33" s="1489">
        <v>0</v>
      </c>
      <c r="O33" s="1489">
        <v>0</v>
      </c>
      <c r="P33" s="1489">
        <v>0</v>
      </c>
    </row>
    <row r="34" spans="1:16" s="1488" customFormat="1" ht="21.75">
      <c r="A34" s="1394" t="s">
        <v>1841</v>
      </c>
      <c r="B34" s="1394" t="s">
        <v>1812</v>
      </c>
      <c r="C34" s="1489">
        <v>842</v>
      </c>
      <c r="D34" s="1489">
        <v>842</v>
      </c>
      <c r="E34" s="1489">
        <v>842</v>
      </c>
      <c r="F34" s="1489">
        <v>842</v>
      </c>
      <c r="G34" s="1489">
        <v>842</v>
      </c>
      <c r="H34" s="1489">
        <v>842</v>
      </c>
      <c r="I34" s="1489">
        <v>842</v>
      </c>
      <c r="J34" s="1490">
        <v>842</v>
      </c>
      <c r="K34" s="1489">
        <v>842</v>
      </c>
      <c r="L34" s="1489">
        <v>842</v>
      </c>
      <c r="M34" s="1489">
        <v>842</v>
      </c>
      <c r="N34" s="1489">
        <v>842</v>
      </c>
      <c r="O34" s="1489">
        <v>842</v>
      </c>
      <c r="P34" s="1489">
        <v>842402</v>
      </c>
    </row>
    <row r="35" spans="1:16" s="1488" customFormat="1" ht="21.75">
      <c r="A35" s="1394" t="s">
        <v>1842</v>
      </c>
      <c r="B35" s="1394" t="s">
        <v>1812</v>
      </c>
      <c r="C35" s="1489">
        <v>0</v>
      </c>
      <c r="D35" s="1489">
        <v>0</v>
      </c>
      <c r="E35" s="1489">
        <v>0</v>
      </c>
      <c r="F35" s="1489">
        <v>0</v>
      </c>
      <c r="G35" s="1489">
        <v>0</v>
      </c>
      <c r="H35" s="1489">
        <v>0</v>
      </c>
      <c r="I35" s="1489">
        <v>0</v>
      </c>
      <c r="J35" s="1490">
        <v>0</v>
      </c>
      <c r="K35" s="1489">
        <v>0</v>
      </c>
      <c r="L35" s="1489">
        <v>1072</v>
      </c>
      <c r="M35" s="1489">
        <v>1072</v>
      </c>
      <c r="N35" s="1489">
        <v>1072</v>
      </c>
      <c r="O35" s="1489">
        <v>1072</v>
      </c>
      <c r="P35" s="1489">
        <v>312528</v>
      </c>
    </row>
    <row r="36" spans="1:16" s="1488" customFormat="1" ht="21.75">
      <c r="A36" s="1394" t="s">
        <v>1843</v>
      </c>
      <c r="B36" s="1394" t="s">
        <v>1812</v>
      </c>
      <c r="C36" s="1489">
        <v>0</v>
      </c>
      <c r="D36" s="1489">
        <v>0</v>
      </c>
      <c r="E36" s="1489">
        <v>0</v>
      </c>
      <c r="F36" s="1489">
        <v>0</v>
      </c>
      <c r="G36" s="1489">
        <v>0</v>
      </c>
      <c r="H36" s="1489">
        <v>0</v>
      </c>
      <c r="I36" s="1489">
        <v>0</v>
      </c>
      <c r="J36" s="1490">
        <v>0</v>
      </c>
      <c r="K36" s="1489">
        <v>0</v>
      </c>
      <c r="L36" s="1489">
        <v>0</v>
      </c>
      <c r="M36" s="1489">
        <v>0</v>
      </c>
      <c r="N36" s="1489">
        <v>0</v>
      </c>
      <c r="O36" s="1489">
        <v>0</v>
      </c>
      <c r="P36" s="1489">
        <v>0</v>
      </c>
    </row>
    <row r="37" spans="1:16" s="1488" customFormat="1" ht="21.75">
      <c r="A37" s="1394" t="s">
        <v>1844</v>
      </c>
      <c r="B37" s="1394" t="s">
        <v>1812</v>
      </c>
      <c r="C37" s="1489">
        <v>297</v>
      </c>
      <c r="D37" s="1489">
        <v>0</v>
      </c>
      <c r="E37" s="1489">
        <v>0</v>
      </c>
      <c r="F37" s="1489">
        <v>0</v>
      </c>
      <c r="G37" s="1489">
        <v>0</v>
      </c>
      <c r="H37" s="1489">
        <v>0</v>
      </c>
      <c r="I37" s="1489">
        <v>0</v>
      </c>
      <c r="J37" s="1490">
        <v>0</v>
      </c>
      <c r="K37" s="1489">
        <v>0</v>
      </c>
      <c r="L37" s="1489">
        <v>0</v>
      </c>
      <c r="M37" s="1489">
        <v>0</v>
      </c>
      <c r="N37" s="1489">
        <v>0</v>
      </c>
      <c r="O37" s="1489">
        <v>0</v>
      </c>
      <c r="P37" s="1489">
        <v>12371</v>
      </c>
    </row>
    <row r="38" spans="1:16" s="1488" customFormat="1" ht="21.75">
      <c r="A38" s="1394" t="s">
        <v>1845</v>
      </c>
      <c r="B38" s="1394" t="s">
        <v>1812</v>
      </c>
      <c r="C38" s="1489">
        <v>0</v>
      </c>
      <c r="D38" s="1489">
        <v>297</v>
      </c>
      <c r="E38" s="1489">
        <v>297</v>
      </c>
      <c r="F38" s="1489">
        <v>297</v>
      </c>
      <c r="G38" s="1489">
        <v>297</v>
      </c>
      <c r="H38" s="1489">
        <v>297</v>
      </c>
      <c r="I38" s="1489">
        <v>1783</v>
      </c>
      <c r="J38" s="1490">
        <v>1783</v>
      </c>
      <c r="K38" s="1489">
        <v>1783</v>
      </c>
      <c r="L38" s="1489">
        <v>0</v>
      </c>
      <c r="M38" s="1489">
        <v>0</v>
      </c>
      <c r="N38" s="1489">
        <v>0</v>
      </c>
      <c r="O38" s="1489">
        <v>0</v>
      </c>
      <c r="P38" s="1489">
        <v>569461</v>
      </c>
    </row>
    <row r="39" spans="1:16" s="1488" customFormat="1" ht="21.75">
      <c r="A39" s="1394" t="s">
        <v>1846</v>
      </c>
      <c r="B39" s="1394" t="s">
        <v>1812</v>
      </c>
      <c r="C39" s="1489">
        <v>0</v>
      </c>
      <c r="D39" s="1489">
        <v>0</v>
      </c>
      <c r="E39" s="1489">
        <v>0</v>
      </c>
      <c r="F39" s="1489">
        <v>0</v>
      </c>
      <c r="G39" s="1489">
        <v>0</v>
      </c>
      <c r="H39" s="1489">
        <v>0</v>
      </c>
      <c r="I39" s="1489">
        <v>0</v>
      </c>
      <c r="J39" s="1490">
        <v>0</v>
      </c>
      <c r="K39" s="1489">
        <v>0</v>
      </c>
      <c r="L39" s="1489">
        <v>0</v>
      </c>
      <c r="M39" s="1489">
        <v>0</v>
      </c>
      <c r="N39" s="1489">
        <v>0</v>
      </c>
      <c r="O39" s="1489">
        <v>0</v>
      </c>
      <c r="P39" s="1489">
        <v>0</v>
      </c>
    </row>
    <row r="40" spans="1:16" s="1488" customFormat="1" ht="21.75">
      <c r="A40" s="1394" t="s">
        <v>1847</v>
      </c>
      <c r="B40" s="1394" t="s">
        <v>1812</v>
      </c>
      <c r="C40" s="1489">
        <v>0</v>
      </c>
      <c r="D40" s="1489">
        <v>0</v>
      </c>
      <c r="E40" s="1489">
        <v>0</v>
      </c>
      <c r="F40" s="1489">
        <v>0</v>
      </c>
      <c r="G40" s="1489">
        <v>0</v>
      </c>
      <c r="H40" s="1489">
        <v>0</v>
      </c>
      <c r="I40" s="1489">
        <v>0</v>
      </c>
      <c r="J40" s="1490">
        <v>0</v>
      </c>
      <c r="K40" s="1489">
        <v>0</v>
      </c>
      <c r="L40" s="1489">
        <v>0</v>
      </c>
      <c r="M40" s="1489">
        <v>0</v>
      </c>
      <c r="N40" s="1489">
        <v>0</v>
      </c>
      <c r="O40" s="1489">
        <v>0</v>
      </c>
      <c r="P40" s="1489">
        <v>0</v>
      </c>
    </row>
    <row r="41" spans="1:16" s="1488" customFormat="1" ht="21.75">
      <c r="A41" s="1394" t="s">
        <v>1848</v>
      </c>
      <c r="B41" s="1394" t="s">
        <v>1812</v>
      </c>
      <c r="C41" s="1489">
        <v>0</v>
      </c>
      <c r="D41" s="1489">
        <v>0</v>
      </c>
      <c r="E41" s="1489">
        <v>0</v>
      </c>
      <c r="F41" s="1489">
        <v>0</v>
      </c>
      <c r="G41" s="1489">
        <v>0</v>
      </c>
      <c r="H41" s="1489">
        <v>0</v>
      </c>
      <c r="I41" s="1489">
        <v>0</v>
      </c>
      <c r="J41" s="1490">
        <v>0</v>
      </c>
      <c r="K41" s="1489">
        <v>0</v>
      </c>
      <c r="L41" s="1489">
        <v>0</v>
      </c>
      <c r="M41" s="1489">
        <v>0</v>
      </c>
      <c r="N41" s="1489">
        <v>0</v>
      </c>
      <c r="O41" s="1489">
        <v>0</v>
      </c>
      <c r="P41" s="1489">
        <v>0</v>
      </c>
    </row>
    <row r="42" spans="1:16" s="1488" customFormat="1" ht="21.75">
      <c r="A42" s="1394" t="s">
        <v>1849</v>
      </c>
      <c r="B42" s="1394" t="s">
        <v>1812</v>
      </c>
      <c r="C42" s="1489">
        <v>8305</v>
      </c>
      <c r="D42" s="1489">
        <v>8305</v>
      </c>
      <c r="E42" s="1489">
        <v>8305</v>
      </c>
      <c r="F42" s="1489">
        <v>9689</v>
      </c>
      <c r="G42" s="1489">
        <v>9689</v>
      </c>
      <c r="H42" s="1489">
        <v>9689</v>
      </c>
      <c r="I42" s="1489">
        <v>9689</v>
      </c>
      <c r="J42" s="1490">
        <v>9689</v>
      </c>
      <c r="K42" s="1489">
        <v>9689</v>
      </c>
      <c r="L42" s="1489">
        <v>9689</v>
      </c>
      <c r="M42" s="1489">
        <v>9689</v>
      </c>
      <c r="N42" s="1489">
        <v>9689</v>
      </c>
      <c r="O42" s="1489">
        <v>9689</v>
      </c>
      <c r="P42" s="1489">
        <v>9401086</v>
      </c>
    </row>
    <row r="43" spans="1:16" s="1488" customFormat="1" ht="21.75">
      <c r="A43" s="1394" t="s">
        <v>1850</v>
      </c>
      <c r="B43" s="1394" t="s">
        <v>1812</v>
      </c>
      <c r="C43" s="1489">
        <v>3603</v>
      </c>
      <c r="D43" s="1489">
        <v>3603</v>
      </c>
      <c r="E43" s="1489">
        <v>3603</v>
      </c>
      <c r="F43" s="1489">
        <v>3603</v>
      </c>
      <c r="G43" s="1489">
        <v>3603</v>
      </c>
      <c r="H43" s="1489">
        <v>3603</v>
      </c>
      <c r="I43" s="1489">
        <v>3603</v>
      </c>
      <c r="J43" s="1490">
        <v>3603</v>
      </c>
      <c r="K43" s="1489">
        <v>3603</v>
      </c>
      <c r="L43" s="1489">
        <v>3603</v>
      </c>
      <c r="M43" s="1489">
        <v>3603</v>
      </c>
      <c r="N43" s="1489">
        <v>3603</v>
      </c>
      <c r="O43" s="1489">
        <v>3603</v>
      </c>
      <c r="P43" s="1489">
        <v>3602797</v>
      </c>
    </row>
    <row r="44" spans="1:16" s="1488" customFormat="1" ht="21.75">
      <c r="A44" s="1394" t="s">
        <v>1851</v>
      </c>
      <c r="B44" s="1394" t="s">
        <v>1812</v>
      </c>
      <c r="C44" s="1489">
        <v>4452</v>
      </c>
      <c r="D44" s="1489">
        <v>4452</v>
      </c>
      <c r="E44" s="1489">
        <v>4452</v>
      </c>
      <c r="F44" s="1489">
        <v>4452</v>
      </c>
      <c r="G44" s="1489">
        <v>4452</v>
      </c>
      <c r="H44" s="1489">
        <v>4452</v>
      </c>
      <c r="I44" s="1489">
        <v>4452</v>
      </c>
      <c r="J44" s="1490">
        <v>4452</v>
      </c>
      <c r="K44" s="1489">
        <v>4452</v>
      </c>
      <c r="L44" s="1489">
        <v>4452</v>
      </c>
      <c r="M44" s="1489">
        <v>4452</v>
      </c>
      <c r="N44" s="1489">
        <v>4452</v>
      </c>
      <c r="O44" s="1489">
        <v>4452</v>
      </c>
      <c r="P44" s="1489">
        <v>4451645</v>
      </c>
    </row>
    <row r="45" spans="1:16" s="1488" customFormat="1" ht="21.75">
      <c r="A45" s="1394" t="s">
        <v>1852</v>
      </c>
      <c r="B45" s="1394" t="s">
        <v>1812</v>
      </c>
      <c r="C45" s="1489">
        <v>51091</v>
      </c>
      <c r="D45" s="1489">
        <v>51252</v>
      </c>
      <c r="E45" s="1489">
        <v>51216</v>
      </c>
      <c r="F45" s="1489">
        <v>51228</v>
      </c>
      <c r="G45" s="1489">
        <v>51245</v>
      </c>
      <c r="H45" s="1489">
        <v>51392</v>
      </c>
      <c r="I45" s="1489">
        <v>53250</v>
      </c>
      <c r="J45" s="1490">
        <v>53256</v>
      </c>
      <c r="K45" s="1489">
        <v>54409</v>
      </c>
      <c r="L45" s="1489">
        <v>55779</v>
      </c>
      <c r="M45" s="1489">
        <v>62096</v>
      </c>
      <c r="N45" s="1489">
        <v>69292</v>
      </c>
      <c r="O45" s="1489">
        <v>70012</v>
      </c>
      <c r="P45" s="1489">
        <v>55413704</v>
      </c>
    </row>
    <row r="46" spans="1:16" s="1488" customFormat="1" ht="21.75">
      <c r="A46" s="1394" t="s">
        <v>1853</v>
      </c>
      <c r="B46" s="1394" t="s">
        <v>1812</v>
      </c>
      <c r="C46" s="1489">
        <v>0</v>
      </c>
      <c r="D46" s="1489">
        <v>0</v>
      </c>
      <c r="E46" s="1489">
        <v>0</v>
      </c>
      <c r="F46" s="1489">
        <v>0</v>
      </c>
      <c r="G46" s="1489">
        <v>0</v>
      </c>
      <c r="H46" s="1489">
        <v>0</v>
      </c>
      <c r="I46" s="1489">
        <v>0</v>
      </c>
      <c r="J46" s="1490">
        <v>0</v>
      </c>
      <c r="K46" s="1489">
        <v>0</v>
      </c>
      <c r="L46" s="1489">
        <v>0</v>
      </c>
      <c r="M46" s="1489">
        <v>0</v>
      </c>
      <c r="N46" s="1489">
        <v>8239</v>
      </c>
      <c r="O46" s="1489">
        <v>8239</v>
      </c>
      <c r="P46" s="1489">
        <v>1029819</v>
      </c>
    </row>
    <row r="47" spans="1:16" s="1488" customFormat="1" ht="21.75">
      <c r="A47" s="1394" t="s">
        <v>1854</v>
      </c>
      <c r="B47" s="1394" t="s">
        <v>1812</v>
      </c>
      <c r="C47" s="1489">
        <v>0</v>
      </c>
      <c r="D47" s="1489">
        <v>0</v>
      </c>
      <c r="E47" s="1489">
        <v>0</v>
      </c>
      <c r="F47" s="1489">
        <v>0</v>
      </c>
      <c r="G47" s="1489">
        <v>0</v>
      </c>
      <c r="H47" s="1489">
        <v>0</v>
      </c>
      <c r="I47" s="1489">
        <v>0</v>
      </c>
      <c r="J47" s="1490">
        <v>0</v>
      </c>
      <c r="K47" s="1489">
        <v>0</v>
      </c>
      <c r="L47" s="1489">
        <v>0</v>
      </c>
      <c r="M47" s="1489">
        <v>0</v>
      </c>
      <c r="N47" s="1489">
        <v>2860</v>
      </c>
      <c r="O47" s="1489">
        <v>2860</v>
      </c>
      <c r="P47" s="1489">
        <v>357548</v>
      </c>
    </row>
    <row r="48" spans="1:16" s="1488" customFormat="1" ht="21.75">
      <c r="A48" s="1394" t="s">
        <v>1855</v>
      </c>
      <c r="B48" s="1394" t="s">
        <v>1812</v>
      </c>
      <c r="C48" s="1489">
        <v>12199</v>
      </c>
      <c r="D48" s="1489">
        <v>12199</v>
      </c>
      <c r="E48" s="1489">
        <v>12199</v>
      </c>
      <c r="F48" s="1489">
        <v>10815</v>
      </c>
      <c r="G48" s="1489">
        <v>10815</v>
      </c>
      <c r="H48" s="1489">
        <v>10815</v>
      </c>
      <c r="I48" s="1489">
        <v>10815</v>
      </c>
      <c r="J48" s="1490">
        <v>10815</v>
      </c>
      <c r="K48" s="1489">
        <v>10815</v>
      </c>
      <c r="L48" s="1489">
        <v>10815</v>
      </c>
      <c r="M48" s="1489">
        <v>10815</v>
      </c>
      <c r="N48" s="1489">
        <v>10815</v>
      </c>
      <c r="O48" s="1489">
        <v>10815</v>
      </c>
      <c r="P48" s="1489">
        <v>11103074</v>
      </c>
    </row>
    <row r="49" spans="1:16" s="1488" customFormat="1" ht="21.75">
      <c r="A49" s="1394" t="s">
        <v>1856</v>
      </c>
      <c r="B49" s="1394" t="s">
        <v>1812</v>
      </c>
      <c r="C49" s="1489">
        <v>0</v>
      </c>
      <c r="D49" s="1489">
        <v>0</v>
      </c>
      <c r="E49" s="1489">
        <v>0</v>
      </c>
      <c r="F49" s="1489">
        <v>0</v>
      </c>
      <c r="G49" s="1489">
        <v>0</v>
      </c>
      <c r="H49" s="1489">
        <v>0</v>
      </c>
      <c r="I49" s="1489">
        <v>0</v>
      </c>
      <c r="J49" s="1490">
        <v>0</v>
      </c>
      <c r="K49" s="1489">
        <v>0</v>
      </c>
      <c r="L49" s="1489">
        <v>0</v>
      </c>
      <c r="M49" s="1489">
        <v>0</v>
      </c>
      <c r="N49" s="1489">
        <v>0</v>
      </c>
      <c r="O49" s="1489">
        <v>0</v>
      </c>
      <c r="P49" s="1489">
        <v>0</v>
      </c>
    </row>
    <row r="50" spans="1:16" s="1488" customFormat="1" ht="21.75">
      <c r="A50" s="1394" t="s">
        <v>1857</v>
      </c>
      <c r="B50" s="1394" t="s">
        <v>1812</v>
      </c>
      <c r="C50" s="1489">
        <v>0</v>
      </c>
      <c r="D50" s="1489">
        <v>0</v>
      </c>
      <c r="E50" s="1489">
        <v>0</v>
      </c>
      <c r="F50" s="1489">
        <v>0</v>
      </c>
      <c r="G50" s="1489">
        <v>0</v>
      </c>
      <c r="H50" s="1489">
        <v>0</v>
      </c>
      <c r="I50" s="1489">
        <v>0</v>
      </c>
      <c r="J50" s="1490">
        <v>0</v>
      </c>
      <c r="K50" s="1489">
        <v>0</v>
      </c>
      <c r="L50" s="1489">
        <v>0</v>
      </c>
      <c r="M50" s="1489">
        <v>0</v>
      </c>
      <c r="N50" s="1489">
        <v>0</v>
      </c>
      <c r="O50" s="1489">
        <v>0</v>
      </c>
      <c r="P50" s="1489">
        <v>0</v>
      </c>
    </row>
    <row r="51" spans="1:16" s="1488" customFormat="1" ht="21.75">
      <c r="A51" s="1394" t="s">
        <v>1858</v>
      </c>
      <c r="B51" s="1394" t="s">
        <v>1812</v>
      </c>
      <c r="C51" s="1489">
        <v>24586</v>
      </c>
      <c r="D51" s="1489">
        <v>24586</v>
      </c>
      <c r="E51" s="1489">
        <v>24586</v>
      </c>
      <c r="F51" s="1489">
        <v>24586</v>
      </c>
      <c r="G51" s="1489">
        <v>24586</v>
      </c>
      <c r="H51" s="1489">
        <v>24586</v>
      </c>
      <c r="I51" s="1489">
        <v>24586</v>
      </c>
      <c r="J51" s="1490">
        <v>24586</v>
      </c>
      <c r="K51" s="1489">
        <v>24586</v>
      </c>
      <c r="L51" s="1489">
        <v>24586</v>
      </c>
      <c r="M51" s="1489">
        <v>34452</v>
      </c>
      <c r="N51" s="1489">
        <v>35326</v>
      </c>
      <c r="O51" s="1489">
        <v>26939</v>
      </c>
      <c r="P51" s="1489">
        <v>26401520</v>
      </c>
    </row>
    <row r="52" spans="1:16" s="1488" customFormat="1" ht="21.75">
      <c r="A52" s="1394" t="s">
        <v>1859</v>
      </c>
      <c r="B52" s="1394" t="s">
        <v>1812</v>
      </c>
      <c r="C52" s="1489">
        <v>22781</v>
      </c>
      <c r="D52" s="1489">
        <v>22781</v>
      </c>
      <c r="E52" s="1489">
        <v>22781</v>
      </c>
      <c r="F52" s="1489">
        <v>22781</v>
      </c>
      <c r="G52" s="1489">
        <v>22781</v>
      </c>
      <c r="H52" s="1489">
        <v>22781</v>
      </c>
      <c r="I52" s="1489">
        <v>22781</v>
      </c>
      <c r="J52" s="1490">
        <v>22781</v>
      </c>
      <c r="K52" s="1489">
        <v>22781</v>
      </c>
      <c r="L52" s="1489">
        <v>22781</v>
      </c>
      <c r="M52" s="1489">
        <v>22781</v>
      </c>
      <c r="N52" s="1489">
        <v>22781</v>
      </c>
      <c r="O52" s="1489">
        <v>22781</v>
      </c>
      <c r="P52" s="1489">
        <v>22781417</v>
      </c>
    </row>
    <row r="53" spans="1:16" s="1488" customFormat="1" ht="21.75">
      <c r="A53" s="1394" t="s">
        <v>1860</v>
      </c>
      <c r="B53" s="1394" t="s">
        <v>1812</v>
      </c>
      <c r="C53" s="1489">
        <v>14552</v>
      </c>
      <c r="D53" s="1489">
        <v>14552</v>
      </c>
      <c r="E53" s="1489">
        <v>14552</v>
      </c>
      <c r="F53" s="1489">
        <v>14552</v>
      </c>
      <c r="G53" s="1489">
        <v>14556</v>
      </c>
      <c r="H53" s="1489">
        <v>14556</v>
      </c>
      <c r="I53" s="1489">
        <v>14556</v>
      </c>
      <c r="J53" s="1490">
        <v>14558</v>
      </c>
      <c r="K53" s="1489">
        <v>14558</v>
      </c>
      <c r="L53" s="1489">
        <v>14558</v>
      </c>
      <c r="M53" s="1489">
        <v>14558</v>
      </c>
      <c r="N53" s="1489">
        <v>14558</v>
      </c>
      <c r="O53" s="1489">
        <v>14558</v>
      </c>
      <c r="P53" s="1489">
        <v>14555900</v>
      </c>
    </row>
    <row r="54" spans="1:16" s="1488" customFormat="1" ht="21.75">
      <c r="A54" s="1394" t="s">
        <v>1861</v>
      </c>
      <c r="B54" s="1394" t="s">
        <v>1812</v>
      </c>
      <c r="C54" s="1489">
        <v>20576</v>
      </c>
      <c r="D54" s="1489">
        <v>20576</v>
      </c>
      <c r="E54" s="1489">
        <v>20576</v>
      </c>
      <c r="F54" s="1489">
        <v>20576</v>
      </c>
      <c r="G54" s="1489">
        <v>20580</v>
      </c>
      <c r="H54" s="1489">
        <v>20580</v>
      </c>
      <c r="I54" s="1489">
        <v>20582</v>
      </c>
      <c r="J54" s="1490">
        <v>20582</v>
      </c>
      <c r="K54" s="1489">
        <v>20584</v>
      </c>
      <c r="L54" s="1489">
        <v>20584</v>
      </c>
      <c r="M54" s="1489">
        <v>20584</v>
      </c>
      <c r="N54" s="1489">
        <v>20584</v>
      </c>
      <c r="O54" s="1489">
        <v>20584</v>
      </c>
      <c r="P54" s="1489">
        <v>20580759</v>
      </c>
    </row>
    <row r="55" spans="1:16" s="1488" customFormat="1" ht="21.75">
      <c r="A55" s="1394" t="s">
        <v>1862</v>
      </c>
      <c r="B55" s="1394" t="s">
        <v>1812</v>
      </c>
      <c r="C55" s="1489">
        <v>0</v>
      </c>
      <c r="D55" s="1489">
        <v>0</v>
      </c>
      <c r="E55" s="1489">
        <v>0</v>
      </c>
      <c r="F55" s="1489">
        <v>0</v>
      </c>
      <c r="G55" s="1489">
        <v>0</v>
      </c>
      <c r="H55" s="1489">
        <v>0</v>
      </c>
      <c r="I55" s="1489">
        <v>0</v>
      </c>
      <c r="J55" s="1490">
        <v>0</v>
      </c>
      <c r="K55" s="1489">
        <v>0</v>
      </c>
      <c r="L55" s="1489">
        <v>0</v>
      </c>
      <c r="M55" s="1489">
        <v>0</v>
      </c>
      <c r="N55" s="1489">
        <v>0</v>
      </c>
      <c r="O55" s="1489">
        <v>0</v>
      </c>
      <c r="P55" s="1489">
        <v>0</v>
      </c>
    </row>
    <row r="56" spans="1:16" s="1488" customFormat="1" ht="21.75">
      <c r="A56" s="1394" t="s">
        <v>1863</v>
      </c>
      <c r="B56" s="1394" t="s">
        <v>1812</v>
      </c>
      <c r="C56" s="1489">
        <v>0</v>
      </c>
      <c r="D56" s="1489">
        <v>0</v>
      </c>
      <c r="E56" s="1489">
        <v>0</v>
      </c>
      <c r="F56" s="1489">
        <v>0</v>
      </c>
      <c r="G56" s="1489">
        <v>0</v>
      </c>
      <c r="H56" s="1489">
        <v>0</v>
      </c>
      <c r="I56" s="1489">
        <v>0</v>
      </c>
      <c r="J56" s="1490">
        <v>0</v>
      </c>
      <c r="K56" s="1489">
        <v>0</v>
      </c>
      <c r="L56" s="1489">
        <v>0</v>
      </c>
      <c r="M56" s="1489">
        <v>0</v>
      </c>
      <c r="N56" s="1489">
        <v>0</v>
      </c>
      <c r="O56" s="1489">
        <v>0</v>
      </c>
      <c r="P56" s="1489">
        <v>0</v>
      </c>
    </row>
    <row r="57" spans="1:16" s="1488" customFormat="1" ht="21.75">
      <c r="A57" s="1394" t="s">
        <v>1864</v>
      </c>
      <c r="B57" s="1394" t="s">
        <v>1812</v>
      </c>
      <c r="C57" s="1489">
        <v>5744</v>
      </c>
      <c r="D57" s="1489">
        <v>5744</v>
      </c>
      <c r="E57" s="1489">
        <v>5744</v>
      </c>
      <c r="F57" s="1489">
        <v>5744</v>
      </c>
      <c r="G57" s="1489">
        <v>5744</v>
      </c>
      <c r="H57" s="1489">
        <v>5744</v>
      </c>
      <c r="I57" s="1489">
        <v>5744</v>
      </c>
      <c r="J57" s="1490">
        <v>5744</v>
      </c>
      <c r="K57" s="1489">
        <v>5744</v>
      </c>
      <c r="L57" s="1489">
        <v>5744</v>
      </c>
      <c r="M57" s="1489">
        <v>0</v>
      </c>
      <c r="N57" s="1489">
        <v>0</v>
      </c>
      <c r="O57" s="1489">
        <v>5744</v>
      </c>
      <c r="P57" s="1489">
        <v>4786748</v>
      </c>
    </row>
    <row r="58" spans="1:16" s="1488" customFormat="1" ht="21.75">
      <c r="A58" s="1394" t="s">
        <v>1865</v>
      </c>
      <c r="B58" s="1394" t="s">
        <v>1812</v>
      </c>
      <c r="C58" s="1489">
        <v>0</v>
      </c>
      <c r="D58" s="1489">
        <v>0</v>
      </c>
      <c r="E58" s="1489">
        <v>0</v>
      </c>
      <c r="F58" s="1489">
        <v>0</v>
      </c>
      <c r="G58" s="1489">
        <v>0</v>
      </c>
      <c r="H58" s="1489">
        <v>0</v>
      </c>
      <c r="I58" s="1489">
        <v>0</v>
      </c>
      <c r="J58" s="1490">
        <v>0</v>
      </c>
      <c r="K58" s="1489">
        <v>0</v>
      </c>
      <c r="L58" s="1489">
        <v>0</v>
      </c>
      <c r="M58" s="1489">
        <v>0</v>
      </c>
      <c r="N58" s="1489">
        <v>0</v>
      </c>
      <c r="O58" s="1489">
        <v>0</v>
      </c>
      <c r="P58" s="1489">
        <v>0</v>
      </c>
    </row>
    <row r="59" spans="1:16" s="1488" customFormat="1" ht="21.75">
      <c r="A59" s="1394" t="s">
        <v>1866</v>
      </c>
      <c r="B59" s="1394" t="s">
        <v>1812</v>
      </c>
      <c r="C59" s="1489">
        <v>0</v>
      </c>
      <c r="D59" s="1489">
        <v>0</v>
      </c>
      <c r="E59" s="1489">
        <v>0</v>
      </c>
      <c r="F59" s="1489">
        <v>0</v>
      </c>
      <c r="G59" s="1489">
        <v>0</v>
      </c>
      <c r="H59" s="1489">
        <v>0</v>
      </c>
      <c r="I59" s="1489">
        <v>0</v>
      </c>
      <c r="J59" s="1490">
        <v>0</v>
      </c>
      <c r="K59" s="1489">
        <v>0</v>
      </c>
      <c r="L59" s="1489">
        <v>0</v>
      </c>
      <c r="M59" s="1489">
        <v>0</v>
      </c>
      <c r="N59" s="1489">
        <v>0</v>
      </c>
      <c r="O59" s="1489">
        <v>0</v>
      </c>
      <c r="P59" s="1489">
        <v>0</v>
      </c>
    </row>
    <row r="60" spans="1:16" s="1488" customFormat="1" ht="21.75">
      <c r="A60" s="1394" t="s">
        <v>1867</v>
      </c>
      <c r="B60" s="1394" t="s">
        <v>1812</v>
      </c>
      <c r="C60" s="1489">
        <v>28579</v>
      </c>
      <c r="D60" s="1489">
        <v>28997</v>
      </c>
      <c r="E60" s="1489">
        <v>29089</v>
      </c>
      <c r="F60" s="1489">
        <v>29373</v>
      </c>
      <c r="G60" s="1489">
        <v>29103</v>
      </c>
      <c r="H60" s="1489">
        <v>36344</v>
      </c>
      <c r="I60" s="1489">
        <v>44982</v>
      </c>
      <c r="J60" s="1490">
        <v>45108</v>
      </c>
      <c r="K60" s="1489">
        <v>45752</v>
      </c>
      <c r="L60" s="1489">
        <v>46646</v>
      </c>
      <c r="M60" s="1489">
        <v>54280</v>
      </c>
      <c r="N60" s="1489">
        <v>54637</v>
      </c>
      <c r="O60" s="1489">
        <v>54929</v>
      </c>
      <c r="P60" s="1489">
        <v>40505339</v>
      </c>
    </row>
    <row r="61" spans="1:16" s="1488" customFormat="1" ht="21.75">
      <c r="A61" s="1394" t="s">
        <v>1868</v>
      </c>
      <c r="B61" s="1394" t="s">
        <v>1812</v>
      </c>
      <c r="C61" s="1489">
        <v>204</v>
      </c>
      <c r="D61" s="1489">
        <v>204</v>
      </c>
      <c r="E61" s="1489">
        <v>204</v>
      </c>
      <c r="F61" s="1489">
        <v>204</v>
      </c>
      <c r="G61" s="1489">
        <v>204</v>
      </c>
      <c r="H61" s="1489">
        <v>204</v>
      </c>
      <c r="I61" s="1489">
        <v>204</v>
      </c>
      <c r="J61" s="1490">
        <v>204</v>
      </c>
      <c r="K61" s="1489">
        <v>204</v>
      </c>
      <c r="L61" s="1489">
        <v>204</v>
      </c>
      <c r="M61" s="1489">
        <v>204</v>
      </c>
      <c r="N61" s="1489">
        <v>204</v>
      </c>
      <c r="O61" s="1489">
        <v>204</v>
      </c>
      <c r="P61" s="1489">
        <v>204200</v>
      </c>
    </row>
    <row r="62" spans="1:16" s="1488" customFormat="1" ht="21.75">
      <c r="A62" s="1394" t="s">
        <v>1869</v>
      </c>
      <c r="B62" s="1394" t="s">
        <v>1812</v>
      </c>
      <c r="C62" s="1489">
        <v>0</v>
      </c>
      <c r="D62" s="1489">
        <v>0</v>
      </c>
      <c r="E62" s="1489">
        <v>0</v>
      </c>
      <c r="F62" s="1489">
        <v>0</v>
      </c>
      <c r="G62" s="1489">
        <v>0</v>
      </c>
      <c r="H62" s="1489">
        <v>0</v>
      </c>
      <c r="I62" s="1489">
        <v>0</v>
      </c>
      <c r="J62" s="1490">
        <v>0</v>
      </c>
      <c r="K62" s="1489">
        <v>0</v>
      </c>
      <c r="L62" s="1489">
        <v>0</v>
      </c>
      <c r="M62" s="1489">
        <v>0</v>
      </c>
      <c r="N62" s="1489">
        <v>0</v>
      </c>
      <c r="O62" s="1489">
        <v>0</v>
      </c>
      <c r="P62" s="1489">
        <v>0</v>
      </c>
    </row>
    <row r="63" spans="1:16" s="1488" customFormat="1" ht="21.75">
      <c r="A63" s="1394" t="s">
        <v>1870</v>
      </c>
      <c r="B63" s="1394" t="s">
        <v>1812</v>
      </c>
      <c r="C63" s="1489">
        <v>49</v>
      </c>
      <c r="D63" s="1489">
        <v>49</v>
      </c>
      <c r="E63" s="1489">
        <v>49</v>
      </c>
      <c r="F63" s="1489">
        <v>49</v>
      </c>
      <c r="G63" s="1489">
        <v>49</v>
      </c>
      <c r="H63" s="1489">
        <v>49</v>
      </c>
      <c r="I63" s="1489">
        <v>49</v>
      </c>
      <c r="J63" s="1490">
        <v>49</v>
      </c>
      <c r="K63" s="1489">
        <v>49</v>
      </c>
      <c r="L63" s="1489">
        <v>49</v>
      </c>
      <c r="M63" s="1489">
        <v>49</v>
      </c>
      <c r="N63" s="1489">
        <v>49</v>
      </c>
      <c r="O63" s="1489">
        <v>49</v>
      </c>
      <c r="P63" s="1489">
        <v>49007</v>
      </c>
    </row>
    <row r="64" spans="1:16" s="1488" customFormat="1" ht="21.75">
      <c r="A64" s="1394" t="s">
        <v>1871</v>
      </c>
      <c r="B64" s="1394" t="s">
        <v>1812</v>
      </c>
      <c r="C64" s="1489">
        <v>89</v>
      </c>
      <c r="D64" s="1489">
        <v>89</v>
      </c>
      <c r="E64" s="1489">
        <v>89</v>
      </c>
      <c r="F64" s="1489">
        <v>89</v>
      </c>
      <c r="G64" s="1489">
        <v>89</v>
      </c>
      <c r="H64" s="1489">
        <v>89</v>
      </c>
      <c r="I64" s="1489">
        <v>89</v>
      </c>
      <c r="J64" s="1490">
        <v>89</v>
      </c>
      <c r="K64" s="1489">
        <v>89</v>
      </c>
      <c r="L64" s="1489">
        <v>89</v>
      </c>
      <c r="M64" s="1489">
        <v>89</v>
      </c>
      <c r="N64" s="1489">
        <v>89</v>
      </c>
      <c r="O64" s="1489">
        <v>89</v>
      </c>
      <c r="P64" s="1489">
        <v>88692</v>
      </c>
    </row>
    <row r="65" spans="1:16" s="1488" customFormat="1" ht="21.75">
      <c r="A65" s="1394" t="s">
        <v>1872</v>
      </c>
      <c r="B65" s="1394" t="s">
        <v>1812</v>
      </c>
      <c r="C65" s="1489">
        <v>7566</v>
      </c>
      <c r="D65" s="1489">
        <v>7243</v>
      </c>
      <c r="E65" s="1489">
        <v>7244</v>
      </c>
      <c r="F65" s="1489">
        <v>7586</v>
      </c>
      <c r="G65" s="1489">
        <v>7241</v>
      </c>
      <c r="H65" s="1489">
        <v>0</v>
      </c>
      <c r="I65" s="1489">
        <v>0</v>
      </c>
      <c r="J65" s="1490">
        <v>0</v>
      </c>
      <c r="K65" s="1489">
        <v>0</v>
      </c>
      <c r="L65" s="1489">
        <v>0</v>
      </c>
      <c r="M65" s="1489">
        <v>0</v>
      </c>
      <c r="N65" s="1489">
        <v>0</v>
      </c>
      <c r="O65" s="1489">
        <v>0</v>
      </c>
      <c r="P65" s="1489">
        <v>2758168</v>
      </c>
    </row>
    <row r="66" spans="1:16" s="1488" customFormat="1" ht="21.75">
      <c r="A66" s="1394" t="s">
        <v>1873</v>
      </c>
      <c r="B66" s="1394" t="s">
        <v>1812</v>
      </c>
      <c r="C66" s="1489">
        <v>0</v>
      </c>
      <c r="D66" s="1489">
        <v>0</v>
      </c>
      <c r="E66" s="1489">
        <v>0</v>
      </c>
      <c r="F66" s="1489">
        <v>0</v>
      </c>
      <c r="G66" s="1489">
        <v>0</v>
      </c>
      <c r="H66" s="1489">
        <v>0</v>
      </c>
      <c r="I66" s="1489">
        <v>0</v>
      </c>
      <c r="J66" s="1490">
        <v>0</v>
      </c>
      <c r="K66" s="1489">
        <v>0</v>
      </c>
      <c r="L66" s="1489">
        <v>0</v>
      </c>
      <c r="M66" s="1489">
        <v>0</v>
      </c>
      <c r="N66" s="1489">
        <v>0</v>
      </c>
      <c r="O66" s="1489">
        <v>0</v>
      </c>
      <c r="P66" s="1489">
        <v>0</v>
      </c>
    </row>
    <row r="67" spans="1:16" s="1488" customFormat="1" ht="21.75">
      <c r="A67" s="1394" t="s">
        <v>1874</v>
      </c>
      <c r="B67" s="1394" t="s">
        <v>1812</v>
      </c>
      <c r="C67" s="1489">
        <v>3410</v>
      </c>
      <c r="D67" s="1489">
        <v>3410</v>
      </c>
      <c r="E67" s="1489">
        <v>3410</v>
      </c>
      <c r="F67" s="1489">
        <v>3410</v>
      </c>
      <c r="G67" s="1489">
        <v>3410</v>
      </c>
      <c r="H67" s="1489">
        <v>3410</v>
      </c>
      <c r="I67" s="1489">
        <v>3410</v>
      </c>
      <c r="J67" s="1490">
        <v>3410</v>
      </c>
      <c r="K67" s="1489">
        <v>3410</v>
      </c>
      <c r="L67" s="1489">
        <v>3410</v>
      </c>
      <c r="M67" s="1489">
        <v>3399</v>
      </c>
      <c r="N67" s="1489">
        <v>3399</v>
      </c>
      <c r="O67" s="1489">
        <v>3517</v>
      </c>
      <c r="P67" s="1489">
        <v>3412478</v>
      </c>
    </row>
    <row r="68" spans="1:16" s="1488" customFormat="1" ht="21.75">
      <c r="A68" s="1394" t="s">
        <v>1875</v>
      </c>
      <c r="B68" s="1394" t="s">
        <v>1812</v>
      </c>
      <c r="C68" s="1489">
        <v>0</v>
      </c>
      <c r="D68" s="1489">
        <v>0</v>
      </c>
      <c r="E68" s="1489">
        <v>0</v>
      </c>
      <c r="F68" s="1489">
        <v>0</v>
      </c>
      <c r="G68" s="1489">
        <v>0</v>
      </c>
      <c r="H68" s="1489">
        <v>0</v>
      </c>
      <c r="I68" s="1489">
        <v>0</v>
      </c>
      <c r="J68" s="1490">
        <v>0</v>
      </c>
      <c r="K68" s="1489">
        <v>0</v>
      </c>
      <c r="L68" s="1489">
        <v>0</v>
      </c>
      <c r="M68" s="1489">
        <v>0</v>
      </c>
      <c r="N68" s="1489">
        <v>0</v>
      </c>
      <c r="O68" s="1489">
        <v>0</v>
      </c>
      <c r="P68" s="1489">
        <v>0</v>
      </c>
    </row>
    <row r="69" spans="1:16" s="1488" customFormat="1" ht="21.75">
      <c r="A69" s="1394" t="s">
        <v>1876</v>
      </c>
      <c r="B69" s="1394" t="s">
        <v>1812</v>
      </c>
      <c r="C69" s="1489">
        <v>0</v>
      </c>
      <c r="D69" s="1489">
        <v>0</v>
      </c>
      <c r="E69" s="1489">
        <v>0</v>
      </c>
      <c r="F69" s="1489">
        <v>0</v>
      </c>
      <c r="G69" s="1489">
        <v>0</v>
      </c>
      <c r="H69" s="1489">
        <v>0</v>
      </c>
      <c r="I69" s="1489">
        <v>0</v>
      </c>
      <c r="J69" s="1490">
        <v>0</v>
      </c>
      <c r="K69" s="1489">
        <v>0</v>
      </c>
      <c r="L69" s="1489">
        <v>0</v>
      </c>
      <c r="M69" s="1489">
        <v>0</v>
      </c>
      <c r="N69" s="1489">
        <v>0</v>
      </c>
      <c r="O69" s="1489">
        <v>0</v>
      </c>
      <c r="P69" s="1489">
        <v>0</v>
      </c>
    </row>
    <row r="70" spans="1:16" s="1488" customFormat="1" ht="21.75">
      <c r="A70" s="1394" t="s">
        <v>1877</v>
      </c>
      <c r="B70" s="1394" t="s">
        <v>1812</v>
      </c>
      <c r="C70" s="1489">
        <v>0</v>
      </c>
      <c r="D70" s="1489">
        <v>0</v>
      </c>
      <c r="E70" s="1489">
        <v>0</v>
      </c>
      <c r="F70" s="1489">
        <v>0</v>
      </c>
      <c r="G70" s="1489">
        <v>0</v>
      </c>
      <c r="H70" s="1489">
        <v>0</v>
      </c>
      <c r="I70" s="1489">
        <v>0</v>
      </c>
      <c r="J70" s="1490">
        <v>0</v>
      </c>
      <c r="K70" s="1489">
        <v>0</v>
      </c>
      <c r="L70" s="1489">
        <v>0</v>
      </c>
      <c r="M70" s="1489">
        <v>0</v>
      </c>
      <c r="N70" s="1489">
        <v>0</v>
      </c>
      <c r="O70" s="1489">
        <v>0</v>
      </c>
      <c r="P70" s="1489">
        <v>0</v>
      </c>
    </row>
    <row r="71" spans="1:16" s="1488" customFormat="1" ht="21.75">
      <c r="A71" s="1394" t="s">
        <v>1878</v>
      </c>
      <c r="B71" s="1394" t="s">
        <v>1812</v>
      </c>
      <c r="C71" s="1489">
        <v>2079</v>
      </c>
      <c r="D71" s="1489">
        <v>2079</v>
      </c>
      <c r="E71" s="1489">
        <v>2079</v>
      </c>
      <c r="F71" s="1489">
        <v>2079</v>
      </c>
      <c r="G71" s="1489">
        <v>2079</v>
      </c>
      <c r="H71" s="1489">
        <v>2079</v>
      </c>
      <c r="I71" s="1489">
        <v>2079</v>
      </c>
      <c r="J71" s="1490">
        <v>2079</v>
      </c>
      <c r="K71" s="1489">
        <v>2079</v>
      </c>
      <c r="L71" s="1489">
        <v>2079</v>
      </c>
      <c r="M71" s="1489">
        <v>0</v>
      </c>
      <c r="N71" s="1489">
        <v>0</v>
      </c>
      <c r="O71" s="1489">
        <v>1081</v>
      </c>
      <c r="P71" s="1489">
        <v>1691308</v>
      </c>
    </row>
    <row r="72" spans="1:16" s="1488" customFormat="1" ht="21.75">
      <c r="A72" s="1394" t="s">
        <v>1879</v>
      </c>
      <c r="B72" s="1394" t="s">
        <v>1812</v>
      </c>
      <c r="C72" s="1489">
        <v>861</v>
      </c>
      <c r="D72" s="1489">
        <v>861</v>
      </c>
      <c r="E72" s="1489">
        <v>861</v>
      </c>
      <c r="F72" s="1489">
        <v>861</v>
      </c>
      <c r="G72" s="1489">
        <v>861</v>
      </c>
      <c r="H72" s="1489">
        <v>861</v>
      </c>
      <c r="I72" s="1489">
        <v>861</v>
      </c>
      <c r="J72" s="1490">
        <v>861</v>
      </c>
      <c r="K72" s="1489">
        <v>861</v>
      </c>
      <c r="L72" s="1489">
        <v>861</v>
      </c>
      <c r="M72" s="1489">
        <v>861</v>
      </c>
      <c r="N72" s="1489">
        <v>861</v>
      </c>
      <c r="O72" s="1489">
        <v>861</v>
      </c>
      <c r="P72" s="1489">
        <v>861087</v>
      </c>
    </row>
    <row r="73" spans="1:16" s="1488" customFormat="1" ht="21.75">
      <c r="A73" s="1394" t="s">
        <v>1880</v>
      </c>
      <c r="B73" s="1394" t="s">
        <v>1812</v>
      </c>
      <c r="C73" s="1489">
        <v>5081</v>
      </c>
      <c r="D73" s="1489">
        <v>5081</v>
      </c>
      <c r="E73" s="1489">
        <v>5081</v>
      </c>
      <c r="F73" s="1489">
        <v>5081</v>
      </c>
      <c r="G73" s="1489">
        <v>5081</v>
      </c>
      <c r="H73" s="1489">
        <v>5081</v>
      </c>
      <c r="I73" s="1489">
        <v>5072</v>
      </c>
      <c r="J73" s="1490">
        <v>5072</v>
      </c>
      <c r="K73" s="1489">
        <v>5072</v>
      </c>
      <c r="L73" s="1489">
        <v>5072</v>
      </c>
      <c r="M73" s="1489">
        <v>5072</v>
      </c>
      <c r="N73" s="1489">
        <v>5072</v>
      </c>
      <c r="O73" s="1489">
        <v>5072</v>
      </c>
      <c r="P73" s="1489">
        <v>5076212</v>
      </c>
    </row>
    <row r="74" spans="1:16" s="1488" customFormat="1" ht="21.75">
      <c r="A74" s="1394" t="s">
        <v>1881</v>
      </c>
      <c r="B74" s="1394" t="s">
        <v>1812</v>
      </c>
      <c r="C74" s="1489">
        <v>23498</v>
      </c>
      <c r="D74" s="1489">
        <v>23498</v>
      </c>
      <c r="E74" s="1489">
        <v>23498</v>
      </c>
      <c r="F74" s="1489">
        <v>23498</v>
      </c>
      <c r="G74" s="1489">
        <v>23498</v>
      </c>
      <c r="H74" s="1489">
        <v>23498</v>
      </c>
      <c r="I74" s="1489">
        <v>23498</v>
      </c>
      <c r="J74" s="1490">
        <v>23498</v>
      </c>
      <c r="K74" s="1489">
        <v>23498</v>
      </c>
      <c r="L74" s="1489">
        <v>23498</v>
      </c>
      <c r="M74" s="1489">
        <v>23498</v>
      </c>
      <c r="N74" s="1489">
        <v>23498</v>
      </c>
      <c r="O74" s="1489">
        <v>23498</v>
      </c>
      <c r="P74" s="1489">
        <v>23498389</v>
      </c>
    </row>
    <row r="75" spans="1:16" s="1488" customFormat="1" ht="21.75">
      <c r="A75" s="1394" t="s">
        <v>1882</v>
      </c>
      <c r="B75" s="1394" t="s">
        <v>1812</v>
      </c>
      <c r="C75" s="1489">
        <v>0</v>
      </c>
      <c r="D75" s="1489">
        <v>0</v>
      </c>
      <c r="E75" s="1489">
        <v>0</v>
      </c>
      <c r="F75" s="1489">
        <v>0</v>
      </c>
      <c r="G75" s="1489">
        <v>0</v>
      </c>
      <c r="H75" s="1489">
        <v>0</v>
      </c>
      <c r="I75" s="1489">
        <v>0</v>
      </c>
      <c r="J75" s="1490">
        <v>0</v>
      </c>
      <c r="K75" s="1489">
        <v>0</v>
      </c>
      <c r="L75" s="1489">
        <v>0</v>
      </c>
      <c r="M75" s="1489">
        <v>0</v>
      </c>
      <c r="N75" s="1489">
        <v>0</v>
      </c>
      <c r="O75" s="1489">
        <v>0</v>
      </c>
      <c r="P75" s="1489">
        <v>0</v>
      </c>
    </row>
    <row r="76" spans="1:16" s="1488" customFormat="1" ht="21.75">
      <c r="A76" s="1394" t="s">
        <v>1883</v>
      </c>
      <c r="B76" s="1394" t="s">
        <v>1812</v>
      </c>
      <c r="C76" s="1489">
        <v>13158</v>
      </c>
      <c r="D76" s="1489">
        <v>13158</v>
      </c>
      <c r="E76" s="1489">
        <v>13158</v>
      </c>
      <c r="F76" s="1489">
        <v>13158</v>
      </c>
      <c r="G76" s="1489">
        <v>13158</v>
      </c>
      <c r="H76" s="1489">
        <v>13158</v>
      </c>
      <c r="I76" s="1489">
        <v>13158</v>
      </c>
      <c r="J76" s="1490">
        <v>13158</v>
      </c>
      <c r="K76" s="1489">
        <v>13158</v>
      </c>
      <c r="L76" s="1489">
        <v>13158</v>
      </c>
      <c r="M76" s="1489">
        <v>13158</v>
      </c>
      <c r="N76" s="1489">
        <v>13158</v>
      </c>
      <c r="O76" s="1489">
        <v>13158</v>
      </c>
      <c r="P76" s="1489">
        <v>13158153</v>
      </c>
    </row>
    <row r="77" spans="1:16" s="1488" customFormat="1" ht="21.75">
      <c r="A77" s="1394" t="s">
        <v>1884</v>
      </c>
      <c r="B77" s="1394" t="s">
        <v>1812</v>
      </c>
      <c r="C77" s="1489">
        <v>19991</v>
      </c>
      <c r="D77" s="1489">
        <v>19991</v>
      </c>
      <c r="E77" s="1489">
        <v>19991</v>
      </c>
      <c r="F77" s="1489">
        <v>19991</v>
      </c>
      <c r="G77" s="1489">
        <v>19991</v>
      </c>
      <c r="H77" s="1489">
        <v>19991</v>
      </c>
      <c r="I77" s="1489">
        <v>19991</v>
      </c>
      <c r="J77" s="1490">
        <v>19991</v>
      </c>
      <c r="K77" s="1489">
        <v>19991</v>
      </c>
      <c r="L77" s="1489">
        <v>19991</v>
      </c>
      <c r="M77" s="1489">
        <v>19991</v>
      </c>
      <c r="N77" s="1489">
        <v>19991</v>
      </c>
      <c r="O77" s="1489">
        <v>19991</v>
      </c>
      <c r="P77" s="1489">
        <v>19991226</v>
      </c>
    </row>
    <row r="78" spans="1:16" s="1488" customFormat="1" ht="21.75">
      <c r="A78" s="1394" t="s">
        <v>1885</v>
      </c>
      <c r="B78" s="1394" t="s">
        <v>1812</v>
      </c>
      <c r="C78" s="1489">
        <v>0</v>
      </c>
      <c r="D78" s="1489">
        <v>0</v>
      </c>
      <c r="E78" s="1489">
        <v>0</v>
      </c>
      <c r="F78" s="1489">
        <v>0</v>
      </c>
      <c r="G78" s="1489">
        <v>0</v>
      </c>
      <c r="H78" s="1489">
        <v>0</v>
      </c>
      <c r="I78" s="1489">
        <v>0</v>
      </c>
      <c r="J78" s="1490">
        <v>0</v>
      </c>
      <c r="K78" s="1489">
        <v>0</v>
      </c>
      <c r="L78" s="1489">
        <v>0</v>
      </c>
      <c r="M78" s="1489">
        <v>0</v>
      </c>
      <c r="N78" s="1489">
        <v>0</v>
      </c>
      <c r="O78" s="1489">
        <v>0</v>
      </c>
      <c r="P78" s="1489">
        <v>0</v>
      </c>
    </row>
    <row r="79" spans="1:16" s="1488" customFormat="1" ht="21.75">
      <c r="A79" s="1394" t="s">
        <v>1886</v>
      </c>
      <c r="B79" s="1394" t="s">
        <v>1812</v>
      </c>
      <c r="C79" s="1489">
        <v>99</v>
      </c>
      <c r="D79" s="1489">
        <v>0</v>
      </c>
      <c r="E79" s="1489">
        <v>0</v>
      </c>
      <c r="F79" s="1489">
        <v>0</v>
      </c>
      <c r="G79" s="1489">
        <v>0</v>
      </c>
      <c r="H79" s="1489">
        <v>0</v>
      </c>
      <c r="I79" s="1489">
        <v>0</v>
      </c>
      <c r="J79" s="1490">
        <v>0</v>
      </c>
      <c r="K79" s="1489">
        <v>0</v>
      </c>
      <c r="L79" s="1489">
        <v>0</v>
      </c>
      <c r="M79" s="1489">
        <v>0</v>
      </c>
      <c r="N79" s="1489">
        <v>0</v>
      </c>
      <c r="O79" s="1489">
        <v>0</v>
      </c>
      <c r="P79" s="1489">
        <v>4124</v>
      </c>
    </row>
    <row r="80" spans="1:16" s="1488" customFormat="1" ht="21.75">
      <c r="A80" s="1394" t="s">
        <v>1887</v>
      </c>
      <c r="B80" s="1394" t="s">
        <v>1812</v>
      </c>
      <c r="C80" s="1489">
        <v>0</v>
      </c>
      <c r="D80" s="1489">
        <v>99</v>
      </c>
      <c r="E80" s="1489">
        <v>99</v>
      </c>
      <c r="F80" s="1489">
        <v>99</v>
      </c>
      <c r="G80" s="1489">
        <v>99</v>
      </c>
      <c r="H80" s="1489">
        <v>99</v>
      </c>
      <c r="I80" s="1489">
        <v>0</v>
      </c>
      <c r="J80" s="1490">
        <v>0</v>
      </c>
      <c r="K80" s="1489">
        <v>0</v>
      </c>
      <c r="L80" s="1489">
        <v>0</v>
      </c>
      <c r="M80" s="1489">
        <v>0</v>
      </c>
      <c r="N80" s="1489">
        <v>0</v>
      </c>
      <c r="O80" s="1489">
        <v>0</v>
      </c>
      <c r="P80" s="1489">
        <v>41238</v>
      </c>
    </row>
    <row r="81" spans="1:16" s="1488" customFormat="1" ht="21.75">
      <c r="A81" s="1394" t="s">
        <v>1888</v>
      </c>
      <c r="B81" s="1394" t="s">
        <v>1812</v>
      </c>
      <c r="C81" s="1489">
        <v>12603</v>
      </c>
      <c r="D81" s="1489">
        <v>12603</v>
      </c>
      <c r="E81" s="1489">
        <v>12603</v>
      </c>
      <c r="F81" s="1489">
        <v>12603</v>
      </c>
      <c r="G81" s="1489">
        <v>12603</v>
      </c>
      <c r="H81" s="1489">
        <v>12603</v>
      </c>
      <c r="I81" s="1489">
        <v>12603</v>
      </c>
      <c r="J81" s="1490">
        <v>12603</v>
      </c>
      <c r="K81" s="1489">
        <v>12603</v>
      </c>
      <c r="L81" s="1489">
        <v>12603</v>
      </c>
      <c r="M81" s="1489">
        <v>5143</v>
      </c>
      <c r="N81" s="1489">
        <v>5143</v>
      </c>
      <c r="O81" s="1489">
        <v>12701</v>
      </c>
      <c r="P81" s="1489">
        <v>11363534</v>
      </c>
    </row>
    <row r="82" spans="1:16" s="1488" customFormat="1" ht="21.75">
      <c r="A82" s="1394" t="s">
        <v>1889</v>
      </c>
      <c r="B82" s="1394" t="s">
        <v>1812</v>
      </c>
      <c r="C82" s="1489">
        <v>0</v>
      </c>
      <c r="D82" s="1489">
        <v>0</v>
      </c>
      <c r="E82" s="1489">
        <v>0</v>
      </c>
      <c r="F82" s="1489">
        <v>0</v>
      </c>
      <c r="G82" s="1489">
        <v>0</v>
      </c>
      <c r="H82" s="1489">
        <v>0</v>
      </c>
      <c r="I82" s="1489">
        <v>0</v>
      </c>
      <c r="J82" s="1490">
        <v>0</v>
      </c>
      <c r="K82" s="1489">
        <v>0</v>
      </c>
      <c r="L82" s="1489">
        <v>0</v>
      </c>
      <c r="M82" s="1489">
        <v>0</v>
      </c>
      <c r="N82" s="1489">
        <v>0</v>
      </c>
      <c r="O82" s="1489">
        <v>0</v>
      </c>
      <c r="P82" s="1489">
        <v>0</v>
      </c>
    </row>
    <row r="83" spans="1:16" s="1488" customFormat="1" ht="21.75">
      <c r="A83" s="1394" t="s">
        <v>1890</v>
      </c>
      <c r="B83" s="1394" t="s">
        <v>1812</v>
      </c>
      <c r="C83" s="1489">
        <v>0</v>
      </c>
      <c r="D83" s="1489">
        <v>0</v>
      </c>
      <c r="E83" s="1489">
        <v>0</v>
      </c>
      <c r="F83" s="1489">
        <v>0</v>
      </c>
      <c r="G83" s="1489">
        <v>0</v>
      </c>
      <c r="H83" s="1489">
        <v>0</v>
      </c>
      <c r="I83" s="1489">
        <v>0</v>
      </c>
      <c r="J83" s="1490">
        <v>0</v>
      </c>
      <c r="K83" s="1489">
        <v>0</v>
      </c>
      <c r="L83" s="1489">
        <v>0</v>
      </c>
      <c r="M83" s="1489">
        <v>0</v>
      </c>
      <c r="N83" s="1489">
        <v>0</v>
      </c>
      <c r="O83" s="1489">
        <v>0</v>
      </c>
      <c r="P83" s="1489">
        <v>0</v>
      </c>
    </row>
    <row r="84" spans="1:16" s="1488" customFormat="1" ht="21.75">
      <c r="A84" s="1394" t="s">
        <v>1891</v>
      </c>
      <c r="B84" s="1394" t="s">
        <v>1812</v>
      </c>
      <c r="C84" s="1489">
        <v>0</v>
      </c>
      <c r="D84" s="1489">
        <v>0</v>
      </c>
      <c r="E84" s="1489">
        <v>0</v>
      </c>
      <c r="F84" s="1489">
        <v>0</v>
      </c>
      <c r="G84" s="1489">
        <v>0</v>
      </c>
      <c r="H84" s="1489">
        <v>0</v>
      </c>
      <c r="I84" s="1489">
        <v>0</v>
      </c>
      <c r="J84" s="1490">
        <v>0</v>
      </c>
      <c r="K84" s="1489">
        <v>0</v>
      </c>
      <c r="L84" s="1489">
        <v>0</v>
      </c>
      <c r="M84" s="1489">
        <v>0</v>
      </c>
      <c r="N84" s="1489">
        <v>0</v>
      </c>
      <c r="O84" s="1489">
        <v>0</v>
      </c>
      <c r="P84" s="1489">
        <v>0</v>
      </c>
    </row>
    <row r="85" spans="1:16" s="1488" customFormat="1" ht="21.75">
      <c r="A85" s="1394" t="s">
        <v>1892</v>
      </c>
      <c r="B85" s="1394" t="s">
        <v>1812</v>
      </c>
      <c r="C85" s="1489">
        <v>694</v>
      </c>
      <c r="D85" s="1489">
        <v>694</v>
      </c>
      <c r="E85" s="1489">
        <v>694</v>
      </c>
      <c r="F85" s="1489">
        <v>694</v>
      </c>
      <c r="G85" s="1489">
        <v>694</v>
      </c>
      <c r="H85" s="1489">
        <v>694</v>
      </c>
      <c r="I85" s="1489">
        <v>694</v>
      </c>
      <c r="J85" s="1490">
        <v>694</v>
      </c>
      <c r="K85" s="1489">
        <v>694</v>
      </c>
      <c r="L85" s="1489">
        <v>694</v>
      </c>
      <c r="M85" s="1489">
        <v>0</v>
      </c>
      <c r="N85" s="1489">
        <v>0</v>
      </c>
      <c r="O85" s="1489">
        <v>361</v>
      </c>
      <c r="P85" s="1489">
        <v>564453</v>
      </c>
    </row>
    <row r="86" spans="1:16" s="1488" customFormat="1" ht="21.75">
      <c r="A86" s="1394" t="s">
        <v>1893</v>
      </c>
      <c r="B86" s="1394" t="s">
        <v>1812</v>
      </c>
      <c r="C86" s="1489">
        <v>1275</v>
      </c>
      <c r="D86" s="1489">
        <v>1275</v>
      </c>
      <c r="E86" s="1489">
        <v>1275</v>
      </c>
      <c r="F86" s="1489">
        <v>1275</v>
      </c>
      <c r="G86" s="1489">
        <v>1275</v>
      </c>
      <c r="H86" s="1489">
        <v>1275</v>
      </c>
      <c r="I86" s="1489">
        <v>1275</v>
      </c>
      <c r="J86" s="1490">
        <v>1275</v>
      </c>
      <c r="K86" s="1489">
        <v>1275</v>
      </c>
      <c r="L86" s="1489">
        <v>1275</v>
      </c>
      <c r="M86" s="1489">
        <v>1275</v>
      </c>
      <c r="N86" s="1489">
        <v>1275</v>
      </c>
      <c r="O86" s="1489">
        <v>1275</v>
      </c>
      <c r="P86" s="1489">
        <v>1274927</v>
      </c>
    </row>
    <row r="87" spans="1:16" s="1488" customFormat="1" ht="21.75">
      <c r="A87" s="1394" t="s">
        <v>1894</v>
      </c>
      <c r="B87" s="1394" t="s">
        <v>1812</v>
      </c>
      <c r="C87" s="1489">
        <v>5400</v>
      </c>
      <c r="D87" s="1489">
        <v>5400</v>
      </c>
      <c r="E87" s="1489">
        <v>5400</v>
      </c>
      <c r="F87" s="1489">
        <v>5400</v>
      </c>
      <c r="G87" s="1489">
        <v>5400</v>
      </c>
      <c r="H87" s="1489">
        <v>5400</v>
      </c>
      <c r="I87" s="1489">
        <v>5400</v>
      </c>
      <c r="J87" s="1490">
        <v>5400</v>
      </c>
      <c r="K87" s="1489">
        <v>5400</v>
      </c>
      <c r="L87" s="1489">
        <v>5400</v>
      </c>
      <c r="M87" s="1489">
        <v>5400</v>
      </c>
      <c r="N87" s="1489">
        <v>5400</v>
      </c>
      <c r="O87" s="1489">
        <v>5400</v>
      </c>
      <c r="P87" s="1489">
        <v>5400292</v>
      </c>
    </row>
    <row r="88" spans="1:16" s="1488" customFormat="1" ht="21.75">
      <c r="A88" s="1394" t="s">
        <v>1895</v>
      </c>
      <c r="B88" s="1394" t="s">
        <v>1812</v>
      </c>
      <c r="C88" s="1489">
        <v>32039</v>
      </c>
      <c r="D88" s="1489">
        <v>32050</v>
      </c>
      <c r="E88" s="1489">
        <v>32060</v>
      </c>
      <c r="F88" s="1489">
        <v>32189</v>
      </c>
      <c r="G88" s="1489">
        <v>32135</v>
      </c>
      <c r="H88" s="1489">
        <v>33515</v>
      </c>
      <c r="I88" s="1489">
        <v>33514</v>
      </c>
      <c r="J88" s="1490">
        <v>33514</v>
      </c>
      <c r="K88" s="1489">
        <v>33852</v>
      </c>
      <c r="L88" s="1489">
        <v>33834</v>
      </c>
      <c r="M88" s="1489">
        <v>49358</v>
      </c>
      <c r="N88" s="1489">
        <v>50557</v>
      </c>
      <c r="O88" s="1489">
        <v>48162</v>
      </c>
      <c r="P88" s="1489">
        <v>36389831</v>
      </c>
    </row>
    <row r="89" spans="1:16" s="1488" customFormat="1" ht="21.75">
      <c r="A89" s="1394" t="s">
        <v>1896</v>
      </c>
      <c r="B89" s="1394" t="s">
        <v>1812</v>
      </c>
      <c r="C89" s="1489">
        <v>1441</v>
      </c>
      <c r="D89" s="1489">
        <v>1380</v>
      </c>
      <c r="E89" s="1489">
        <v>1380</v>
      </c>
      <c r="F89" s="1489">
        <v>1445</v>
      </c>
      <c r="G89" s="1489">
        <v>1379</v>
      </c>
      <c r="H89" s="1489">
        <v>0</v>
      </c>
      <c r="I89" s="1489">
        <v>0</v>
      </c>
      <c r="J89" s="1490">
        <v>0</v>
      </c>
      <c r="K89" s="1489">
        <v>0</v>
      </c>
      <c r="L89" s="1489">
        <v>0</v>
      </c>
      <c r="M89" s="1489">
        <v>0</v>
      </c>
      <c r="N89" s="1489">
        <v>0</v>
      </c>
      <c r="O89" s="1489">
        <v>0</v>
      </c>
      <c r="P89" s="1489">
        <v>525339</v>
      </c>
    </row>
    <row r="90" spans="1:16" s="1488" customFormat="1" ht="21.75">
      <c r="A90" s="1394" t="s">
        <v>1897</v>
      </c>
      <c r="B90" s="1394" t="s">
        <v>1812</v>
      </c>
      <c r="C90" s="1489">
        <v>0</v>
      </c>
      <c r="D90" s="1489">
        <v>0</v>
      </c>
      <c r="E90" s="1489">
        <v>0</v>
      </c>
      <c r="F90" s="1489">
        <v>0</v>
      </c>
      <c r="G90" s="1489">
        <v>0</v>
      </c>
      <c r="H90" s="1489">
        <v>0</v>
      </c>
      <c r="I90" s="1489">
        <v>0</v>
      </c>
      <c r="J90" s="1490">
        <v>0</v>
      </c>
      <c r="K90" s="1489">
        <v>0</v>
      </c>
      <c r="L90" s="1489">
        <v>0</v>
      </c>
      <c r="M90" s="1489">
        <v>0</v>
      </c>
      <c r="N90" s="1489">
        <v>0</v>
      </c>
      <c r="O90" s="1489">
        <v>0</v>
      </c>
      <c r="P90" s="1489">
        <v>0</v>
      </c>
    </row>
    <row r="91" spans="1:16" s="1488" customFormat="1" ht="21.75">
      <c r="A91" s="1394" t="s">
        <v>1898</v>
      </c>
      <c r="B91" s="1394" t="s">
        <v>1812</v>
      </c>
      <c r="C91" s="1489">
        <v>0</v>
      </c>
      <c r="D91" s="1489">
        <v>0</v>
      </c>
      <c r="E91" s="1489">
        <v>0</v>
      </c>
      <c r="F91" s="1489">
        <v>0</v>
      </c>
      <c r="G91" s="1489">
        <v>0</v>
      </c>
      <c r="H91" s="1489">
        <v>0</v>
      </c>
      <c r="I91" s="1489">
        <v>0</v>
      </c>
      <c r="J91" s="1490">
        <v>0</v>
      </c>
      <c r="K91" s="1489">
        <v>0</v>
      </c>
      <c r="L91" s="1489">
        <v>0</v>
      </c>
      <c r="M91" s="1489">
        <v>1</v>
      </c>
      <c r="N91" s="1489">
        <v>0</v>
      </c>
      <c r="O91" s="1489">
        <v>0</v>
      </c>
      <c r="P91" s="1489">
        <v>96</v>
      </c>
    </row>
    <row r="92" spans="1:16" s="1488" customFormat="1" ht="21.75">
      <c r="A92" s="1394" t="s">
        <v>1899</v>
      </c>
      <c r="B92" s="1394" t="s">
        <v>1812</v>
      </c>
      <c r="C92" s="1489">
        <v>3475</v>
      </c>
      <c r="D92" s="1489">
        <v>3475</v>
      </c>
      <c r="E92" s="1489">
        <v>3475</v>
      </c>
      <c r="F92" s="1489">
        <v>3475</v>
      </c>
      <c r="G92" s="1489">
        <v>3475</v>
      </c>
      <c r="H92" s="1489">
        <v>3475</v>
      </c>
      <c r="I92" s="1489">
        <v>3475</v>
      </c>
      <c r="J92" s="1490">
        <v>3475</v>
      </c>
      <c r="K92" s="1489">
        <v>3475</v>
      </c>
      <c r="L92" s="1489">
        <v>3475</v>
      </c>
      <c r="M92" s="1489">
        <v>3475</v>
      </c>
      <c r="N92" s="1489">
        <v>3475</v>
      </c>
      <c r="O92" s="1489">
        <v>3475</v>
      </c>
      <c r="P92" s="1489">
        <v>3475101</v>
      </c>
    </row>
    <row r="93" spans="1:16" s="1488" customFormat="1" ht="21.75">
      <c r="A93" s="1394" t="s">
        <v>1900</v>
      </c>
      <c r="B93" s="1394" t="s">
        <v>1812</v>
      </c>
      <c r="C93" s="1489">
        <v>0</v>
      </c>
      <c r="D93" s="1489">
        <v>0</v>
      </c>
      <c r="E93" s="1489">
        <v>0</v>
      </c>
      <c r="F93" s="1489">
        <v>0</v>
      </c>
      <c r="G93" s="1489">
        <v>0</v>
      </c>
      <c r="H93" s="1489">
        <v>0</v>
      </c>
      <c r="I93" s="1489">
        <v>0</v>
      </c>
      <c r="J93" s="1490">
        <v>0</v>
      </c>
      <c r="K93" s="1489">
        <v>0</v>
      </c>
      <c r="L93" s="1489">
        <v>0</v>
      </c>
      <c r="M93" s="1489">
        <v>0</v>
      </c>
      <c r="N93" s="1489">
        <v>0</v>
      </c>
      <c r="O93" s="1489">
        <v>0</v>
      </c>
      <c r="P93" s="1489">
        <v>0</v>
      </c>
    </row>
    <row r="94" spans="1:16" s="1488" customFormat="1" ht="21.75">
      <c r="A94" s="1394" t="s">
        <v>1901</v>
      </c>
      <c r="B94" s="1394" t="s">
        <v>1812</v>
      </c>
      <c r="C94" s="1489">
        <v>0</v>
      </c>
      <c r="D94" s="1489">
        <v>0</v>
      </c>
      <c r="E94" s="1489">
        <v>0</v>
      </c>
      <c r="F94" s="1489">
        <v>0</v>
      </c>
      <c r="G94" s="1489">
        <v>0</v>
      </c>
      <c r="H94" s="1489">
        <v>0</v>
      </c>
      <c r="I94" s="1489">
        <v>0</v>
      </c>
      <c r="J94" s="1490">
        <v>0</v>
      </c>
      <c r="K94" s="1489">
        <v>0</v>
      </c>
      <c r="L94" s="1489">
        <v>0</v>
      </c>
      <c r="M94" s="1489">
        <v>2</v>
      </c>
      <c r="N94" s="1489">
        <v>0</v>
      </c>
      <c r="O94" s="1489">
        <v>0</v>
      </c>
      <c r="P94" s="1489">
        <v>141</v>
      </c>
    </row>
    <row r="95" spans="1:16" s="1488" customFormat="1" ht="21.75">
      <c r="A95" s="1394" t="s">
        <v>1902</v>
      </c>
      <c r="B95" s="1394" t="s">
        <v>1812</v>
      </c>
      <c r="C95" s="1489">
        <v>340</v>
      </c>
      <c r="D95" s="1489">
        <v>340</v>
      </c>
      <c r="E95" s="1489">
        <v>340</v>
      </c>
      <c r="F95" s="1489">
        <v>340</v>
      </c>
      <c r="G95" s="1489">
        <v>340</v>
      </c>
      <c r="H95" s="1489">
        <v>340</v>
      </c>
      <c r="I95" s="1489">
        <v>340</v>
      </c>
      <c r="J95" s="1490">
        <v>340</v>
      </c>
      <c r="K95" s="1489">
        <v>340</v>
      </c>
      <c r="L95" s="1489">
        <v>340</v>
      </c>
      <c r="M95" s="1489">
        <v>342</v>
      </c>
      <c r="N95" s="1489">
        <v>342</v>
      </c>
      <c r="O95" s="1489">
        <v>342</v>
      </c>
      <c r="P95" s="1489">
        <v>340867</v>
      </c>
    </row>
    <row r="96" spans="1:16" s="1488" customFormat="1" ht="21.75">
      <c r="A96" s="1394" t="s">
        <v>1903</v>
      </c>
      <c r="B96" s="1394" t="s">
        <v>1812</v>
      </c>
      <c r="C96" s="1489">
        <v>59</v>
      </c>
      <c r="D96" s="1489">
        <v>59</v>
      </c>
      <c r="E96" s="1489">
        <v>59</v>
      </c>
      <c r="F96" s="1489">
        <v>59</v>
      </c>
      <c r="G96" s="1489">
        <v>59</v>
      </c>
      <c r="H96" s="1489">
        <v>59</v>
      </c>
      <c r="I96" s="1489">
        <v>59</v>
      </c>
      <c r="J96" s="1490">
        <v>59</v>
      </c>
      <c r="K96" s="1489">
        <v>59</v>
      </c>
      <c r="L96" s="1489">
        <v>59</v>
      </c>
      <c r="M96" s="1489">
        <v>59</v>
      </c>
      <c r="N96" s="1489">
        <v>59</v>
      </c>
      <c r="O96" s="1489">
        <v>59</v>
      </c>
      <c r="P96" s="1489">
        <v>59215</v>
      </c>
    </row>
    <row r="97" spans="1:17" s="1488" customFormat="1" ht="21.75">
      <c r="A97" s="1394" t="s">
        <v>1904</v>
      </c>
      <c r="B97" s="1394" t="s">
        <v>1812</v>
      </c>
      <c r="C97" s="1489">
        <v>0</v>
      </c>
      <c r="D97" s="1489">
        <v>0</v>
      </c>
      <c r="E97" s="1489">
        <v>0</v>
      </c>
      <c r="F97" s="1489">
        <v>0</v>
      </c>
      <c r="G97" s="1489">
        <v>0</v>
      </c>
      <c r="H97" s="1489">
        <v>0</v>
      </c>
      <c r="I97" s="1489">
        <v>0</v>
      </c>
      <c r="J97" s="1490">
        <v>0</v>
      </c>
      <c r="K97" s="1489">
        <v>0</v>
      </c>
      <c r="L97" s="1489">
        <v>0</v>
      </c>
      <c r="M97" s="1489">
        <v>0</v>
      </c>
      <c r="N97" s="1489">
        <v>0</v>
      </c>
      <c r="O97" s="1489">
        <v>0</v>
      </c>
      <c r="P97" s="1489">
        <v>0</v>
      </c>
    </row>
    <row r="98" spans="1:17" s="1488" customFormat="1" ht="21.75">
      <c r="A98" s="1394" t="s">
        <v>1905</v>
      </c>
      <c r="B98" s="1394" t="s">
        <v>1812</v>
      </c>
      <c r="C98" s="1489">
        <v>114</v>
      </c>
      <c r="D98" s="1489">
        <v>114</v>
      </c>
      <c r="E98" s="1489">
        <v>114</v>
      </c>
      <c r="F98" s="1489">
        <v>114</v>
      </c>
      <c r="G98" s="1489">
        <v>114</v>
      </c>
      <c r="H98" s="1489">
        <v>114</v>
      </c>
      <c r="I98" s="1489">
        <v>114</v>
      </c>
      <c r="J98" s="1490">
        <v>114</v>
      </c>
      <c r="K98" s="1489">
        <v>114</v>
      </c>
      <c r="L98" s="1489">
        <v>114</v>
      </c>
      <c r="M98" s="1489">
        <v>114</v>
      </c>
      <c r="N98" s="1489">
        <v>114</v>
      </c>
      <c r="O98" s="1489">
        <v>114</v>
      </c>
      <c r="P98" s="1489">
        <v>113968</v>
      </c>
    </row>
    <row r="99" spans="1:17" s="1488" customFormat="1" ht="21.75">
      <c r="A99" s="1394" t="s">
        <v>1906</v>
      </c>
      <c r="B99" s="1394" t="s">
        <v>1812</v>
      </c>
      <c r="C99" s="1489">
        <v>341</v>
      </c>
      <c r="D99" s="1489">
        <v>341</v>
      </c>
      <c r="E99" s="1489">
        <v>341</v>
      </c>
      <c r="F99" s="1489">
        <v>341</v>
      </c>
      <c r="G99" s="1489">
        <v>341</v>
      </c>
      <c r="H99" s="1489">
        <v>341</v>
      </c>
      <c r="I99" s="1489">
        <v>341</v>
      </c>
      <c r="J99" s="1490">
        <v>341</v>
      </c>
      <c r="K99" s="1489">
        <v>341</v>
      </c>
      <c r="L99" s="1489">
        <v>341</v>
      </c>
      <c r="M99" s="1489">
        <v>341</v>
      </c>
      <c r="N99" s="1489">
        <v>341</v>
      </c>
      <c r="O99" s="1489">
        <v>341</v>
      </c>
      <c r="P99" s="1489">
        <v>341015</v>
      </c>
    </row>
    <row r="100" spans="1:17" s="1488" customFormat="1" ht="21.75">
      <c r="A100" s="1394" t="s">
        <v>1907</v>
      </c>
      <c r="B100" s="1394" t="s">
        <v>1812</v>
      </c>
      <c r="C100" s="1489">
        <v>0</v>
      </c>
      <c r="D100" s="1489">
        <v>0</v>
      </c>
      <c r="E100" s="1489">
        <v>0</v>
      </c>
      <c r="F100" s="1489">
        <v>0</v>
      </c>
      <c r="G100" s="1489">
        <v>0</v>
      </c>
      <c r="H100" s="1489">
        <v>0</v>
      </c>
      <c r="I100" s="1489">
        <v>0</v>
      </c>
      <c r="J100" s="1490">
        <v>0</v>
      </c>
      <c r="K100" s="1489">
        <v>0</v>
      </c>
      <c r="L100" s="1489">
        <v>0</v>
      </c>
      <c r="M100" s="1489">
        <v>0</v>
      </c>
      <c r="N100" s="1489">
        <v>0</v>
      </c>
      <c r="O100" s="1489">
        <v>0</v>
      </c>
      <c r="P100" s="1489">
        <v>0</v>
      </c>
    </row>
    <row r="101" spans="1:17" s="1488" customFormat="1" ht="21.75">
      <c r="A101" s="1394" t="s">
        <v>1908</v>
      </c>
      <c r="B101" s="1394" t="s">
        <v>1812</v>
      </c>
      <c r="C101" s="1489">
        <v>1500</v>
      </c>
      <c r="D101" s="1489">
        <v>1500</v>
      </c>
      <c r="E101" s="1489">
        <v>1500</v>
      </c>
      <c r="F101" s="1489">
        <v>1500</v>
      </c>
      <c r="G101" s="1489">
        <v>1500</v>
      </c>
      <c r="H101" s="1489">
        <v>1500</v>
      </c>
      <c r="I101" s="1489">
        <v>1500</v>
      </c>
      <c r="J101" s="1490">
        <v>1500</v>
      </c>
      <c r="K101" s="1489">
        <v>1500</v>
      </c>
      <c r="L101" s="1489">
        <v>1500</v>
      </c>
      <c r="M101" s="1489">
        <v>1500</v>
      </c>
      <c r="N101" s="1489">
        <v>1500</v>
      </c>
      <c r="O101" s="1489">
        <v>2036</v>
      </c>
      <c r="P101" s="1489">
        <v>1522689</v>
      </c>
    </row>
    <row r="102" spans="1:17" s="1488" customFormat="1" ht="25.5">
      <c r="A102" s="1149" t="s">
        <v>1909</v>
      </c>
      <c r="B102" s="1149" t="s">
        <v>1812</v>
      </c>
      <c r="C102" s="1489">
        <v>0</v>
      </c>
      <c r="D102" s="1489">
        <v>0</v>
      </c>
      <c r="E102" s="1489">
        <v>0</v>
      </c>
      <c r="F102" s="1489">
        <v>0</v>
      </c>
      <c r="G102" s="1489">
        <v>0</v>
      </c>
      <c r="H102" s="1489">
        <v>0</v>
      </c>
      <c r="I102" s="1489">
        <v>0</v>
      </c>
      <c r="J102" s="1490">
        <v>0</v>
      </c>
      <c r="K102" s="1489">
        <v>0</v>
      </c>
      <c r="L102" s="1489">
        <v>0</v>
      </c>
      <c r="M102" s="1489">
        <v>0</v>
      </c>
      <c r="N102" s="1489">
        <v>0</v>
      </c>
      <c r="O102" s="1489">
        <v>0</v>
      </c>
      <c r="P102" s="1489">
        <v>0</v>
      </c>
    </row>
    <row r="103" spans="1:17" ht="13.5" thickBot="1">
      <c r="A103" s="1491"/>
      <c r="B103" s="1492" t="s">
        <v>1910</v>
      </c>
      <c r="C103" s="1493">
        <f t="shared" ref="C103:O103" si="0">SUM(C4:C102)</f>
        <v>408726</v>
      </c>
      <c r="D103" s="1493">
        <f t="shared" si="0"/>
        <v>408931</v>
      </c>
      <c r="E103" s="1493">
        <f t="shared" si="0"/>
        <v>409076</v>
      </c>
      <c r="F103" s="1493">
        <f t="shared" si="0"/>
        <v>409919</v>
      </c>
      <c r="G103" s="1493">
        <f t="shared" si="0"/>
        <v>409370</v>
      </c>
      <c r="H103" s="1493">
        <f t="shared" si="0"/>
        <v>409541</v>
      </c>
      <c r="I103" s="1493">
        <f t="shared" si="0"/>
        <v>421537</v>
      </c>
      <c r="J103" s="1494">
        <f t="shared" si="0"/>
        <v>421687</v>
      </c>
      <c r="K103" s="1493">
        <f t="shared" si="0"/>
        <v>423848</v>
      </c>
      <c r="L103" s="1493">
        <f t="shared" si="0"/>
        <v>425406</v>
      </c>
      <c r="M103" s="1493">
        <f t="shared" si="0"/>
        <v>449015</v>
      </c>
      <c r="N103" s="1493">
        <f t="shared" si="0"/>
        <v>470580</v>
      </c>
      <c r="O103" s="1493">
        <f t="shared" si="0"/>
        <v>475432</v>
      </c>
      <c r="P103" s="1493">
        <f>SUM(P4:P102)</f>
        <v>425086614</v>
      </c>
      <c r="Q103" s="1495"/>
    </row>
    <row r="104" spans="1:17" ht="13.5" thickTop="1">
      <c r="A104" s="1149"/>
      <c r="B104" s="1149"/>
      <c r="C104" s="1149"/>
      <c r="D104" s="1149"/>
      <c r="E104" s="1149"/>
      <c r="F104" s="1149"/>
      <c r="G104" s="1149"/>
      <c r="H104" s="1149"/>
      <c r="I104" s="1149"/>
      <c r="J104" s="1496"/>
      <c r="K104" s="1149"/>
      <c r="L104" s="1149"/>
      <c r="M104" s="1149"/>
      <c r="N104" s="1149"/>
      <c r="O104" s="1149"/>
      <c r="P104" s="1149"/>
    </row>
    <row r="105" spans="1:17" ht="21.75">
      <c r="A105" s="1394" t="s">
        <v>1911</v>
      </c>
      <c r="B105" s="1394" t="s">
        <v>1912</v>
      </c>
      <c r="C105" s="1489">
        <v>4816</v>
      </c>
      <c r="D105" s="1489">
        <v>4816</v>
      </c>
      <c r="E105" s="1489">
        <v>4816</v>
      </c>
      <c r="F105" s="1489">
        <v>4816</v>
      </c>
      <c r="G105" s="1489">
        <v>4816</v>
      </c>
      <c r="H105" s="1489">
        <v>4816</v>
      </c>
      <c r="I105" s="1489">
        <v>4822</v>
      </c>
      <c r="J105" s="1490">
        <v>4823</v>
      </c>
      <c r="K105" s="1489">
        <v>4823</v>
      </c>
      <c r="L105" s="1489">
        <v>4656</v>
      </c>
      <c r="M105" s="1489">
        <v>4656</v>
      </c>
      <c r="N105" s="1489">
        <v>4656</v>
      </c>
      <c r="O105" s="1489">
        <v>4656</v>
      </c>
      <c r="P105" s="1489">
        <v>4771127</v>
      </c>
    </row>
    <row r="106" spans="1:17" s="1488" customFormat="1" ht="21.75">
      <c r="A106" s="1394" t="s">
        <v>1913</v>
      </c>
      <c r="B106" s="1394" t="s">
        <v>1912</v>
      </c>
      <c r="C106" s="1489">
        <v>15933</v>
      </c>
      <c r="D106" s="1489">
        <v>15933</v>
      </c>
      <c r="E106" s="1489">
        <v>15933</v>
      </c>
      <c r="F106" s="1489">
        <v>15933</v>
      </c>
      <c r="G106" s="1489">
        <v>15933</v>
      </c>
      <c r="H106" s="1489">
        <v>15933</v>
      </c>
      <c r="I106" s="1489">
        <v>15927</v>
      </c>
      <c r="J106" s="1490">
        <v>16064</v>
      </c>
      <c r="K106" s="1489">
        <v>16064</v>
      </c>
      <c r="L106" s="1489">
        <v>16064</v>
      </c>
      <c r="M106" s="1489">
        <v>15925</v>
      </c>
      <c r="N106" s="1489">
        <v>15925</v>
      </c>
      <c r="O106" s="1489">
        <v>15929</v>
      </c>
      <c r="P106" s="1489">
        <v>15963561</v>
      </c>
    </row>
    <row r="107" spans="1:17" s="1488" customFormat="1" ht="21.75">
      <c r="A107" s="1394" t="s">
        <v>1914</v>
      </c>
      <c r="B107" s="1394" t="s">
        <v>1912</v>
      </c>
      <c r="C107" s="1489">
        <v>256</v>
      </c>
      <c r="D107" s="1489">
        <v>256</v>
      </c>
      <c r="E107" s="1489">
        <v>256</v>
      </c>
      <c r="F107" s="1489">
        <v>256</v>
      </c>
      <c r="G107" s="1489">
        <v>256</v>
      </c>
      <c r="H107" s="1489">
        <v>256</v>
      </c>
      <c r="I107" s="1489">
        <v>256</v>
      </c>
      <c r="J107" s="1490">
        <v>256</v>
      </c>
      <c r="K107" s="1489">
        <v>256</v>
      </c>
      <c r="L107" s="1489">
        <v>256</v>
      </c>
      <c r="M107" s="1489">
        <v>256</v>
      </c>
      <c r="N107" s="1489">
        <v>256</v>
      </c>
      <c r="O107" s="1489">
        <v>256</v>
      </c>
      <c r="P107" s="1489">
        <v>255812</v>
      </c>
    </row>
    <row r="108" spans="1:17" s="1488" customFormat="1" ht="21.75">
      <c r="A108" s="1394" t="s">
        <v>1915</v>
      </c>
      <c r="B108" s="1394" t="s">
        <v>1912</v>
      </c>
      <c r="C108" s="1489">
        <v>31</v>
      </c>
      <c r="D108" s="1489">
        <v>31</v>
      </c>
      <c r="E108" s="1489">
        <v>31</v>
      </c>
      <c r="F108" s="1489">
        <v>31</v>
      </c>
      <c r="G108" s="1489">
        <v>31</v>
      </c>
      <c r="H108" s="1489">
        <v>31</v>
      </c>
      <c r="I108" s="1489">
        <v>31</v>
      </c>
      <c r="J108" s="1490">
        <v>31</v>
      </c>
      <c r="K108" s="1489">
        <v>31</v>
      </c>
      <c r="L108" s="1489">
        <v>31</v>
      </c>
      <c r="M108" s="1489">
        <v>31</v>
      </c>
      <c r="N108" s="1489">
        <v>31</v>
      </c>
      <c r="O108" s="1489">
        <v>31</v>
      </c>
      <c r="P108" s="1489">
        <v>31040</v>
      </c>
    </row>
    <row r="109" spans="1:17" s="1488" customFormat="1" ht="21.75">
      <c r="A109" s="1394" t="s">
        <v>1916</v>
      </c>
      <c r="B109" s="1394" t="s">
        <v>1912</v>
      </c>
      <c r="C109" s="1489">
        <v>5</v>
      </c>
      <c r="D109" s="1489">
        <v>5</v>
      </c>
      <c r="E109" s="1489">
        <v>5</v>
      </c>
      <c r="F109" s="1489">
        <v>5</v>
      </c>
      <c r="G109" s="1489">
        <v>5</v>
      </c>
      <c r="H109" s="1489">
        <v>5</v>
      </c>
      <c r="I109" s="1489">
        <v>5</v>
      </c>
      <c r="J109" s="1490">
        <v>5</v>
      </c>
      <c r="K109" s="1489">
        <v>5</v>
      </c>
      <c r="L109" s="1489">
        <v>5</v>
      </c>
      <c r="M109" s="1489">
        <v>5</v>
      </c>
      <c r="N109" s="1489">
        <v>5</v>
      </c>
      <c r="O109" s="1489">
        <v>5</v>
      </c>
      <c r="P109" s="1489">
        <v>4766</v>
      </c>
    </row>
    <row r="110" spans="1:17" s="1488" customFormat="1" ht="21.75">
      <c r="A110" s="1394" t="s">
        <v>1917</v>
      </c>
      <c r="B110" s="1394" t="s">
        <v>1912</v>
      </c>
      <c r="C110" s="1489">
        <v>12</v>
      </c>
      <c r="D110" s="1489">
        <v>12</v>
      </c>
      <c r="E110" s="1489">
        <v>12</v>
      </c>
      <c r="F110" s="1489">
        <v>12</v>
      </c>
      <c r="G110" s="1489">
        <v>12</v>
      </c>
      <c r="H110" s="1489">
        <v>12</v>
      </c>
      <c r="I110" s="1489">
        <v>12</v>
      </c>
      <c r="J110" s="1490">
        <v>12</v>
      </c>
      <c r="K110" s="1489">
        <v>12</v>
      </c>
      <c r="L110" s="1489">
        <v>12</v>
      </c>
      <c r="M110" s="1489">
        <v>12</v>
      </c>
      <c r="N110" s="1489">
        <v>12</v>
      </c>
      <c r="O110" s="1489">
        <v>12</v>
      </c>
      <c r="P110" s="1489">
        <v>12337</v>
      </c>
    </row>
    <row r="111" spans="1:17" s="1488" customFormat="1" ht="21.75">
      <c r="A111" s="1394" t="s">
        <v>1918</v>
      </c>
      <c r="B111" s="1394" t="s">
        <v>1912</v>
      </c>
      <c r="C111" s="1489">
        <v>204</v>
      </c>
      <c r="D111" s="1489">
        <v>204</v>
      </c>
      <c r="E111" s="1489">
        <v>204</v>
      </c>
      <c r="F111" s="1489">
        <v>204</v>
      </c>
      <c r="G111" s="1489">
        <v>204</v>
      </c>
      <c r="H111" s="1489">
        <v>204</v>
      </c>
      <c r="I111" s="1489">
        <v>204</v>
      </c>
      <c r="J111" s="1490">
        <v>204</v>
      </c>
      <c r="K111" s="1489">
        <v>204</v>
      </c>
      <c r="L111" s="1489">
        <v>204</v>
      </c>
      <c r="M111" s="1489">
        <v>204</v>
      </c>
      <c r="N111" s="1489">
        <v>204</v>
      </c>
      <c r="O111" s="1489">
        <v>204</v>
      </c>
      <c r="P111" s="1489">
        <v>204314</v>
      </c>
    </row>
    <row r="112" spans="1:17" s="1488" customFormat="1" ht="21.75">
      <c r="A112" s="1394" t="s">
        <v>1919</v>
      </c>
      <c r="B112" s="1394" t="s">
        <v>1912</v>
      </c>
      <c r="C112" s="1489">
        <v>4</v>
      </c>
      <c r="D112" s="1489">
        <v>4</v>
      </c>
      <c r="E112" s="1489">
        <v>4</v>
      </c>
      <c r="F112" s="1489">
        <v>4</v>
      </c>
      <c r="G112" s="1489">
        <v>4</v>
      </c>
      <c r="H112" s="1489">
        <v>4</v>
      </c>
      <c r="I112" s="1489">
        <v>4</v>
      </c>
      <c r="J112" s="1490">
        <v>4</v>
      </c>
      <c r="K112" s="1489">
        <v>4</v>
      </c>
      <c r="L112" s="1489">
        <v>4</v>
      </c>
      <c r="M112" s="1489">
        <v>4</v>
      </c>
      <c r="N112" s="1489">
        <v>4</v>
      </c>
      <c r="O112" s="1489">
        <v>4</v>
      </c>
      <c r="P112" s="1489">
        <v>4494</v>
      </c>
    </row>
    <row r="113" spans="1:16" s="1488" customFormat="1" ht="21.75">
      <c r="A113" s="1394" t="s">
        <v>1920</v>
      </c>
      <c r="B113" s="1394" t="s">
        <v>1912</v>
      </c>
      <c r="C113" s="1489">
        <v>36</v>
      </c>
      <c r="D113" s="1489">
        <v>36</v>
      </c>
      <c r="E113" s="1489">
        <v>36</v>
      </c>
      <c r="F113" s="1489">
        <v>36</v>
      </c>
      <c r="G113" s="1489">
        <v>36</v>
      </c>
      <c r="H113" s="1489">
        <v>36</v>
      </c>
      <c r="I113" s="1489">
        <v>36</v>
      </c>
      <c r="J113" s="1490">
        <v>36</v>
      </c>
      <c r="K113" s="1489">
        <v>36</v>
      </c>
      <c r="L113" s="1489">
        <v>36</v>
      </c>
      <c r="M113" s="1489">
        <v>36</v>
      </c>
      <c r="N113" s="1489">
        <v>36</v>
      </c>
      <c r="O113" s="1489">
        <v>36</v>
      </c>
      <c r="P113" s="1489">
        <v>36010</v>
      </c>
    </row>
    <row r="114" spans="1:16" s="1488" customFormat="1" ht="21.75">
      <c r="A114" s="1394" t="s">
        <v>1921</v>
      </c>
      <c r="B114" s="1394" t="s">
        <v>1912</v>
      </c>
      <c r="C114" s="1489">
        <v>5</v>
      </c>
      <c r="D114" s="1489">
        <v>5</v>
      </c>
      <c r="E114" s="1489">
        <v>5</v>
      </c>
      <c r="F114" s="1489">
        <v>5</v>
      </c>
      <c r="G114" s="1489">
        <v>5</v>
      </c>
      <c r="H114" s="1489">
        <v>5</v>
      </c>
      <c r="I114" s="1489">
        <v>5</v>
      </c>
      <c r="J114" s="1490">
        <v>5</v>
      </c>
      <c r="K114" s="1489">
        <v>5</v>
      </c>
      <c r="L114" s="1489">
        <v>5</v>
      </c>
      <c r="M114" s="1489">
        <v>5</v>
      </c>
      <c r="N114" s="1489">
        <v>5</v>
      </c>
      <c r="O114" s="1489">
        <v>5</v>
      </c>
      <c r="P114" s="1489">
        <v>4635</v>
      </c>
    </row>
    <row r="115" spans="1:16" s="1488" customFormat="1" ht="21.75">
      <c r="A115" s="1394" t="s">
        <v>1922</v>
      </c>
      <c r="B115" s="1394" t="s">
        <v>1912</v>
      </c>
      <c r="C115" s="1489">
        <v>381</v>
      </c>
      <c r="D115" s="1489">
        <v>381</v>
      </c>
      <c r="E115" s="1489">
        <v>381</v>
      </c>
      <c r="F115" s="1489">
        <v>381</v>
      </c>
      <c r="G115" s="1489">
        <v>381</v>
      </c>
      <c r="H115" s="1489">
        <v>381</v>
      </c>
      <c r="I115" s="1489">
        <v>381</v>
      </c>
      <c r="J115" s="1490">
        <v>381</v>
      </c>
      <c r="K115" s="1489">
        <v>381</v>
      </c>
      <c r="L115" s="1489">
        <v>381</v>
      </c>
      <c r="M115" s="1489">
        <v>381</v>
      </c>
      <c r="N115" s="1489">
        <v>381</v>
      </c>
      <c r="O115" s="1489">
        <v>381</v>
      </c>
      <c r="P115" s="1489">
        <v>381411</v>
      </c>
    </row>
    <row r="116" spans="1:16" s="1488" customFormat="1" ht="21.75">
      <c r="A116" s="1394" t="s">
        <v>1923</v>
      </c>
      <c r="B116" s="1394" t="s">
        <v>1912</v>
      </c>
      <c r="C116" s="1489">
        <v>54</v>
      </c>
      <c r="D116" s="1489">
        <v>54</v>
      </c>
      <c r="E116" s="1489">
        <v>54</v>
      </c>
      <c r="F116" s="1489">
        <v>54</v>
      </c>
      <c r="G116" s="1489">
        <v>54</v>
      </c>
      <c r="H116" s="1489">
        <v>54</v>
      </c>
      <c r="I116" s="1489">
        <v>54</v>
      </c>
      <c r="J116" s="1490">
        <v>360</v>
      </c>
      <c r="K116" s="1489">
        <v>360</v>
      </c>
      <c r="L116" s="1489">
        <v>360</v>
      </c>
      <c r="M116" s="1489">
        <v>360</v>
      </c>
      <c r="N116" s="1489">
        <v>360</v>
      </c>
      <c r="O116" s="1489">
        <v>360</v>
      </c>
      <c r="P116" s="1489">
        <v>194238</v>
      </c>
    </row>
    <row r="117" spans="1:16" s="1488" customFormat="1" ht="21.75">
      <c r="A117" s="1394" t="s">
        <v>1924</v>
      </c>
      <c r="B117" s="1394" t="s">
        <v>1912</v>
      </c>
      <c r="C117" s="1489">
        <v>5017</v>
      </c>
      <c r="D117" s="1489">
        <v>5017</v>
      </c>
      <c r="E117" s="1489">
        <v>5017</v>
      </c>
      <c r="F117" s="1489">
        <v>5017</v>
      </c>
      <c r="G117" s="1489">
        <v>5017</v>
      </c>
      <c r="H117" s="1489">
        <v>5017</v>
      </c>
      <c r="I117" s="1489">
        <v>5017</v>
      </c>
      <c r="J117" s="1490">
        <v>5017</v>
      </c>
      <c r="K117" s="1489">
        <v>5017</v>
      </c>
      <c r="L117" s="1489">
        <v>5017</v>
      </c>
      <c r="M117" s="1489">
        <v>5017</v>
      </c>
      <c r="N117" s="1489">
        <v>5017</v>
      </c>
      <c r="O117" s="1489">
        <v>5082</v>
      </c>
      <c r="P117" s="1489">
        <v>5019394</v>
      </c>
    </row>
    <row r="118" spans="1:16" s="1488" customFormat="1" ht="21.75">
      <c r="A118" s="1394" t="s">
        <v>1925</v>
      </c>
      <c r="B118" s="1394" t="s">
        <v>1912</v>
      </c>
      <c r="C118" s="1489">
        <v>29</v>
      </c>
      <c r="D118" s="1489">
        <v>29</v>
      </c>
      <c r="E118" s="1489">
        <v>29</v>
      </c>
      <c r="F118" s="1489">
        <v>29</v>
      </c>
      <c r="G118" s="1489">
        <v>29</v>
      </c>
      <c r="H118" s="1489">
        <v>29</v>
      </c>
      <c r="I118" s="1489">
        <v>29</v>
      </c>
      <c r="J118" s="1490">
        <v>29</v>
      </c>
      <c r="K118" s="1489">
        <v>29</v>
      </c>
      <c r="L118" s="1489">
        <v>29</v>
      </c>
      <c r="M118" s="1489">
        <v>29</v>
      </c>
      <c r="N118" s="1489">
        <v>29</v>
      </c>
      <c r="O118" s="1489">
        <v>29</v>
      </c>
      <c r="P118" s="1489">
        <v>28500</v>
      </c>
    </row>
    <row r="119" spans="1:16" s="1488" customFormat="1" ht="21.75">
      <c r="A119" s="1394" t="s">
        <v>1926</v>
      </c>
      <c r="B119" s="1394" t="s">
        <v>1912</v>
      </c>
      <c r="C119" s="1489">
        <v>52</v>
      </c>
      <c r="D119" s="1489">
        <v>52</v>
      </c>
      <c r="E119" s="1489">
        <v>52</v>
      </c>
      <c r="F119" s="1489">
        <v>52</v>
      </c>
      <c r="G119" s="1489">
        <v>52</v>
      </c>
      <c r="H119" s="1489">
        <v>52</v>
      </c>
      <c r="I119" s="1489">
        <v>52</v>
      </c>
      <c r="J119" s="1490">
        <v>52</v>
      </c>
      <c r="K119" s="1489">
        <v>52</v>
      </c>
      <c r="L119" s="1489">
        <v>52</v>
      </c>
      <c r="M119" s="1489">
        <v>52</v>
      </c>
      <c r="N119" s="1489">
        <v>52</v>
      </c>
      <c r="O119" s="1489">
        <v>52</v>
      </c>
      <c r="P119" s="1489">
        <v>51528</v>
      </c>
    </row>
    <row r="120" spans="1:16" s="1488" customFormat="1" ht="21.75">
      <c r="A120" s="1394" t="s">
        <v>1927</v>
      </c>
      <c r="B120" s="1394" t="s">
        <v>1912</v>
      </c>
      <c r="C120" s="1489">
        <v>18598</v>
      </c>
      <c r="D120" s="1489">
        <v>20277</v>
      </c>
      <c r="E120" s="1489">
        <v>20317</v>
      </c>
      <c r="F120" s="1489">
        <v>20628</v>
      </c>
      <c r="G120" s="1489">
        <v>20648</v>
      </c>
      <c r="H120" s="1489">
        <v>20739</v>
      </c>
      <c r="I120" s="1489">
        <v>20739</v>
      </c>
      <c r="J120" s="1490">
        <v>20739</v>
      </c>
      <c r="K120" s="1489">
        <v>20739</v>
      </c>
      <c r="L120" s="1489">
        <v>20739</v>
      </c>
      <c r="M120" s="1489">
        <v>20738</v>
      </c>
      <c r="N120" s="1489">
        <v>20738</v>
      </c>
      <c r="O120" s="1489">
        <v>20738</v>
      </c>
      <c r="P120" s="1489">
        <v>20558957</v>
      </c>
    </row>
    <row r="121" spans="1:16" s="1488" customFormat="1" ht="21.75">
      <c r="A121" s="1394" t="s">
        <v>1928</v>
      </c>
      <c r="B121" s="1394" t="s">
        <v>1912</v>
      </c>
      <c r="C121" s="1489">
        <v>11598</v>
      </c>
      <c r="D121" s="1489">
        <v>10598</v>
      </c>
      <c r="E121" s="1489">
        <v>10598</v>
      </c>
      <c r="F121" s="1489">
        <v>10598</v>
      </c>
      <c r="G121" s="1489">
        <v>10598</v>
      </c>
      <c r="H121" s="1489">
        <v>10598</v>
      </c>
      <c r="I121" s="1489">
        <v>10598</v>
      </c>
      <c r="J121" s="1490">
        <v>10598</v>
      </c>
      <c r="K121" s="1489">
        <v>10598</v>
      </c>
      <c r="L121" s="1489">
        <v>10598</v>
      </c>
      <c r="M121" s="1489">
        <v>10595</v>
      </c>
      <c r="N121" s="1489">
        <v>10595</v>
      </c>
      <c r="O121" s="1489">
        <v>10591</v>
      </c>
      <c r="P121" s="1489">
        <v>10638898</v>
      </c>
    </row>
    <row r="122" spans="1:16" s="1488" customFormat="1" ht="21.75">
      <c r="A122" s="1394" t="s">
        <v>1929</v>
      </c>
      <c r="B122" s="1394" t="s">
        <v>1912</v>
      </c>
      <c r="C122" s="1489">
        <v>0</v>
      </c>
      <c r="D122" s="1489">
        <v>0</v>
      </c>
      <c r="E122" s="1489">
        <v>0</v>
      </c>
      <c r="F122" s="1489">
        <v>0</v>
      </c>
      <c r="G122" s="1489">
        <v>0</v>
      </c>
      <c r="H122" s="1489">
        <v>0</v>
      </c>
      <c r="I122" s="1489">
        <v>0</v>
      </c>
      <c r="J122" s="1490">
        <v>0</v>
      </c>
      <c r="K122" s="1489">
        <v>0</v>
      </c>
      <c r="L122" s="1489">
        <v>0</v>
      </c>
      <c r="M122" s="1489">
        <v>1262</v>
      </c>
      <c r="N122" s="1489">
        <v>1136</v>
      </c>
      <c r="O122" s="1489">
        <v>1216</v>
      </c>
      <c r="P122" s="1489">
        <v>250428</v>
      </c>
    </row>
    <row r="123" spans="1:16" s="1488" customFormat="1" ht="15" customHeight="1">
      <c r="A123" s="1394" t="s">
        <v>1930</v>
      </c>
      <c r="B123" s="1394" t="s">
        <v>1912</v>
      </c>
      <c r="C123" s="1489">
        <v>11</v>
      </c>
      <c r="D123" s="1489">
        <v>11</v>
      </c>
      <c r="E123" s="1489">
        <v>11</v>
      </c>
      <c r="F123" s="1489">
        <v>11</v>
      </c>
      <c r="G123" s="1489">
        <v>11</v>
      </c>
      <c r="H123" s="1489">
        <v>11</v>
      </c>
      <c r="I123" s="1489">
        <v>11</v>
      </c>
      <c r="J123" s="1490">
        <v>11</v>
      </c>
      <c r="K123" s="1489">
        <v>11</v>
      </c>
      <c r="L123" s="1489">
        <v>11</v>
      </c>
      <c r="M123" s="1489">
        <v>0</v>
      </c>
      <c r="N123" s="1489">
        <v>0</v>
      </c>
      <c r="O123" s="1489">
        <v>0</v>
      </c>
      <c r="P123" s="1489">
        <v>8979</v>
      </c>
    </row>
    <row r="124" spans="1:16" s="1488" customFormat="1" ht="21.75">
      <c r="A124" s="1394" t="s">
        <v>1931</v>
      </c>
      <c r="B124" s="1394" t="s">
        <v>1912</v>
      </c>
      <c r="C124" s="1489">
        <v>0</v>
      </c>
      <c r="D124" s="1489">
        <v>0</v>
      </c>
      <c r="E124" s="1489">
        <v>0</v>
      </c>
      <c r="F124" s="1489">
        <v>0</v>
      </c>
      <c r="G124" s="1489">
        <v>0</v>
      </c>
      <c r="H124" s="1489">
        <v>0</v>
      </c>
      <c r="I124" s="1489">
        <v>209</v>
      </c>
      <c r="J124" s="1490">
        <v>209</v>
      </c>
      <c r="K124" s="1489">
        <v>209</v>
      </c>
      <c r="L124" s="1489">
        <v>209</v>
      </c>
      <c r="M124" s="1489">
        <v>0</v>
      </c>
      <c r="N124" s="1489">
        <v>0</v>
      </c>
      <c r="O124" s="1489">
        <v>0</v>
      </c>
      <c r="P124" s="1489">
        <v>69609</v>
      </c>
    </row>
    <row r="125" spans="1:16" s="1488" customFormat="1" ht="21.75">
      <c r="A125" s="1394" t="s">
        <v>1932</v>
      </c>
      <c r="B125" s="1394" t="s">
        <v>1912</v>
      </c>
      <c r="C125" s="1489">
        <v>0</v>
      </c>
      <c r="D125" s="1489">
        <v>0</v>
      </c>
      <c r="E125" s="1489">
        <v>0</v>
      </c>
      <c r="F125" s="1489">
        <v>0</v>
      </c>
      <c r="G125" s="1489">
        <v>0</v>
      </c>
      <c r="H125" s="1489">
        <v>0</v>
      </c>
      <c r="I125" s="1489">
        <v>0</v>
      </c>
      <c r="J125" s="1490">
        <v>610</v>
      </c>
      <c r="K125" s="1489">
        <v>610</v>
      </c>
      <c r="L125" s="1489">
        <v>610</v>
      </c>
      <c r="M125" s="1489">
        <v>0</v>
      </c>
      <c r="N125" s="1489">
        <v>0</v>
      </c>
      <c r="O125" s="1489">
        <v>0</v>
      </c>
      <c r="P125" s="1489">
        <v>152566</v>
      </c>
    </row>
    <row r="126" spans="1:16" s="1488" customFormat="1" ht="21.75">
      <c r="A126" s="1394" t="s">
        <v>1933</v>
      </c>
      <c r="B126" s="1394" t="s">
        <v>1912</v>
      </c>
      <c r="C126" s="1489">
        <v>19547</v>
      </c>
      <c r="D126" s="1489">
        <v>19547</v>
      </c>
      <c r="E126" s="1489">
        <v>19547</v>
      </c>
      <c r="F126" s="1489">
        <v>19654</v>
      </c>
      <c r="G126" s="1489">
        <v>19654</v>
      </c>
      <c r="H126" s="1489">
        <v>19654</v>
      </c>
      <c r="I126" s="1489">
        <v>19654</v>
      </c>
      <c r="J126" s="1490">
        <v>19977</v>
      </c>
      <c r="K126" s="1489">
        <v>19977</v>
      </c>
      <c r="L126" s="1489">
        <v>20103</v>
      </c>
      <c r="M126" s="1489">
        <v>19441</v>
      </c>
      <c r="N126" s="1489">
        <v>18828</v>
      </c>
      <c r="O126" s="1489">
        <v>18682</v>
      </c>
      <c r="P126" s="1489">
        <v>19595653</v>
      </c>
    </row>
    <row r="127" spans="1:16" s="1488" customFormat="1" ht="21.75">
      <c r="A127" s="1394" t="s">
        <v>1934</v>
      </c>
      <c r="B127" s="1394" t="s">
        <v>1912</v>
      </c>
      <c r="C127" s="1489">
        <v>70</v>
      </c>
      <c r="D127" s="1489">
        <v>70</v>
      </c>
      <c r="E127" s="1489">
        <v>70</v>
      </c>
      <c r="F127" s="1489">
        <v>70</v>
      </c>
      <c r="G127" s="1489">
        <v>70</v>
      </c>
      <c r="H127" s="1489">
        <v>70</v>
      </c>
      <c r="I127" s="1489">
        <v>70</v>
      </c>
      <c r="J127" s="1490">
        <v>70</v>
      </c>
      <c r="K127" s="1489">
        <v>70</v>
      </c>
      <c r="L127" s="1489">
        <v>70</v>
      </c>
      <c r="M127" s="1489">
        <v>70</v>
      </c>
      <c r="N127" s="1489">
        <v>70</v>
      </c>
      <c r="O127" s="1489">
        <v>70</v>
      </c>
      <c r="P127" s="1489">
        <v>69900</v>
      </c>
    </row>
    <row r="128" spans="1:16" s="1488" customFormat="1" ht="21.75">
      <c r="A128" s="1394" t="s">
        <v>1935</v>
      </c>
      <c r="B128" s="1394" t="s">
        <v>1912</v>
      </c>
      <c r="C128" s="1489">
        <v>281</v>
      </c>
      <c r="D128" s="1489">
        <v>281</v>
      </c>
      <c r="E128" s="1489">
        <v>281</v>
      </c>
      <c r="F128" s="1489">
        <v>281</v>
      </c>
      <c r="G128" s="1489">
        <v>281</v>
      </c>
      <c r="H128" s="1489">
        <v>281</v>
      </c>
      <c r="I128" s="1489">
        <v>281</v>
      </c>
      <c r="J128" s="1490">
        <v>281</v>
      </c>
      <c r="K128" s="1489">
        <v>281</v>
      </c>
      <c r="L128" s="1489">
        <v>281</v>
      </c>
      <c r="M128" s="1489">
        <v>281</v>
      </c>
      <c r="N128" s="1489">
        <v>281</v>
      </c>
      <c r="O128" s="1489">
        <v>281</v>
      </c>
      <c r="P128" s="1489">
        <v>280945</v>
      </c>
    </row>
    <row r="129" spans="1:16" s="1488" customFormat="1" ht="21.75">
      <c r="A129" s="1394" t="s">
        <v>1936</v>
      </c>
      <c r="B129" s="1394" t="s">
        <v>1912</v>
      </c>
      <c r="C129" s="1489">
        <v>58</v>
      </c>
      <c r="D129" s="1489">
        <v>58</v>
      </c>
      <c r="E129" s="1489">
        <v>58</v>
      </c>
      <c r="F129" s="1489">
        <v>58</v>
      </c>
      <c r="G129" s="1489">
        <v>58</v>
      </c>
      <c r="H129" s="1489">
        <v>58</v>
      </c>
      <c r="I129" s="1489">
        <v>58</v>
      </c>
      <c r="J129" s="1490">
        <v>58</v>
      </c>
      <c r="K129" s="1489">
        <v>58</v>
      </c>
      <c r="L129" s="1489">
        <v>58</v>
      </c>
      <c r="M129" s="1489">
        <v>58</v>
      </c>
      <c r="N129" s="1489">
        <v>58</v>
      </c>
      <c r="O129" s="1489">
        <v>58</v>
      </c>
      <c r="P129" s="1489">
        <v>57541</v>
      </c>
    </row>
    <row r="130" spans="1:16" s="1488" customFormat="1" ht="21.75">
      <c r="A130" s="1394" t="s">
        <v>1937</v>
      </c>
      <c r="B130" s="1394" t="s">
        <v>1912</v>
      </c>
      <c r="C130" s="1489">
        <v>48</v>
      </c>
      <c r="D130" s="1489">
        <v>48</v>
      </c>
      <c r="E130" s="1489">
        <v>48</v>
      </c>
      <c r="F130" s="1489">
        <v>48</v>
      </c>
      <c r="G130" s="1489">
        <v>48</v>
      </c>
      <c r="H130" s="1489">
        <v>48</v>
      </c>
      <c r="I130" s="1489">
        <v>48</v>
      </c>
      <c r="J130" s="1490">
        <v>48</v>
      </c>
      <c r="K130" s="1489">
        <v>48</v>
      </c>
      <c r="L130" s="1489">
        <v>48</v>
      </c>
      <c r="M130" s="1489">
        <v>48</v>
      </c>
      <c r="N130" s="1489">
        <v>48</v>
      </c>
      <c r="O130" s="1489">
        <v>48</v>
      </c>
      <c r="P130" s="1489">
        <v>48068</v>
      </c>
    </row>
    <row r="131" spans="1:16" s="1488" customFormat="1" ht="21.75">
      <c r="A131" s="1394" t="s">
        <v>1938</v>
      </c>
      <c r="B131" s="1394" t="s">
        <v>1912</v>
      </c>
      <c r="C131" s="1489">
        <v>70</v>
      </c>
      <c r="D131" s="1489">
        <v>70</v>
      </c>
      <c r="E131" s="1489">
        <v>70</v>
      </c>
      <c r="F131" s="1489">
        <v>70</v>
      </c>
      <c r="G131" s="1489">
        <v>70</v>
      </c>
      <c r="H131" s="1489">
        <v>70</v>
      </c>
      <c r="I131" s="1489">
        <v>70</v>
      </c>
      <c r="J131" s="1490">
        <v>70</v>
      </c>
      <c r="K131" s="1489">
        <v>70</v>
      </c>
      <c r="L131" s="1489">
        <v>70</v>
      </c>
      <c r="M131" s="1489">
        <v>70</v>
      </c>
      <c r="N131" s="1489">
        <v>70</v>
      </c>
      <c r="O131" s="1489">
        <v>70</v>
      </c>
      <c r="P131" s="1489">
        <v>69939</v>
      </c>
    </row>
    <row r="132" spans="1:16" s="1488" customFormat="1" ht="21.75">
      <c r="A132" s="1394" t="s">
        <v>1939</v>
      </c>
      <c r="B132" s="1394" t="s">
        <v>1912</v>
      </c>
      <c r="C132" s="1489">
        <v>7</v>
      </c>
      <c r="D132" s="1489">
        <v>7</v>
      </c>
      <c r="E132" s="1489">
        <v>7</v>
      </c>
      <c r="F132" s="1489">
        <v>7</v>
      </c>
      <c r="G132" s="1489">
        <v>7</v>
      </c>
      <c r="H132" s="1489">
        <v>7</v>
      </c>
      <c r="I132" s="1489">
        <v>7</v>
      </c>
      <c r="J132" s="1490">
        <v>7</v>
      </c>
      <c r="K132" s="1489">
        <v>7</v>
      </c>
      <c r="L132" s="1489">
        <v>7</v>
      </c>
      <c r="M132" s="1489">
        <v>7</v>
      </c>
      <c r="N132" s="1489">
        <v>7</v>
      </c>
      <c r="O132" s="1489">
        <v>7</v>
      </c>
      <c r="P132" s="1489">
        <v>6786</v>
      </c>
    </row>
    <row r="133" spans="1:16" s="1488" customFormat="1" ht="21.75">
      <c r="A133" s="1394" t="s">
        <v>1940</v>
      </c>
      <c r="B133" s="1394" t="s">
        <v>1912</v>
      </c>
      <c r="C133" s="1489">
        <v>1</v>
      </c>
      <c r="D133" s="1489">
        <v>1</v>
      </c>
      <c r="E133" s="1489">
        <v>1</v>
      </c>
      <c r="F133" s="1489">
        <v>1</v>
      </c>
      <c r="G133" s="1489">
        <v>1</v>
      </c>
      <c r="H133" s="1489">
        <v>1</v>
      </c>
      <c r="I133" s="1489">
        <v>1</v>
      </c>
      <c r="J133" s="1490">
        <v>1</v>
      </c>
      <c r="K133" s="1489">
        <v>1</v>
      </c>
      <c r="L133" s="1489">
        <v>1</v>
      </c>
      <c r="M133" s="1489">
        <v>1</v>
      </c>
      <c r="N133" s="1489">
        <v>1</v>
      </c>
      <c r="O133" s="1489">
        <v>1</v>
      </c>
      <c r="P133" s="1489">
        <v>1264</v>
      </c>
    </row>
    <row r="134" spans="1:16" s="1488" customFormat="1" ht="21.75">
      <c r="A134" s="1394" t="s">
        <v>1941</v>
      </c>
      <c r="B134" s="1394" t="s">
        <v>1912</v>
      </c>
      <c r="C134" s="1489">
        <v>15</v>
      </c>
      <c r="D134" s="1489">
        <v>15</v>
      </c>
      <c r="E134" s="1489">
        <v>15</v>
      </c>
      <c r="F134" s="1489">
        <v>15</v>
      </c>
      <c r="G134" s="1489">
        <v>15</v>
      </c>
      <c r="H134" s="1489">
        <v>15</v>
      </c>
      <c r="I134" s="1489">
        <v>15</v>
      </c>
      <c r="J134" s="1490">
        <v>15</v>
      </c>
      <c r="K134" s="1489">
        <v>15</v>
      </c>
      <c r="L134" s="1489">
        <v>15</v>
      </c>
      <c r="M134" s="1489">
        <v>15</v>
      </c>
      <c r="N134" s="1489">
        <v>15</v>
      </c>
      <c r="O134" s="1489">
        <v>15</v>
      </c>
      <c r="P134" s="1489">
        <v>14723</v>
      </c>
    </row>
    <row r="135" spans="1:16" s="1488" customFormat="1" ht="21.75">
      <c r="A135" s="1394" t="s">
        <v>1942</v>
      </c>
      <c r="B135" s="1394" t="s">
        <v>1912</v>
      </c>
      <c r="C135" s="1489">
        <v>61</v>
      </c>
      <c r="D135" s="1489">
        <v>61</v>
      </c>
      <c r="E135" s="1489">
        <v>61</v>
      </c>
      <c r="F135" s="1489">
        <v>61</v>
      </c>
      <c r="G135" s="1489">
        <v>61</v>
      </c>
      <c r="H135" s="1489">
        <v>61</v>
      </c>
      <c r="I135" s="1489">
        <v>61</v>
      </c>
      <c r="J135" s="1490">
        <v>61</v>
      </c>
      <c r="K135" s="1489">
        <v>61</v>
      </c>
      <c r="L135" s="1489">
        <v>61</v>
      </c>
      <c r="M135" s="1489">
        <v>61</v>
      </c>
      <c r="N135" s="1489">
        <v>61</v>
      </c>
      <c r="O135" s="1489">
        <v>61</v>
      </c>
      <c r="P135" s="1489">
        <v>61000</v>
      </c>
    </row>
    <row r="136" spans="1:16" s="1488" customFormat="1" ht="21.75">
      <c r="A136" s="1394" t="s">
        <v>1943</v>
      </c>
      <c r="B136" s="1394" t="s">
        <v>1912</v>
      </c>
      <c r="C136" s="1489">
        <v>37</v>
      </c>
      <c r="D136" s="1489">
        <v>37</v>
      </c>
      <c r="E136" s="1489">
        <v>37</v>
      </c>
      <c r="F136" s="1489">
        <v>37</v>
      </c>
      <c r="G136" s="1489">
        <v>37</v>
      </c>
      <c r="H136" s="1489">
        <v>37</v>
      </c>
      <c r="I136" s="1489">
        <v>37</v>
      </c>
      <c r="J136" s="1490">
        <v>37</v>
      </c>
      <c r="K136" s="1489">
        <v>37</v>
      </c>
      <c r="L136" s="1489">
        <v>37</v>
      </c>
      <c r="M136" s="1489">
        <v>37</v>
      </c>
      <c r="N136" s="1489">
        <v>37</v>
      </c>
      <c r="O136" s="1489">
        <v>37</v>
      </c>
      <c r="P136" s="1489">
        <v>36796</v>
      </c>
    </row>
    <row r="137" spans="1:16" s="1488" customFormat="1" ht="21.75">
      <c r="A137" s="1394" t="s">
        <v>1944</v>
      </c>
      <c r="B137" s="1394" t="s">
        <v>1912</v>
      </c>
      <c r="C137" s="1489">
        <v>54</v>
      </c>
      <c r="D137" s="1489">
        <v>54</v>
      </c>
      <c r="E137" s="1489">
        <v>54</v>
      </c>
      <c r="F137" s="1489">
        <v>54</v>
      </c>
      <c r="G137" s="1489">
        <v>54</v>
      </c>
      <c r="H137" s="1489">
        <v>54</v>
      </c>
      <c r="I137" s="1489">
        <v>54</v>
      </c>
      <c r="J137" s="1490">
        <v>54</v>
      </c>
      <c r="K137" s="1489">
        <v>54</v>
      </c>
      <c r="L137" s="1489">
        <v>54</v>
      </c>
      <c r="M137" s="1489">
        <v>54</v>
      </c>
      <c r="N137" s="1489">
        <v>54</v>
      </c>
      <c r="O137" s="1489">
        <v>54</v>
      </c>
      <c r="P137" s="1489">
        <v>53907</v>
      </c>
    </row>
    <row r="138" spans="1:16" s="1488" customFormat="1" ht="21.75">
      <c r="A138" s="1394" t="s">
        <v>1945</v>
      </c>
      <c r="B138" s="1394" t="s">
        <v>1912</v>
      </c>
      <c r="C138" s="1489">
        <v>2</v>
      </c>
      <c r="D138" s="1489">
        <v>2</v>
      </c>
      <c r="E138" s="1489">
        <v>2</v>
      </c>
      <c r="F138" s="1489">
        <v>2</v>
      </c>
      <c r="G138" s="1489">
        <v>2</v>
      </c>
      <c r="H138" s="1489">
        <v>2</v>
      </c>
      <c r="I138" s="1489">
        <v>2</v>
      </c>
      <c r="J138" s="1490">
        <v>2</v>
      </c>
      <c r="K138" s="1489">
        <v>2</v>
      </c>
      <c r="L138" s="1489">
        <v>2</v>
      </c>
      <c r="M138" s="1489">
        <v>2</v>
      </c>
      <c r="N138" s="1489">
        <v>2</v>
      </c>
      <c r="O138" s="1489">
        <v>2</v>
      </c>
      <c r="P138" s="1489">
        <v>2080</v>
      </c>
    </row>
    <row r="139" spans="1:16" s="1488" customFormat="1" ht="21.75">
      <c r="A139" s="1394" t="s">
        <v>1946</v>
      </c>
      <c r="B139" s="1394" t="s">
        <v>1912</v>
      </c>
      <c r="C139" s="1489">
        <v>233</v>
      </c>
      <c r="D139" s="1489">
        <v>233</v>
      </c>
      <c r="E139" s="1489">
        <v>233</v>
      </c>
      <c r="F139" s="1489">
        <v>233</v>
      </c>
      <c r="G139" s="1489">
        <v>233</v>
      </c>
      <c r="H139" s="1489">
        <v>233</v>
      </c>
      <c r="I139" s="1489">
        <v>233</v>
      </c>
      <c r="J139" s="1490">
        <v>233</v>
      </c>
      <c r="K139" s="1489">
        <v>233</v>
      </c>
      <c r="L139" s="1489">
        <v>233</v>
      </c>
      <c r="M139" s="1489">
        <v>233</v>
      </c>
      <c r="N139" s="1489">
        <v>233</v>
      </c>
      <c r="O139" s="1489">
        <v>233</v>
      </c>
      <c r="P139" s="1489">
        <v>232977</v>
      </c>
    </row>
    <row r="140" spans="1:16" s="1488" customFormat="1" ht="21.75">
      <c r="A140" s="1394" t="s">
        <v>1947</v>
      </c>
      <c r="B140" s="1394" t="s">
        <v>1912</v>
      </c>
      <c r="C140" s="1489">
        <v>0</v>
      </c>
      <c r="D140" s="1489">
        <v>0</v>
      </c>
      <c r="E140" s="1489">
        <v>0</v>
      </c>
      <c r="F140" s="1489">
        <v>0</v>
      </c>
      <c r="G140" s="1489">
        <v>0</v>
      </c>
      <c r="H140" s="1489">
        <v>0</v>
      </c>
      <c r="I140" s="1489">
        <v>0</v>
      </c>
      <c r="J140" s="1490">
        <v>0</v>
      </c>
      <c r="K140" s="1489">
        <v>0</v>
      </c>
      <c r="L140" s="1489">
        <v>0</v>
      </c>
      <c r="M140" s="1489">
        <v>0</v>
      </c>
      <c r="N140" s="1489">
        <v>0</v>
      </c>
      <c r="O140" s="1489">
        <v>0</v>
      </c>
      <c r="P140" s="1489">
        <v>0</v>
      </c>
    </row>
    <row r="141" spans="1:16" s="1488" customFormat="1" ht="21.75">
      <c r="A141" s="1394" t="s">
        <v>1948</v>
      </c>
      <c r="B141" s="1394" t="s">
        <v>1912</v>
      </c>
      <c r="C141" s="1489">
        <v>5036</v>
      </c>
      <c r="D141" s="1489">
        <v>5036</v>
      </c>
      <c r="E141" s="1489">
        <v>4991</v>
      </c>
      <c r="F141" s="1489">
        <v>5141</v>
      </c>
      <c r="G141" s="1489">
        <v>5141</v>
      </c>
      <c r="H141" s="1489">
        <v>5263</v>
      </c>
      <c r="I141" s="1489">
        <v>5263</v>
      </c>
      <c r="J141" s="1490">
        <v>5263</v>
      </c>
      <c r="K141" s="1489">
        <v>5263</v>
      </c>
      <c r="L141" s="1489">
        <v>5263</v>
      </c>
      <c r="M141" s="1489">
        <v>5298</v>
      </c>
      <c r="N141" s="1489">
        <v>5402</v>
      </c>
      <c r="O141" s="1489">
        <v>5416</v>
      </c>
      <c r="P141" s="1489">
        <v>5212462</v>
      </c>
    </row>
    <row r="142" spans="1:16" s="1488" customFormat="1" ht="21.75">
      <c r="A142" s="1394" t="s">
        <v>1949</v>
      </c>
      <c r="B142" s="1394" t="s">
        <v>1912</v>
      </c>
      <c r="C142" s="1489">
        <v>32</v>
      </c>
      <c r="D142" s="1489">
        <v>32</v>
      </c>
      <c r="E142" s="1489">
        <v>32</v>
      </c>
      <c r="F142" s="1489">
        <v>32</v>
      </c>
      <c r="G142" s="1489">
        <v>32</v>
      </c>
      <c r="H142" s="1489">
        <v>32</v>
      </c>
      <c r="I142" s="1489">
        <v>32</v>
      </c>
      <c r="J142" s="1490">
        <v>32</v>
      </c>
      <c r="K142" s="1489">
        <v>32</v>
      </c>
      <c r="L142" s="1489">
        <v>32</v>
      </c>
      <c r="M142" s="1489">
        <v>32</v>
      </c>
      <c r="N142" s="1489">
        <v>32</v>
      </c>
      <c r="O142" s="1489">
        <v>32</v>
      </c>
      <c r="P142" s="1489">
        <v>31730</v>
      </c>
    </row>
    <row r="143" spans="1:16" s="1488" customFormat="1" ht="21.75">
      <c r="A143" s="1394" t="s">
        <v>1950</v>
      </c>
      <c r="B143" s="1394" t="s">
        <v>1912</v>
      </c>
      <c r="C143" s="1489">
        <v>14</v>
      </c>
      <c r="D143" s="1489">
        <v>14</v>
      </c>
      <c r="E143" s="1489">
        <v>14</v>
      </c>
      <c r="F143" s="1489">
        <v>14</v>
      </c>
      <c r="G143" s="1489">
        <v>14</v>
      </c>
      <c r="H143" s="1489">
        <v>14</v>
      </c>
      <c r="I143" s="1489">
        <v>14</v>
      </c>
      <c r="J143" s="1490">
        <v>14</v>
      </c>
      <c r="K143" s="1489">
        <v>14</v>
      </c>
      <c r="L143" s="1489">
        <v>14</v>
      </c>
      <c r="M143" s="1489">
        <v>14</v>
      </c>
      <c r="N143" s="1489">
        <v>14</v>
      </c>
      <c r="O143" s="1489">
        <v>14</v>
      </c>
      <c r="P143" s="1489">
        <v>14175</v>
      </c>
    </row>
    <row r="144" spans="1:16" s="1488" customFormat="1" ht="21.75">
      <c r="A144" s="1394" t="s">
        <v>1951</v>
      </c>
      <c r="B144" s="1394" t="s">
        <v>1912</v>
      </c>
      <c r="C144" s="1489">
        <v>14</v>
      </c>
      <c r="D144" s="1489">
        <v>14</v>
      </c>
      <c r="E144" s="1489">
        <v>14</v>
      </c>
      <c r="F144" s="1489">
        <v>14</v>
      </c>
      <c r="G144" s="1489">
        <v>14</v>
      </c>
      <c r="H144" s="1489">
        <v>14</v>
      </c>
      <c r="I144" s="1489">
        <v>14</v>
      </c>
      <c r="J144" s="1490">
        <v>14</v>
      </c>
      <c r="K144" s="1489">
        <v>14</v>
      </c>
      <c r="L144" s="1489">
        <v>14</v>
      </c>
      <c r="M144" s="1489">
        <v>14</v>
      </c>
      <c r="N144" s="1489">
        <v>14</v>
      </c>
      <c r="O144" s="1489">
        <v>14</v>
      </c>
      <c r="P144" s="1489">
        <v>14175</v>
      </c>
    </row>
    <row r="145" spans="1:16" s="1488" customFormat="1" ht="21.75">
      <c r="A145" s="1394" t="s">
        <v>1952</v>
      </c>
      <c r="B145" s="1394" t="s">
        <v>1912</v>
      </c>
      <c r="C145" s="1489">
        <v>4</v>
      </c>
      <c r="D145" s="1489">
        <v>4</v>
      </c>
      <c r="E145" s="1489">
        <v>4</v>
      </c>
      <c r="F145" s="1489">
        <v>4</v>
      </c>
      <c r="G145" s="1489">
        <v>4</v>
      </c>
      <c r="H145" s="1489">
        <v>4</v>
      </c>
      <c r="I145" s="1489">
        <v>4</v>
      </c>
      <c r="J145" s="1490">
        <v>4</v>
      </c>
      <c r="K145" s="1489">
        <v>4</v>
      </c>
      <c r="L145" s="1489">
        <v>4</v>
      </c>
      <c r="M145" s="1489">
        <v>4</v>
      </c>
      <c r="N145" s="1489">
        <v>4</v>
      </c>
      <c r="O145" s="1489">
        <v>4</v>
      </c>
      <c r="P145" s="1489">
        <v>4052</v>
      </c>
    </row>
    <row r="146" spans="1:16" s="1488" customFormat="1" ht="21.75">
      <c r="A146" s="1394" t="s">
        <v>1953</v>
      </c>
      <c r="B146" s="1394" t="s">
        <v>1912</v>
      </c>
      <c r="C146" s="1489">
        <v>2136</v>
      </c>
      <c r="D146" s="1489">
        <v>2136</v>
      </c>
      <c r="E146" s="1489">
        <v>2234</v>
      </c>
      <c r="F146" s="1489">
        <v>2234</v>
      </c>
      <c r="G146" s="1489">
        <v>2234</v>
      </c>
      <c r="H146" s="1489">
        <v>2234</v>
      </c>
      <c r="I146" s="1489">
        <v>2234</v>
      </c>
      <c r="J146" s="1490">
        <v>2234</v>
      </c>
      <c r="K146" s="1489">
        <v>2234</v>
      </c>
      <c r="L146" s="1489">
        <v>2234</v>
      </c>
      <c r="M146" s="1489">
        <v>2234</v>
      </c>
      <c r="N146" s="1489">
        <v>2397</v>
      </c>
      <c r="O146" s="1489">
        <v>2397</v>
      </c>
      <c r="P146" s="1489">
        <v>2241949</v>
      </c>
    </row>
    <row r="147" spans="1:16" s="1488" customFormat="1" ht="21.75">
      <c r="A147" s="1394" t="s">
        <v>1954</v>
      </c>
      <c r="B147" s="1394" t="s">
        <v>1912</v>
      </c>
      <c r="C147" s="1489">
        <v>0</v>
      </c>
      <c r="D147" s="1489">
        <v>0</v>
      </c>
      <c r="E147" s="1489">
        <v>0</v>
      </c>
      <c r="F147" s="1489">
        <v>0</v>
      </c>
      <c r="G147" s="1489">
        <v>0</v>
      </c>
      <c r="H147" s="1489">
        <v>0</v>
      </c>
      <c r="I147" s="1489">
        <v>0</v>
      </c>
      <c r="J147" s="1490">
        <v>0</v>
      </c>
      <c r="K147" s="1489">
        <v>0</v>
      </c>
      <c r="L147" s="1489">
        <v>0</v>
      </c>
      <c r="M147" s="1489">
        <v>0</v>
      </c>
      <c r="N147" s="1489">
        <v>0</v>
      </c>
      <c r="O147" s="1489">
        <v>0</v>
      </c>
      <c r="P147" s="1489">
        <v>0</v>
      </c>
    </row>
    <row r="148" spans="1:16" s="1488" customFormat="1" ht="21.75">
      <c r="A148" s="1394" t="s">
        <v>1955</v>
      </c>
      <c r="B148" s="1394" t="s">
        <v>1912</v>
      </c>
      <c r="C148" s="1489">
        <v>0</v>
      </c>
      <c r="D148" s="1489">
        <v>0</v>
      </c>
      <c r="E148" s="1489">
        <v>0</v>
      </c>
      <c r="F148" s="1489">
        <v>0</v>
      </c>
      <c r="G148" s="1489">
        <v>0</v>
      </c>
      <c r="H148" s="1489">
        <v>0</v>
      </c>
      <c r="I148" s="1489">
        <v>0</v>
      </c>
      <c r="J148" s="1490">
        <v>0</v>
      </c>
      <c r="K148" s="1489">
        <v>0</v>
      </c>
      <c r="L148" s="1489">
        <v>0</v>
      </c>
      <c r="M148" s="1489">
        <v>0</v>
      </c>
      <c r="N148" s="1489">
        <v>0</v>
      </c>
      <c r="O148" s="1489">
        <v>0</v>
      </c>
      <c r="P148" s="1489">
        <v>0</v>
      </c>
    </row>
    <row r="149" spans="1:16" s="1488" customFormat="1" ht="21.75">
      <c r="A149" s="1394" t="s">
        <v>1956</v>
      </c>
      <c r="B149" s="1394" t="s">
        <v>1912</v>
      </c>
      <c r="C149" s="1489">
        <v>3764</v>
      </c>
      <c r="D149" s="1489">
        <v>3764</v>
      </c>
      <c r="E149" s="1489">
        <v>3764</v>
      </c>
      <c r="F149" s="1489">
        <v>3764</v>
      </c>
      <c r="G149" s="1489">
        <v>3764</v>
      </c>
      <c r="H149" s="1489">
        <v>3764</v>
      </c>
      <c r="I149" s="1489">
        <v>3764</v>
      </c>
      <c r="J149" s="1490">
        <v>3764</v>
      </c>
      <c r="K149" s="1489">
        <v>3764</v>
      </c>
      <c r="L149" s="1489">
        <v>3764</v>
      </c>
      <c r="M149" s="1489">
        <v>3768</v>
      </c>
      <c r="N149" s="1489">
        <v>3768</v>
      </c>
      <c r="O149" s="1489">
        <v>3768</v>
      </c>
      <c r="P149" s="1489">
        <v>3764877</v>
      </c>
    </row>
    <row r="150" spans="1:16" s="1488" customFormat="1" ht="21.75">
      <c r="A150" s="1394" t="s">
        <v>1957</v>
      </c>
      <c r="B150" s="1394" t="s">
        <v>1912</v>
      </c>
      <c r="C150" s="1489">
        <v>1426</v>
      </c>
      <c r="D150" s="1489">
        <v>1426</v>
      </c>
      <c r="E150" s="1489">
        <v>1426</v>
      </c>
      <c r="F150" s="1489">
        <v>1426</v>
      </c>
      <c r="G150" s="1489">
        <v>1426</v>
      </c>
      <c r="H150" s="1489">
        <v>1426</v>
      </c>
      <c r="I150" s="1489">
        <v>1426</v>
      </c>
      <c r="J150" s="1490">
        <v>1426</v>
      </c>
      <c r="K150" s="1489">
        <v>1426</v>
      </c>
      <c r="L150" s="1489">
        <v>1426</v>
      </c>
      <c r="M150" s="1489">
        <v>1426</v>
      </c>
      <c r="N150" s="1489">
        <v>1426</v>
      </c>
      <c r="O150" s="1489">
        <v>1426</v>
      </c>
      <c r="P150" s="1489">
        <v>1425580</v>
      </c>
    </row>
    <row r="151" spans="1:16" s="1488" customFormat="1" ht="21.75">
      <c r="A151" s="1394" t="s">
        <v>1958</v>
      </c>
      <c r="B151" s="1394" t="s">
        <v>1912</v>
      </c>
      <c r="C151" s="1489">
        <v>678</v>
      </c>
      <c r="D151" s="1489">
        <v>678</v>
      </c>
      <c r="E151" s="1489">
        <v>678</v>
      </c>
      <c r="F151" s="1489">
        <v>678</v>
      </c>
      <c r="G151" s="1489">
        <v>678</v>
      </c>
      <c r="H151" s="1489">
        <v>678</v>
      </c>
      <c r="I151" s="1489">
        <v>678</v>
      </c>
      <c r="J151" s="1490">
        <v>678</v>
      </c>
      <c r="K151" s="1489">
        <v>678</v>
      </c>
      <c r="L151" s="1489">
        <v>678</v>
      </c>
      <c r="M151" s="1489">
        <v>678</v>
      </c>
      <c r="N151" s="1489">
        <v>678</v>
      </c>
      <c r="O151" s="1489">
        <v>678</v>
      </c>
      <c r="P151" s="1489">
        <v>677601</v>
      </c>
    </row>
    <row r="152" spans="1:16" s="1488" customFormat="1" ht="21.75">
      <c r="A152" s="1394" t="s">
        <v>1959</v>
      </c>
      <c r="B152" s="1394" t="s">
        <v>1912</v>
      </c>
      <c r="C152" s="1489">
        <v>565</v>
      </c>
      <c r="D152" s="1489">
        <v>565</v>
      </c>
      <c r="E152" s="1489">
        <v>565</v>
      </c>
      <c r="F152" s="1489">
        <v>565</v>
      </c>
      <c r="G152" s="1489">
        <v>565</v>
      </c>
      <c r="H152" s="1489">
        <v>679</v>
      </c>
      <c r="I152" s="1489">
        <v>679</v>
      </c>
      <c r="J152" s="1490">
        <v>679</v>
      </c>
      <c r="K152" s="1489">
        <v>679</v>
      </c>
      <c r="L152" s="1489">
        <v>679</v>
      </c>
      <c r="M152" s="1489">
        <v>679</v>
      </c>
      <c r="N152" s="1489">
        <v>679</v>
      </c>
      <c r="O152" s="1489">
        <v>679</v>
      </c>
      <c r="P152" s="1489">
        <v>636515</v>
      </c>
    </row>
    <row r="153" spans="1:16" s="1488" customFormat="1" ht="21.75">
      <c r="A153" s="1394" t="s">
        <v>1960</v>
      </c>
      <c r="B153" s="1394" t="s">
        <v>1912</v>
      </c>
      <c r="C153" s="1489">
        <v>2154</v>
      </c>
      <c r="D153" s="1489">
        <v>2154</v>
      </c>
      <c r="E153" s="1489">
        <v>2154</v>
      </c>
      <c r="F153" s="1489">
        <v>2155</v>
      </c>
      <c r="G153" s="1489">
        <v>2155</v>
      </c>
      <c r="H153" s="1489">
        <v>2155</v>
      </c>
      <c r="I153" s="1489">
        <v>2155</v>
      </c>
      <c r="J153" s="1490">
        <v>2155</v>
      </c>
      <c r="K153" s="1489">
        <v>2155</v>
      </c>
      <c r="L153" s="1489">
        <v>2158</v>
      </c>
      <c r="M153" s="1489">
        <v>2158</v>
      </c>
      <c r="N153" s="1489">
        <v>2158</v>
      </c>
      <c r="O153" s="1489">
        <v>2724</v>
      </c>
      <c r="P153" s="1489">
        <v>2179147</v>
      </c>
    </row>
    <row r="154" spans="1:16" s="1488" customFormat="1" ht="21.75">
      <c r="A154" s="1394" t="s">
        <v>1961</v>
      </c>
      <c r="B154" s="1394" t="s">
        <v>1912</v>
      </c>
      <c r="C154" s="1489">
        <v>533</v>
      </c>
      <c r="D154" s="1489">
        <v>533</v>
      </c>
      <c r="E154" s="1489">
        <v>533</v>
      </c>
      <c r="F154" s="1489">
        <v>533</v>
      </c>
      <c r="G154" s="1489">
        <v>533</v>
      </c>
      <c r="H154" s="1489">
        <v>533</v>
      </c>
      <c r="I154" s="1489">
        <v>533</v>
      </c>
      <c r="J154" s="1490">
        <v>533</v>
      </c>
      <c r="K154" s="1489">
        <v>533</v>
      </c>
      <c r="L154" s="1489">
        <v>533</v>
      </c>
      <c r="M154" s="1489">
        <v>533</v>
      </c>
      <c r="N154" s="1489">
        <v>533</v>
      </c>
      <c r="O154" s="1489">
        <v>533</v>
      </c>
      <c r="P154" s="1489">
        <v>532770</v>
      </c>
    </row>
    <row r="155" spans="1:16" s="1488" customFormat="1" ht="21.75">
      <c r="A155" s="1394" t="s">
        <v>1962</v>
      </c>
      <c r="B155" s="1394" t="s">
        <v>1912</v>
      </c>
      <c r="C155" s="1489">
        <v>851</v>
      </c>
      <c r="D155" s="1489">
        <v>851</v>
      </c>
      <c r="E155" s="1489">
        <v>851</v>
      </c>
      <c r="F155" s="1489">
        <v>851</v>
      </c>
      <c r="G155" s="1489">
        <v>851</v>
      </c>
      <c r="H155" s="1489">
        <v>851</v>
      </c>
      <c r="I155" s="1489">
        <v>851</v>
      </c>
      <c r="J155" s="1490">
        <v>851</v>
      </c>
      <c r="K155" s="1489">
        <v>851</v>
      </c>
      <c r="L155" s="1489">
        <v>851</v>
      </c>
      <c r="M155" s="1489">
        <v>851</v>
      </c>
      <c r="N155" s="1489">
        <v>851</v>
      </c>
      <c r="O155" s="1489">
        <v>851</v>
      </c>
      <c r="P155" s="1489">
        <v>851411</v>
      </c>
    </row>
    <row r="156" spans="1:16" s="1488" customFormat="1" ht="21.75">
      <c r="A156" s="1394" t="s">
        <v>1963</v>
      </c>
      <c r="B156" s="1394" t="s">
        <v>1912</v>
      </c>
      <c r="C156" s="1489">
        <v>1645</v>
      </c>
      <c r="D156" s="1489">
        <v>1672</v>
      </c>
      <c r="E156" s="1489">
        <v>1672</v>
      </c>
      <c r="F156" s="1489">
        <v>1673</v>
      </c>
      <c r="G156" s="1489">
        <v>1673</v>
      </c>
      <c r="H156" s="1489">
        <v>1802</v>
      </c>
      <c r="I156" s="1489">
        <v>1803</v>
      </c>
      <c r="J156" s="1490">
        <v>1803</v>
      </c>
      <c r="K156" s="1489">
        <v>1813</v>
      </c>
      <c r="L156" s="1489">
        <v>1813</v>
      </c>
      <c r="M156" s="1489">
        <v>1845</v>
      </c>
      <c r="N156" s="1489">
        <v>1844</v>
      </c>
      <c r="O156" s="1489">
        <v>1844</v>
      </c>
      <c r="P156" s="1489">
        <v>1763070</v>
      </c>
    </row>
    <row r="157" spans="1:16" s="1488" customFormat="1" ht="21.75">
      <c r="A157" s="1394" t="s">
        <v>1964</v>
      </c>
      <c r="B157" s="1394" t="s">
        <v>1912</v>
      </c>
      <c r="C157" s="1489">
        <v>289</v>
      </c>
      <c r="D157" s="1489">
        <v>289</v>
      </c>
      <c r="E157" s="1489">
        <v>289</v>
      </c>
      <c r="F157" s="1489">
        <v>289</v>
      </c>
      <c r="G157" s="1489">
        <v>289</v>
      </c>
      <c r="H157" s="1489">
        <v>289</v>
      </c>
      <c r="I157" s="1489">
        <v>289</v>
      </c>
      <c r="J157" s="1490">
        <v>289</v>
      </c>
      <c r="K157" s="1489">
        <v>289</v>
      </c>
      <c r="L157" s="1489">
        <v>289</v>
      </c>
      <c r="M157" s="1489">
        <v>289</v>
      </c>
      <c r="N157" s="1489">
        <v>289</v>
      </c>
      <c r="O157" s="1489">
        <v>289</v>
      </c>
      <c r="P157" s="1489">
        <v>289355</v>
      </c>
    </row>
    <row r="158" spans="1:16" s="1488" customFormat="1" ht="21.75">
      <c r="A158" s="1394" t="s">
        <v>1965</v>
      </c>
      <c r="B158" s="1394" t="s">
        <v>1912</v>
      </c>
      <c r="C158" s="1489">
        <v>383</v>
      </c>
      <c r="D158" s="1489">
        <v>383</v>
      </c>
      <c r="E158" s="1489">
        <v>383</v>
      </c>
      <c r="F158" s="1489">
        <v>383</v>
      </c>
      <c r="G158" s="1489">
        <v>383</v>
      </c>
      <c r="H158" s="1489">
        <v>383</v>
      </c>
      <c r="I158" s="1489">
        <v>383</v>
      </c>
      <c r="J158" s="1490">
        <v>383</v>
      </c>
      <c r="K158" s="1489">
        <v>383</v>
      </c>
      <c r="L158" s="1489">
        <v>383</v>
      </c>
      <c r="M158" s="1489">
        <v>383</v>
      </c>
      <c r="N158" s="1489">
        <v>383</v>
      </c>
      <c r="O158" s="1489">
        <v>385</v>
      </c>
      <c r="P158" s="1489">
        <v>382855</v>
      </c>
    </row>
    <row r="159" spans="1:16" s="1488" customFormat="1" ht="21.75">
      <c r="A159" s="1394" t="s">
        <v>1966</v>
      </c>
      <c r="B159" s="1394" t="s">
        <v>1912</v>
      </c>
      <c r="C159" s="1489">
        <v>258</v>
      </c>
      <c r="D159" s="1489">
        <v>258</v>
      </c>
      <c r="E159" s="1489">
        <v>258</v>
      </c>
      <c r="F159" s="1489">
        <v>258</v>
      </c>
      <c r="G159" s="1489">
        <v>258</v>
      </c>
      <c r="H159" s="1489">
        <v>258</v>
      </c>
      <c r="I159" s="1489">
        <v>258</v>
      </c>
      <c r="J159" s="1490">
        <v>258</v>
      </c>
      <c r="K159" s="1489">
        <v>258</v>
      </c>
      <c r="L159" s="1489">
        <v>258</v>
      </c>
      <c r="M159" s="1489">
        <v>258</v>
      </c>
      <c r="N159" s="1489">
        <v>258</v>
      </c>
      <c r="O159" s="1489">
        <v>261</v>
      </c>
      <c r="P159" s="1489">
        <v>257851</v>
      </c>
    </row>
    <row r="160" spans="1:16" s="1488" customFormat="1" ht="21.75">
      <c r="A160" s="1394" t="s">
        <v>1967</v>
      </c>
      <c r="B160" s="1394" t="s">
        <v>1912</v>
      </c>
      <c r="C160" s="1489">
        <v>465</v>
      </c>
      <c r="D160" s="1489">
        <v>465</v>
      </c>
      <c r="E160" s="1489">
        <v>465</v>
      </c>
      <c r="F160" s="1489">
        <v>465</v>
      </c>
      <c r="G160" s="1489">
        <v>465</v>
      </c>
      <c r="H160" s="1489">
        <v>465</v>
      </c>
      <c r="I160" s="1489">
        <v>465</v>
      </c>
      <c r="J160" s="1490">
        <v>465</v>
      </c>
      <c r="K160" s="1489">
        <v>465</v>
      </c>
      <c r="L160" s="1489">
        <v>465</v>
      </c>
      <c r="M160" s="1489">
        <v>465</v>
      </c>
      <c r="N160" s="1489">
        <v>465</v>
      </c>
      <c r="O160" s="1489">
        <v>465</v>
      </c>
      <c r="P160" s="1489">
        <v>465179</v>
      </c>
    </row>
    <row r="161" spans="1:16" s="1488" customFormat="1" ht="21.75">
      <c r="A161" s="1394" t="s">
        <v>1968</v>
      </c>
      <c r="B161" s="1394" t="s">
        <v>1912</v>
      </c>
      <c r="C161" s="1489">
        <v>213</v>
      </c>
      <c r="D161" s="1489">
        <v>213</v>
      </c>
      <c r="E161" s="1489">
        <v>213</v>
      </c>
      <c r="F161" s="1489">
        <v>213</v>
      </c>
      <c r="G161" s="1489">
        <v>213</v>
      </c>
      <c r="H161" s="1489">
        <v>213</v>
      </c>
      <c r="I161" s="1489">
        <v>213</v>
      </c>
      <c r="J161" s="1490">
        <v>213</v>
      </c>
      <c r="K161" s="1489">
        <v>213</v>
      </c>
      <c r="L161" s="1489">
        <v>213</v>
      </c>
      <c r="M161" s="1489">
        <v>213</v>
      </c>
      <c r="N161" s="1489">
        <v>213</v>
      </c>
      <c r="O161" s="1489">
        <v>213</v>
      </c>
      <c r="P161" s="1489">
        <v>213260</v>
      </c>
    </row>
    <row r="162" spans="1:16" s="1488" customFormat="1" ht="21.75">
      <c r="A162" s="1394" t="s">
        <v>1969</v>
      </c>
      <c r="B162" s="1394" t="s">
        <v>1912</v>
      </c>
      <c r="C162" s="1489">
        <v>385</v>
      </c>
      <c r="D162" s="1489">
        <v>395</v>
      </c>
      <c r="E162" s="1489">
        <v>399</v>
      </c>
      <c r="F162" s="1489">
        <v>399</v>
      </c>
      <c r="G162" s="1489">
        <v>399</v>
      </c>
      <c r="H162" s="1489">
        <v>399</v>
      </c>
      <c r="I162" s="1489">
        <v>399</v>
      </c>
      <c r="J162" s="1490">
        <v>399</v>
      </c>
      <c r="K162" s="1489">
        <v>399</v>
      </c>
      <c r="L162" s="1489">
        <v>399</v>
      </c>
      <c r="M162" s="1489">
        <v>399</v>
      </c>
      <c r="N162" s="1489">
        <v>399</v>
      </c>
      <c r="O162" s="1489">
        <v>399</v>
      </c>
      <c r="P162" s="1489">
        <v>397851</v>
      </c>
    </row>
    <row r="163" spans="1:16" s="1488" customFormat="1" ht="21.75">
      <c r="A163" s="1394" t="s">
        <v>1970</v>
      </c>
      <c r="B163" s="1394" t="s">
        <v>1912</v>
      </c>
      <c r="C163" s="1489">
        <v>85</v>
      </c>
      <c r="D163" s="1489">
        <v>85</v>
      </c>
      <c r="E163" s="1489">
        <v>85</v>
      </c>
      <c r="F163" s="1489">
        <v>85</v>
      </c>
      <c r="G163" s="1489">
        <v>85</v>
      </c>
      <c r="H163" s="1489">
        <v>85</v>
      </c>
      <c r="I163" s="1489">
        <v>85</v>
      </c>
      <c r="J163" s="1490">
        <v>85</v>
      </c>
      <c r="K163" s="1489">
        <v>85</v>
      </c>
      <c r="L163" s="1489">
        <v>85</v>
      </c>
      <c r="M163" s="1489">
        <v>85</v>
      </c>
      <c r="N163" s="1489">
        <v>85</v>
      </c>
      <c r="O163" s="1489">
        <v>85</v>
      </c>
      <c r="P163" s="1489">
        <v>85043</v>
      </c>
    </row>
    <row r="164" spans="1:16" ht="21.75">
      <c r="A164" s="1394" t="s">
        <v>1971</v>
      </c>
      <c r="B164" s="1394" t="s">
        <v>1912</v>
      </c>
      <c r="C164" s="1489">
        <v>3153</v>
      </c>
      <c r="D164" s="1489">
        <v>3153</v>
      </c>
      <c r="E164" s="1489">
        <v>3153</v>
      </c>
      <c r="F164" s="1489">
        <v>3153</v>
      </c>
      <c r="G164" s="1489">
        <v>3153</v>
      </c>
      <c r="H164" s="1489">
        <v>3153</v>
      </c>
      <c r="I164" s="1489">
        <v>3153</v>
      </c>
      <c r="J164" s="1490">
        <v>3153</v>
      </c>
      <c r="K164" s="1489">
        <v>3153</v>
      </c>
      <c r="L164" s="1489">
        <v>3153</v>
      </c>
      <c r="M164" s="1489">
        <v>3153</v>
      </c>
      <c r="N164" s="1489">
        <v>3153</v>
      </c>
      <c r="O164" s="1489">
        <v>3153</v>
      </c>
      <c r="P164" s="1489">
        <v>3152627</v>
      </c>
    </row>
    <row r="165" spans="1:16" s="1488" customFormat="1" ht="21.75">
      <c r="A165" s="1394" t="s">
        <v>1972</v>
      </c>
      <c r="B165" s="1394" t="s">
        <v>1912</v>
      </c>
      <c r="C165" s="1489">
        <v>310</v>
      </c>
      <c r="D165" s="1489">
        <v>310</v>
      </c>
      <c r="E165" s="1489">
        <v>310</v>
      </c>
      <c r="F165" s="1489">
        <v>310</v>
      </c>
      <c r="G165" s="1489">
        <v>310</v>
      </c>
      <c r="H165" s="1489">
        <v>310</v>
      </c>
      <c r="I165" s="1489">
        <v>310</v>
      </c>
      <c r="J165" s="1490">
        <v>310</v>
      </c>
      <c r="K165" s="1489">
        <v>310</v>
      </c>
      <c r="L165" s="1489">
        <v>310</v>
      </c>
      <c r="M165" s="1489">
        <v>310</v>
      </c>
      <c r="N165" s="1489">
        <v>310</v>
      </c>
      <c r="O165" s="1489">
        <v>310</v>
      </c>
      <c r="P165" s="1489">
        <v>310084</v>
      </c>
    </row>
    <row r="166" spans="1:16" s="1488" customFormat="1" ht="21.75">
      <c r="A166" s="1394" t="s">
        <v>1973</v>
      </c>
      <c r="B166" s="1394" t="s">
        <v>1912</v>
      </c>
      <c r="C166" s="1489">
        <v>792</v>
      </c>
      <c r="D166" s="1489">
        <v>799</v>
      </c>
      <c r="E166" s="1489">
        <v>807</v>
      </c>
      <c r="F166" s="1489">
        <v>817</v>
      </c>
      <c r="G166" s="1489">
        <v>818</v>
      </c>
      <c r="H166" s="1489">
        <v>819</v>
      </c>
      <c r="I166" s="1489">
        <v>819</v>
      </c>
      <c r="J166" s="1490">
        <v>819</v>
      </c>
      <c r="K166" s="1489">
        <v>819</v>
      </c>
      <c r="L166" s="1489">
        <v>819</v>
      </c>
      <c r="M166" s="1489">
        <v>819</v>
      </c>
      <c r="N166" s="1489">
        <v>819</v>
      </c>
      <c r="O166" s="1489">
        <v>819</v>
      </c>
      <c r="P166" s="1489">
        <v>814987</v>
      </c>
    </row>
    <row r="167" spans="1:16" s="1488" customFormat="1" ht="21.75">
      <c r="A167" s="1394" t="s">
        <v>1974</v>
      </c>
      <c r="B167" s="1394" t="s">
        <v>1912</v>
      </c>
      <c r="C167" s="1489">
        <v>1285</v>
      </c>
      <c r="D167" s="1489">
        <v>1285</v>
      </c>
      <c r="E167" s="1489">
        <v>1285</v>
      </c>
      <c r="F167" s="1489">
        <v>1285</v>
      </c>
      <c r="G167" s="1489">
        <v>1285</v>
      </c>
      <c r="H167" s="1489">
        <v>1285</v>
      </c>
      <c r="I167" s="1489">
        <v>1285</v>
      </c>
      <c r="J167" s="1490">
        <v>1285</v>
      </c>
      <c r="K167" s="1489">
        <v>1285</v>
      </c>
      <c r="L167" s="1489">
        <v>1285</v>
      </c>
      <c r="M167" s="1489">
        <v>1285</v>
      </c>
      <c r="N167" s="1489">
        <v>1285</v>
      </c>
      <c r="O167" s="1489">
        <v>1305</v>
      </c>
      <c r="P167" s="1489">
        <v>1285935</v>
      </c>
    </row>
    <row r="168" spans="1:16" s="1488" customFormat="1" ht="21.75">
      <c r="A168" s="1394" t="s">
        <v>1975</v>
      </c>
      <c r="B168" s="1394" t="s">
        <v>1912</v>
      </c>
      <c r="C168" s="1489">
        <v>1636</v>
      </c>
      <c r="D168" s="1489">
        <v>1636</v>
      </c>
      <c r="E168" s="1489">
        <v>1636</v>
      </c>
      <c r="F168" s="1489">
        <v>1636</v>
      </c>
      <c r="G168" s="1489">
        <v>1636</v>
      </c>
      <c r="H168" s="1489">
        <v>1636</v>
      </c>
      <c r="I168" s="1489">
        <v>1636</v>
      </c>
      <c r="J168" s="1490">
        <v>1636</v>
      </c>
      <c r="K168" s="1489">
        <v>1636</v>
      </c>
      <c r="L168" s="1489">
        <v>1636</v>
      </c>
      <c r="M168" s="1489">
        <v>1636</v>
      </c>
      <c r="N168" s="1489">
        <v>1636</v>
      </c>
      <c r="O168" s="1489">
        <v>1621</v>
      </c>
      <c r="P168" s="1489">
        <v>1635650</v>
      </c>
    </row>
    <row r="169" spans="1:16" s="1488" customFormat="1" ht="21.75">
      <c r="A169" s="1394" t="s">
        <v>1976</v>
      </c>
      <c r="B169" s="1394" t="s">
        <v>1912</v>
      </c>
      <c r="C169" s="1489">
        <v>402</v>
      </c>
      <c r="D169" s="1489">
        <v>402</v>
      </c>
      <c r="E169" s="1489">
        <v>402</v>
      </c>
      <c r="F169" s="1489">
        <v>402</v>
      </c>
      <c r="G169" s="1489">
        <v>402</v>
      </c>
      <c r="H169" s="1489">
        <v>402</v>
      </c>
      <c r="I169" s="1489">
        <v>402</v>
      </c>
      <c r="J169" s="1490">
        <v>402</v>
      </c>
      <c r="K169" s="1489">
        <v>402</v>
      </c>
      <c r="L169" s="1489">
        <v>402</v>
      </c>
      <c r="M169" s="1489">
        <v>407</v>
      </c>
      <c r="N169" s="1489">
        <v>407</v>
      </c>
      <c r="O169" s="1489">
        <v>407</v>
      </c>
      <c r="P169" s="1489">
        <v>403152</v>
      </c>
    </row>
    <row r="170" spans="1:16" s="1488" customFormat="1" ht="21.75">
      <c r="A170" s="1394" t="s">
        <v>1977</v>
      </c>
      <c r="B170" s="1394" t="s">
        <v>1912</v>
      </c>
      <c r="C170" s="1489">
        <v>2423</v>
      </c>
      <c r="D170" s="1489">
        <v>2423</v>
      </c>
      <c r="E170" s="1489">
        <v>2423</v>
      </c>
      <c r="F170" s="1489">
        <v>2423</v>
      </c>
      <c r="G170" s="1489">
        <v>2423</v>
      </c>
      <c r="H170" s="1489">
        <v>2423</v>
      </c>
      <c r="I170" s="1489">
        <v>2423</v>
      </c>
      <c r="J170" s="1490">
        <v>2423</v>
      </c>
      <c r="K170" s="1489">
        <v>2423</v>
      </c>
      <c r="L170" s="1489">
        <v>2423</v>
      </c>
      <c r="M170" s="1489">
        <v>2423</v>
      </c>
      <c r="N170" s="1489">
        <v>2423</v>
      </c>
      <c r="O170" s="1489">
        <v>2423</v>
      </c>
      <c r="P170" s="1489">
        <v>2423271</v>
      </c>
    </row>
    <row r="171" spans="1:16" s="1488" customFormat="1" ht="21.75">
      <c r="A171" s="1394" t="s">
        <v>1978</v>
      </c>
      <c r="B171" s="1394" t="s">
        <v>1912</v>
      </c>
      <c r="C171" s="1489">
        <v>0</v>
      </c>
      <c r="D171" s="1489">
        <v>0</v>
      </c>
      <c r="E171" s="1489">
        <v>0</v>
      </c>
      <c r="F171" s="1489">
        <v>0</v>
      </c>
      <c r="G171" s="1489">
        <v>0</v>
      </c>
      <c r="H171" s="1489">
        <v>0</v>
      </c>
      <c r="I171" s="1489">
        <v>0</v>
      </c>
      <c r="J171" s="1490">
        <v>0</v>
      </c>
      <c r="K171" s="1489">
        <v>0</v>
      </c>
      <c r="L171" s="1489">
        <v>0</v>
      </c>
      <c r="M171" s="1489">
        <v>0</v>
      </c>
      <c r="N171" s="1489">
        <v>0</v>
      </c>
      <c r="O171" s="1489">
        <v>0</v>
      </c>
      <c r="P171" s="1489">
        <v>0</v>
      </c>
    </row>
    <row r="172" spans="1:16" s="1488" customFormat="1" ht="21.75">
      <c r="A172" s="1394" t="s">
        <v>1979</v>
      </c>
      <c r="B172" s="1394" t="s">
        <v>1912</v>
      </c>
      <c r="C172" s="1489">
        <v>289</v>
      </c>
      <c r="D172" s="1489">
        <v>289</v>
      </c>
      <c r="E172" s="1489">
        <v>289</v>
      </c>
      <c r="F172" s="1489">
        <v>289</v>
      </c>
      <c r="G172" s="1489">
        <v>289</v>
      </c>
      <c r="H172" s="1489">
        <v>289</v>
      </c>
      <c r="I172" s="1489">
        <v>289</v>
      </c>
      <c r="J172" s="1490">
        <v>289</v>
      </c>
      <c r="K172" s="1489">
        <v>289</v>
      </c>
      <c r="L172" s="1489">
        <v>289</v>
      </c>
      <c r="M172" s="1489">
        <v>289</v>
      </c>
      <c r="N172" s="1489">
        <v>289</v>
      </c>
      <c r="O172" s="1489">
        <v>289</v>
      </c>
      <c r="P172" s="1489">
        <v>288603</v>
      </c>
    </row>
    <row r="173" spans="1:16" s="1488" customFormat="1" ht="21.75">
      <c r="A173" s="1394" t="s">
        <v>1980</v>
      </c>
      <c r="B173" s="1394" t="s">
        <v>1912</v>
      </c>
      <c r="C173" s="1489">
        <v>795</v>
      </c>
      <c r="D173" s="1489">
        <v>795</v>
      </c>
      <c r="E173" s="1489">
        <v>795</v>
      </c>
      <c r="F173" s="1489">
        <v>795</v>
      </c>
      <c r="G173" s="1489">
        <v>795</v>
      </c>
      <c r="H173" s="1489">
        <v>795</v>
      </c>
      <c r="I173" s="1489">
        <v>795</v>
      </c>
      <c r="J173" s="1490">
        <v>795</v>
      </c>
      <c r="K173" s="1489">
        <v>795</v>
      </c>
      <c r="L173" s="1489">
        <v>795</v>
      </c>
      <c r="M173" s="1489">
        <v>795</v>
      </c>
      <c r="N173" s="1489">
        <v>795</v>
      </c>
      <c r="O173" s="1489">
        <v>795</v>
      </c>
      <c r="P173" s="1489">
        <v>795280</v>
      </c>
    </row>
    <row r="174" spans="1:16" s="1488" customFormat="1" ht="21.75">
      <c r="A174" s="1394" t="s">
        <v>1981</v>
      </c>
      <c r="B174" s="1394" t="s">
        <v>1912</v>
      </c>
      <c r="C174" s="1489">
        <v>0</v>
      </c>
      <c r="D174" s="1489">
        <v>0</v>
      </c>
      <c r="E174" s="1489">
        <v>0</v>
      </c>
      <c r="F174" s="1489">
        <v>0</v>
      </c>
      <c r="G174" s="1489">
        <v>0</v>
      </c>
      <c r="H174" s="1489">
        <v>0</v>
      </c>
      <c r="I174" s="1489">
        <v>0</v>
      </c>
      <c r="J174" s="1490">
        <v>0</v>
      </c>
      <c r="K174" s="1489">
        <v>0</v>
      </c>
      <c r="L174" s="1489">
        <v>0</v>
      </c>
      <c r="M174" s="1489">
        <v>0</v>
      </c>
      <c r="N174" s="1489">
        <v>0</v>
      </c>
      <c r="O174" s="1489">
        <v>0</v>
      </c>
      <c r="P174" s="1489">
        <v>0</v>
      </c>
    </row>
    <row r="175" spans="1:16" s="1488" customFormat="1" ht="21.75">
      <c r="A175" s="1394" t="s">
        <v>1982</v>
      </c>
      <c r="B175" s="1394" t="s">
        <v>1912</v>
      </c>
      <c r="C175" s="1489">
        <v>134</v>
      </c>
      <c r="D175" s="1489">
        <v>134</v>
      </c>
      <c r="E175" s="1489">
        <v>134</v>
      </c>
      <c r="F175" s="1489">
        <v>134</v>
      </c>
      <c r="G175" s="1489">
        <v>134</v>
      </c>
      <c r="H175" s="1489">
        <v>134</v>
      </c>
      <c r="I175" s="1489">
        <v>179</v>
      </c>
      <c r="J175" s="1490">
        <v>179</v>
      </c>
      <c r="K175" s="1489">
        <v>179</v>
      </c>
      <c r="L175" s="1489">
        <v>0</v>
      </c>
      <c r="M175" s="1489">
        <v>0</v>
      </c>
      <c r="N175" s="1489">
        <v>179</v>
      </c>
      <c r="O175" s="1489">
        <v>179</v>
      </c>
      <c r="P175" s="1489">
        <v>128247</v>
      </c>
    </row>
    <row r="176" spans="1:16" s="1488" customFormat="1" ht="21.75">
      <c r="A176" s="1394" t="s">
        <v>1983</v>
      </c>
      <c r="B176" s="1394" t="s">
        <v>1912</v>
      </c>
      <c r="C176" s="1489">
        <v>0</v>
      </c>
      <c r="D176" s="1489">
        <v>0</v>
      </c>
      <c r="E176" s="1489">
        <v>0</v>
      </c>
      <c r="F176" s="1489">
        <v>0</v>
      </c>
      <c r="G176" s="1489">
        <v>0</v>
      </c>
      <c r="H176" s="1489">
        <v>0</v>
      </c>
      <c r="I176" s="1489">
        <v>0</v>
      </c>
      <c r="J176" s="1490">
        <v>0</v>
      </c>
      <c r="K176" s="1489">
        <v>0</v>
      </c>
      <c r="L176" s="1489">
        <v>0</v>
      </c>
      <c r="M176" s="1489">
        <v>0</v>
      </c>
      <c r="N176" s="1489">
        <v>0</v>
      </c>
      <c r="O176" s="1489">
        <v>0</v>
      </c>
      <c r="P176" s="1489">
        <v>0</v>
      </c>
    </row>
    <row r="177" spans="1:16" s="1488" customFormat="1" ht="21.75">
      <c r="A177" s="1394" t="s">
        <v>1984</v>
      </c>
      <c r="B177" s="1394" t="s">
        <v>1912</v>
      </c>
      <c r="C177" s="1489">
        <v>300542</v>
      </c>
      <c r="D177" s="1489">
        <v>307261</v>
      </c>
      <c r="E177" s="1489">
        <v>308132</v>
      </c>
      <c r="F177" s="1489">
        <v>310743</v>
      </c>
      <c r="G177" s="1489">
        <v>319030</v>
      </c>
      <c r="H177" s="1489">
        <v>320117</v>
      </c>
      <c r="I177" s="1489">
        <v>321068</v>
      </c>
      <c r="J177" s="1490">
        <v>321051</v>
      </c>
      <c r="K177" s="1489">
        <v>316774</v>
      </c>
      <c r="L177" s="1489">
        <v>319782</v>
      </c>
      <c r="M177" s="1489">
        <v>320532</v>
      </c>
      <c r="N177" s="1489">
        <v>319316</v>
      </c>
      <c r="O177" s="1489">
        <v>322020</v>
      </c>
      <c r="P177" s="1489">
        <v>316257159</v>
      </c>
    </row>
    <row r="178" spans="1:16" s="1488" customFormat="1" ht="21.75">
      <c r="A178" s="1394" t="s">
        <v>1985</v>
      </c>
      <c r="B178" s="1394" t="s">
        <v>1912</v>
      </c>
      <c r="C178" s="1489">
        <v>1253</v>
      </c>
      <c r="D178" s="1489">
        <v>1253</v>
      </c>
      <c r="E178" s="1489">
        <v>1253</v>
      </c>
      <c r="F178" s="1489">
        <v>1253</v>
      </c>
      <c r="G178" s="1489">
        <v>1253</v>
      </c>
      <c r="H178" s="1489">
        <v>1253</v>
      </c>
      <c r="I178" s="1489">
        <v>1253</v>
      </c>
      <c r="J178" s="1490">
        <v>1253</v>
      </c>
      <c r="K178" s="1489">
        <v>1253</v>
      </c>
      <c r="L178" s="1489">
        <v>1253</v>
      </c>
      <c r="M178" s="1489">
        <v>1253</v>
      </c>
      <c r="N178" s="1489">
        <v>1253</v>
      </c>
      <c r="O178" s="1489">
        <v>1253</v>
      </c>
      <c r="P178" s="1489">
        <v>1252629</v>
      </c>
    </row>
    <row r="179" spans="1:16" s="1488" customFormat="1" ht="21.75">
      <c r="A179" s="1394" t="s">
        <v>1986</v>
      </c>
      <c r="B179" s="1394" t="s">
        <v>1912</v>
      </c>
      <c r="C179" s="1489">
        <v>5267</v>
      </c>
      <c r="D179" s="1489">
        <v>5078</v>
      </c>
      <c r="E179" s="1489">
        <v>5078</v>
      </c>
      <c r="F179" s="1489">
        <v>5271</v>
      </c>
      <c r="G179" s="1489">
        <v>5076</v>
      </c>
      <c r="H179" s="1489">
        <v>5096</v>
      </c>
      <c r="I179" s="1489">
        <v>5096</v>
      </c>
      <c r="J179" s="1490">
        <v>5096</v>
      </c>
      <c r="K179" s="1489">
        <v>0</v>
      </c>
      <c r="L179" s="1489">
        <v>0</v>
      </c>
      <c r="M179" s="1489">
        <v>0</v>
      </c>
      <c r="N179" s="1489">
        <v>0</v>
      </c>
      <c r="O179" s="1489">
        <v>0</v>
      </c>
      <c r="P179" s="1489">
        <v>3202085</v>
      </c>
    </row>
    <row r="180" spans="1:16" s="1488" customFormat="1" ht="21.75">
      <c r="A180" s="1394" t="s">
        <v>1987</v>
      </c>
      <c r="B180" s="1394" t="s">
        <v>1912</v>
      </c>
      <c r="C180" s="1489">
        <v>5413</v>
      </c>
      <c r="D180" s="1489">
        <v>5413</v>
      </c>
      <c r="E180" s="1489">
        <v>5413</v>
      </c>
      <c r="F180" s="1489">
        <v>5413</v>
      </c>
      <c r="G180" s="1489">
        <v>5413</v>
      </c>
      <c r="H180" s="1489">
        <v>5413</v>
      </c>
      <c r="I180" s="1489">
        <v>5413</v>
      </c>
      <c r="J180" s="1490">
        <v>5413</v>
      </c>
      <c r="K180" s="1489">
        <v>5413</v>
      </c>
      <c r="L180" s="1489">
        <v>5413</v>
      </c>
      <c r="M180" s="1489">
        <v>5413</v>
      </c>
      <c r="N180" s="1489">
        <v>5413</v>
      </c>
      <c r="O180" s="1489">
        <v>5413</v>
      </c>
      <c r="P180" s="1489">
        <v>5413075</v>
      </c>
    </row>
    <row r="181" spans="1:16" s="1488" customFormat="1" ht="21.75">
      <c r="A181" s="1394" t="s">
        <v>1988</v>
      </c>
      <c r="B181" s="1394" t="s">
        <v>1912</v>
      </c>
      <c r="C181" s="1489">
        <v>0</v>
      </c>
      <c r="D181" s="1489">
        <v>0</v>
      </c>
      <c r="E181" s="1489">
        <v>0</v>
      </c>
      <c r="F181" s="1489">
        <v>0</v>
      </c>
      <c r="G181" s="1489">
        <v>0</v>
      </c>
      <c r="H181" s="1489">
        <v>0</v>
      </c>
      <c r="I181" s="1489">
        <v>0</v>
      </c>
      <c r="J181" s="1490">
        <v>0</v>
      </c>
      <c r="K181" s="1489">
        <v>4054</v>
      </c>
      <c r="L181" s="1489">
        <v>4054</v>
      </c>
      <c r="M181" s="1489">
        <v>4054</v>
      </c>
      <c r="N181" s="1489">
        <v>4054</v>
      </c>
      <c r="O181" s="1489">
        <v>4054</v>
      </c>
      <c r="P181" s="1489">
        <v>1520280</v>
      </c>
    </row>
    <row r="182" spans="1:16" s="1488" customFormat="1" ht="15" customHeight="1">
      <c r="A182" s="1394" t="s">
        <v>1989</v>
      </c>
      <c r="B182" s="1394" t="s">
        <v>1912</v>
      </c>
      <c r="C182" s="1489">
        <v>0</v>
      </c>
      <c r="D182" s="1489">
        <v>0</v>
      </c>
      <c r="E182" s="1489">
        <v>0</v>
      </c>
      <c r="F182" s="1489">
        <v>0</v>
      </c>
      <c r="G182" s="1489">
        <v>0</v>
      </c>
      <c r="H182" s="1489">
        <v>0</v>
      </c>
      <c r="I182" s="1489">
        <v>0</v>
      </c>
      <c r="J182" s="1490">
        <v>0</v>
      </c>
      <c r="K182" s="1489">
        <v>0</v>
      </c>
      <c r="L182" s="1489">
        <v>0</v>
      </c>
      <c r="M182" s="1489">
        <v>0</v>
      </c>
      <c r="N182" s="1489">
        <v>0</v>
      </c>
      <c r="O182" s="1489">
        <v>0</v>
      </c>
      <c r="P182" s="1489">
        <v>0</v>
      </c>
    </row>
    <row r="183" spans="1:16" s="1488" customFormat="1" ht="21.75">
      <c r="A183" s="1394" t="s">
        <v>1990</v>
      </c>
      <c r="B183" s="1394" t="s">
        <v>1912</v>
      </c>
      <c r="C183" s="1489">
        <v>0</v>
      </c>
      <c r="D183" s="1489">
        <v>0</v>
      </c>
      <c r="E183" s="1489">
        <v>0</v>
      </c>
      <c r="F183" s="1489">
        <v>0</v>
      </c>
      <c r="G183" s="1489">
        <v>0</v>
      </c>
      <c r="H183" s="1489">
        <v>0</v>
      </c>
      <c r="I183" s="1489">
        <v>0</v>
      </c>
      <c r="J183" s="1490">
        <v>0</v>
      </c>
      <c r="K183" s="1489">
        <v>0</v>
      </c>
      <c r="L183" s="1489">
        <v>0</v>
      </c>
      <c r="M183" s="1489">
        <v>0</v>
      </c>
      <c r="N183" s="1489">
        <v>0</v>
      </c>
      <c r="O183" s="1489">
        <v>0</v>
      </c>
      <c r="P183" s="1489">
        <v>0</v>
      </c>
    </row>
    <row r="184" spans="1:16" s="1488" customFormat="1" ht="21.75">
      <c r="A184" s="1394" t="s">
        <v>1991</v>
      </c>
      <c r="B184" s="1394" t="s">
        <v>1912</v>
      </c>
      <c r="C184" s="1489">
        <v>6162</v>
      </c>
      <c r="D184" s="1489">
        <v>6163</v>
      </c>
      <c r="E184" s="1489">
        <v>6165</v>
      </c>
      <c r="F184" s="1489">
        <v>6165</v>
      </c>
      <c r="G184" s="1489">
        <v>6165</v>
      </c>
      <c r="H184" s="1489">
        <v>6165</v>
      </c>
      <c r="I184" s="1489">
        <v>6166</v>
      </c>
      <c r="J184" s="1490">
        <v>6169</v>
      </c>
      <c r="K184" s="1489">
        <v>6169</v>
      </c>
      <c r="L184" s="1489">
        <v>6169</v>
      </c>
      <c r="M184" s="1489">
        <v>6169</v>
      </c>
      <c r="N184" s="1489">
        <v>5417</v>
      </c>
      <c r="O184" s="1489">
        <v>8007</v>
      </c>
      <c r="P184" s="1489">
        <v>6180502</v>
      </c>
    </row>
    <row r="185" spans="1:16" s="1488" customFormat="1" ht="21.75">
      <c r="A185" s="1394" t="s">
        <v>1992</v>
      </c>
      <c r="B185" s="1394" t="s">
        <v>1912</v>
      </c>
      <c r="C185" s="1489">
        <v>2236</v>
      </c>
      <c r="D185" s="1489">
        <v>2236</v>
      </c>
      <c r="E185" s="1489">
        <v>2236</v>
      </c>
      <c r="F185" s="1489">
        <v>2236</v>
      </c>
      <c r="G185" s="1489">
        <v>2236</v>
      </c>
      <c r="H185" s="1489">
        <v>2236</v>
      </c>
      <c r="I185" s="1489">
        <v>2236</v>
      </c>
      <c r="J185" s="1490">
        <v>2236</v>
      </c>
      <c r="K185" s="1489">
        <v>2236</v>
      </c>
      <c r="L185" s="1489">
        <v>2236</v>
      </c>
      <c r="M185" s="1489">
        <v>2236</v>
      </c>
      <c r="N185" s="1489">
        <v>2236</v>
      </c>
      <c r="O185" s="1489">
        <v>2236</v>
      </c>
      <c r="P185" s="1489">
        <v>2235550</v>
      </c>
    </row>
    <row r="186" spans="1:16" s="1488" customFormat="1" ht="21.75">
      <c r="A186" s="1394" t="s">
        <v>1993</v>
      </c>
      <c r="B186" s="1394" t="s">
        <v>1912</v>
      </c>
      <c r="C186" s="1489">
        <v>118</v>
      </c>
      <c r="D186" s="1489">
        <v>0</v>
      </c>
      <c r="E186" s="1489">
        <v>0</v>
      </c>
      <c r="F186" s="1489">
        <v>0</v>
      </c>
      <c r="G186" s="1489">
        <v>0</v>
      </c>
      <c r="H186" s="1489">
        <v>0</v>
      </c>
      <c r="I186" s="1489">
        <v>0</v>
      </c>
      <c r="J186" s="1490">
        <v>0</v>
      </c>
      <c r="K186" s="1489">
        <v>0</v>
      </c>
      <c r="L186" s="1489">
        <v>0</v>
      </c>
      <c r="M186" s="1489">
        <v>0</v>
      </c>
      <c r="N186" s="1489">
        <v>0</v>
      </c>
      <c r="O186" s="1489">
        <v>0</v>
      </c>
      <c r="P186" s="1489">
        <v>4920</v>
      </c>
    </row>
    <row r="187" spans="1:16" s="1488" customFormat="1" ht="21.75">
      <c r="A187" s="1394" t="s">
        <v>1994</v>
      </c>
      <c r="B187" s="1394" t="s">
        <v>1912</v>
      </c>
      <c r="C187" s="1489">
        <v>0</v>
      </c>
      <c r="D187" s="1489">
        <v>118</v>
      </c>
      <c r="E187" s="1489">
        <v>118</v>
      </c>
      <c r="F187" s="1489">
        <v>118</v>
      </c>
      <c r="G187" s="1489">
        <v>118</v>
      </c>
      <c r="H187" s="1489">
        <v>118</v>
      </c>
      <c r="I187" s="1489">
        <v>0</v>
      </c>
      <c r="J187" s="1490">
        <v>0</v>
      </c>
      <c r="K187" s="1489">
        <v>0</v>
      </c>
      <c r="L187" s="1489">
        <v>0</v>
      </c>
      <c r="M187" s="1489">
        <v>0</v>
      </c>
      <c r="N187" s="1489">
        <v>0</v>
      </c>
      <c r="O187" s="1489">
        <v>0</v>
      </c>
      <c r="P187" s="1489">
        <v>49197</v>
      </c>
    </row>
    <row r="188" spans="1:16" s="1488" customFormat="1" ht="21.75">
      <c r="A188" s="1394" t="s">
        <v>1995</v>
      </c>
      <c r="B188" s="1394" t="s">
        <v>1912</v>
      </c>
      <c r="C188" s="1489">
        <v>506</v>
      </c>
      <c r="D188" s="1489">
        <v>506</v>
      </c>
      <c r="E188" s="1489">
        <v>506</v>
      </c>
      <c r="F188" s="1489">
        <v>506</v>
      </c>
      <c r="G188" s="1489">
        <v>506</v>
      </c>
      <c r="H188" s="1489">
        <v>506</v>
      </c>
      <c r="I188" s="1489">
        <v>506</v>
      </c>
      <c r="J188" s="1490">
        <v>506</v>
      </c>
      <c r="K188" s="1489">
        <v>506</v>
      </c>
      <c r="L188" s="1489">
        <v>506</v>
      </c>
      <c r="M188" s="1489">
        <v>506</v>
      </c>
      <c r="N188" s="1489">
        <v>506</v>
      </c>
      <c r="O188" s="1489">
        <v>506</v>
      </c>
      <c r="P188" s="1489">
        <v>505676</v>
      </c>
    </row>
    <row r="189" spans="1:16" s="1488" customFormat="1" ht="21.75">
      <c r="A189" s="1394" t="s">
        <v>1996</v>
      </c>
      <c r="B189" s="1394" t="s">
        <v>1912</v>
      </c>
      <c r="C189" s="1489">
        <v>377</v>
      </c>
      <c r="D189" s="1489">
        <v>377</v>
      </c>
      <c r="E189" s="1489">
        <v>377</v>
      </c>
      <c r="F189" s="1489">
        <v>377</v>
      </c>
      <c r="G189" s="1489">
        <v>377</v>
      </c>
      <c r="H189" s="1489">
        <v>377</v>
      </c>
      <c r="I189" s="1489">
        <v>377</v>
      </c>
      <c r="J189" s="1490">
        <v>377</v>
      </c>
      <c r="K189" s="1489">
        <v>377</v>
      </c>
      <c r="L189" s="1489">
        <v>377</v>
      </c>
      <c r="M189" s="1489">
        <v>377</v>
      </c>
      <c r="N189" s="1489">
        <v>377</v>
      </c>
      <c r="O189" s="1489">
        <v>377</v>
      </c>
      <c r="P189" s="1489">
        <v>377350</v>
      </c>
    </row>
    <row r="190" spans="1:16" s="1488" customFormat="1" ht="21.75">
      <c r="A190" s="1394" t="s">
        <v>1997</v>
      </c>
      <c r="B190" s="1394" t="s">
        <v>1912</v>
      </c>
      <c r="C190" s="1489">
        <v>131</v>
      </c>
      <c r="D190" s="1489">
        <v>131</v>
      </c>
      <c r="E190" s="1489">
        <v>131</v>
      </c>
      <c r="F190" s="1489">
        <v>131</v>
      </c>
      <c r="G190" s="1489">
        <v>131</v>
      </c>
      <c r="H190" s="1489">
        <v>131</v>
      </c>
      <c r="I190" s="1489">
        <v>131</v>
      </c>
      <c r="J190" s="1490">
        <v>131</v>
      </c>
      <c r="K190" s="1489">
        <v>128</v>
      </c>
      <c r="L190" s="1489">
        <v>128</v>
      </c>
      <c r="M190" s="1489">
        <v>128</v>
      </c>
      <c r="N190" s="1489">
        <v>128</v>
      </c>
      <c r="O190" s="1489">
        <v>128</v>
      </c>
      <c r="P190" s="1489">
        <v>129895</v>
      </c>
    </row>
    <row r="191" spans="1:16" s="1488" customFormat="1" ht="21.75">
      <c r="A191" s="1394" t="s">
        <v>1998</v>
      </c>
      <c r="B191" s="1394" t="s">
        <v>1912</v>
      </c>
      <c r="C191" s="1489">
        <v>1184</v>
      </c>
      <c r="D191" s="1489">
        <v>1184</v>
      </c>
      <c r="E191" s="1489">
        <v>1184</v>
      </c>
      <c r="F191" s="1489">
        <v>1184</v>
      </c>
      <c r="G191" s="1489">
        <v>1184</v>
      </c>
      <c r="H191" s="1489">
        <v>1184</v>
      </c>
      <c r="I191" s="1489">
        <v>1184</v>
      </c>
      <c r="J191" s="1490">
        <v>1184</v>
      </c>
      <c r="K191" s="1489">
        <v>1184</v>
      </c>
      <c r="L191" s="1489">
        <v>1184</v>
      </c>
      <c r="M191" s="1489">
        <v>1184</v>
      </c>
      <c r="N191" s="1489">
        <v>1184</v>
      </c>
      <c r="O191" s="1489">
        <v>1184</v>
      </c>
      <c r="P191" s="1489">
        <v>1183852</v>
      </c>
    </row>
    <row r="192" spans="1:16" s="1488" customFormat="1" ht="21.75">
      <c r="A192" s="1394" t="s">
        <v>1999</v>
      </c>
      <c r="B192" s="1394" t="s">
        <v>1912</v>
      </c>
      <c r="C192" s="1489">
        <v>465</v>
      </c>
      <c r="D192" s="1489">
        <v>465</v>
      </c>
      <c r="E192" s="1489">
        <v>465</v>
      </c>
      <c r="F192" s="1489">
        <v>465</v>
      </c>
      <c r="G192" s="1489">
        <v>465</v>
      </c>
      <c r="H192" s="1489">
        <v>465</v>
      </c>
      <c r="I192" s="1489">
        <v>465</v>
      </c>
      <c r="J192" s="1490">
        <v>465</v>
      </c>
      <c r="K192" s="1489">
        <v>465</v>
      </c>
      <c r="L192" s="1489">
        <v>465</v>
      </c>
      <c r="M192" s="1489">
        <v>465</v>
      </c>
      <c r="N192" s="1489">
        <v>465</v>
      </c>
      <c r="O192" s="1489">
        <v>465</v>
      </c>
      <c r="P192" s="1489">
        <v>464928</v>
      </c>
    </row>
    <row r="193" spans="1:16" s="1488" customFormat="1" ht="21.75">
      <c r="A193" s="1394" t="s">
        <v>2000</v>
      </c>
      <c r="B193" s="1394" t="s">
        <v>1912</v>
      </c>
      <c r="C193" s="1489">
        <v>664</v>
      </c>
      <c r="D193" s="1489">
        <v>664</v>
      </c>
      <c r="E193" s="1489">
        <v>664</v>
      </c>
      <c r="F193" s="1489">
        <v>664</v>
      </c>
      <c r="G193" s="1489">
        <v>664</v>
      </c>
      <c r="H193" s="1489">
        <v>550</v>
      </c>
      <c r="I193" s="1489">
        <v>550</v>
      </c>
      <c r="J193" s="1490">
        <v>550</v>
      </c>
      <c r="K193" s="1489">
        <v>550</v>
      </c>
      <c r="L193" s="1489">
        <v>550</v>
      </c>
      <c r="M193" s="1489">
        <v>550</v>
      </c>
      <c r="N193" s="1489">
        <v>550</v>
      </c>
      <c r="O193" s="1489">
        <v>636</v>
      </c>
      <c r="P193" s="1489">
        <v>596318</v>
      </c>
    </row>
    <row r="194" spans="1:16" s="1488" customFormat="1" ht="21.75">
      <c r="A194" s="1394" t="s">
        <v>2001</v>
      </c>
      <c r="B194" s="1394" t="s">
        <v>1912</v>
      </c>
      <c r="C194" s="1489">
        <v>506</v>
      </c>
      <c r="D194" s="1489">
        <v>506</v>
      </c>
      <c r="E194" s="1489">
        <v>506</v>
      </c>
      <c r="F194" s="1489">
        <v>506</v>
      </c>
      <c r="G194" s="1489">
        <v>506</v>
      </c>
      <c r="H194" s="1489">
        <v>506</v>
      </c>
      <c r="I194" s="1489">
        <v>506</v>
      </c>
      <c r="J194" s="1490">
        <v>506</v>
      </c>
      <c r="K194" s="1489">
        <v>506</v>
      </c>
      <c r="L194" s="1489">
        <v>506</v>
      </c>
      <c r="M194" s="1489">
        <v>506</v>
      </c>
      <c r="N194" s="1489">
        <v>506</v>
      </c>
      <c r="O194" s="1489">
        <v>506</v>
      </c>
      <c r="P194" s="1489">
        <v>506453</v>
      </c>
    </row>
    <row r="195" spans="1:16" s="1488" customFormat="1" ht="21.75">
      <c r="A195" s="1394" t="s">
        <v>2002</v>
      </c>
      <c r="B195" s="1394" t="s">
        <v>1912</v>
      </c>
      <c r="C195" s="1489">
        <v>164</v>
      </c>
      <c r="D195" s="1489">
        <v>164</v>
      </c>
      <c r="E195" s="1489">
        <v>164</v>
      </c>
      <c r="F195" s="1489">
        <v>164</v>
      </c>
      <c r="G195" s="1489">
        <v>164</v>
      </c>
      <c r="H195" s="1489">
        <v>164</v>
      </c>
      <c r="I195" s="1489">
        <v>164</v>
      </c>
      <c r="J195" s="1490">
        <v>164</v>
      </c>
      <c r="K195" s="1489">
        <v>164</v>
      </c>
      <c r="L195" s="1489">
        <v>164</v>
      </c>
      <c r="M195" s="1489">
        <v>164</v>
      </c>
      <c r="N195" s="1489">
        <v>164</v>
      </c>
      <c r="O195" s="1489">
        <v>164</v>
      </c>
      <c r="P195" s="1489">
        <v>164080</v>
      </c>
    </row>
    <row r="196" spans="1:16" s="1488" customFormat="1" ht="21.75">
      <c r="A196" s="1394" t="s">
        <v>2003</v>
      </c>
      <c r="B196" s="1394" t="s">
        <v>1912</v>
      </c>
      <c r="C196" s="1489">
        <v>91</v>
      </c>
      <c r="D196" s="1489">
        <v>91</v>
      </c>
      <c r="E196" s="1489">
        <v>91</v>
      </c>
      <c r="F196" s="1489">
        <v>91</v>
      </c>
      <c r="G196" s="1489">
        <v>91</v>
      </c>
      <c r="H196" s="1489">
        <v>91</v>
      </c>
      <c r="I196" s="1489">
        <v>91</v>
      </c>
      <c r="J196" s="1490">
        <v>91</v>
      </c>
      <c r="K196" s="1489">
        <v>91</v>
      </c>
      <c r="L196" s="1489">
        <v>91</v>
      </c>
      <c r="M196" s="1489">
        <v>91</v>
      </c>
      <c r="N196" s="1489">
        <v>91</v>
      </c>
      <c r="O196" s="1489">
        <v>91</v>
      </c>
      <c r="P196" s="1489">
        <v>90883</v>
      </c>
    </row>
    <row r="197" spans="1:16" s="1488" customFormat="1" ht="21.75">
      <c r="A197" s="1394" t="s">
        <v>2004</v>
      </c>
      <c r="B197" s="1394" t="s">
        <v>1912</v>
      </c>
      <c r="C197" s="1489">
        <v>0</v>
      </c>
      <c r="D197" s="1489">
        <v>0</v>
      </c>
      <c r="E197" s="1489">
        <v>0</v>
      </c>
      <c r="F197" s="1489">
        <v>0</v>
      </c>
      <c r="G197" s="1489">
        <v>0</v>
      </c>
      <c r="H197" s="1489">
        <v>0</v>
      </c>
      <c r="I197" s="1489">
        <v>0</v>
      </c>
      <c r="J197" s="1490">
        <v>0</v>
      </c>
      <c r="K197" s="1489">
        <v>0</v>
      </c>
      <c r="L197" s="1489">
        <v>0</v>
      </c>
      <c r="M197" s="1489">
        <v>0</v>
      </c>
      <c r="N197" s="1489">
        <v>0</v>
      </c>
      <c r="O197" s="1489">
        <v>0</v>
      </c>
      <c r="P197" s="1489">
        <v>0</v>
      </c>
    </row>
    <row r="198" spans="1:16" s="1488" customFormat="1" ht="21.75">
      <c r="A198" s="1394" t="s">
        <v>2005</v>
      </c>
      <c r="B198" s="1394" t="s">
        <v>1912</v>
      </c>
      <c r="C198" s="1489">
        <v>123</v>
      </c>
      <c r="D198" s="1489">
        <v>123</v>
      </c>
      <c r="E198" s="1489">
        <v>123</v>
      </c>
      <c r="F198" s="1489">
        <v>123</v>
      </c>
      <c r="G198" s="1489">
        <v>123</v>
      </c>
      <c r="H198" s="1489">
        <v>123</v>
      </c>
      <c r="I198" s="1489">
        <v>123</v>
      </c>
      <c r="J198" s="1490">
        <v>123</v>
      </c>
      <c r="K198" s="1489">
        <v>123</v>
      </c>
      <c r="L198" s="1489">
        <v>123</v>
      </c>
      <c r="M198" s="1489">
        <v>123</v>
      </c>
      <c r="N198" s="1489">
        <v>123</v>
      </c>
      <c r="O198" s="1489">
        <v>123</v>
      </c>
      <c r="P198" s="1489">
        <v>123338</v>
      </c>
    </row>
    <row r="199" spans="1:16" s="1488" customFormat="1" ht="21.75">
      <c r="A199" s="1394" t="s">
        <v>2006</v>
      </c>
      <c r="B199" s="1394" t="s">
        <v>1912</v>
      </c>
      <c r="C199" s="1489">
        <v>139</v>
      </c>
      <c r="D199" s="1489">
        <v>139</v>
      </c>
      <c r="E199" s="1489">
        <v>139</v>
      </c>
      <c r="F199" s="1489">
        <v>139</v>
      </c>
      <c r="G199" s="1489">
        <v>139</v>
      </c>
      <c r="H199" s="1489">
        <v>139</v>
      </c>
      <c r="I199" s="1489">
        <v>139</v>
      </c>
      <c r="J199" s="1490">
        <v>139</v>
      </c>
      <c r="K199" s="1489">
        <v>139</v>
      </c>
      <c r="L199" s="1489">
        <v>139</v>
      </c>
      <c r="M199" s="1489">
        <v>139</v>
      </c>
      <c r="N199" s="1489">
        <v>139</v>
      </c>
      <c r="O199" s="1489">
        <v>139</v>
      </c>
      <c r="P199" s="1489">
        <v>139256</v>
      </c>
    </row>
    <row r="200" spans="1:16" s="1488" customFormat="1" ht="21.75">
      <c r="A200" s="1394" t="s">
        <v>2007</v>
      </c>
      <c r="B200" s="1394" t="s">
        <v>1912</v>
      </c>
      <c r="C200" s="1489">
        <v>77</v>
      </c>
      <c r="D200" s="1489">
        <v>77</v>
      </c>
      <c r="E200" s="1489">
        <v>77</v>
      </c>
      <c r="F200" s="1489">
        <v>77</v>
      </c>
      <c r="G200" s="1489">
        <v>77</v>
      </c>
      <c r="H200" s="1489">
        <v>77</v>
      </c>
      <c r="I200" s="1489">
        <v>77</v>
      </c>
      <c r="J200" s="1490">
        <v>77</v>
      </c>
      <c r="K200" s="1489">
        <v>77</v>
      </c>
      <c r="L200" s="1489">
        <v>77</v>
      </c>
      <c r="M200" s="1489">
        <v>77</v>
      </c>
      <c r="N200" s="1489">
        <v>77</v>
      </c>
      <c r="O200" s="1489">
        <v>77</v>
      </c>
      <c r="P200" s="1489">
        <v>77343</v>
      </c>
    </row>
    <row r="201" spans="1:16" s="1488" customFormat="1" ht="21.75">
      <c r="A201" s="1394" t="s">
        <v>2008</v>
      </c>
      <c r="B201" s="1394" t="s">
        <v>1912</v>
      </c>
      <c r="C201" s="1489">
        <v>65</v>
      </c>
      <c r="D201" s="1489">
        <v>65</v>
      </c>
      <c r="E201" s="1489">
        <v>65</v>
      </c>
      <c r="F201" s="1489">
        <v>65</v>
      </c>
      <c r="G201" s="1489">
        <v>65</v>
      </c>
      <c r="H201" s="1489">
        <v>65</v>
      </c>
      <c r="I201" s="1489">
        <v>65</v>
      </c>
      <c r="J201" s="1490">
        <v>65</v>
      </c>
      <c r="K201" s="1489">
        <v>65</v>
      </c>
      <c r="L201" s="1489">
        <v>65</v>
      </c>
      <c r="M201" s="1489">
        <v>65</v>
      </c>
      <c r="N201" s="1489">
        <v>65</v>
      </c>
      <c r="O201" s="1489">
        <v>65</v>
      </c>
      <c r="P201" s="1489">
        <v>64569</v>
      </c>
    </row>
    <row r="202" spans="1:16" s="1488" customFormat="1" ht="21.75">
      <c r="A202" s="1394" t="s">
        <v>2009</v>
      </c>
      <c r="B202" s="1394" t="s">
        <v>1912</v>
      </c>
      <c r="C202" s="1489">
        <v>150</v>
      </c>
      <c r="D202" s="1489">
        <v>150</v>
      </c>
      <c r="E202" s="1489">
        <v>150</v>
      </c>
      <c r="F202" s="1489">
        <v>150</v>
      </c>
      <c r="G202" s="1489">
        <v>150</v>
      </c>
      <c r="H202" s="1489">
        <v>150</v>
      </c>
      <c r="I202" s="1489">
        <v>150</v>
      </c>
      <c r="J202" s="1490">
        <v>150</v>
      </c>
      <c r="K202" s="1489">
        <v>150</v>
      </c>
      <c r="L202" s="1489">
        <v>150</v>
      </c>
      <c r="M202" s="1489">
        <v>150</v>
      </c>
      <c r="N202" s="1489">
        <v>150</v>
      </c>
      <c r="O202" s="1489">
        <v>150</v>
      </c>
      <c r="P202" s="1489">
        <v>150160</v>
      </c>
    </row>
    <row r="203" spans="1:16" s="1488" customFormat="1" ht="21.75">
      <c r="A203" s="1394" t="s">
        <v>2010</v>
      </c>
      <c r="B203" s="1394" t="s">
        <v>1912</v>
      </c>
      <c r="C203" s="1489">
        <v>860</v>
      </c>
      <c r="D203" s="1489">
        <v>860</v>
      </c>
      <c r="E203" s="1489">
        <v>860</v>
      </c>
      <c r="F203" s="1489">
        <v>860</v>
      </c>
      <c r="G203" s="1489">
        <v>860</v>
      </c>
      <c r="H203" s="1489">
        <v>860</v>
      </c>
      <c r="I203" s="1489">
        <v>860</v>
      </c>
      <c r="J203" s="1490">
        <v>860</v>
      </c>
      <c r="K203" s="1489">
        <v>860</v>
      </c>
      <c r="L203" s="1489">
        <v>860</v>
      </c>
      <c r="M203" s="1489">
        <v>860</v>
      </c>
      <c r="N203" s="1489">
        <v>860</v>
      </c>
      <c r="O203" s="1489">
        <v>860</v>
      </c>
      <c r="P203" s="1489">
        <v>859877</v>
      </c>
    </row>
    <row r="204" spans="1:16" s="1488" customFormat="1" ht="21.75">
      <c r="A204" s="1394" t="s">
        <v>2011</v>
      </c>
      <c r="B204" s="1394" t="s">
        <v>1912</v>
      </c>
      <c r="C204" s="1489">
        <v>299</v>
      </c>
      <c r="D204" s="1489">
        <v>319</v>
      </c>
      <c r="E204" s="1489">
        <v>319</v>
      </c>
      <c r="F204" s="1489">
        <v>319</v>
      </c>
      <c r="G204" s="1489">
        <v>319</v>
      </c>
      <c r="H204" s="1489">
        <v>319</v>
      </c>
      <c r="I204" s="1489">
        <v>319</v>
      </c>
      <c r="J204" s="1490">
        <v>319</v>
      </c>
      <c r="K204" s="1489">
        <v>319</v>
      </c>
      <c r="L204" s="1489">
        <v>319</v>
      </c>
      <c r="M204" s="1489">
        <v>319</v>
      </c>
      <c r="N204" s="1489">
        <v>319</v>
      </c>
      <c r="O204" s="1489">
        <v>319</v>
      </c>
      <c r="P204" s="1489">
        <v>318046</v>
      </c>
    </row>
    <row r="205" spans="1:16" s="1488" customFormat="1" ht="21.75">
      <c r="A205" s="1394" t="s">
        <v>2012</v>
      </c>
      <c r="B205" s="1394" t="s">
        <v>1912</v>
      </c>
      <c r="C205" s="1489">
        <v>553</v>
      </c>
      <c r="D205" s="1489">
        <v>553</v>
      </c>
      <c r="E205" s="1489">
        <v>553</v>
      </c>
      <c r="F205" s="1489">
        <v>553</v>
      </c>
      <c r="G205" s="1489">
        <v>553</v>
      </c>
      <c r="H205" s="1489">
        <v>553</v>
      </c>
      <c r="I205" s="1489">
        <v>553</v>
      </c>
      <c r="J205" s="1490">
        <v>553</v>
      </c>
      <c r="K205" s="1489">
        <v>553</v>
      </c>
      <c r="L205" s="1489">
        <v>553</v>
      </c>
      <c r="M205" s="1489">
        <v>553</v>
      </c>
      <c r="N205" s="1489">
        <v>553</v>
      </c>
      <c r="O205" s="1489">
        <v>553</v>
      </c>
      <c r="P205" s="1489">
        <v>553324</v>
      </c>
    </row>
    <row r="206" spans="1:16" s="1488" customFormat="1" ht="21.75">
      <c r="A206" s="1394" t="s">
        <v>2013</v>
      </c>
      <c r="B206" s="1394" t="s">
        <v>1912</v>
      </c>
      <c r="C206" s="1489">
        <v>0</v>
      </c>
      <c r="D206" s="1489">
        <v>0</v>
      </c>
      <c r="E206" s="1489">
        <v>0</v>
      </c>
      <c r="F206" s="1489">
        <v>0</v>
      </c>
      <c r="G206" s="1489">
        <v>0</v>
      </c>
      <c r="H206" s="1489">
        <v>0</v>
      </c>
      <c r="I206" s="1489">
        <v>0</v>
      </c>
      <c r="J206" s="1490">
        <v>0</v>
      </c>
      <c r="K206" s="1489">
        <v>0</v>
      </c>
      <c r="L206" s="1489">
        <v>0</v>
      </c>
      <c r="M206" s="1489">
        <v>0</v>
      </c>
      <c r="N206" s="1489">
        <v>0</v>
      </c>
      <c r="O206" s="1489">
        <v>0</v>
      </c>
      <c r="P206" s="1489">
        <v>0</v>
      </c>
    </row>
    <row r="207" spans="1:16" s="1488" customFormat="1" ht="21.75">
      <c r="A207" s="1394" t="s">
        <v>2014</v>
      </c>
      <c r="B207" s="1394" t="s">
        <v>1912</v>
      </c>
      <c r="C207" s="1489">
        <v>0</v>
      </c>
      <c r="D207" s="1489">
        <v>0</v>
      </c>
      <c r="E207" s="1489">
        <v>0</v>
      </c>
      <c r="F207" s="1489">
        <v>0</v>
      </c>
      <c r="G207" s="1489">
        <v>0</v>
      </c>
      <c r="H207" s="1489">
        <v>0</v>
      </c>
      <c r="I207" s="1489">
        <v>0</v>
      </c>
      <c r="J207" s="1490">
        <v>0</v>
      </c>
      <c r="K207" s="1489">
        <v>0</v>
      </c>
      <c r="L207" s="1489">
        <v>0</v>
      </c>
      <c r="M207" s="1489">
        <v>0</v>
      </c>
      <c r="N207" s="1489">
        <v>0</v>
      </c>
      <c r="O207" s="1489">
        <v>0</v>
      </c>
      <c r="P207" s="1489">
        <v>0</v>
      </c>
    </row>
    <row r="208" spans="1:16" s="1488" customFormat="1" ht="21.75">
      <c r="A208" s="1394" t="s">
        <v>2015</v>
      </c>
      <c r="B208" s="1394" t="s">
        <v>1912</v>
      </c>
      <c r="C208" s="1489">
        <v>0</v>
      </c>
      <c r="D208" s="1489">
        <v>0</v>
      </c>
      <c r="E208" s="1489">
        <v>0</v>
      </c>
      <c r="F208" s="1489">
        <v>0</v>
      </c>
      <c r="G208" s="1489">
        <v>0</v>
      </c>
      <c r="H208" s="1489">
        <v>0</v>
      </c>
      <c r="I208" s="1489">
        <v>0</v>
      </c>
      <c r="J208" s="1490">
        <v>0</v>
      </c>
      <c r="K208" s="1489">
        <v>0</v>
      </c>
      <c r="L208" s="1489">
        <v>0</v>
      </c>
      <c r="M208" s="1489">
        <v>0</v>
      </c>
      <c r="N208" s="1489">
        <v>0</v>
      </c>
      <c r="O208" s="1489">
        <v>0</v>
      </c>
      <c r="P208" s="1489">
        <v>0</v>
      </c>
    </row>
    <row r="209" spans="1:16" s="1488" customFormat="1" ht="21.75">
      <c r="A209" s="1394" t="s">
        <v>2016</v>
      </c>
      <c r="B209" s="1394" t="s">
        <v>1912</v>
      </c>
      <c r="C209" s="1489">
        <v>2268</v>
      </c>
      <c r="D209" s="1489">
        <v>2268</v>
      </c>
      <c r="E209" s="1489">
        <v>2268</v>
      </c>
      <c r="F209" s="1489">
        <v>2268</v>
      </c>
      <c r="G209" s="1489">
        <v>2268</v>
      </c>
      <c r="H209" s="1489">
        <v>2268</v>
      </c>
      <c r="I209" s="1489">
        <v>2268</v>
      </c>
      <c r="J209" s="1490">
        <v>2268</v>
      </c>
      <c r="K209" s="1489">
        <v>2268</v>
      </c>
      <c r="L209" s="1489">
        <v>2268</v>
      </c>
      <c r="M209" s="1489">
        <v>2268</v>
      </c>
      <c r="N209" s="1489">
        <v>2268</v>
      </c>
      <c r="O209" s="1489">
        <v>2268</v>
      </c>
      <c r="P209" s="1489">
        <v>2268171</v>
      </c>
    </row>
    <row r="210" spans="1:16" s="1488" customFormat="1" ht="21.75">
      <c r="A210" s="1394" t="s">
        <v>2017</v>
      </c>
      <c r="B210" s="1394" t="s">
        <v>1912</v>
      </c>
      <c r="C210" s="1489">
        <v>0</v>
      </c>
      <c r="D210" s="1489">
        <v>0</v>
      </c>
      <c r="E210" s="1489">
        <v>0</v>
      </c>
      <c r="F210" s="1489">
        <v>0</v>
      </c>
      <c r="G210" s="1489">
        <v>0</v>
      </c>
      <c r="H210" s="1489">
        <v>0</v>
      </c>
      <c r="I210" s="1489">
        <v>0</v>
      </c>
      <c r="J210" s="1490">
        <v>0</v>
      </c>
      <c r="K210" s="1489">
        <v>0</v>
      </c>
      <c r="L210" s="1489">
        <v>0</v>
      </c>
      <c r="M210" s="1489">
        <v>0</v>
      </c>
      <c r="N210" s="1489">
        <v>0</v>
      </c>
      <c r="O210" s="1489">
        <v>0</v>
      </c>
      <c r="P210" s="1489">
        <v>0</v>
      </c>
    </row>
    <row r="211" spans="1:16" s="1488" customFormat="1" ht="21.75">
      <c r="A211" s="1394" t="s">
        <v>2018</v>
      </c>
      <c r="B211" s="1394" t="s">
        <v>1912</v>
      </c>
      <c r="C211" s="1489">
        <v>3525</v>
      </c>
      <c r="D211" s="1489">
        <v>3525</v>
      </c>
      <c r="E211" s="1489">
        <v>3525</v>
      </c>
      <c r="F211" s="1489">
        <v>3525</v>
      </c>
      <c r="G211" s="1489">
        <v>3525</v>
      </c>
      <c r="H211" s="1489">
        <v>3525</v>
      </c>
      <c r="I211" s="1489">
        <v>3525</v>
      </c>
      <c r="J211" s="1490">
        <v>3525</v>
      </c>
      <c r="K211" s="1489">
        <v>3525</v>
      </c>
      <c r="L211" s="1489">
        <v>3525</v>
      </c>
      <c r="M211" s="1489">
        <v>3525</v>
      </c>
      <c r="N211" s="1489">
        <v>3525</v>
      </c>
      <c r="O211" s="1489">
        <v>3525</v>
      </c>
      <c r="P211" s="1489">
        <v>3525000</v>
      </c>
    </row>
    <row r="212" spans="1:16" s="1488" customFormat="1" ht="21.75">
      <c r="A212" s="1394" t="s">
        <v>2019</v>
      </c>
      <c r="B212" s="1394" t="s">
        <v>1912</v>
      </c>
      <c r="C212" s="1489">
        <v>1</v>
      </c>
      <c r="D212" s="1489">
        <v>1</v>
      </c>
      <c r="E212" s="1489">
        <v>1</v>
      </c>
      <c r="F212" s="1489">
        <v>1</v>
      </c>
      <c r="G212" s="1489">
        <v>1</v>
      </c>
      <c r="H212" s="1489">
        <v>1</v>
      </c>
      <c r="I212" s="1489">
        <v>1</v>
      </c>
      <c r="J212" s="1490">
        <v>1</v>
      </c>
      <c r="K212" s="1489">
        <v>1</v>
      </c>
      <c r="L212" s="1489">
        <v>1</v>
      </c>
      <c r="M212" s="1489">
        <v>1</v>
      </c>
      <c r="N212" s="1489">
        <v>1</v>
      </c>
      <c r="O212" s="1489">
        <v>1</v>
      </c>
      <c r="P212" s="1489">
        <v>820</v>
      </c>
    </row>
    <row r="213" spans="1:16" s="1488" customFormat="1" ht="21.75">
      <c r="A213" s="1394" t="s">
        <v>2020</v>
      </c>
      <c r="B213" s="1394" t="s">
        <v>1912</v>
      </c>
      <c r="C213" s="1489">
        <v>175936</v>
      </c>
      <c r="D213" s="1489">
        <v>178324</v>
      </c>
      <c r="E213" s="1489">
        <v>178904</v>
      </c>
      <c r="F213" s="1489">
        <v>180180</v>
      </c>
      <c r="G213" s="1489">
        <v>179954</v>
      </c>
      <c r="H213" s="1489">
        <v>177958</v>
      </c>
      <c r="I213" s="1489">
        <v>176930</v>
      </c>
      <c r="J213" s="1490">
        <v>176986</v>
      </c>
      <c r="K213" s="1489">
        <v>187337</v>
      </c>
      <c r="L213" s="1489">
        <v>187947</v>
      </c>
      <c r="M213" s="1489">
        <v>182675</v>
      </c>
      <c r="N213" s="1489">
        <v>186820</v>
      </c>
      <c r="O213" s="1489">
        <v>189200</v>
      </c>
      <c r="P213" s="1489">
        <v>181381868</v>
      </c>
    </row>
    <row r="214" spans="1:16" s="1488" customFormat="1" ht="21.75">
      <c r="A214" s="1394" t="s">
        <v>2021</v>
      </c>
      <c r="B214" s="1394" t="s">
        <v>1912</v>
      </c>
      <c r="C214" s="1489">
        <v>89</v>
      </c>
      <c r="D214" s="1489">
        <v>89</v>
      </c>
      <c r="E214" s="1489">
        <v>89</v>
      </c>
      <c r="F214" s="1489">
        <v>89</v>
      </c>
      <c r="G214" s="1489">
        <v>89</v>
      </c>
      <c r="H214" s="1489">
        <v>89</v>
      </c>
      <c r="I214" s="1489">
        <v>89</v>
      </c>
      <c r="J214" s="1490">
        <v>89</v>
      </c>
      <c r="K214" s="1489">
        <v>89</v>
      </c>
      <c r="L214" s="1489">
        <v>89</v>
      </c>
      <c r="M214" s="1489">
        <v>89</v>
      </c>
      <c r="N214" s="1489">
        <v>89</v>
      </c>
      <c r="O214" s="1489">
        <v>89</v>
      </c>
      <c r="P214" s="1489">
        <v>89222</v>
      </c>
    </row>
    <row r="215" spans="1:16" s="1488" customFormat="1" ht="21.75">
      <c r="A215" s="1394" t="s">
        <v>2022</v>
      </c>
      <c r="B215" s="1394" t="s">
        <v>1912</v>
      </c>
      <c r="C215" s="1489">
        <v>0</v>
      </c>
      <c r="D215" s="1489">
        <v>0</v>
      </c>
      <c r="E215" s="1489">
        <v>0</v>
      </c>
      <c r="F215" s="1489">
        <v>0</v>
      </c>
      <c r="G215" s="1489">
        <v>0</v>
      </c>
      <c r="H215" s="1489">
        <v>0</v>
      </c>
      <c r="I215" s="1489">
        <v>0</v>
      </c>
      <c r="J215" s="1490">
        <v>0</v>
      </c>
      <c r="K215" s="1489">
        <v>0</v>
      </c>
      <c r="L215" s="1489">
        <v>0</v>
      </c>
      <c r="M215" s="1489">
        <v>0</v>
      </c>
      <c r="N215" s="1489">
        <v>0</v>
      </c>
      <c r="O215" s="1489">
        <v>0</v>
      </c>
      <c r="P215" s="1489">
        <v>0</v>
      </c>
    </row>
    <row r="216" spans="1:16" s="1488" customFormat="1" ht="21.75">
      <c r="A216" s="1394" t="s">
        <v>2023</v>
      </c>
      <c r="B216" s="1394" t="s">
        <v>1912</v>
      </c>
      <c r="C216" s="1489">
        <v>0</v>
      </c>
      <c r="D216" s="1489">
        <v>0</v>
      </c>
      <c r="E216" s="1489">
        <v>0</v>
      </c>
      <c r="F216" s="1489">
        <v>0</v>
      </c>
      <c r="G216" s="1489">
        <v>0</v>
      </c>
      <c r="H216" s="1489">
        <v>0</v>
      </c>
      <c r="I216" s="1489">
        <v>0</v>
      </c>
      <c r="J216" s="1490">
        <v>0</v>
      </c>
      <c r="K216" s="1489">
        <v>0</v>
      </c>
      <c r="L216" s="1489">
        <v>0</v>
      </c>
      <c r="M216" s="1489">
        <v>0</v>
      </c>
      <c r="N216" s="1489">
        <v>0</v>
      </c>
      <c r="O216" s="1489">
        <v>0</v>
      </c>
      <c r="P216" s="1489">
        <v>0</v>
      </c>
    </row>
    <row r="217" spans="1:16" s="1488" customFormat="1" ht="21.75">
      <c r="A217" s="1394" t="s">
        <v>2024</v>
      </c>
      <c r="B217" s="1394" t="s">
        <v>1912</v>
      </c>
      <c r="C217" s="1489">
        <v>0</v>
      </c>
      <c r="D217" s="1489">
        <v>65</v>
      </c>
      <c r="E217" s="1489">
        <v>65</v>
      </c>
      <c r="F217" s="1489">
        <v>65</v>
      </c>
      <c r="G217" s="1489">
        <v>65</v>
      </c>
      <c r="H217" s="1489">
        <v>65</v>
      </c>
      <c r="I217" s="1489">
        <v>65</v>
      </c>
      <c r="J217" s="1490">
        <v>65</v>
      </c>
      <c r="K217" s="1489">
        <v>65</v>
      </c>
      <c r="L217" s="1489">
        <v>65</v>
      </c>
      <c r="M217" s="1489">
        <v>65</v>
      </c>
      <c r="N217" s="1489">
        <v>65</v>
      </c>
      <c r="O217" s="1489">
        <v>65</v>
      </c>
      <c r="P217" s="1489">
        <v>61925</v>
      </c>
    </row>
    <row r="218" spans="1:16" s="1488" customFormat="1" ht="21.75">
      <c r="A218" s="1394" t="s">
        <v>2025</v>
      </c>
      <c r="B218" s="1394" t="s">
        <v>1912</v>
      </c>
      <c r="C218" s="1489">
        <v>242075</v>
      </c>
      <c r="D218" s="1489">
        <v>241427</v>
      </c>
      <c r="E218" s="1489">
        <v>242535</v>
      </c>
      <c r="F218" s="1489">
        <v>244816</v>
      </c>
      <c r="G218" s="1489">
        <v>246473</v>
      </c>
      <c r="H218" s="1489">
        <v>247494</v>
      </c>
      <c r="I218" s="1489">
        <v>249956</v>
      </c>
      <c r="J218" s="1490">
        <v>251236</v>
      </c>
      <c r="K218" s="1489">
        <v>252397</v>
      </c>
      <c r="L218" s="1489">
        <v>253653</v>
      </c>
      <c r="M218" s="1489">
        <v>255288</v>
      </c>
      <c r="N218" s="1489">
        <v>256393</v>
      </c>
      <c r="O218" s="1489">
        <v>258575</v>
      </c>
      <c r="P218" s="1489">
        <v>249332744</v>
      </c>
    </row>
    <row r="219" spans="1:16" s="1488" customFormat="1" ht="21.75">
      <c r="A219" s="1394" t="s">
        <v>2026</v>
      </c>
      <c r="B219" s="1394" t="s">
        <v>1912</v>
      </c>
      <c r="C219" s="1489">
        <v>348</v>
      </c>
      <c r="D219" s="1489">
        <v>348</v>
      </c>
      <c r="E219" s="1489">
        <v>348</v>
      </c>
      <c r="F219" s="1489">
        <v>348</v>
      </c>
      <c r="G219" s="1489">
        <v>348</v>
      </c>
      <c r="H219" s="1489">
        <v>348</v>
      </c>
      <c r="I219" s="1489">
        <v>348</v>
      </c>
      <c r="J219" s="1490">
        <v>348</v>
      </c>
      <c r="K219" s="1489">
        <v>348</v>
      </c>
      <c r="L219" s="1489">
        <v>348</v>
      </c>
      <c r="M219" s="1489">
        <v>348</v>
      </c>
      <c r="N219" s="1489">
        <v>348</v>
      </c>
      <c r="O219" s="1489">
        <v>348</v>
      </c>
      <c r="P219" s="1489">
        <v>348439</v>
      </c>
    </row>
    <row r="220" spans="1:16" s="1488" customFormat="1" ht="21.75">
      <c r="A220" s="1394" t="s">
        <v>2027</v>
      </c>
      <c r="B220" s="1394" t="s">
        <v>1912</v>
      </c>
      <c r="C220" s="1489">
        <v>1536</v>
      </c>
      <c r="D220" s="1489">
        <v>1536</v>
      </c>
      <c r="E220" s="1489">
        <v>1536</v>
      </c>
      <c r="F220" s="1489">
        <v>1536</v>
      </c>
      <c r="G220" s="1489">
        <v>1536</v>
      </c>
      <c r="H220" s="1489">
        <v>1536</v>
      </c>
      <c r="I220" s="1489">
        <v>1536</v>
      </c>
      <c r="J220" s="1490">
        <v>1562</v>
      </c>
      <c r="K220" s="1489">
        <v>1562</v>
      </c>
      <c r="L220" s="1489">
        <v>1536</v>
      </c>
      <c r="M220" s="1489">
        <v>1914</v>
      </c>
      <c r="N220" s="1489">
        <v>1921</v>
      </c>
      <c r="O220" s="1489">
        <v>1921</v>
      </c>
      <c r="P220" s="1489">
        <v>1620079</v>
      </c>
    </row>
    <row r="221" spans="1:16" s="1488" customFormat="1" ht="21.75">
      <c r="A221" s="1394" t="s">
        <v>2028</v>
      </c>
      <c r="B221" s="1394" t="s">
        <v>1912</v>
      </c>
      <c r="C221" s="1489">
        <v>139980</v>
      </c>
      <c r="D221" s="1489">
        <v>139143</v>
      </c>
      <c r="E221" s="1489">
        <v>139393</v>
      </c>
      <c r="F221" s="1489">
        <v>139652</v>
      </c>
      <c r="G221" s="1489">
        <v>141011</v>
      </c>
      <c r="H221" s="1489">
        <v>142706</v>
      </c>
      <c r="I221" s="1489">
        <v>145399</v>
      </c>
      <c r="J221" s="1490">
        <v>145071</v>
      </c>
      <c r="K221" s="1489">
        <v>148760</v>
      </c>
      <c r="L221" s="1489">
        <v>157210</v>
      </c>
      <c r="M221" s="1489">
        <v>154791</v>
      </c>
      <c r="N221" s="1489">
        <v>160753</v>
      </c>
      <c r="O221" s="1489">
        <v>165435</v>
      </c>
      <c r="P221" s="1489">
        <v>147216435</v>
      </c>
    </row>
    <row r="222" spans="1:16" s="1488" customFormat="1" ht="21.75">
      <c r="A222" s="1394" t="s">
        <v>2029</v>
      </c>
      <c r="B222" s="1394" t="s">
        <v>1912</v>
      </c>
      <c r="C222" s="1489">
        <v>1605</v>
      </c>
      <c r="D222" s="1489">
        <v>1605</v>
      </c>
      <c r="E222" s="1489">
        <v>1605</v>
      </c>
      <c r="F222" s="1489">
        <v>1605</v>
      </c>
      <c r="G222" s="1489">
        <v>1605</v>
      </c>
      <c r="H222" s="1489">
        <v>1605</v>
      </c>
      <c r="I222" s="1489">
        <v>1605</v>
      </c>
      <c r="J222" s="1490">
        <v>1605</v>
      </c>
      <c r="K222" s="1489">
        <v>1605</v>
      </c>
      <c r="L222" s="1489">
        <v>1605</v>
      </c>
      <c r="M222" s="1489">
        <v>1605</v>
      </c>
      <c r="N222" s="1489">
        <v>1605</v>
      </c>
      <c r="O222" s="1489">
        <v>1605</v>
      </c>
      <c r="P222" s="1489">
        <v>1604689</v>
      </c>
    </row>
    <row r="223" spans="1:16" ht="21.75">
      <c r="A223" s="1394" t="s">
        <v>2030</v>
      </c>
      <c r="B223" s="1394" t="s">
        <v>1912</v>
      </c>
      <c r="C223" s="1489">
        <v>1421</v>
      </c>
      <c r="D223" s="1489">
        <v>1421</v>
      </c>
      <c r="E223" s="1489">
        <v>1421</v>
      </c>
      <c r="F223" s="1489">
        <v>1421</v>
      </c>
      <c r="G223" s="1489">
        <v>1421</v>
      </c>
      <c r="H223" s="1489">
        <v>0</v>
      </c>
      <c r="I223" s="1489">
        <v>0</v>
      </c>
      <c r="J223" s="1490">
        <v>0</v>
      </c>
      <c r="K223" s="1489">
        <v>0</v>
      </c>
      <c r="L223" s="1489">
        <v>0</v>
      </c>
      <c r="M223" s="1489">
        <v>0</v>
      </c>
      <c r="N223" s="1489">
        <v>0</v>
      </c>
      <c r="O223" s="1489">
        <v>0</v>
      </c>
      <c r="P223" s="1489">
        <v>532883</v>
      </c>
    </row>
    <row r="224" spans="1:16" s="1488" customFormat="1" ht="21.75">
      <c r="A224" s="1394" t="s">
        <v>2031</v>
      </c>
      <c r="B224" s="1394" t="s">
        <v>1912</v>
      </c>
      <c r="C224" s="1489">
        <v>16</v>
      </c>
      <c r="D224" s="1489">
        <v>16</v>
      </c>
      <c r="E224" s="1489">
        <v>16</v>
      </c>
      <c r="F224" s="1489">
        <v>16</v>
      </c>
      <c r="G224" s="1489">
        <v>16</v>
      </c>
      <c r="H224" s="1489">
        <v>16</v>
      </c>
      <c r="I224" s="1489">
        <v>16</v>
      </c>
      <c r="J224" s="1490">
        <v>16</v>
      </c>
      <c r="K224" s="1489">
        <v>16</v>
      </c>
      <c r="L224" s="1489">
        <v>16</v>
      </c>
      <c r="M224" s="1489">
        <v>16</v>
      </c>
      <c r="N224" s="1489">
        <v>16</v>
      </c>
      <c r="O224" s="1489">
        <v>16</v>
      </c>
      <c r="P224" s="1489">
        <v>16401</v>
      </c>
    </row>
    <row r="225" spans="1:16" s="1488" customFormat="1" ht="21.75">
      <c r="A225" s="1394" t="s">
        <v>2032</v>
      </c>
      <c r="B225" s="1394" t="s">
        <v>1912</v>
      </c>
      <c r="C225" s="1489">
        <v>137</v>
      </c>
      <c r="D225" s="1489">
        <v>137</v>
      </c>
      <c r="E225" s="1489">
        <v>137</v>
      </c>
      <c r="F225" s="1489">
        <v>137</v>
      </c>
      <c r="G225" s="1489">
        <v>137</v>
      </c>
      <c r="H225" s="1489">
        <v>137</v>
      </c>
      <c r="I225" s="1489">
        <v>137</v>
      </c>
      <c r="J225" s="1490">
        <v>137</v>
      </c>
      <c r="K225" s="1489">
        <v>137</v>
      </c>
      <c r="L225" s="1489">
        <v>137</v>
      </c>
      <c r="M225" s="1489">
        <v>137</v>
      </c>
      <c r="N225" s="1489">
        <v>137</v>
      </c>
      <c r="O225" s="1489">
        <v>137</v>
      </c>
      <c r="P225" s="1489">
        <v>136645</v>
      </c>
    </row>
    <row r="226" spans="1:16" s="1488" customFormat="1" ht="21.75">
      <c r="A226" s="1394" t="s">
        <v>2033</v>
      </c>
      <c r="B226" s="1394" t="s">
        <v>1912</v>
      </c>
      <c r="C226" s="1489">
        <v>0</v>
      </c>
      <c r="D226" s="1489">
        <v>0</v>
      </c>
      <c r="E226" s="1489">
        <v>0</v>
      </c>
      <c r="F226" s="1489">
        <v>0</v>
      </c>
      <c r="G226" s="1489">
        <v>0</v>
      </c>
      <c r="H226" s="1489">
        <v>0</v>
      </c>
      <c r="I226" s="1489">
        <v>0</v>
      </c>
      <c r="J226" s="1490">
        <v>0</v>
      </c>
      <c r="K226" s="1489">
        <v>0</v>
      </c>
      <c r="L226" s="1489">
        <v>0</v>
      </c>
      <c r="M226" s="1489">
        <v>0</v>
      </c>
      <c r="N226" s="1489">
        <v>0</v>
      </c>
      <c r="O226" s="1489">
        <v>0</v>
      </c>
      <c r="P226" s="1489">
        <v>0</v>
      </c>
    </row>
    <row r="227" spans="1:16" s="1488" customFormat="1" ht="21.75">
      <c r="A227" s="1394" t="s">
        <v>2034</v>
      </c>
      <c r="B227" s="1394" t="s">
        <v>1912</v>
      </c>
      <c r="C227" s="1489">
        <v>63</v>
      </c>
      <c r="D227" s="1489">
        <v>63</v>
      </c>
      <c r="E227" s="1489">
        <v>63</v>
      </c>
      <c r="F227" s="1489">
        <v>63</v>
      </c>
      <c r="G227" s="1489">
        <v>63</v>
      </c>
      <c r="H227" s="1489">
        <v>63</v>
      </c>
      <c r="I227" s="1489">
        <v>63</v>
      </c>
      <c r="J227" s="1490">
        <v>63</v>
      </c>
      <c r="K227" s="1489">
        <v>63</v>
      </c>
      <c r="L227" s="1489">
        <v>63</v>
      </c>
      <c r="M227" s="1489">
        <v>63</v>
      </c>
      <c r="N227" s="1489">
        <v>63</v>
      </c>
      <c r="O227" s="1489">
        <v>63</v>
      </c>
      <c r="P227" s="1489">
        <v>62500</v>
      </c>
    </row>
    <row r="228" spans="1:16" s="1488" customFormat="1" ht="21.75">
      <c r="A228" s="1394" t="s">
        <v>2035</v>
      </c>
      <c r="B228" s="1394" t="s">
        <v>1912</v>
      </c>
      <c r="C228" s="1489">
        <v>366</v>
      </c>
      <c r="D228" s="1489">
        <v>366</v>
      </c>
      <c r="E228" s="1489">
        <v>366</v>
      </c>
      <c r="F228" s="1489">
        <v>366</v>
      </c>
      <c r="G228" s="1489">
        <v>366</v>
      </c>
      <c r="H228" s="1489">
        <v>366</v>
      </c>
      <c r="I228" s="1489">
        <v>366</v>
      </c>
      <c r="J228" s="1490">
        <v>366</v>
      </c>
      <c r="K228" s="1489">
        <v>366</v>
      </c>
      <c r="L228" s="1489">
        <v>366</v>
      </c>
      <c r="M228" s="1489">
        <v>366</v>
      </c>
      <c r="N228" s="1489">
        <v>366</v>
      </c>
      <c r="O228" s="1489">
        <v>366</v>
      </c>
      <c r="P228" s="1489">
        <v>365727</v>
      </c>
    </row>
    <row r="229" spans="1:16" s="1488" customFormat="1" ht="21.75">
      <c r="A229" s="1394" t="s">
        <v>2036</v>
      </c>
      <c r="B229" s="1394" t="s">
        <v>1912</v>
      </c>
      <c r="C229" s="1489">
        <v>1008</v>
      </c>
      <c r="D229" s="1489">
        <v>1008</v>
      </c>
      <c r="E229" s="1489">
        <v>1008</v>
      </c>
      <c r="F229" s="1489">
        <v>1008</v>
      </c>
      <c r="G229" s="1489">
        <v>1008</v>
      </c>
      <c r="H229" s="1489">
        <v>1008</v>
      </c>
      <c r="I229" s="1489">
        <v>1008</v>
      </c>
      <c r="J229" s="1490">
        <v>1008</v>
      </c>
      <c r="K229" s="1489">
        <v>1008</v>
      </c>
      <c r="L229" s="1489">
        <v>1008</v>
      </c>
      <c r="M229" s="1489">
        <v>1006</v>
      </c>
      <c r="N229" s="1489">
        <v>1006</v>
      </c>
      <c r="O229" s="1489">
        <v>1006</v>
      </c>
      <c r="P229" s="1489">
        <v>1007855</v>
      </c>
    </row>
    <row r="230" spans="1:16" s="1488" customFormat="1" ht="21.75">
      <c r="A230" s="1394" t="s">
        <v>2037</v>
      </c>
      <c r="B230" s="1394" t="s">
        <v>1912</v>
      </c>
      <c r="C230" s="1489">
        <v>7</v>
      </c>
      <c r="D230" s="1489">
        <v>7</v>
      </c>
      <c r="E230" s="1489">
        <v>7</v>
      </c>
      <c r="F230" s="1489">
        <v>7</v>
      </c>
      <c r="G230" s="1489">
        <v>7</v>
      </c>
      <c r="H230" s="1489">
        <v>7</v>
      </c>
      <c r="I230" s="1489">
        <v>7</v>
      </c>
      <c r="J230" s="1490">
        <v>7</v>
      </c>
      <c r="K230" s="1489">
        <v>7</v>
      </c>
      <c r="L230" s="1489">
        <v>7</v>
      </c>
      <c r="M230" s="1489">
        <v>7</v>
      </c>
      <c r="N230" s="1489">
        <v>7</v>
      </c>
      <c r="O230" s="1489">
        <v>7</v>
      </c>
      <c r="P230" s="1489">
        <v>7144</v>
      </c>
    </row>
    <row r="231" spans="1:16" s="1488" customFormat="1" ht="21.75">
      <c r="A231" s="1394" t="s">
        <v>2038</v>
      </c>
      <c r="B231" s="1394" t="s">
        <v>1912</v>
      </c>
      <c r="C231" s="1489">
        <v>8</v>
      </c>
      <c r="D231" s="1489">
        <v>8</v>
      </c>
      <c r="E231" s="1489">
        <v>8</v>
      </c>
      <c r="F231" s="1489">
        <v>8</v>
      </c>
      <c r="G231" s="1489">
        <v>8</v>
      </c>
      <c r="H231" s="1489">
        <v>8</v>
      </c>
      <c r="I231" s="1489">
        <v>8</v>
      </c>
      <c r="J231" s="1490">
        <v>8</v>
      </c>
      <c r="K231" s="1489">
        <v>8</v>
      </c>
      <c r="L231" s="1489">
        <v>8</v>
      </c>
      <c r="M231" s="1489">
        <v>8</v>
      </c>
      <c r="N231" s="1489">
        <v>8</v>
      </c>
      <c r="O231" s="1489">
        <v>8</v>
      </c>
      <c r="P231" s="1489">
        <v>8021</v>
      </c>
    </row>
    <row r="232" spans="1:16" s="1488" customFormat="1" ht="21.75">
      <c r="A232" s="1394" t="s">
        <v>2039</v>
      </c>
      <c r="B232" s="1394" t="s">
        <v>1912</v>
      </c>
      <c r="C232" s="1489">
        <v>58</v>
      </c>
      <c r="D232" s="1489">
        <v>58</v>
      </c>
      <c r="E232" s="1489">
        <v>58</v>
      </c>
      <c r="F232" s="1489">
        <v>58</v>
      </c>
      <c r="G232" s="1489">
        <v>58</v>
      </c>
      <c r="H232" s="1489">
        <v>58</v>
      </c>
      <c r="I232" s="1489">
        <v>58</v>
      </c>
      <c r="J232" s="1490">
        <v>58</v>
      </c>
      <c r="K232" s="1489">
        <v>58</v>
      </c>
      <c r="L232" s="1489">
        <v>58</v>
      </c>
      <c r="M232" s="1489">
        <v>58</v>
      </c>
      <c r="N232" s="1489">
        <v>58</v>
      </c>
      <c r="O232" s="1489">
        <v>58</v>
      </c>
      <c r="P232" s="1489">
        <v>58438</v>
      </c>
    </row>
    <row r="233" spans="1:16" s="1488" customFormat="1" ht="21.75">
      <c r="A233" s="1394" t="s">
        <v>2040</v>
      </c>
      <c r="B233" s="1394" t="s">
        <v>1912</v>
      </c>
      <c r="C233" s="1489">
        <v>28</v>
      </c>
      <c r="D233" s="1489">
        <v>28</v>
      </c>
      <c r="E233" s="1489">
        <v>28</v>
      </c>
      <c r="F233" s="1489">
        <v>28</v>
      </c>
      <c r="G233" s="1489">
        <v>28</v>
      </c>
      <c r="H233" s="1489">
        <v>28</v>
      </c>
      <c r="I233" s="1489">
        <v>28</v>
      </c>
      <c r="J233" s="1490">
        <v>28</v>
      </c>
      <c r="K233" s="1489">
        <v>28</v>
      </c>
      <c r="L233" s="1489">
        <v>28</v>
      </c>
      <c r="M233" s="1489">
        <v>28</v>
      </c>
      <c r="N233" s="1489">
        <v>28</v>
      </c>
      <c r="O233" s="1489">
        <v>28</v>
      </c>
      <c r="P233" s="1489">
        <v>27679</v>
      </c>
    </row>
    <row r="234" spans="1:16" s="1488" customFormat="1" ht="21.75">
      <c r="A234" s="1394" t="s">
        <v>2041</v>
      </c>
      <c r="B234" s="1394" t="s">
        <v>1912</v>
      </c>
      <c r="C234" s="1489">
        <v>0</v>
      </c>
      <c r="D234" s="1489">
        <v>0</v>
      </c>
      <c r="E234" s="1489">
        <v>0</v>
      </c>
      <c r="F234" s="1489">
        <v>0</v>
      </c>
      <c r="G234" s="1489">
        <v>0</v>
      </c>
      <c r="H234" s="1489">
        <v>0</v>
      </c>
      <c r="I234" s="1489">
        <v>0</v>
      </c>
      <c r="J234" s="1490">
        <v>0</v>
      </c>
      <c r="K234" s="1489">
        <v>0</v>
      </c>
      <c r="L234" s="1489">
        <v>0</v>
      </c>
      <c r="M234" s="1489">
        <v>0</v>
      </c>
      <c r="N234" s="1489">
        <v>0</v>
      </c>
      <c r="O234" s="1489">
        <v>0</v>
      </c>
      <c r="P234" s="1489">
        <v>0</v>
      </c>
    </row>
    <row r="235" spans="1:16" s="1488" customFormat="1" ht="21.75">
      <c r="A235" s="1394" t="s">
        <v>2042</v>
      </c>
      <c r="B235" s="1394" t="s">
        <v>1912</v>
      </c>
      <c r="C235" s="1489">
        <v>0</v>
      </c>
      <c r="D235" s="1489">
        <v>0</v>
      </c>
      <c r="E235" s="1489">
        <v>0</v>
      </c>
      <c r="F235" s="1489">
        <v>0</v>
      </c>
      <c r="G235" s="1489">
        <v>0</v>
      </c>
      <c r="H235" s="1489">
        <v>0</v>
      </c>
      <c r="I235" s="1489">
        <v>0</v>
      </c>
      <c r="J235" s="1490">
        <v>0</v>
      </c>
      <c r="K235" s="1489">
        <v>0</v>
      </c>
      <c r="L235" s="1489">
        <v>0</v>
      </c>
      <c r="M235" s="1489">
        <v>0</v>
      </c>
      <c r="N235" s="1489">
        <v>0</v>
      </c>
      <c r="O235" s="1489">
        <v>0</v>
      </c>
      <c r="P235" s="1489">
        <v>0</v>
      </c>
    </row>
    <row r="236" spans="1:16" s="1488" customFormat="1" ht="21.75">
      <c r="A236" s="1394" t="s">
        <v>2043</v>
      </c>
      <c r="B236" s="1394" t="s">
        <v>1912</v>
      </c>
      <c r="C236" s="1489">
        <v>75</v>
      </c>
      <c r="D236" s="1489">
        <v>75</v>
      </c>
      <c r="E236" s="1489">
        <v>75</v>
      </c>
      <c r="F236" s="1489">
        <v>75</v>
      </c>
      <c r="G236" s="1489">
        <v>75</v>
      </c>
      <c r="H236" s="1489">
        <v>75</v>
      </c>
      <c r="I236" s="1489">
        <v>75</v>
      </c>
      <c r="J236" s="1490">
        <v>75</v>
      </c>
      <c r="K236" s="1489">
        <v>75</v>
      </c>
      <c r="L236" s="1489">
        <v>75</v>
      </c>
      <c r="M236" s="1489">
        <v>75</v>
      </c>
      <c r="N236" s="1489">
        <v>75</v>
      </c>
      <c r="O236" s="1489">
        <v>75</v>
      </c>
      <c r="P236" s="1489">
        <v>75387</v>
      </c>
    </row>
    <row r="237" spans="1:16" s="1488" customFormat="1" ht="21.75">
      <c r="A237" s="1394" t="s">
        <v>2044</v>
      </c>
      <c r="B237" s="1394" t="s">
        <v>1912</v>
      </c>
      <c r="C237" s="1489">
        <v>280559</v>
      </c>
      <c r="D237" s="1489">
        <v>281300</v>
      </c>
      <c r="E237" s="1489">
        <v>282191</v>
      </c>
      <c r="F237" s="1489">
        <v>283885</v>
      </c>
      <c r="G237" s="1489">
        <v>286141</v>
      </c>
      <c r="H237" s="1489">
        <v>287306</v>
      </c>
      <c r="I237" s="1489">
        <v>290982</v>
      </c>
      <c r="J237" s="1490">
        <v>292382</v>
      </c>
      <c r="K237" s="1489">
        <v>294221</v>
      </c>
      <c r="L237" s="1489">
        <v>296135</v>
      </c>
      <c r="M237" s="1489">
        <v>297783</v>
      </c>
      <c r="N237" s="1489">
        <v>299115</v>
      </c>
      <c r="O237" s="1489">
        <v>301770</v>
      </c>
      <c r="P237" s="1489">
        <v>290217045</v>
      </c>
    </row>
    <row r="238" spans="1:16" s="1488" customFormat="1" ht="21.75">
      <c r="A238" s="1394" t="s">
        <v>2045</v>
      </c>
      <c r="B238" s="1394" t="s">
        <v>1912</v>
      </c>
      <c r="C238" s="1489">
        <v>1168</v>
      </c>
      <c r="D238" s="1489">
        <v>1168</v>
      </c>
      <c r="E238" s="1489">
        <v>1168</v>
      </c>
      <c r="F238" s="1489">
        <v>1168</v>
      </c>
      <c r="G238" s="1489">
        <v>1168</v>
      </c>
      <c r="H238" s="1489">
        <v>1168</v>
      </c>
      <c r="I238" s="1489">
        <v>1168</v>
      </c>
      <c r="J238" s="1490">
        <v>1168</v>
      </c>
      <c r="K238" s="1489">
        <v>1168</v>
      </c>
      <c r="L238" s="1489">
        <v>1168</v>
      </c>
      <c r="M238" s="1489">
        <v>1168</v>
      </c>
      <c r="N238" s="1489">
        <v>1168</v>
      </c>
      <c r="O238" s="1489">
        <v>1168</v>
      </c>
      <c r="P238" s="1489">
        <v>1167865</v>
      </c>
    </row>
    <row r="239" spans="1:16" s="1488" customFormat="1" ht="21.75">
      <c r="A239" s="1394" t="s">
        <v>2046</v>
      </c>
      <c r="B239" s="1394" t="s">
        <v>1912</v>
      </c>
      <c r="C239" s="1489">
        <v>1383</v>
      </c>
      <c r="D239" s="1489">
        <v>1383</v>
      </c>
      <c r="E239" s="1489">
        <v>1383</v>
      </c>
      <c r="F239" s="1489">
        <v>1383</v>
      </c>
      <c r="G239" s="1489">
        <v>1383</v>
      </c>
      <c r="H239" s="1489">
        <v>1383</v>
      </c>
      <c r="I239" s="1489">
        <v>1383</v>
      </c>
      <c r="J239" s="1490">
        <v>1383</v>
      </c>
      <c r="K239" s="1489">
        <v>1383</v>
      </c>
      <c r="L239" s="1489">
        <v>1383</v>
      </c>
      <c r="M239" s="1489">
        <v>1383</v>
      </c>
      <c r="N239" s="1489">
        <v>1383</v>
      </c>
      <c r="O239" s="1489">
        <v>1383</v>
      </c>
      <c r="P239" s="1489">
        <v>1382525</v>
      </c>
    </row>
    <row r="240" spans="1:16" s="1488" customFormat="1" ht="21.75">
      <c r="A240" s="1394" t="s">
        <v>2047</v>
      </c>
      <c r="B240" s="1394" t="s">
        <v>1912</v>
      </c>
      <c r="C240" s="1489">
        <v>14</v>
      </c>
      <c r="D240" s="1489">
        <v>14</v>
      </c>
      <c r="E240" s="1489">
        <v>14</v>
      </c>
      <c r="F240" s="1489">
        <v>14</v>
      </c>
      <c r="G240" s="1489">
        <v>14</v>
      </c>
      <c r="H240" s="1489">
        <v>14</v>
      </c>
      <c r="I240" s="1489">
        <v>14</v>
      </c>
      <c r="J240" s="1490">
        <v>14</v>
      </c>
      <c r="K240" s="1489">
        <v>14</v>
      </c>
      <c r="L240" s="1489">
        <v>14</v>
      </c>
      <c r="M240" s="1489">
        <v>14</v>
      </c>
      <c r="N240" s="1489">
        <v>14</v>
      </c>
      <c r="O240" s="1489">
        <v>14</v>
      </c>
      <c r="P240" s="1489">
        <v>13620</v>
      </c>
    </row>
    <row r="241" spans="1:16" s="1488" customFormat="1" ht="15" customHeight="1">
      <c r="A241" s="1394" t="s">
        <v>2048</v>
      </c>
      <c r="B241" s="1394" t="s">
        <v>1912</v>
      </c>
      <c r="C241" s="1489">
        <v>3</v>
      </c>
      <c r="D241" s="1489">
        <v>3</v>
      </c>
      <c r="E241" s="1489">
        <v>3</v>
      </c>
      <c r="F241" s="1489">
        <v>3</v>
      </c>
      <c r="G241" s="1489">
        <v>3</v>
      </c>
      <c r="H241" s="1489">
        <v>3</v>
      </c>
      <c r="I241" s="1489">
        <v>3</v>
      </c>
      <c r="J241" s="1490">
        <v>3</v>
      </c>
      <c r="K241" s="1489">
        <v>3</v>
      </c>
      <c r="L241" s="1489">
        <v>3</v>
      </c>
      <c r="M241" s="1489">
        <v>3</v>
      </c>
      <c r="N241" s="1489">
        <v>3</v>
      </c>
      <c r="O241" s="1489">
        <v>3</v>
      </c>
      <c r="P241" s="1489">
        <v>2551</v>
      </c>
    </row>
    <row r="242" spans="1:16" s="1488" customFormat="1" ht="21.75">
      <c r="A242" s="1394" t="s">
        <v>2049</v>
      </c>
      <c r="B242" s="1394" t="s">
        <v>1912</v>
      </c>
      <c r="C242" s="1489">
        <v>60</v>
      </c>
      <c r="D242" s="1489">
        <v>60</v>
      </c>
      <c r="E242" s="1489">
        <v>60</v>
      </c>
      <c r="F242" s="1489">
        <v>60</v>
      </c>
      <c r="G242" s="1489">
        <v>60</v>
      </c>
      <c r="H242" s="1489">
        <v>60</v>
      </c>
      <c r="I242" s="1489">
        <v>60</v>
      </c>
      <c r="J242" s="1490">
        <v>60</v>
      </c>
      <c r="K242" s="1489">
        <v>60</v>
      </c>
      <c r="L242" s="1489">
        <v>60</v>
      </c>
      <c r="M242" s="1489">
        <v>60</v>
      </c>
      <c r="N242" s="1489">
        <v>60</v>
      </c>
      <c r="O242" s="1489">
        <v>60</v>
      </c>
      <c r="P242" s="1489">
        <v>60011</v>
      </c>
    </row>
    <row r="243" spans="1:16" s="1488" customFormat="1" ht="21.75">
      <c r="A243" s="1394" t="s">
        <v>2050</v>
      </c>
      <c r="B243" s="1394" t="s">
        <v>1912</v>
      </c>
      <c r="C243" s="1489">
        <v>0</v>
      </c>
      <c r="D243" s="1489">
        <v>0</v>
      </c>
      <c r="E243" s="1489">
        <v>0</v>
      </c>
      <c r="F243" s="1489">
        <v>0</v>
      </c>
      <c r="G243" s="1489">
        <v>0</v>
      </c>
      <c r="H243" s="1489">
        <v>0</v>
      </c>
      <c r="I243" s="1489">
        <v>0</v>
      </c>
      <c r="J243" s="1490">
        <v>0</v>
      </c>
      <c r="K243" s="1489">
        <v>0</v>
      </c>
      <c r="L243" s="1489">
        <v>0</v>
      </c>
      <c r="M243" s="1489">
        <v>0</v>
      </c>
      <c r="N243" s="1489">
        <v>0</v>
      </c>
      <c r="O243" s="1489">
        <v>0</v>
      </c>
      <c r="P243" s="1489">
        <v>0</v>
      </c>
    </row>
    <row r="244" spans="1:16" s="1488" customFormat="1" ht="21.75">
      <c r="A244" s="1394" t="s">
        <v>2051</v>
      </c>
      <c r="B244" s="1394" t="s">
        <v>1912</v>
      </c>
      <c r="C244" s="1489">
        <v>63</v>
      </c>
      <c r="D244" s="1489">
        <v>63</v>
      </c>
      <c r="E244" s="1489">
        <v>63</v>
      </c>
      <c r="F244" s="1489">
        <v>63</v>
      </c>
      <c r="G244" s="1489">
        <v>63</v>
      </c>
      <c r="H244" s="1489">
        <v>63</v>
      </c>
      <c r="I244" s="1489">
        <v>63</v>
      </c>
      <c r="J244" s="1490">
        <v>63</v>
      </c>
      <c r="K244" s="1489">
        <v>63</v>
      </c>
      <c r="L244" s="1489">
        <v>63</v>
      </c>
      <c r="M244" s="1489">
        <v>63</v>
      </c>
      <c r="N244" s="1489">
        <v>63</v>
      </c>
      <c r="O244" s="1489">
        <v>63</v>
      </c>
      <c r="P244" s="1489">
        <v>62500</v>
      </c>
    </row>
    <row r="245" spans="1:16" s="1488" customFormat="1" ht="21.75">
      <c r="A245" s="1394" t="s">
        <v>2052</v>
      </c>
      <c r="B245" s="1394" t="s">
        <v>1912</v>
      </c>
      <c r="C245" s="1489">
        <v>404</v>
      </c>
      <c r="D245" s="1489">
        <v>404</v>
      </c>
      <c r="E245" s="1489">
        <v>404</v>
      </c>
      <c r="F245" s="1489">
        <v>404</v>
      </c>
      <c r="G245" s="1489">
        <v>404</v>
      </c>
      <c r="H245" s="1489">
        <v>404</v>
      </c>
      <c r="I245" s="1489">
        <v>404</v>
      </c>
      <c r="J245" s="1490">
        <v>404</v>
      </c>
      <c r="K245" s="1489">
        <v>404</v>
      </c>
      <c r="L245" s="1489">
        <v>404</v>
      </c>
      <c r="M245" s="1489">
        <v>404</v>
      </c>
      <c r="N245" s="1489">
        <v>743</v>
      </c>
      <c r="O245" s="1489">
        <v>743</v>
      </c>
      <c r="P245" s="1489">
        <v>446251</v>
      </c>
    </row>
    <row r="246" spans="1:16" s="1488" customFormat="1" ht="21.75">
      <c r="A246" s="1394" t="s">
        <v>2053</v>
      </c>
      <c r="B246" s="1394" t="s">
        <v>1912</v>
      </c>
      <c r="C246" s="1489">
        <v>121051</v>
      </c>
      <c r="D246" s="1489">
        <v>120099</v>
      </c>
      <c r="E246" s="1489">
        <v>120244</v>
      </c>
      <c r="F246" s="1489">
        <v>120188</v>
      </c>
      <c r="G246" s="1489">
        <v>120569</v>
      </c>
      <c r="H246" s="1489">
        <v>121490</v>
      </c>
      <c r="I246" s="1489">
        <v>121783</v>
      </c>
      <c r="J246" s="1490">
        <v>121595</v>
      </c>
      <c r="K246" s="1489">
        <v>123537</v>
      </c>
      <c r="L246" s="1489">
        <v>123657</v>
      </c>
      <c r="M246" s="1489">
        <v>125510</v>
      </c>
      <c r="N246" s="1489">
        <v>127927</v>
      </c>
      <c r="O246" s="1489">
        <v>128464</v>
      </c>
      <c r="P246" s="1489">
        <v>122613197</v>
      </c>
    </row>
    <row r="247" spans="1:16" s="1488" customFormat="1" ht="21.75">
      <c r="A247" s="1394" t="s">
        <v>2054</v>
      </c>
      <c r="B247" s="1394" t="s">
        <v>1912</v>
      </c>
      <c r="C247" s="1489">
        <v>947</v>
      </c>
      <c r="D247" s="1489">
        <v>947</v>
      </c>
      <c r="E247" s="1489">
        <v>947</v>
      </c>
      <c r="F247" s="1489">
        <v>947</v>
      </c>
      <c r="G247" s="1489">
        <v>947</v>
      </c>
      <c r="H247" s="1489">
        <v>0</v>
      </c>
      <c r="I247" s="1489">
        <v>0</v>
      </c>
      <c r="J247" s="1490">
        <v>0</v>
      </c>
      <c r="K247" s="1489">
        <v>0</v>
      </c>
      <c r="L247" s="1489">
        <v>0</v>
      </c>
      <c r="M247" s="1489">
        <v>0</v>
      </c>
      <c r="N247" s="1489">
        <v>0</v>
      </c>
      <c r="O247" s="1489">
        <v>0</v>
      </c>
      <c r="P247" s="1489">
        <v>355255</v>
      </c>
    </row>
    <row r="248" spans="1:16" s="1488" customFormat="1" ht="21.75">
      <c r="A248" s="1394" t="s">
        <v>2055</v>
      </c>
      <c r="B248" s="1394" t="s">
        <v>1912</v>
      </c>
      <c r="C248" s="1489">
        <v>0</v>
      </c>
      <c r="D248" s="1489">
        <v>0</v>
      </c>
      <c r="E248" s="1489">
        <v>0</v>
      </c>
      <c r="F248" s="1489">
        <v>0</v>
      </c>
      <c r="G248" s="1489">
        <v>0</v>
      </c>
      <c r="H248" s="1489">
        <v>0</v>
      </c>
      <c r="I248" s="1489">
        <v>0</v>
      </c>
      <c r="J248" s="1490">
        <v>0</v>
      </c>
      <c r="K248" s="1489">
        <v>0</v>
      </c>
      <c r="L248" s="1489">
        <v>0</v>
      </c>
      <c r="M248" s="1489">
        <v>0</v>
      </c>
      <c r="N248" s="1489">
        <v>0</v>
      </c>
      <c r="O248" s="1489">
        <v>0</v>
      </c>
      <c r="P248" s="1489">
        <v>0</v>
      </c>
    </row>
    <row r="249" spans="1:16" s="1488" customFormat="1" ht="21.75">
      <c r="A249" s="1394" t="s">
        <v>2056</v>
      </c>
      <c r="B249" s="1394" t="s">
        <v>1912</v>
      </c>
      <c r="C249" s="1489">
        <v>0</v>
      </c>
      <c r="D249" s="1489">
        <v>45</v>
      </c>
      <c r="E249" s="1489">
        <v>45</v>
      </c>
      <c r="F249" s="1489">
        <v>45</v>
      </c>
      <c r="G249" s="1489">
        <v>45</v>
      </c>
      <c r="H249" s="1489">
        <v>45</v>
      </c>
      <c r="I249" s="1489">
        <v>0</v>
      </c>
      <c r="J249" s="1490">
        <v>0</v>
      </c>
      <c r="K249" s="1489">
        <v>0</v>
      </c>
      <c r="L249" s="1489">
        <v>0</v>
      </c>
      <c r="M249" s="1489">
        <v>0</v>
      </c>
      <c r="N249" s="1489">
        <v>0</v>
      </c>
      <c r="O249" s="1489">
        <v>0</v>
      </c>
      <c r="P249" s="1489">
        <v>18847</v>
      </c>
    </row>
    <row r="250" spans="1:16" s="1488" customFormat="1" ht="21.75">
      <c r="A250" s="1394" t="s">
        <v>2057</v>
      </c>
      <c r="B250" s="1394" t="s">
        <v>1912</v>
      </c>
      <c r="C250" s="1489">
        <v>510</v>
      </c>
      <c r="D250" s="1489">
        <v>510</v>
      </c>
      <c r="E250" s="1489">
        <v>510</v>
      </c>
      <c r="F250" s="1489">
        <v>510</v>
      </c>
      <c r="G250" s="1489">
        <v>510</v>
      </c>
      <c r="H250" s="1489">
        <v>510</v>
      </c>
      <c r="I250" s="1489">
        <v>510</v>
      </c>
      <c r="J250" s="1490">
        <v>510</v>
      </c>
      <c r="K250" s="1489">
        <v>510</v>
      </c>
      <c r="L250" s="1489">
        <v>510</v>
      </c>
      <c r="M250" s="1489">
        <v>510</v>
      </c>
      <c r="N250" s="1489">
        <v>510</v>
      </c>
      <c r="O250" s="1489">
        <v>510</v>
      </c>
      <c r="P250" s="1489">
        <v>510284</v>
      </c>
    </row>
    <row r="251" spans="1:16" s="1488" customFormat="1" ht="21.75">
      <c r="A251" s="1394" t="s">
        <v>2058</v>
      </c>
      <c r="B251" s="1394" t="s">
        <v>1912</v>
      </c>
      <c r="C251" s="1489">
        <v>572395</v>
      </c>
      <c r="D251" s="1489">
        <v>568131</v>
      </c>
      <c r="E251" s="1489">
        <v>569668</v>
      </c>
      <c r="F251" s="1489">
        <v>571388</v>
      </c>
      <c r="G251" s="1489">
        <v>572739</v>
      </c>
      <c r="H251" s="1489">
        <v>573931</v>
      </c>
      <c r="I251" s="1489">
        <v>575838</v>
      </c>
      <c r="J251" s="1490">
        <v>577027</v>
      </c>
      <c r="K251" s="1489">
        <v>579033</v>
      </c>
      <c r="L251" s="1489">
        <v>580562</v>
      </c>
      <c r="M251" s="1489">
        <v>581962</v>
      </c>
      <c r="N251" s="1489">
        <v>583795</v>
      </c>
      <c r="O251" s="1489">
        <v>581636</v>
      </c>
      <c r="P251" s="1489">
        <v>575923944</v>
      </c>
    </row>
    <row r="252" spans="1:16" s="1488" customFormat="1" ht="21.75">
      <c r="A252" s="1394" t="s">
        <v>2059</v>
      </c>
      <c r="B252" s="1394" t="s">
        <v>1912</v>
      </c>
      <c r="C252" s="1489">
        <v>0</v>
      </c>
      <c r="D252" s="1489">
        <v>0</v>
      </c>
      <c r="E252" s="1489">
        <v>0</v>
      </c>
      <c r="F252" s="1489">
        <v>0</v>
      </c>
      <c r="G252" s="1489">
        <v>0</v>
      </c>
      <c r="H252" s="1489">
        <v>0</v>
      </c>
      <c r="I252" s="1489">
        <v>0</v>
      </c>
      <c r="J252" s="1490">
        <v>0</v>
      </c>
      <c r="K252" s="1489">
        <v>0</v>
      </c>
      <c r="L252" s="1489">
        <v>0</v>
      </c>
      <c r="M252" s="1489">
        <v>0</v>
      </c>
      <c r="N252" s="1489">
        <v>0</v>
      </c>
      <c r="O252" s="1489">
        <v>0</v>
      </c>
      <c r="P252" s="1489">
        <v>0</v>
      </c>
    </row>
    <row r="253" spans="1:16" s="1488" customFormat="1" ht="21.75">
      <c r="A253" s="1394" t="s">
        <v>2060</v>
      </c>
      <c r="B253" s="1394" t="s">
        <v>1912</v>
      </c>
      <c r="C253" s="1489">
        <v>1331</v>
      </c>
      <c r="D253" s="1489">
        <v>1331</v>
      </c>
      <c r="E253" s="1489">
        <v>1331</v>
      </c>
      <c r="F253" s="1489">
        <v>1331</v>
      </c>
      <c r="G253" s="1489">
        <v>1331</v>
      </c>
      <c r="H253" s="1489">
        <v>1331</v>
      </c>
      <c r="I253" s="1489">
        <v>1331</v>
      </c>
      <c r="J253" s="1490">
        <v>1331</v>
      </c>
      <c r="K253" s="1489">
        <v>1331</v>
      </c>
      <c r="L253" s="1489">
        <v>1331</v>
      </c>
      <c r="M253" s="1489">
        <v>1328</v>
      </c>
      <c r="N253" s="1489">
        <v>701</v>
      </c>
      <c r="O253" s="1489">
        <v>701</v>
      </c>
      <c r="P253" s="1489">
        <v>1251855</v>
      </c>
    </row>
    <row r="254" spans="1:16" s="1488" customFormat="1" ht="21.75">
      <c r="A254" s="1394" t="s">
        <v>2061</v>
      </c>
      <c r="B254" s="1394" t="s">
        <v>1912</v>
      </c>
      <c r="C254" s="1489">
        <v>65</v>
      </c>
      <c r="D254" s="1489">
        <v>65</v>
      </c>
      <c r="E254" s="1489">
        <v>65</v>
      </c>
      <c r="F254" s="1489">
        <v>65</v>
      </c>
      <c r="G254" s="1489">
        <v>65</v>
      </c>
      <c r="H254" s="1489">
        <v>65</v>
      </c>
      <c r="I254" s="1489">
        <v>65</v>
      </c>
      <c r="J254" s="1490">
        <v>65</v>
      </c>
      <c r="K254" s="1489">
        <v>65</v>
      </c>
      <c r="L254" s="1489">
        <v>65</v>
      </c>
      <c r="M254" s="1489">
        <v>65</v>
      </c>
      <c r="N254" s="1489">
        <v>0</v>
      </c>
      <c r="O254" s="1489">
        <v>0</v>
      </c>
      <c r="P254" s="1489">
        <v>56554</v>
      </c>
    </row>
    <row r="255" spans="1:16" s="1488" customFormat="1" ht="21.75">
      <c r="A255" s="1394" t="s">
        <v>2062</v>
      </c>
      <c r="B255" s="1394" t="s">
        <v>1912</v>
      </c>
      <c r="C255" s="1489">
        <v>3837</v>
      </c>
      <c r="D255" s="1489">
        <v>3837</v>
      </c>
      <c r="E255" s="1489">
        <v>3837</v>
      </c>
      <c r="F255" s="1489">
        <v>3837</v>
      </c>
      <c r="G255" s="1489">
        <v>3837</v>
      </c>
      <c r="H255" s="1489">
        <v>3837</v>
      </c>
      <c r="I255" s="1489">
        <v>3837</v>
      </c>
      <c r="J255" s="1490">
        <v>3837</v>
      </c>
      <c r="K255" s="1489">
        <v>3837</v>
      </c>
      <c r="L255" s="1489">
        <v>3837</v>
      </c>
      <c r="M255" s="1489">
        <v>3837</v>
      </c>
      <c r="N255" s="1489">
        <v>3837</v>
      </c>
      <c r="O255" s="1489">
        <v>3837</v>
      </c>
      <c r="P255" s="1489">
        <v>3836676</v>
      </c>
    </row>
    <row r="256" spans="1:16" s="1488" customFormat="1" ht="21.75">
      <c r="A256" s="1394" t="s">
        <v>2063</v>
      </c>
      <c r="B256" s="1394" t="s">
        <v>1912</v>
      </c>
      <c r="C256" s="1489">
        <v>1080</v>
      </c>
      <c r="D256" s="1489">
        <v>1080</v>
      </c>
      <c r="E256" s="1489">
        <v>1080</v>
      </c>
      <c r="F256" s="1489">
        <v>1080</v>
      </c>
      <c r="G256" s="1489">
        <v>1080</v>
      </c>
      <c r="H256" s="1489">
        <v>1080</v>
      </c>
      <c r="I256" s="1489">
        <v>1080</v>
      </c>
      <c r="J256" s="1490">
        <v>1080</v>
      </c>
      <c r="K256" s="1489">
        <v>1080</v>
      </c>
      <c r="L256" s="1489">
        <v>1080</v>
      </c>
      <c r="M256" s="1489">
        <v>1080</v>
      </c>
      <c r="N256" s="1489">
        <v>1080</v>
      </c>
      <c r="O256" s="1489">
        <v>1080</v>
      </c>
      <c r="P256" s="1489">
        <v>1080001</v>
      </c>
    </row>
    <row r="257" spans="1:17" s="1488" customFormat="1" ht="21.75">
      <c r="A257" s="1394" t="s">
        <v>2064</v>
      </c>
      <c r="B257" s="1394" t="s">
        <v>1912</v>
      </c>
      <c r="C257" s="1489">
        <v>0</v>
      </c>
      <c r="D257" s="1489">
        <v>0</v>
      </c>
      <c r="E257" s="1489">
        <v>0</v>
      </c>
      <c r="F257" s="1489">
        <v>0</v>
      </c>
      <c r="G257" s="1489">
        <v>0</v>
      </c>
      <c r="H257" s="1489">
        <v>0</v>
      </c>
      <c r="I257" s="1489">
        <v>0</v>
      </c>
      <c r="J257" s="1490">
        <v>0</v>
      </c>
      <c r="K257" s="1489">
        <v>0</v>
      </c>
      <c r="L257" s="1489">
        <v>0</v>
      </c>
      <c r="M257" s="1489">
        <v>0</v>
      </c>
      <c r="N257" s="1489">
        <v>3066</v>
      </c>
      <c r="O257" s="1489">
        <v>3066</v>
      </c>
      <c r="P257" s="1489">
        <v>383304</v>
      </c>
    </row>
    <row r="258" spans="1:17" s="1488" customFormat="1" ht="21.75">
      <c r="A258" s="1394" t="s">
        <v>2065</v>
      </c>
      <c r="B258" s="1394" t="s">
        <v>1912</v>
      </c>
      <c r="C258" s="1489">
        <v>635990</v>
      </c>
      <c r="D258" s="1489">
        <v>627670</v>
      </c>
      <c r="E258" s="1489">
        <v>629769</v>
      </c>
      <c r="F258" s="1489">
        <v>633689</v>
      </c>
      <c r="G258" s="1489">
        <v>635491</v>
      </c>
      <c r="H258" s="1489">
        <v>637542</v>
      </c>
      <c r="I258" s="1489">
        <v>641094</v>
      </c>
      <c r="J258" s="1490">
        <v>644267</v>
      </c>
      <c r="K258" s="1489">
        <v>647539</v>
      </c>
      <c r="L258" s="1489">
        <v>650271</v>
      </c>
      <c r="M258" s="1489">
        <v>653180</v>
      </c>
      <c r="N258" s="1489">
        <v>655693</v>
      </c>
      <c r="O258" s="1489">
        <v>657556</v>
      </c>
      <c r="P258" s="1489">
        <v>641914930</v>
      </c>
    </row>
    <row r="259" spans="1:17" s="1488" customFormat="1" ht="21.75">
      <c r="A259" s="1394" t="s">
        <v>2066</v>
      </c>
      <c r="B259" s="1394" t="s">
        <v>1912</v>
      </c>
      <c r="C259" s="1489">
        <v>274</v>
      </c>
      <c r="D259" s="1489">
        <v>274</v>
      </c>
      <c r="E259" s="1489">
        <v>274</v>
      </c>
      <c r="F259" s="1489">
        <v>274</v>
      </c>
      <c r="G259" s="1489">
        <v>274</v>
      </c>
      <c r="H259" s="1489">
        <v>274</v>
      </c>
      <c r="I259" s="1489">
        <v>274</v>
      </c>
      <c r="J259" s="1490">
        <v>274</v>
      </c>
      <c r="K259" s="1489">
        <v>274</v>
      </c>
      <c r="L259" s="1489">
        <v>274</v>
      </c>
      <c r="M259" s="1489">
        <v>274</v>
      </c>
      <c r="N259" s="1489">
        <v>0</v>
      </c>
      <c r="O259" s="1489">
        <v>0</v>
      </c>
      <c r="P259" s="1489">
        <v>239814</v>
      </c>
    </row>
    <row r="260" spans="1:17" s="1488" customFormat="1" ht="21.75">
      <c r="A260" s="1394" t="s">
        <v>2067</v>
      </c>
      <c r="B260" s="1394" t="s">
        <v>1912</v>
      </c>
      <c r="C260" s="1489">
        <v>3222</v>
      </c>
      <c r="D260" s="1489">
        <v>3222</v>
      </c>
      <c r="E260" s="1489">
        <v>3222</v>
      </c>
      <c r="F260" s="1489">
        <v>3222</v>
      </c>
      <c r="G260" s="1489">
        <v>3222</v>
      </c>
      <c r="H260" s="1489">
        <v>3222</v>
      </c>
      <c r="I260" s="1489">
        <v>3220</v>
      </c>
      <c r="J260" s="1490">
        <v>3220</v>
      </c>
      <c r="K260" s="1489">
        <v>3220</v>
      </c>
      <c r="L260" s="1489">
        <v>3220</v>
      </c>
      <c r="M260" s="1489">
        <v>3214</v>
      </c>
      <c r="N260" s="1489">
        <v>2937</v>
      </c>
      <c r="O260" s="1489">
        <v>2937</v>
      </c>
      <c r="P260" s="1489">
        <v>3184765</v>
      </c>
    </row>
    <row r="261" spans="1:17" s="1488" customFormat="1" ht="21.75">
      <c r="A261" s="1394" t="s">
        <v>2068</v>
      </c>
      <c r="B261" s="1394" t="s">
        <v>1912</v>
      </c>
      <c r="C261" s="1489">
        <v>397780</v>
      </c>
      <c r="D261" s="1489">
        <v>398596</v>
      </c>
      <c r="E261" s="1489">
        <v>399576</v>
      </c>
      <c r="F261" s="1489">
        <v>400817</v>
      </c>
      <c r="G261" s="1489">
        <v>401950</v>
      </c>
      <c r="H261" s="1489">
        <v>403046</v>
      </c>
      <c r="I261" s="1489">
        <v>403878</v>
      </c>
      <c r="J261" s="1490">
        <v>404145</v>
      </c>
      <c r="K261" s="1489">
        <v>404951</v>
      </c>
      <c r="L261" s="1489">
        <v>405520</v>
      </c>
      <c r="M261" s="1489">
        <v>405658</v>
      </c>
      <c r="N261" s="1489">
        <v>406014</v>
      </c>
      <c r="O261" s="1489">
        <v>407389</v>
      </c>
      <c r="P261" s="1489">
        <v>403061337</v>
      </c>
    </row>
    <row r="262" spans="1:17" s="1488" customFormat="1" ht="21.75">
      <c r="A262" s="1394" t="s">
        <v>2069</v>
      </c>
      <c r="B262" s="1394" t="s">
        <v>1912</v>
      </c>
      <c r="C262" s="1489">
        <v>177369</v>
      </c>
      <c r="D262" s="1489">
        <v>177423</v>
      </c>
      <c r="E262" s="1489">
        <v>177559</v>
      </c>
      <c r="F262" s="1489">
        <v>177755</v>
      </c>
      <c r="G262" s="1489">
        <v>177888</v>
      </c>
      <c r="H262" s="1489">
        <v>177809</v>
      </c>
      <c r="I262" s="1489">
        <v>178100</v>
      </c>
      <c r="J262" s="1490">
        <v>178286</v>
      </c>
      <c r="K262" s="1489">
        <v>178398</v>
      </c>
      <c r="L262" s="1489">
        <v>178589</v>
      </c>
      <c r="M262" s="1489">
        <v>178735</v>
      </c>
      <c r="N262" s="1489">
        <v>178877</v>
      </c>
      <c r="O262" s="1489">
        <v>179123</v>
      </c>
      <c r="P262" s="1489">
        <v>178138842</v>
      </c>
    </row>
    <row r="263" spans="1:17" s="1488" customFormat="1" ht="21.75">
      <c r="A263" s="1394" t="s">
        <v>2070</v>
      </c>
      <c r="B263" s="1394" t="s">
        <v>1912</v>
      </c>
      <c r="C263" s="1489">
        <v>130294</v>
      </c>
      <c r="D263" s="1489">
        <v>130398</v>
      </c>
      <c r="E263" s="1489">
        <v>130597</v>
      </c>
      <c r="F263" s="1489">
        <v>129614</v>
      </c>
      <c r="G263" s="1489">
        <v>128355</v>
      </c>
      <c r="H263" s="1489">
        <v>127058</v>
      </c>
      <c r="I263" s="1489">
        <v>127216</v>
      </c>
      <c r="J263" s="1490">
        <v>126800</v>
      </c>
      <c r="K263" s="1489">
        <v>126940</v>
      </c>
      <c r="L263" s="1489">
        <v>126422</v>
      </c>
      <c r="M263" s="1489">
        <v>125417</v>
      </c>
      <c r="N263" s="1489">
        <v>125587</v>
      </c>
      <c r="O263" s="1489">
        <v>125445</v>
      </c>
      <c r="P263" s="1489">
        <v>127689536</v>
      </c>
    </row>
    <row r="264" spans="1:17" s="1488" customFormat="1" ht="21.75">
      <c r="A264" s="1394" t="s">
        <v>2071</v>
      </c>
      <c r="B264" s="1394" t="s">
        <v>1912</v>
      </c>
      <c r="C264" s="1489">
        <v>0</v>
      </c>
      <c r="D264" s="1489">
        <v>0</v>
      </c>
      <c r="E264" s="1489">
        <v>0</v>
      </c>
      <c r="F264" s="1489">
        <v>0</v>
      </c>
      <c r="G264" s="1489">
        <v>0</v>
      </c>
      <c r="H264" s="1489">
        <v>0</v>
      </c>
      <c r="I264" s="1489">
        <v>0</v>
      </c>
      <c r="J264" s="1490">
        <v>0</v>
      </c>
      <c r="K264" s="1489">
        <v>0</v>
      </c>
      <c r="L264" s="1489">
        <v>0</v>
      </c>
      <c r="M264" s="1489">
        <v>0</v>
      </c>
      <c r="N264" s="1489">
        <v>0</v>
      </c>
      <c r="O264" s="1489">
        <v>0</v>
      </c>
      <c r="P264" s="1489">
        <v>0</v>
      </c>
    </row>
    <row r="265" spans="1:17" s="1488" customFormat="1" ht="21.75">
      <c r="A265" s="1394" t="s">
        <v>2072</v>
      </c>
      <c r="B265" s="1394" t="s">
        <v>1912</v>
      </c>
      <c r="C265" s="1489">
        <v>0</v>
      </c>
      <c r="D265" s="1489">
        <v>0</v>
      </c>
      <c r="E265" s="1489">
        <v>0</v>
      </c>
      <c r="F265" s="1489">
        <v>0</v>
      </c>
      <c r="G265" s="1489">
        <v>0</v>
      </c>
      <c r="H265" s="1489">
        <v>0</v>
      </c>
      <c r="I265" s="1489">
        <v>0</v>
      </c>
      <c r="J265" s="1490">
        <v>0</v>
      </c>
      <c r="K265" s="1489">
        <v>0</v>
      </c>
      <c r="L265" s="1489">
        <v>0</v>
      </c>
      <c r="M265" s="1489">
        <v>0</v>
      </c>
      <c r="N265" s="1489">
        <v>0</v>
      </c>
      <c r="O265" s="1489">
        <v>0</v>
      </c>
      <c r="P265" s="1489">
        <v>0</v>
      </c>
    </row>
    <row r="266" spans="1:17" s="1488" customFormat="1" ht="21.75">
      <c r="A266" s="1394" t="s">
        <v>2073</v>
      </c>
      <c r="B266" s="1394" t="s">
        <v>1912</v>
      </c>
      <c r="C266" s="1489">
        <v>665</v>
      </c>
      <c r="D266" s="1489">
        <v>665</v>
      </c>
      <c r="E266" s="1489">
        <v>665</v>
      </c>
      <c r="F266" s="1489">
        <v>665</v>
      </c>
      <c r="G266" s="1489">
        <v>665</v>
      </c>
      <c r="H266" s="1489">
        <v>665</v>
      </c>
      <c r="I266" s="1489">
        <v>665</v>
      </c>
      <c r="J266" s="1490">
        <v>665</v>
      </c>
      <c r="K266" s="1489">
        <v>665</v>
      </c>
      <c r="L266" s="1489">
        <v>665</v>
      </c>
      <c r="M266" s="1489">
        <v>665</v>
      </c>
      <c r="N266" s="1489">
        <v>0</v>
      </c>
      <c r="O266" s="1489">
        <v>0</v>
      </c>
      <c r="P266" s="1489">
        <v>581607</v>
      </c>
    </row>
    <row r="267" spans="1:17" s="1488" customFormat="1" ht="21.75">
      <c r="A267" s="1394" t="s">
        <v>2074</v>
      </c>
      <c r="B267" s="1394" t="s">
        <v>1912</v>
      </c>
      <c r="C267" s="1489">
        <v>68</v>
      </c>
      <c r="D267" s="1489">
        <v>68</v>
      </c>
      <c r="E267" s="1489">
        <v>68</v>
      </c>
      <c r="F267" s="1489">
        <v>68</v>
      </c>
      <c r="G267" s="1489">
        <v>68</v>
      </c>
      <c r="H267" s="1489">
        <v>68</v>
      </c>
      <c r="I267" s="1489">
        <v>68</v>
      </c>
      <c r="J267" s="1490">
        <v>68</v>
      </c>
      <c r="K267" s="1489">
        <v>68</v>
      </c>
      <c r="L267" s="1489">
        <v>68</v>
      </c>
      <c r="M267" s="1489">
        <v>68</v>
      </c>
      <c r="N267" s="1489">
        <v>0</v>
      </c>
      <c r="O267" s="1489">
        <v>0</v>
      </c>
      <c r="P267" s="1489">
        <v>59168</v>
      </c>
    </row>
    <row r="268" spans="1:17" s="1488" customFormat="1" ht="21.75">
      <c r="A268" s="1394" t="s">
        <v>2075</v>
      </c>
      <c r="B268" s="1394" t="s">
        <v>1912</v>
      </c>
      <c r="C268" s="1489">
        <v>56595</v>
      </c>
      <c r="D268" s="1489">
        <v>56408</v>
      </c>
      <c r="E268" s="1489">
        <v>56493</v>
      </c>
      <c r="F268" s="1489">
        <v>56478</v>
      </c>
      <c r="G268" s="1489">
        <v>56603</v>
      </c>
      <c r="H268" s="1489">
        <v>56636</v>
      </c>
      <c r="I268" s="1489">
        <v>56753</v>
      </c>
      <c r="J268" s="1490">
        <v>54685</v>
      </c>
      <c r="K268" s="1489">
        <v>54722</v>
      </c>
      <c r="L268" s="1489">
        <v>54781</v>
      </c>
      <c r="M268" s="1489">
        <v>54940</v>
      </c>
      <c r="N268" s="1489">
        <v>46785</v>
      </c>
      <c r="O268" s="1489">
        <v>46914</v>
      </c>
      <c r="P268" s="1489">
        <v>54753288</v>
      </c>
    </row>
    <row r="269" spans="1:17" s="1488" customFormat="1" ht="21.75">
      <c r="A269" s="1394" t="s">
        <v>2076</v>
      </c>
      <c r="B269" s="1394" t="s">
        <v>1912</v>
      </c>
      <c r="C269" s="1489">
        <v>3621</v>
      </c>
      <c r="D269" s="1489">
        <v>4214</v>
      </c>
      <c r="E269" s="1489">
        <v>4214</v>
      </c>
      <c r="F269" s="1489">
        <v>4214</v>
      </c>
      <c r="G269" s="1489">
        <v>4214</v>
      </c>
      <c r="H269" s="1489">
        <v>4214</v>
      </c>
      <c r="I269" s="1489">
        <v>4214</v>
      </c>
      <c r="J269" s="1490">
        <v>4214</v>
      </c>
      <c r="K269" s="1489">
        <v>4214</v>
      </c>
      <c r="L269" s="1489">
        <v>4214</v>
      </c>
      <c r="M269" s="1489">
        <v>4214</v>
      </c>
      <c r="N269" s="1489">
        <v>4214</v>
      </c>
      <c r="O269" s="1489">
        <v>4578</v>
      </c>
      <c r="P269" s="1489">
        <v>4204448</v>
      </c>
    </row>
    <row r="270" spans="1:17" s="1488" customFormat="1" ht="21.75">
      <c r="A270" s="1394" t="s">
        <v>2077</v>
      </c>
      <c r="B270" s="1394" t="s">
        <v>1912</v>
      </c>
      <c r="C270" s="1489">
        <v>0</v>
      </c>
      <c r="D270" s="1489">
        <v>0</v>
      </c>
      <c r="E270" s="1489">
        <v>0</v>
      </c>
      <c r="F270" s="1489">
        <v>0</v>
      </c>
      <c r="G270" s="1489">
        <v>0</v>
      </c>
      <c r="H270" s="1489">
        <v>0</v>
      </c>
      <c r="I270" s="1489">
        <v>0</v>
      </c>
      <c r="J270" s="1490">
        <v>0</v>
      </c>
      <c r="K270" s="1489">
        <v>0</v>
      </c>
      <c r="L270" s="1489">
        <v>0</v>
      </c>
      <c r="M270" s="1489">
        <v>0</v>
      </c>
      <c r="N270" s="1489">
        <v>0</v>
      </c>
      <c r="O270" s="1489">
        <v>0</v>
      </c>
      <c r="P270" s="1489">
        <v>0</v>
      </c>
    </row>
    <row r="271" spans="1:17" s="1488" customFormat="1">
      <c r="C271" s="1489"/>
      <c r="D271" s="1489"/>
      <c r="E271" s="1489"/>
      <c r="F271" s="1489"/>
      <c r="G271" s="1489"/>
      <c r="H271" s="1489"/>
      <c r="I271" s="1489"/>
      <c r="J271" s="1490"/>
      <c r="K271" s="1489"/>
      <c r="L271" s="1489"/>
      <c r="M271" s="1489"/>
      <c r="N271" s="1489"/>
      <c r="O271" s="1489"/>
      <c r="P271" s="1489"/>
    </row>
    <row r="272" spans="1:17" ht="13.5" thickBot="1">
      <c r="A272" s="1491"/>
      <c r="B272" s="1492" t="s">
        <v>2078</v>
      </c>
      <c r="C272" s="1495">
        <f t="shared" ref="C272:P272" si="1">SUM(C105:C271)</f>
        <v>3398318</v>
      </c>
      <c r="D272" s="1495">
        <f t="shared" si="1"/>
        <v>3395190</v>
      </c>
      <c r="E272" s="1495">
        <f t="shared" si="1"/>
        <v>3404178</v>
      </c>
      <c r="F272" s="1495">
        <f t="shared" si="1"/>
        <v>3419095</v>
      </c>
      <c r="G272" s="1495">
        <f t="shared" si="1"/>
        <v>3435920</v>
      </c>
      <c r="H272" s="1495">
        <f t="shared" si="1"/>
        <v>3440804</v>
      </c>
      <c r="I272" s="1495">
        <f t="shared" si="1"/>
        <v>3456799</v>
      </c>
      <c r="J272" s="1497">
        <f t="shared" si="1"/>
        <v>3462739</v>
      </c>
      <c r="K272" s="1495">
        <f t="shared" si="1"/>
        <v>3482782</v>
      </c>
      <c r="L272" s="1495">
        <f t="shared" si="1"/>
        <v>3502459</v>
      </c>
      <c r="M272" s="1495">
        <f t="shared" si="1"/>
        <v>3504471</v>
      </c>
      <c r="N272" s="1495">
        <f t="shared" si="1"/>
        <v>3515465</v>
      </c>
      <c r="O272" s="1495">
        <f t="shared" si="1"/>
        <v>3535546</v>
      </c>
      <c r="P272" s="1495">
        <f t="shared" si="1"/>
        <v>3457231764</v>
      </c>
      <c r="Q272" s="1495">
        <f>(C272+O272+SUM(D272:N272)*2)/24</f>
        <v>3457236.1666666665</v>
      </c>
    </row>
    <row r="273" spans="1:16" ht="13.5" thickTop="1"/>
    <row r="274" spans="1:16" s="1488" customFormat="1">
      <c r="A274" s="1394" t="s">
        <v>2079</v>
      </c>
      <c r="B274" s="1394" t="s">
        <v>2080</v>
      </c>
      <c r="C274" s="1489">
        <v>0</v>
      </c>
      <c r="D274" s="1489">
        <v>0</v>
      </c>
      <c r="E274" s="1489">
        <v>0</v>
      </c>
      <c r="F274" s="1489">
        <v>0</v>
      </c>
      <c r="G274" s="1489">
        <v>0</v>
      </c>
      <c r="H274" s="1489">
        <v>0</v>
      </c>
      <c r="I274" s="1489">
        <v>0</v>
      </c>
      <c r="J274" s="1490">
        <v>0</v>
      </c>
      <c r="K274" s="1489">
        <v>0</v>
      </c>
      <c r="L274" s="1489">
        <v>0</v>
      </c>
      <c r="M274" s="1489">
        <v>0</v>
      </c>
      <c r="N274" s="1489">
        <v>0</v>
      </c>
      <c r="O274" s="1489">
        <v>0</v>
      </c>
      <c r="P274" s="1489">
        <v>0</v>
      </c>
    </row>
    <row r="275" spans="1:16" s="1488" customFormat="1">
      <c r="A275" s="1394" t="s">
        <v>2081</v>
      </c>
      <c r="B275" s="1394" t="s">
        <v>2080</v>
      </c>
      <c r="C275" s="1489">
        <v>5917</v>
      </c>
      <c r="D275" s="1489">
        <v>5917</v>
      </c>
      <c r="E275" s="1489">
        <v>5917</v>
      </c>
      <c r="F275" s="1489">
        <v>5917</v>
      </c>
      <c r="G275" s="1489">
        <v>5917</v>
      </c>
      <c r="H275" s="1489">
        <v>5917</v>
      </c>
      <c r="I275" s="1489">
        <v>5917</v>
      </c>
      <c r="J275" s="1490">
        <v>5917</v>
      </c>
      <c r="K275" s="1489">
        <v>5917</v>
      </c>
      <c r="L275" s="1489">
        <v>5917</v>
      </c>
      <c r="M275" s="1489">
        <v>5917</v>
      </c>
      <c r="N275" s="1489">
        <v>5917</v>
      </c>
      <c r="O275" s="1489">
        <v>5917</v>
      </c>
      <c r="P275" s="1489">
        <v>5916573</v>
      </c>
    </row>
    <row r="276" spans="1:16" s="1488" customFormat="1">
      <c r="A276" s="1394" t="s">
        <v>2082</v>
      </c>
      <c r="B276" s="1394" t="s">
        <v>2080</v>
      </c>
      <c r="C276" s="1489">
        <v>1531</v>
      </c>
      <c r="D276" s="1489">
        <v>1531</v>
      </c>
      <c r="E276" s="1489">
        <v>1531</v>
      </c>
      <c r="F276" s="1489">
        <v>1531</v>
      </c>
      <c r="G276" s="1489">
        <v>1531</v>
      </c>
      <c r="H276" s="1489">
        <v>1531</v>
      </c>
      <c r="I276" s="1489">
        <v>1531</v>
      </c>
      <c r="J276" s="1490">
        <v>1531</v>
      </c>
      <c r="K276" s="1489">
        <v>1531</v>
      </c>
      <c r="L276" s="1489">
        <v>1531</v>
      </c>
      <c r="M276" s="1489">
        <v>1531</v>
      </c>
      <c r="N276" s="1489">
        <v>1531</v>
      </c>
      <c r="O276" s="1489">
        <v>1531</v>
      </c>
      <c r="P276" s="1489">
        <v>1530801</v>
      </c>
    </row>
    <row r="277" spans="1:16" s="1488" customFormat="1">
      <c r="A277" s="1394" t="s">
        <v>2083</v>
      </c>
      <c r="B277" s="1394" t="s">
        <v>2080</v>
      </c>
      <c r="C277" s="1489">
        <v>20826</v>
      </c>
      <c r="D277" s="1489">
        <v>20805</v>
      </c>
      <c r="E277" s="1489">
        <v>20805</v>
      </c>
      <c r="F277" s="1489">
        <v>20805</v>
      </c>
      <c r="G277" s="1489">
        <v>20805</v>
      </c>
      <c r="H277" s="1489">
        <v>20805</v>
      </c>
      <c r="I277" s="1489">
        <v>20813</v>
      </c>
      <c r="J277" s="1490">
        <v>20813</v>
      </c>
      <c r="K277" s="1489">
        <v>20813</v>
      </c>
      <c r="L277" s="1489">
        <v>20813</v>
      </c>
      <c r="M277" s="1489">
        <v>20813</v>
      </c>
      <c r="N277" s="1489">
        <v>20813</v>
      </c>
      <c r="O277" s="1489">
        <v>20813</v>
      </c>
      <c r="P277" s="1489">
        <v>20810225</v>
      </c>
    </row>
    <row r="278" spans="1:16" s="1488" customFormat="1">
      <c r="A278" s="1394" t="s">
        <v>2084</v>
      </c>
      <c r="B278" s="1394" t="s">
        <v>2080</v>
      </c>
      <c r="C278" s="1489">
        <v>539</v>
      </c>
      <c r="D278" s="1489">
        <v>539</v>
      </c>
      <c r="E278" s="1489">
        <v>539</v>
      </c>
      <c r="F278" s="1489">
        <v>539</v>
      </c>
      <c r="G278" s="1489">
        <v>539</v>
      </c>
      <c r="H278" s="1489">
        <v>539</v>
      </c>
      <c r="I278" s="1489">
        <v>539</v>
      </c>
      <c r="J278" s="1490">
        <v>539</v>
      </c>
      <c r="K278" s="1489">
        <v>539</v>
      </c>
      <c r="L278" s="1489">
        <v>539</v>
      </c>
      <c r="M278" s="1489">
        <v>539</v>
      </c>
      <c r="N278" s="1489">
        <v>539</v>
      </c>
      <c r="O278" s="1489">
        <v>539</v>
      </c>
      <c r="P278" s="1489">
        <v>539295</v>
      </c>
    </row>
    <row r="279" spans="1:16" s="1488" customFormat="1">
      <c r="A279" s="1394" t="s">
        <v>2085</v>
      </c>
      <c r="B279" s="1394" t="s">
        <v>2080</v>
      </c>
      <c r="C279" s="1489">
        <v>9630</v>
      </c>
      <c r="D279" s="1489">
        <v>9630</v>
      </c>
      <c r="E279" s="1489">
        <v>9630</v>
      </c>
      <c r="F279" s="1489">
        <v>9630</v>
      </c>
      <c r="G279" s="1489">
        <v>9630</v>
      </c>
      <c r="H279" s="1489">
        <v>9630</v>
      </c>
      <c r="I279" s="1489">
        <v>9630</v>
      </c>
      <c r="J279" s="1490">
        <v>9630</v>
      </c>
      <c r="K279" s="1489">
        <v>9630</v>
      </c>
      <c r="L279" s="1489">
        <v>9630</v>
      </c>
      <c r="M279" s="1489">
        <v>9630</v>
      </c>
      <c r="N279" s="1489">
        <v>9630</v>
      </c>
      <c r="O279" s="1489">
        <v>9630</v>
      </c>
      <c r="P279" s="1489">
        <v>9629935</v>
      </c>
    </row>
    <row r="280" spans="1:16" s="1488" customFormat="1">
      <c r="A280" s="1394" t="s">
        <v>2086</v>
      </c>
      <c r="B280" s="1394" t="s">
        <v>2080</v>
      </c>
      <c r="C280" s="1489">
        <v>1405</v>
      </c>
      <c r="D280" s="1489">
        <v>1405</v>
      </c>
      <c r="E280" s="1489">
        <v>1405</v>
      </c>
      <c r="F280" s="1489">
        <v>1405</v>
      </c>
      <c r="G280" s="1489">
        <v>1405</v>
      </c>
      <c r="H280" s="1489">
        <v>1405</v>
      </c>
      <c r="I280" s="1489">
        <v>1405</v>
      </c>
      <c r="J280" s="1490">
        <v>1405</v>
      </c>
      <c r="K280" s="1489">
        <v>1405</v>
      </c>
      <c r="L280" s="1489">
        <v>1405</v>
      </c>
      <c r="M280" s="1489">
        <v>1405</v>
      </c>
      <c r="N280" s="1489">
        <v>1405</v>
      </c>
      <c r="O280" s="1489">
        <v>1405</v>
      </c>
      <c r="P280" s="1489">
        <v>1404852</v>
      </c>
    </row>
    <row r="281" spans="1:16" s="1488" customFormat="1">
      <c r="A281" s="1394" t="s">
        <v>2087</v>
      </c>
      <c r="B281" s="1394" t="s">
        <v>2080</v>
      </c>
      <c r="C281" s="1489">
        <v>0</v>
      </c>
      <c r="D281" s="1489">
        <v>0</v>
      </c>
      <c r="E281" s="1489">
        <v>0</v>
      </c>
      <c r="F281" s="1489">
        <v>0</v>
      </c>
      <c r="G281" s="1489">
        <v>0</v>
      </c>
      <c r="H281" s="1489">
        <v>0</v>
      </c>
      <c r="I281" s="1489">
        <v>0</v>
      </c>
      <c r="J281" s="1490">
        <v>0</v>
      </c>
      <c r="K281" s="1489">
        <v>0</v>
      </c>
      <c r="L281" s="1489">
        <v>0</v>
      </c>
      <c r="M281" s="1489">
        <v>0</v>
      </c>
      <c r="N281" s="1489">
        <v>0</v>
      </c>
      <c r="O281" s="1489">
        <v>0</v>
      </c>
      <c r="P281" s="1489">
        <v>0</v>
      </c>
    </row>
    <row r="282" spans="1:16" s="1488" customFormat="1">
      <c r="A282" s="1394" t="s">
        <v>2088</v>
      </c>
      <c r="B282" s="1394" t="s">
        <v>2080</v>
      </c>
      <c r="C282" s="1489">
        <v>1909</v>
      </c>
      <c r="D282" s="1489">
        <v>1909</v>
      </c>
      <c r="E282" s="1489">
        <v>1909</v>
      </c>
      <c r="F282" s="1489">
        <v>1909</v>
      </c>
      <c r="G282" s="1489">
        <v>1909</v>
      </c>
      <c r="H282" s="1489">
        <v>1909</v>
      </c>
      <c r="I282" s="1489">
        <v>1909</v>
      </c>
      <c r="J282" s="1490">
        <v>1909</v>
      </c>
      <c r="K282" s="1489">
        <v>1909</v>
      </c>
      <c r="L282" s="1489">
        <v>1909</v>
      </c>
      <c r="M282" s="1489">
        <v>1909</v>
      </c>
      <c r="N282" s="1489">
        <v>1909</v>
      </c>
      <c r="O282" s="1489">
        <v>1963</v>
      </c>
      <c r="P282" s="1489">
        <v>1911703</v>
      </c>
    </row>
    <row r="283" spans="1:16" s="1488" customFormat="1">
      <c r="A283" s="1394" t="s">
        <v>2089</v>
      </c>
      <c r="B283" s="1394" t="s">
        <v>2080</v>
      </c>
      <c r="C283" s="1489">
        <v>1252</v>
      </c>
      <c r="D283" s="1489">
        <v>1252</v>
      </c>
      <c r="E283" s="1489">
        <v>1252</v>
      </c>
      <c r="F283" s="1489">
        <v>1252</v>
      </c>
      <c r="G283" s="1489">
        <v>1252</v>
      </c>
      <c r="H283" s="1489">
        <v>1252</v>
      </c>
      <c r="I283" s="1489">
        <v>1252</v>
      </c>
      <c r="J283" s="1490">
        <v>1252</v>
      </c>
      <c r="K283" s="1489">
        <v>1252</v>
      </c>
      <c r="L283" s="1489">
        <v>1252</v>
      </c>
      <c r="M283" s="1489">
        <v>1252</v>
      </c>
      <c r="N283" s="1489">
        <v>1252</v>
      </c>
      <c r="O283" s="1489">
        <v>1252</v>
      </c>
      <c r="P283" s="1489">
        <v>1252455</v>
      </c>
    </row>
    <row r="284" spans="1:16" s="1488" customFormat="1">
      <c r="A284" s="1394" t="s">
        <v>2090</v>
      </c>
      <c r="B284" s="1394" t="s">
        <v>2080</v>
      </c>
      <c r="C284" s="1489">
        <v>0</v>
      </c>
      <c r="D284" s="1489">
        <v>0</v>
      </c>
      <c r="E284" s="1489">
        <v>0</v>
      </c>
      <c r="F284" s="1489">
        <v>0</v>
      </c>
      <c r="G284" s="1489">
        <v>0</v>
      </c>
      <c r="H284" s="1489">
        <v>0</v>
      </c>
      <c r="I284" s="1489">
        <v>0</v>
      </c>
      <c r="J284" s="1490">
        <v>0</v>
      </c>
      <c r="K284" s="1489">
        <v>0</v>
      </c>
      <c r="L284" s="1489">
        <v>0</v>
      </c>
      <c r="M284" s="1489">
        <v>0</v>
      </c>
      <c r="N284" s="1489">
        <v>0</v>
      </c>
      <c r="O284" s="1489">
        <v>0</v>
      </c>
      <c r="P284" s="1489">
        <v>0</v>
      </c>
    </row>
    <row r="285" spans="1:16" s="1488" customFormat="1">
      <c r="A285" s="1394" t="s">
        <v>2091</v>
      </c>
      <c r="B285" s="1394" t="s">
        <v>2080</v>
      </c>
      <c r="C285" s="1489">
        <v>2859</v>
      </c>
      <c r="D285" s="1489">
        <v>2859</v>
      </c>
      <c r="E285" s="1489">
        <v>2859</v>
      </c>
      <c r="F285" s="1489">
        <v>2859</v>
      </c>
      <c r="G285" s="1489">
        <v>2859</v>
      </c>
      <c r="H285" s="1489">
        <v>2859</v>
      </c>
      <c r="I285" s="1489">
        <v>2859</v>
      </c>
      <c r="J285" s="1490">
        <v>2859</v>
      </c>
      <c r="K285" s="1489">
        <v>2859</v>
      </c>
      <c r="L285" s="1489">
        <v>2859</v>
      </c>
      <c r="M285" s="1489">
        <v>2859</v>
      </c>
      <c r="N285" s="1489">
        <v>2859</v>
      </c>
      <c r="O285" s="1489">
        <v>2859</v>
      </c>
      <c r="P285" s="1489">
        <v>2859400</v>
      </c>
    </row>
    <row r="286" spans="1:16" s="1488" customFormat="1">
      <c r="A286" s="1394" t="s">
        <v>2092</v>
      </c>
      <c r="B286" s="1394" t="s">
        <v>2080</v>
      </c>
      <c r="C286" s="1489">
        <v>2429</v>
      </c>
      <c r="D286" s="1489">
        <v>2429</v>
      </c>
      <c r="E286" s="1489">
        <v>2429</v>
      </c>
      <c r="F286" s="1489">
        <v>2429</v>
      </c>
      <c r="G286" s="1489">
        <v>2429</v>
      </c>
      <c r="H286" s="1489">
        <v>2429</v>
      </c>
      <c r="I286" s="1489">
        <v>2429</v>
      </c>
      <c r="J286" s="1490">
        <v>2429</v>
      </c>
      <c r="K286" s="1489">
        <v>2429</v>
      </c>
      <c r="L286" s="1489">
        <v>2429</v>
      </c>
      <c r="M286" s="1489">
        <v>2429</v>
      </c>
      <c r="N286" s="1489">
        <v>2429</v>
      </c>
      <c r="O286" s="1489">
        <v>2429</v>
      </c>
      <c r="P286" s="1489">
        <v>2428924</v>
      </c>
    </row>
    <row r="287" spans="1:16" s="1488" customFormat="1">
      <c r="A287" s="1394" t="s">
        <v>2093</v>
      </c>
      <c r="B287" s="1394" t="s">
        <v>2080</v>
      </c>
      <c r="C287" s="1489">
        <v>0</v>
      </c>
      <c r="D287" s="1489">
        <v>0</v>
      </c>
      <c r="E287" s="1489">
        <v>0</v>
      </c>
      <c r="F287" s="1489">
        <v>0</v>
      </c>
      <c r="G287" s="1489">
        <v>0</v>
      </c>
      <c r="H287" s="1489">
        <v>0</v>
      </c>
      <c r="I287" s="1489">
        <v>0</v>
      </c>
      <c r="J287" s="1490">
        <v>0</v>
      </c>
      <c r="K287" s="1489">
        <v>0</v>
      </c>
      <c r="L287" s="1489">
        <v>0</v>
      </c>
      <c r="M287" s="1489">
        <v>0</v>
      </c>
      <c r="N287" s="1489">
        <v>0</v>
      </c>
      <c r="O287" s="1489">
        <v>0</v>
      </c>
      <c r="P287" s="1489">
        <v>0</v>
      </c>
    </row>
    <row r="288" spans="1:16" s="1488" customFormat="1">
      <c r="A288" s="1394" t="s">
        <v>2094</v>
      </c>
      <c r="B288" s="1394" t="s">
        <v>2080</v>
      </c>
      <c r="C288" s="1489">
        <v>1305</v>
      </c>
      <c r="D288" s="1489">
        <v>1305</v>
      </c>
      <c r="E288" s="1489">
        <v>1305</v>
      </c>
      <c r="F288" s="1489">
        <v>1305</v>
      </c>
      <c r="G288" s="1489">
        <v>1305</v>
      </c>
      <c r="H288" s="1489">
        <v>1305</v>
      </c>
      <c r="I288" s="1489">
        <v>1305</v>
      </c>
      <c r="J288" s="1490">
        <v>1305</v>
      </c>
      <c r="K288" s="1489">
        <v>1305</v>
      </c>
      <c r="L288" s="1489">
        <v>1305</v>
      </c>
      <c r="M288" s="1489">
        <v>1305</v>
      </c>
      <c r="N288" s="1489">
        <v>1305</v>
      </c>
      <c r="O288" s="1489">
        <v>1305</v>
      </c>
      <c r="P288" s="1489">
        <v>1304976</v>
      </c>
    </row>
    <row r="289" spans="1:16" s="1488" customFormat="1">
      <c r="A289" s="1394" t="s">
        <v>2095</v>
      </c>
      <c r="B289" s="1394" t="s">
        <v>2080</v>
      </c>
      <c r="C289" s="1489">
        <v>1178</v>
      </c>
      <c r="D289" s="1489">
        <v>1178</v>
      </c>
      <c r="E289" s="1489">
        <v>1178</v>
      </c>
      <c r="F289" s="1489">
        <v>1178</v>
      </c>
      <c r="G289" s="1489">
        <v>1178</v>
      </c>
      <c r="H289" s="1489">
        <v>1178</v>
      </c>
      <c r="I289" s="1489">
        <v>1178</v>
      </c>
      <c r="J289" s="1490">
        <v>1178</v>
      </c>
      <c r="K289" s="1489">
        <v>1178</v>
      </c>
      <c r="L289" s="1489">
        <v>1178</v>
      </c>
      <c r="M289" s="1489">
        <v>1178</v>
      </c>
      <c r="N289" s="1489">
        <v>1178</v>
      </c>
      <c r="O289" s="1489">
        <v>1178</v>
      </c>
      <c r="P289" s="1489">
        <v>1178337</v>
      </c>
    </row>
    <row r="290" spans="1:16" s="1488" customFormat="1">
      <c r="A290" s="1394" t="s">
        <v>2096</v>
      </c>
      <c r="B290" s="1394" t="s">
        <v>2080</v>
      </c>
      <c r="C290" s="1489">
        <v>735</v>
      </c>
      <c r="D290" s="1489">
        <v>735</v>
      </c>
      <c r="E290" s="1489">
        <v>735</v>
      </c>
      <c r="F290" s="1489">
        <v>735</v>
      </c>
      <c r="G290" s="1489">
        <v>735</v>
      </c>
      <c r="H290" s="1489">
        <v>735</v>
      </c>
      <c r="I290" s="1489">
        <v>735</v>
      </c>
      <c r="J290" s="1490">
        <v>735</v>
      </c>
      <c r="K290" s="1489">
        <v>735</v>
      </c>
      <c r="L290" s="1489">
        <v>735</v>
      </c>
      <c r="M290" s="1489">
        <v>735</v>
      </c>
      <c r="N290" s="1489">
        <v>735</v>
      </c>
      <c r="O290" s="1489">
        <v>735</v>
      </c>
      <c r="P290" s="1489">
        <v>735273</v>
      </c>
    </row>
    <row r="291" spans="1:16" s="1488" customFormat="1">
      <c r="A291" s="1394" t="s">
        <v>2097</v>
      </c>
      <c r="B291" s="1394" t="s">
        <v>2080</v>
      </c>
      <c r="C291" s="1489">
        <v>4392</v>
      </c>
      <c r="D291" s="1489">
        <v>4413</v>
      </c>
      <c r="E291" s="1489">
        <v>4413</v>
      </c>
      <c r="F291" s="1489">
        <v>4413</v>
      </c>
      <c r="G291" s="1489">
        <v>4413</v>
      </c>
      <c r="H291" s="1489">
        <v>4413</v>
      </c>
      <c r="I291" s="1489">
        <v>4413</v>
      </c>
      <c r="J291" s="1490">
        <v>4413</v>
      </c>
      <c r="K291" s="1489">
        <v>4413</v>
      </c>
      <c r="L291" s="1489">
        <v>4413</v>
      </c>
      <c r="M291" s="1489">
        <v>4413</v>
      </c>
      <c r="N291" s="1489">
        <v>4413</v>
      </c>
      <c r="O291" s="1489">
        <v>4413</v>
      </c>
      <c r="P291" s="1489">
        <v>4412515</v>
      </c>
    </row>
    <row r="292" spans="1:16" s="1488" customFormat="1">
      <c r="A292" s="1394" t="s">
        <v>2098</v>
      </c>
      <c r="B292" s="1394" t="s">
        <v>2080</v>
      </c>
      <c r="C292" s="1489">
        <v>170</v>
      </c>
      <c r="D292" s="1489">
        <v>170</v>
      </c>
      <c r="E292" s="1489">
        <v>170</v>
      </c>
      <c r="F292" s="1489">
        <v>170</v>
      </c>
      <c r="G292" s="1489">
        <v>170</v>
      </c>
      <c r="H292" s="1489">
        <v>170</v>
      </c>
      <c r="I292" s="1489">
        <v>170</v>
      </c>
      <c r="J292" s="1490">
        <v>170</v>
      </c>
      <c r="K292" s="1489">
        <v>170</v>
      </c>
      <c r="L292" s="1489">
        <v>170</v>
      </c>
      <c r="M292" s="1489">
        <v>170</v>
      </c>
      <c r="N292" s="1489">
        <v>170</v>
      </c>
      <c r="O292" s="1489">
        <v>170</v>
      </c>
      <c r="P292" s="1489">
        <v>170443</v>
      </c>
    </row>
    <row r="293" spans="1:16" s="1488" customFormat="1">
      <c r="A293" s="1394" t="s">
        <v>2099</v>
      </c>
      <c r="B293" s="1394" t="s">
        <v>2080</v>
      </c>
      <c r="C293" s="1489">
        <v>0</v>
      </c>
      <c r="D293" s="1489">
        <v>0</v>
      </c>
      <c r="E293" s="1489">
        <v>0</v>
      </c>
      <c r="F293" s="1489">
        <v>0</v>
      </c>
      <c r="G293" s="1489">
        <v>0</v>
      </c>
      <c r="H293" s="1489">
        <v>0</v>
      </c>
      <c r="I293" s="1489">
        <v>0</v>
      </c>
      <c r="J293" s="1490">
        <v>0</v>
      </c>
      <c r="K293" s="1489">
        <v>14</v>
      </c>
      <c r="L293" s="1489">
        <v>14</v>
      </c>
      <c r="M293" s="1489">
        <v>14</v>
      </c>
      <c r="N293" s="1489">
        <v>14</v>
      </c>
      <c r="O293" s="1489">
        <v>14</v>
      </c>
      <c r="P293" s="1489">
        <v>5375</v>
      </c>
    </row>
    <row r="294" spans="1:16" s="1488" customFormat="1">
      <c r="A294" s="1394" t="s">
        <v>2100</v>
      </c>
      <c r="B294" s="1394" t="s">
        <v>2080</v>
      </c>
      <c r="C294" s="1489">
        <v>97</v>
      </c>
      <c r="D294" s="1489">
        <v>97</v>
      </c>
      <c r="E294" s="1489">
        <v>97</v>
      </c>
      <c r="F294" s="1489">
        <v>97</v>
      </c>
      <c r="G294" s="1489">
        <v>97</v>
      </c>
      <c r="H294" s="1489">
        <v>97</v>
      </c>
      <c r="I294" s="1489">
        <v>97</v>
      </c>
      <c r="J294" s="1490">
        <v>97</v>
      </c>
      <c r="K294" s="1489">
        <v>0</v>
      </c>
      <c r="L294" s="1489">
        <v>0</v>
      </c>
      <c r="M294" s="1489">
        <v>0</v>
      </c>
      <c r="N294" s="1489">
        <v>0</v>
      </c>
      <c r="O294" s="1489">
        <v>0</v>
      </c>
      <c r="P294" s="1489">
        <v>60579</v>
      </c>
    </row>
    <row r="295" spans="1:16" s="1488" customFormat="1">
      <c r="A295" s="1394" t="s">
        <v>2101</v>
      </c>
      <c r="B295" s="1394" t="s">
        <v>2080</v>
      </c>
      <c r="C295" s="1489">
        <v>27</v>
      </c>
      <c r="D295" s="1489">
        <v>27</v>
      </c>
      <c r="E295" s="1489">
        <v>27</v>
      </c>
      <c r="F295" s="1489">
        <v>27</v>
      </c>
      <c r="G295" s="1489">
        <v>27</v>
      </c>
      <c r="H295" s="1489">
        <v>27</v>
      </c>
      <c r="I295" s="1489">
        <v>27</v>
      </c>
      <c r="J295" s="1490">
        <v>27</v>
      </c>
      <c r="K295" s="1489">
        <v>27</v>
      </c>
      <c r="L295" s="1489">
        <v>27</v>
      </c>
      <c r="M295" s="1489">
        <v>27</v>
      </c>
      <c r="N295" s="1489">
        <v>27</v>
      </c>
      <c r="O295" s="1489">
        <v>27</v>
      </c>
      <c r="P295" s="1489">
        <v>27299</v>
      </c>
    </row>
    <row r="296" spans="1:16" s="1488" customFormat="1">
      <c r="A296" s="1394" t="s">
        <v>2102</v>
      </c>
      <c r="B296" s="1394" t="s">
        <v>2080</v>
      </c>
      <c r="C296" s="1489">
        <v>0</v>
      </c>
      <c r="D296" s="1489">
        <v>0</v>
      </c>
      <c r="E296" s="1489">
        <v>0</v>
      </c>
      <c r="F296" s="1489">
        <v>0</v>
      </c>
      <c r="G296" s="1489">
        <v>0</v>
      </c>
      <c r="H296" s="1489">
        <v>0</v>
      </c>
      <c r="I296" s="1489">
        <v>0</v>
      </c>
      <c r="J296" s="1490">
        <v>0</v>
      </c>
      <c r="K296" s="1489">
        <v>83</v>
      </c>
      <c r="L296" s="1489">
        <v>83</v>
      </c>
      <c r="M296" s="1489">
        <v>83</v>
      </c>
      <c r="N296" s="1489">
        <v>83</v>
      </c>
      <c r="O296" s="1489">
        <v>83</v>
      </c>
      <c r="P296" s="1489">
        <v>30972</v>
      </c>
    </row>
    <row r="297" spans="1:16" s="1488" customFormat="1">
      <c r="A297" s="1394" t="s">
        <v>2103</v>
      </c>
      <c r="B297" s="1394" t="s">
        <v>2080</v>
      </c>
      <c r="C297" s="1489">
        <v>362</v>
      </c>
      <c r="D297" s="1489">
        <v>362</v>
      </c>
      <c r="E297" s="1489">
        <v>362</v>
      </c>
      <c r="F297" s="1489">
        <v>362</v>
      </c>
      <c r="G297" s="1489">
        <v>362</v>
      </c>
      <c r="H297" s="1489">
        <v>362</v>
      </c>
      <c r="I297" s="1489">
        <v>362</v>
      </c>
      <c r="J297" s="1490">
        <v>362</v>
      </c>
      <c r="K297" s="1489">
        <v>362</v>
      </c>
      <c r="L297" s="1489">
        <v>362</v>
      </c>
      <c r="M297" s="1489">
        <v>362</v>
      </c>
      <c r="N297" s="1489">
        <v>362</v>
      </c>
      <c r="O297" s="1489">
        <v>362</v>
      </c>
      <c r="P297" s="1489">
        <v>361774</v>
      </c>
    </row>
    <row r="298" spans="1:16" s="1488" customFormat="1">
      <c r="A298" s="1394" t="s">
        <v>2104</v>
      </c>
      <c r="B298" s="1394" t="s">
        <v>2080</v>
      </c>
      <c r="C298" s="1489">
        <v>0</v>
      </c>
      <c r="D298" s="1489">
        <v>0</v>
      </c>
      <c r="E298" s="1489">
        <v>0</v>
      </c>
      <c r="F298" s="1489">
        <v>0</v>
      </c>
      <c r="G298" s="1489">
        <v>0</v>
      </c>
      <c r="H298" s="1489">
        <v>0</v>
      </c>
      <c r="I298" s="1489">
        <v>0</v>
      </c>
      <c r="J298" s="1490">
        <v>0</v>
      </c>
      <c r="K298" s="1489">
        <v>0</v>
      </c>
      <c r="L298" s="1489">
        <v>0</v>
      </c>
      <c r="M298" s="1489">
        <v>0</v>
      </c>
      <c r="N298" s="1489">
        <v>0</v>
      </c>
      <c r="O298" s="1489">
        <v>0</v>
      </c>
      <c r="P298" s="1489">
        <v>0</v>
      </c>
    </row>
    <row r="299" spans="1:16" s="1488" customFormat="1">
      <c r="A299" s="1394" t="s">
        <v>2105</v>
      </c>
      <c r="B299" s="1394" t="s">
        <v>2080</v>
      </c>
      <c r="C299" s="1489">
        <v>0</v>
      </c>
      <c r="D299" s="1489">
        <v>0</v>
      </c>
      <c r="E299" s="1489">
        <v>0</v>
      </c>
      <c r="F299" s="1489">
        <v>0</v>
      </c>
      <c r="G299" s="1489">
        <v>0</v>
      </c>
      <c r="H299" s="1489">
        <v>0</v>
      </c>
      <c r="I299" s="1489">
        <v>0</v>
      </c>
      <c r="J299" s="1490">
        <v>0</v>
      </c>
      <c r="K299" s="1489">
        <v>0</v>
      </c>
      <c r="L299" s="1489">
        <v>0</v>
      </c>
      <c r="M299" s="1489">
        <v>0</v>
      </c>
      <c r="N299" s="1489">
        <v>0</v>
      </c>
      <c r="O299" s="1489">
        <v>0</v>
      </c>
      <c r="P299" s="1489">
        <v>0</v>
      </c>
    </row>
    <row r="300" spans="1:16" s="1488" customFormat="1">
      <c r="A300" s="1394" t="s">
        <v>2106</v>
      </c>
      <c r="B300" s="1394" t="s">
        <v>2080</v>
      </c>
      <c r="C300" s="1489">
        <v>0</v>
      </c>
      <c r="D300" s="1489">
        <v>0</v>
      </c>
      <c r="E300" s="1489">
        <v>0</v>
      </c>
      <c r="F300" s="1489">
        <v>0</v>
      </c>
      <c r="G300" s="1489">
        <v>0</v>
      </c>
      <c r="H300" s="1489">
        <v>0</v>
      </c>
      <c r="I300" s="1489">
        <v>0</v>
      </c>
      <c r="J300" s="1490">
        <v>0</v>
      </c>
      <c r="K300" s="1489">
        <v>0</v>
      </c>
      <c r="L300" s="1489">
        <v>0</v>
      </c>
      <c r="M300" s="1489">
        <v>0</v>
      </c>
      <c r="N300" s="1489">
        <v>0</v>
      </c>
      <c r="O300" s="1489">
        <v>0</v>
      </c>
      <c r="P300" s="1489">
        <v>0</v>
      </c>
    </row>
    <row r="301" spans="1:16" s="1488" customFormat="1">
      <c r="A301" s="1394" t="s">
        <v>2107</v>
      </c>
      <c r="B301" s="1394" t="s">
        <v>2080</v>
      </c>
      <c r="C301" s="1489">
        <v>0</v>
      </c>
      <c r="D301" s="1489">
        <v>0</v>
      </c>
      <c r="E301" s="1489">
        <v>0</v>
      </c>
      <c r="F301" s="1489">
        <v>0</v>
      </c>
      <c r="G301" s="1489">
        <v>0</v>
      </c>
      <c r="H301" s="1489">
        <v>0</v>
      </c>
      <c r="I301" s="1489">
        <v>0</v>
      </c>
      <c r="J301" s="1490">
        <v>0</v>
      </c>
      <c r="K301" s="1489">
        <v>0</v>
      </c>
      <c r="L301" s="1489">
        <v>0</v>
      </c>
      <c r="M301" s="1489">
        <v>0</v>
      </c>
      <c r="N301" s="1489">
        <v>0</v>
      </c>
      <c r="O301" s="1489">
        <v>0</v>
      </c>
      <c r="P301" s="1489">
        <v>0</v>
      </c>
    </row>
    <row r="302" spans="1:16" s="1488" customFormat="1">
      <c r="A302" s="1394" t="s">
        <v>2108</v>
      </c>
      <c r="B302" s="1394" t="s">
        <v>2080</v>
      </c>
      <c r="C302" s="1489">
        <v>105</v>
      </c>
      <c r="D302" s="1489">
        <v>105</v>
      </c>
      <c r="E302" s="1489">
        <v>105</v>
      </c>
      <c r="F302" s="1489">
        <v>105</v>
      </c>
      <c r="G302" s="1489">
        <v>105</v>
      </c>
      <c r="H302" s="1489">
        <v>105</v>
      </c>
      <c r="I302" s="1489">
        <v>105</v>
      </c>
      <c r="J302" s="1490">
        <v>105</v>
      </c>
      <c r="K302" s="1489">
        <v>105</v>
      </c>
      <c r="L302" s="1489">
        <v>105</v>
      </c>
      <c r="M302" s="1489">
        <v>105</v>
      </c>
      <c r="N302" s="1489">
        <v>105</v>
      </c>
      <c r="O302" s="1489">
        <v>105</v>
      </c>
      <c r="P302" s="1489">
        <v>105000</v>
      </c>
    </row>
    <row r="303" spans="1:16" s="1488" customFormat="1">
      <c r="A303" s="1394" t="s">
        <v>2109</v>
      </c>
      <c r="B303" s="1394" t="s">
        <v>2080</v>
      </c>
      <c r="C303" s="1489">
        <v>0</v>
      </c>
      <c r="D303" s="1489">
        <v>0</v>
      </c>
      <c r="E303" s="1489">
        <v>0</v>
      </c>
      <c r="F303" s="1489">
        <v>0</v>
      </c>
      <c r="G303" s="1489">
        <v>0</v>
      </c>
      <c r="H303" s="1489">
        <v>0</v>
      </c>
      <c r="I303" s="1489">
        <v>0</v>
      </c>
      <c r="J303" s="1490">
        <v>0</v>
      </c>
      <c r="K303" s="1489">
        <v>0</v>
      </c>
      <c r="L303" s="1489">
        <v>0</v>
      </c>
      <c r="M303" s="1489">
        <v>0</v>
      </c>
      <c r="N303" s="1489">
        <v>0</v>
      </c>
      <c r="O303" s="1489">
        <v>0</v>
      </c>
      <c r="P303" s="1489">
        <v>0</v>
      </c>
    </row>
    <row r="304" spans="1:16" s="1488" customFormat="1">
      <c r="A304" s="1394" t="s">
        <v>2110</v>
      </c>
      <c r="B304" s="1394" t="s">
        <v>2080</v>
      </c>
      <c r="C304" s="1489">
        <v>3</v>
      </c>
      <c r="D304" s="1489">
        <v>3</v>
      </c>
      <c r="E304" s="1489">
        <v>3</v>
      </c>
      <c r="F304" s="1489">
        <v>3</v>
      </c>
      <c r="G304" s="1489">
        <v>3</v>
      </c>
      <c r="H304" s="1489">
        <v>3</v>
      </c>
      <c r="I304" s="1489">
        <v>3</v>
      </c>
      <c r="J304" s="1490">
        <v>3</v>
      </c>
      <c r="K304" s="1489">
        <v>3</v>
      </c>
      <c r="L304" s="1489">
        <v>3</v>
      </c>
      <c r="M304" s="1489">
        <v>3</v>
      </c>
      <c r="N304" s="1489">
        <v>3</v>
      </c>
      <c r="O304" s="1489">
        <v>3</v>
      </c>
      <c r="P304" s="1489">
        <v>2891</v>
      </c>
    </row>
    <row r="305" spans="1:16" s="1488" customFormat="1">
      <c r="A305" s="1394" t="s">
        <v>2111</v>
      </c>
      <c r="B305" s="1394" t="s">
        <v>2080</v>
      </c>
      <c r="C305" s="1489">
        <v>0</v>
      </c>
      <c r="D305" s="1489">
        <v>0</v>
      </c>
      <c r="E305" s="1489">
        <v>0</v>
      </c>
      <c r="F305" s="1489">
        <v>0</v>
      </c>
      <c r="G305" s="1489">
        <v>0</v>
      </c>
      <c r="H305" s="1489">
        <v>0</v>
      </c>
      <c r="I305" s="1489">
        <v>0</v>
      </c>
      <c r="J305" s="1490">
        <v>0</v>
      </c>
      <c r="K305" s="1489">
        <v>0</v>
      </c>
      <c r="L305" s="1489">
        <v>0</v>
      </c>
      <c r="M305" s="1489">
        <v>0</v>
      </c>
      <c r="N305" s="1489">
        <v>0</v>
      </c>
      <c r="O305" s="1489">
        <v>0</v>
      </c>
      <c r="P305" s="1489">
        <v>0</v>
      </c>
    </row>
    <row r="306" spans="1:16" s="1488" customFormat="1">
      <c r="A306" s="1394" t="s">
        <v>2112</v>
      </c>
      <c r="B306" s="1394" t="s">
        <v>2080</v>
      </c>
      <c r="C306" s="1489">
        <v>25</v>
      </c>
      <c r="D306" s="1489">
        <v>25</v>
      </c>
      <c r="E306" s="1489">
        <v>25</v>
      </c>
      <c r="F306" s="1489">
        <v>25</v>
      </c>
      <c r="G306" s="1489">
        <v>25</v>
      </c>
      <c r="H306" s="1489">
        <v>25</v>
      </c>
      <c r="I306" s="1489">
        <v>25</v>
      </c>
      <c r="J306" s="1490">
        <v>25</v>
      </c>
      <c r="K306" s="1489">
        <v>25</v>
      </c>
      <c r="L306" s="1489">
        <v>25</v>
      </c>
      <c r="M306" s="1489">
        <v>25</v>
      </c>
      <c r="N306" s="1489">
        <v>25</v>
      </c>
      <c r="O306" s="1489">
        <v>25</v>
      </c>
      <c r="P306" s="1489">
        <v>25165</v>
      </c>
    </row>
    <row r="307" spans="1:16" s="1488" customFormat="1">
      <c r="A307" s="1394" t="s">
        <v>2113</v>
      </c>
      <c r="B307" s="1394" t="s">
        <v>2080</v>
      </c>
      <c r="C307" s="1489">
        <v>249</v>
      </c>
      <c r="D307" s="1489">
        <v>249</v>
      </c>
      <c r="E307" s="1489">
        <v>249</v>
      </c>
      <c r="F307" s="1489">
        <v>249</v>
      </c>
      <c r="G307" s="1489">
        <v>249</v>
      </c>
      <c r="H307" s="1489">
        <v>249</v>
      </c>
      <c r="I307" s="1489">
        <v>249</v>
      </c>
      <c r="J307" s="1490">
        <v>249</v>
      </c>
      <c r="K307" s="1489">
        <v>249</v>
      </c>
      <c r="L307" s="1489">
        <v>249</v>
      </c>
      <c r="M307" s="1489">
        <v>254</v>
      </c>
      <c r="N307" s="1489">
        <v>254</v>
      </c>
      <c r="O307" s="1489">
        <v>254</v>
      </c>
      <c r="P307" s="1489">
        <v>249751</v>
      </c>
    </row>
    <row r="308" spans="1:16" s="1488" customFormat="1">
      <c r="A308" s="1394" t="s">
        <v>2114</v>
      </c>
      <c r="B308" s="1394" t="s">
        <v>2080</v>
      </c>
      <c r="C308" s="1489">
        <v>9058</v>
      </c>
      <c r="D308" s="1489">
        <v>9058</v>
      </c>
      <c r="E308" s="1489">
        <v>9058</v>
      </c>
      <c r="F308" s="1489">
        <v>9058</v>
      </c>
      <c r="G308" s="1489">
        <v>9058</v>
      </c>
      <c r="H308" s="1489">
        <v>9058</v>
      </c>
      <c r="I308" s="1489">
        <v>9058</v>
      </c>
      <c r="J308" s="1490">
        <v>9058</v>
      </c>
      <c r="K308" s="1489">
        <v>9058</v>
      </c>
      <c r="L308" s="1489">
        <v>9058</v>
      </c>
      <c r="M308" s="1489">
        <v>9058</v>
      </c>
      <c r="N308" s="1489">
        <v>9058</v>
      </c>
      <c r="O308" s="1489">
        <v>9058</v>
      </c>
      <c r="P308" s="1489">
        <v>9057613</v>
      </c>
    </row>
    <row r="309" spans="1:16" s="1488" customFormat="1">
      <c r="A309" s="1394" t="s">
        <v>2115</v>
      </c>
      <c r="B309" s="1394" t="s">
        <v>2080</v>
      </c>
      <c r="C309" s="1489">
        <v>0</v>
      </c>
      <c r="D309" s="1489">
        <v>0</v>
      </c>
      <c r="E309" s="1489">
        <v>0</v>
      </c>
      <c r="F309" s="1489">
        <v>0</v>
      </c>
      <c r="G309" s="1489">
        <v>0</v>
      </c>
      <c r="H309" s="1489">
        <v>0</v>
      </c>
      <c r="I309" s="1489">
        <v>0</v>
      </c>
      <c r="J309" s="1490">
        <v>0</v>
      </c>
      <c r="K309" s="1489">
        <v>0</v>
      </c>
      <c r="L309" s="1489">
        <v>0</v>
      </c>
      <c r="M309" s="1489">
        <v>0</v>
      </c>
      <c r="N309" s="1489">
        <v>0</v>
      </c>
      <c r="O309" s="1489">
        <v>0</v>
      </c>
      <c r="P309" s="1489">
        <v>0</v>
      </c>
    </row>
    <row r="310" spans="1:16" s="1488" customFormat="1">
      <c r="A310" s="1394" t="s">
        <v>2116</v>
      </c>
      <c r="B310" s="1394" t="s">
        <v>2080</v>
      </c>
      <c r="C310" s="1489">
        <v>77</v>
      </c>
      <c r="D310" s="1489">
        <v>77</v>
      </c>
      <c r="E310" s="1489">
        <v>77</v>
      </c>
      <c r="F310" s="1489">
        <v>77</v>
      </c>
      <c r="G310" s="1489">
        <v>77</v>
      </c>
      <c r="H310" s="1489">
        <v>77</v>
      </c>
      <c r="I310" s="1489">
        <v>77</v>
      </c>
      <c r="J310" s="1490">
        <v>77</v>
      </c>
      <c r="K310" s="1489">
        <v>77</v>
      </c>
      <c r="L310" s="1489">
        <v>77</v>
      </c>
      <c r="M310" s="1489">
        <v>77</v>
      </c>
      <c r="N310" s="1489">
        <v>0</v>
      </c>
      <c r="O310" s="1489">
        <v>77</v>
      </c>
      <c r="P310" s="1489">
        <v>70989</v>
      </c>
    </row>
    <row r="311" spans="1:16" s="1488" customFormat="1">
      <c r="A311" s="1394" t="s">
        <v>2117</v>
      </c>
      <c r="B311" s="1394" t="s">
        <v>2080</v>
      </c>
      <c r="C311" s="1489">
        <v>811</v>
      </c>
      <c r="D311" s="1489">
        <v>948</v>
      </c>
      <c r="E311" s="1489">
        <v>972</v>
      </c>
      <c r="F311" s="1489">
        <v>973</v>
      </c>
      <c r="G311" s="1489">
        <v>942</v>
      </c>
      <c r="H311" s="1489">
        <v>944</v>
      </c>
      <c r="I311" s="1489">
        <v>953</v>
      </c>
      <c r="J311" s="1490">
        <v>959</v>
      </c>
      <c r="K311" s="1489">
        <v>963</v>
      </c>
      <c r="L311" s="1489">
        <v>971</v>
      </c>
      <c r="M311" s="1489">
        <v>1000</v>
      </c>
      <c r="N311" s="1489">
        <v>1661</v>
      </c>
      <c r="O311" s="1489">
        <v>1021</v>
      </c>
      <c r="P311" s="1489">
        <v>1016730</v>
      </c>
    </row>
    <row r="312" spans="1:16" s="1488" customFormat="1">
      <c r="A312" s="1394" t="s">
        <v>2118</v>
      </c>
      <c r="B312" s="1394" t="s">
        <v>2080</v>
      </c>
      <c r="C312" s="1489">
        <v>2102</v>
      </c>
      <c r="D312" s="1489">
        <v>2055</v>
      </c>
      <c r="E312" s="1489">
        <v>2055</v>
      </c>
      <c r="F312" s="1489">
        <v>2055</v>
      </c>
      <c r="G312" s="1489">
        <v>2087</v>
      </c>
      <c r="H312" s="1489">
        <v>2087</v>
      </c>
      <c r="I312" s="1489">
        <v>2087</v>
      </c>
      <c r="J312" s="1490">
        <v>2087</v>
      </c>
      <c r="K312" s="1489">
        <v>2087</v>
      </c>
      <c r="L312" s="1489">
        <v>2087</v>
      </c>
      <c r="M312" s="1489">
        <v>2087</v>
      </c>
      <c r="N312" s="1489">
        <v>2028</v>
      </c>
      <c r="O312" s="1489">
        <v>2087</v>
      </c>
      <c r="P312" s="1489">
        <v>2074526</v>
      </c>
    </row>
    <row r="313" spans="1:16" s="1488" customFormat="1">
      <c r="A313" s="1394" t="s">
        <v>2119</v>
      </c>
      <c r="B313" s="1394" t="s">
        <v>2080</v>
      </c>
      <c r="C313" s="1489">
        <v>105</v>
      </c>
      <c r="D313" s="1489">
        <v>105</v>
      </c>
      <c r="E313" s="1489">
        <v>105</v>
      </c>
      <c r="F313" s="1489">
        <v>105</v>
      </c>
      <c r="G313" s="1489">
        <v>105</v>
      </c>
      <c r="H313" s="1489">
        <v>105</v>
      </c>
      <c r="I313" s="1489">
        <v>105</v>
      </c>
      <c r="J313" s="1490">
        <v>105</v>
      </c>
      <c r="K313" s="1489">
        <v>105</v>
      </c>
      <c r="L313" s="1489">
        <v>105</v>
      </c>
      <c r="M313" s="1489">
        <v>105</v>
      </c>
      <c r="N313" s="1489">
        <v>0</v>
      </c>
      <c r="O313" s="1489">
        <v>105</v>
      </c>
      <c r="P313" s="1489">
        <v>96250</v>
      </c>
    </row>
    <row r="314" spans="1:16" s="1488" customFormat="1">
      <c r="A314" s="1394" t="s">
        <v>2120</v>
      </c>
      <c r="B314" s="1394" t="s">
        <v>2080</v>
      </c>
      <c r="C314" s="1489">
        <v>0</v>
      </c>
      <c r="D314" s="1489">
        <v>0</v>
      </c>
      <c r="E314" s="1489">
        <v>0</v>
      </c>
      <c r="F314" s="1489">
        <v>0</v>
      </c>
      <c r="G314" s="1489">
        <v>0</v>
      </c>
      <c r="H314" s="1489">
        <v>0</v>
      </c>
      <c r="I314" s="1489">
        <v>0</v>
      </c>
      <c r="J314" s="1490">
        <v>0</v>
      </c>
      <c r="K314" s="1489">
        <v>0</v>
      </c>
      <c r="L314" s="1489">
        <v>0</v>
      </c>
      <c r="M314" s="1489">
        <v>0</v>
      </c>
      <c r="N314" s="1489">
        <v>0</v>
      </c>
      <c r="O314" s="1489">
        <v>0</v>
      </c>
      <c r="P314" s="1489">
        <v>0</v>
      </c>
    </row>
    <row r="315" spans="1:16" s="1488" customFormat="1">
      <c r="A315" s="1394" t="s">
        <v>2121</v>
      </c>
      <c r="B315" s="1394" t="s">
        <v>2080</v>
      </c>
      <c r="C315" s="1489">
        <v>0</v>
      </c>
      <c r="D315" s="1489">
        <v>183</v>
      </c>
      <c r="E315" s="1489">
        <v>183</v>
      </c>
      <c r="F315" s="1489">
        <v>183</v>
      </c>
      <c r="G315" s="1489">
        <v>183</v>
      </c>
      <c r="H315" s="1489">
        <v>183</v>
      </c>
      <c r="I315" s="1489">
        <v>183</v>
      </c>
      <c r="J315" s="1490">
        <v>183</v>
      </c>
      <c r="K315" s="1489">
        <v>183</v>
      </c>
      <c r="L315" s="1489">
        <v>183</v>
      </c>
      <c r="M315" s="1489">
        <v>183</v>
      </c>
      <c r="N315" s="1489">
        <v>0</v>
      </c>
      <c r="O315" s="1489">
        <v>346</v>
      </c>
      <c r="P315" s="1489">
        <v>166977</v>
      </c>
    </row>
    <row r="316" spans="1:16" s="1488" customFormat="1">
      <c r="A316" s="1394" t="s">
        <v>2122</v>
      </c>
      <c r="B316" s="1394" t="s">
        <v>2080</v>
      </c>
      <c r="C316" s="1489">
        <v>4</v>
      </c>
      <c r="D316" s="1489">
        <v>4</v>
      </c>
      <c r="E316" s="1489">
        <v>4</v>
      </c>
      <c r="F316" s="1489">
        <v>4</v>
      </c>
      <c r="G316" s="1489">
        <v>4</v>
      </c>
      <c r="H316" s="1489">
        <v>4</v>
      </c>
      <c r="I316" s="1489">
        <v>4</v>
      </c>
      <c r="J316" s="1490">
        <v>4</v>
      </c>
      <c r="K316" s="1489">
        <v>4</v>
      </c>
      <c r="L316" s="1489">
        <v>4</v>
      </c>
      <c r="M316" s="1489">
        <v>4</v>
      </c>
      <c r="N316" s="1489">
        <v>0</v>
      </c>
      <c r="O316" s="1489">
        <v>4</v>
      </c>
      <c r="P316" s="1489">
        <v>3975</v>
      </c>
    </row>
    <row r="317" spans="1:16" s="1488" customFormat="1">
      <c r="A317" s="1394" t="s">
        <v>2123</v>
      </c>
      <c r="B317" s="1394" t="s">
        <v>2080</v>
      </c>
      <c r="C317" s="1489">
        <v>57</v>
      </c>
      <c r="D317" s="1489">
        <v>57</v>
      </c>
      <c r="E317" s="1489">
        <v>57</v>
      </c>
      <c r="F317" s="1489">
        <v>57</v>
      </c>
      <c r="G317" s="1489">
        <v>57</v>
      </c>
      <c r="H317" s="1489">
        <v>50</v>
      </c>
      <c r="I317" s="1489">
        <v>50</v>
      </c>
      <c r="J317" s="1490">
        <v>50</v>
      </c>
      <c r="K317" s="1489">
        <v>50</v>
      </c>
      <c r="L317" s="1489">
        <v>50</v>
      </c>
      <c r="M317" s="1489">
        <v>50</v>
      </c>
      <c r="N317" s="1489">
        <v>0</v>
      </c>
      <c r="O317" s="1489">
        <v>50</v>
      </c>
      <c r="P317" s="1489">
        <v>48474</v>
      </c>
    </row>
    <row r="318" spans="1:16" s="1488" customFormat="1">
      <c r="A318" s="1394" t="s">
        <v>2124</v>
      </c>
      <c r="B318" s="1394" t="s">
        <v>2080</v>
      </c>
      <c r="C318" s="1489">
        <v>0</v>
      </c>
      <c r="D318" s="1489">
        <v>0</v>
      </c>
      <c r="E318" s="1489">
        <v>0</v>
      </c>
      <c r="F318" s="1489">
        <v>0</v>
      </c>
      <c r="G318" s="1489">
        <v>0</v>
      </c>
      <c r="H318" s="1489">
        <v>0</v>
      </c>
      <c r="I318" s="1489">
        <v>0</v>
      </c>
      <c r="J318" s="1490">
        <v>0</v>
      </c>
      <c r="K318" s="1489">
        <v>0</v>
      </c>
      <c r="L318" s="1489">
        <v>0</v>
      </c>
      <c r="M318" s="1489">
        <v>0</v>
      </c>
      <c r="N318" s="1489">
        <v>0</v>
      </c>
      <c r="O318" s="1489">
        <v>0</v>
      </c>
      <c r="P318" s="1489">
        <v>0</v>
      </c>
    </row>
    <row r="319" spans="1:16" s="1488" customFormat="1">
      <c r="A319" s="1394" t="s">
        <v>2125</v>
      </c>
      <c r="B319" s="1394" t="s">
        <v>2080</v>
      </c>
      <c r="C319" s="1489">
        <v>2821</v>
      </c>
      <c r="D319" s="1489">
        <v>8260</v>
      </c>
      <c r="E319" s="1489">
        <v>8275</v>
      </c>
      <c r="F319" s="1489">
        <v>8323</v>
      </c>
      <c r="G319" s="1489">
        <v>8418</v>
      </c>
      <c r="H319" s="1489">
        <v>8411</v>
      </c>
      <c r="I319" s="1489">
        <v>8435</v>
      </c>
      <c r="J319" s="1490">
        <v>8487</v>
      </c>
      <c r="K319" s="1489">
        <v>8503</v>
      </c>
      <c r="L319" s="1489">
        <v>8511</v>
      </c>
      <c r="M319" s="1489">
        <v>8513</v>
      </c>
      <c r="N319" s="1489">
        <v>8514</v>
      </c>
      <c r="O319" s="1489">
        <v>8515</v>
      </c>
      <c r="P319" s="1489">
        <v>8193124</v>
      </c>
    </row>
    <row r="320" spans="1:16" s="1488" customFormat="1">
      <c r="A320" s="1394" t="s">
        <v>2126</v>
      </c>
      <c r="B320" s="1394" t="s">
        <v>2080</v>
      </c>
      <c r="C320" s="1489">
        <v>82</v>
      </c>
      <c r="D320" s="1489">
        <v>82</v>
      </c>
      <c r="E320" s="1489">
        <v>82</v>
      </c>
      <c r="F320" s="1489">
        <v>82</v>
      </c>
      <c r="G320" s="1489">
        <v>0</v>
      </c>
      <c r="H320" s="1489">
        <v>0</v>
      </c>
      <c r="I320" s="1489">
        <v>0</v>
      </c>
      <c r="J320" s="1490">
        <v>0</v>
      </c>
      <c r="K320" s="1489">
        <v>0</v>
      </c>
      <c r="L320" s="1489">
        <v>0</v>
      </c>
      <c r="M320" s="1489">
        <v>0</v>
      </c>
      <c r="N320" s="1489">
        <v>0</v>
      </c>
      <c r="O320" s="1489">
        <v>0</v>
      </c>
      <c r="P320" s="1489">
        <v>23987</v>
      </c>
    </row>
    <row r="321" spans="1:16" s="1488" customFormat="1">
      <c r="A321" s="1394" t="s">
        <v>2127</v>
      </c>
      <c r="B321" s="1394" t="s">
        <v>2080</v>
      </c>
      <c r="C321" s="1489">
        <v>26</v>
      </c>
      <c r="D321" s="1489">
        <v>0</v>
      </c>
      <c r="E321" s="1489">
        <v>0</v>
      </c>
      <c r="F321" s="1489">
        <v>26</v>
      </c>
      <c r="G321" s="1489">
        <v>26</v>
      </c>
      <c r="H321" s="1489">
        <v>26</v>
      </c>
      <c r="I321" s="1489">
        <v>26</v>
      </c>
      <c r="J321" s="1490">
        <v>26</v>
      </c>
      <c r="K321" s="1489">
        <v>26</v>
      </c>
      <c r="L321" s="1489">
        <v>26</v>
      </c>
      <c r="M321" s="1489">
        <v>26</v>
      </c>
      <c r="N321" s="1489">
        <v>26</v>
      </c>
      <c r="O321" s="1489">
        <v>26</v>
      </c>
      <c r="P321" s="1489">
        <v>21991</v>
      </c>
    </row>
    <row r="322" spans="1:16" s="1488" customFormat="1">
      <c r="A322" s="1394" t="s">
        <v>2128</v>
      </c>
      <c r="B322" s="1394" t="s">
        <v>2080</v>
      </c>
      <c r="C322" s="1489">
        <v>0</v>
      </c>
      <c r="D322" s="1489">
        <v>2</v>
      </c>
      <c r="E322" s="1489">
        <v>2</v>
      </c>
      <c r="F322" s="1489">
        <v>2</v>
      </c>
      <c r="G322" s="1489">
        <v>2</v>
      </c>
      <c r="H322" s="1489">
        <v>2</v>
      </c>
      <c r="I322" s="1489">
        <v>2</v>
      </c>
      <c r="J322" s="1490">
        <v>2</v>
      </c>
      <c r="K322" s="1489">
        <v>2</v>
      </c>
      <c r="L322" s="1489">
        <v>2</v>
      </c>
      <c r="M322" s="1489">
        <v>2</v>
      </c>
      <c r="N322" s="1489">
        <v>2</v>
      </c>
      <c r="O322" s="1489">
        <v>2</v>
      </c>
      <c r="P322" s="1489">
        <v>1890</v>
      </c>
    </row>
    <row r="323" spans="1:16" s="1488" customFormat="1">
      <c r="A323" s="1394" t="s">
        <v>2129</v>
      </c>
      <c r="B323" s="1394" t="s">
        <v>2080</v>
      </c>
      <c r="C323" s="1489">
        <v>465</v>
      </c>
      <c r="D323" s="1489">
        <v>427</v>
      </c>
      <c r="E323" s="1489">
        <v>427</v>
      </c>
      <c r="F323" s="1489">
        <v>590</v>
      </c>
      <c r="G323" s="1489">
        <v>590</v>
      </c>
      <c r="H323" s="1489">
        <v>590</v>
      </c>
      <c r="I323" s="1489">
        <v>590</v>
      </c>
      <c r="J323" s="1490">
        <v>590</v>
      </c>
      <c r="K323" s="1489">
        <v>590</v>
      </c>
      <c r="L323" s="1489">
        <v>590</v>
      </c>
      <c r="M323" s="1489">
        <v>590</v>
      </c>
      <c r="N323" s="1489">
        <v>590</v>
      </c>
      <c r="O323" s="1489">
        <v>590</v>
      </c>
      <c r="P323" s="1489">
        <v>557378</v>
      </c>
    </row>
    <row r="324" spans="1:16" s="1488" customFormat="1">
      <c r="A324" s="1394" t="s">
        <v>2130</v>
      </c>
      <c r="B324" s="1394" t="s">
        <v>2080</v>
      </c>
      <c r="C324" s="1489">
        <v>0</v>
      </c>
      <c r="D324" s="1489">
        <v>0</v>
      </c>
      <c r="E324" s="1489">
        <v>0</v>
      </c>
      <c r="F324" s="1489">
        <v>0</v>
      </c>
      <c r="G324" s="1489">
        <v>0</v>
      </c>
      <c r="H324" s="1489">
        <v>0</v>
      </c>
      <c r="I324" s="1489">
        <v>0</v>
      </c>
      <c r="J324" s="1490">
        <v>0</v>
      </c>
      <c r="K324" s="1489">
        <v>0</v>
      </c>
      <c r="L324" s="1489">
        <v>0</v>
      </c>
      <c r="M324" s="1489">
        <v>0</v>
      </c>
      <c r="N324" s="1489">
        <v>0</v>
      </c>
      <c r="O324" s="1489">
        <v>0</v>
      </c>
      <c r="P324" s="1489">
        <v>0</v>
      </c>
    </row>
    <row r="325" spans="1:16" s="1488" customFormat="1">
      <c r="A325" s="1394" t="s">
        <v>2131</v>
      </c>
      <c r="B325" s="1394" t="s">
        <v>2080</v>
      </c>
      <c r="C325" s="1489">
        <v>49</v>
      </c>
      <c r="D325" s="1489">
        <v>49</v>
      </c>
      <c r="E325" s="1489">
        <v>49</v>
      </c>
      <c r="F325" s="1489">
        <v>49</v>
      </c>
      <c r="G325" s="1489">
        <v>49</v>
      </c>
      <c r="H325" s="1489">
        <v>49</v>
      </c>
      <c r="I325" s="1489">
        <v>49</v>
      </c>
      <c r="J325" s="1490">
        <v>49</v>
      </c>
      <c r="K325" s="1489">
        <v>49</v>
      </c>
      <c r="L325" s="1489">
        <v>49</v>
      </c>
      <c r="M325" s="1489">
        <v>49</v>
      </c>
      <c r="N325" s="1489">
        <v>49</v>
      </c>
      <c r="O325" s="1489">
        <v>49</v>
      </c>
      <c r="P325" s="1489">
        <v>49486</v>
      </c>
    </row>
    <row r="326" spans="1:16" s="1488" customFormat="1">
      <c r="A326" s="1394" t="s">
        <v>2132</v>
      </c>
      <c r="B326" s="1394" t="s">
        <v>2080</v>
      </c>
      <c r="C326" s="1489">
        <v>0</v>
      </c>
      <c r="D326" s="1489">
        <v>0</v>
      </c>
      <c r="E326" s="1489">
        <v>0</v>
      </c>
      <c r="F326" s="1489">
        <v>0</v>
      </c>
      <c r="G326" s="1489">
        <v>0</v>
      </c>
      <c r="H326" s="1489">
        <v>0</v>
      </c>
      <c r="I326" s="1489">
        <v>0</v>
      </c>
      <c r="J326" s="1490">
        <v>0</v>
      </c>
      <c r="K326" s="1489">
        <v>0</v>
      </c>
      <c r="L326" s="1489">
        <v>0</v>
      </c>
      <c r="M326" s="1489">
        <v>0</v>
      </c>
      <c r="N326" s="1489">
        <v>0</v>
      </c>
      <c r="O326" s="1489">
        <v>0</v>
      </c>
      <c r="P326" s="1489">
        <v>0</v>
      </c>
    </row>
    <row r="327" spans="1:16" s="1488" customFormat="1">
      <c r="A327" s="1394" t="s">
        <v>2133</v>
      </c>
      <c r="B327" s="1394" t="s">
        <v>2080</v>
      </c>
      <c r="C327" s="1489">
        <v>633</v>
      </c>
      <c r="D327" s="1489">
        <v>1111</v>
      </c>
      <c r="E327" s="1489">
        <v>1101</v>
      </c>
      <c r="F327" s="1489">
        <v>1108</v>
      </c>
      <c r="G327" s="1489">
        <v>1280</v>
      </c>
      <c r="H327" s="1489">
        <v>1274</v>
      </c>
      <c r="I327" s="1489">
        <v>1276</v>
      </c>
      <c r="J327" s="1490">
        <v>1277</v>
      </c>
      <c r="K327" s="1489">
        <v>1305</v>
      </c>
      <c r="L327" s="1489">
        <v>1305</v>
      </c>
      <c r="M327" s="1489">
        <v>1306</v>
      </c>
      <c r="N327" s="1489">
        <v>1307</v>
      </c>
      <c r="O327" s="1489">
        <v>1325</v>
      </c>
      <c r="P327" s="1489">
        <v>1218930</v>
      </c>
    </row>
    <row r="328" spans="1:16" s="1488" customFormat="1">
      <c r="A328" s="1394" t="s">
        <v>2134</v>
      </c>
      <c r="B328" s="1394" t="s">
        <v>2080</v>
      </c>
      <c r="C328" s="1489">
        <v>4504</v>
      </c>
      <c r="D328" s="1489">
        <v>4504</v>
      </c>
      <c r="E328" s="1489">
        <v>4504</v>
      </c>
      <c r="F328" s="1489">
        <v>4504</v>
      </c>
      <c r="G328" s="1489">
        <v>4504</v>
      </c>
      <c r="H328" s="1489">
        <v>4504</v>
      </c>
      <c r="I328" s="1489">
        <v>4504</v>
      </c>
      <c r="J328" s="1490">
        <v>4504</v>
      </c>
      <c r="K328" s="1489">
        <v>4504</v>
      </c>
      <c r="L328" s="1489">
        <v>4504</v>
      </c>
      <c r="M328" s="1489">
        <v>4504</v>
      </c>
      <c r="N328" s="1489">
        <v>4504</v>
      </c>
      <c r="O328" s="1489">
        <v>4504</v>
      </c>
      <c r="P328" s="1489">
        <v>4503603</v>
      </c>
    </row>
    <row r="329" spans="1:16" s="1488" customFormat="1">
      <c r="A329" s="1394" t="s">
        <v>2135</v>
      </c>
      <c r="B329" s="1394" t="s">
        <v>2080</v>
      </c>
      <c r="C329" s="1489">
        <v>0</v>
      </c>
      <c r="D329" s="1489">
        <v>0</v>
      </c>
      <c r="E329" s="1489">
        <v>0</v>
      </c>
      <c r="F329" s="1489">
        <v>0</v>
      </c>
      <c r="G329" s="1489">
        <v>0</v>
      </c>
      <c r="H329" s="1489">
        <v>0</v>
      </c>
      <c r="I329" s="1489">
        <v>0</v>
      </c>
      <c r="J329" s="1490">
        <v>0</v>
      </c>
      <c r="K329" s="1489">
        <v>0</v>
      </c>
      <c r="L329" s="1489">
        <v>0</v>
      </c>
      <c r="M329" s="1489">
        <v>0</v>
      </c>
      <c r="N329" s="1489">
        <v>0</v>
      </c>
      <c r="O329" s="1489">
        <v>0</v>
      </c>
      <c r="P329" s="1489">
        <v>0</v>
      </c>
    </row>
    <row r="330" spans="1:16" s="1488" customFormat="1">
      <c r="A330" s="1394" t="s">
        <v>2136</v>
      </c>
      <c r="B330" s="1394" t="s">
        <v>2080</v>
      </c>
      <c r="C330" s="1489">
        <v>0</v>
      </c>
      <c r="D330" s="1489">
        <v>0</v>
      </c>
      <c r="E330" s="1489">
        <v>0</v>
      </c>
      <c r="F330" s="1489">
        <v>0</v>
      </c>
      <c r="G330" s="1489">
        <v>0</v>
      </c>
      <c r="H330" s="1489">
        <v>0</v>
      </c>
      <c r="I330" s="1489">
        <v>0</v>
      </c>
      <c r="J330" s="1490">
        <v>0</v>
      </c>
      <c r="K330" s="1489">
        <v>0</v>
      </c>
      <c r="L330" s="1489">
        <v>0</v>
      </c>
      <c r="M330" s="1489">
        <v>0</v>
      </c>
      <c r="N330" s="1489">
        <v>0</v>
      </c>
      <c r="O330" s="1489">
        <v>0</v>
      </c>
      <c r="P330" s="1489">
        <v>0</v>
      </c>
    </row>
    <row r="331" spans="1:16" s="1488" customFormat="1">
      <c r="A331" s="1394" t="s">
        <v>2137</v>
      </c>
      <c r="B331" s="1394" t="s">
        <v>2080</v>
      </c>
      <c r="C331" s="1489">
        <v>241</v>
      </c>
      <c r="D331" s="1489">
        <v>988</v>
      </c>
      <c r="E331" s="1489">
        <v>974</v>
      </c>
      <c r="F331" s="1489">
        <v>973</v>
      </c>
      <c r="G331" s="1489">
        <v>973</v>
      </c>
      <c r="H331" s="1489">
        <v>973</v>
      </c>
      <c r="I331" s="1489">
        <v>973</v>
      </c>
      <c r="J331" s="1490">
        <v>973</v>
      </c>
      <c r="K331" s="1489">
        <v>973</v>
      </c>
      <c r="L331" s="1489">
        <v>973</v>
      </c>
      <c r="M331" s="1489">
        <v>973</v>
      </c>
      <c r="N331" s="1489">
        <v>973</v>
      </c>
      <c r="O331" s="1489">
        <v>973</v>
      </c>
      <c r="P331" s="1489">
        <v>943668</v>
      </c>
    </row>
    <row r="332" spans="1:16" s="1488" customFormat="1">
      <c r="A332" s="1394" t="s">
        <v>2138</v>
      </c>
      <c r="B332" s="1394" t="s">
        <v>2080</v>
      </c>
      <c r="C332" s="1489">
        <v>9456</v>
      </c>
      <c r="D332" s="1489">
        <v>9456</v>
      </c>
      <c r="E332" s="1489">
        <v>9456</v>
      </c>
      <c r="F332" s="1489">
        <v>9456</v>
      </c>
      <c r="G332" s="1489">
        <v>9456</v>
      </c>
      <c r="H332" s="1489">
        <v>9456</v>
      </c>
      <c r="I332" s="1489">
        <v>9456</v>
      </c>
      <c r="J332" s="1490">
        <v>9456</v>
      </c>
      <c r="K332" s="1489">
        <v>9456</v>
      </c>
      <c r="L332" s="1489">
        <v>9456</v>
      </c>
      <c r="M332" s="1489">
        <v>9456</v>
      </c>
      <c r="N332" s="1489">
        <v>9456</v>
      </c>
      <c r="O332" s="1489">
        <v>9456</v>
      </c>
      <c r="P332" s="1489">
        <v>9455812</v>
      </c>
    </row>
    <row r="333" spans="1:16" s="1488" customFormat="1">
      <c r="A333" s="1394" t="s">
        <v>2139</v>
      </c>
      <c r="B333" s="1394" t="s">
        <v>2080</v>
      </c>
      <c r="C333" s="1489">
        <v>0</v>
      </c>
      <c r="D333" s="1489">
        <v>0</v>
      </c>
      <c r="E333" s="1489">
        <v>0</v>
      </c>
      <c r="F333" s="1489">
        <v>0</v>
      </c>
      <c r="G333" s="1489">
        <v>0</v>
      </c>
      <c r="H333" s="1489">
        <v>0</v>
      </c>
      <c r="I333" s="1489">
        <v>0</v>
      </c>
      <c r="J333" s="1490">
        <v>0</v>
      </c>
      <c r="K333" s="1489">
        <v>0</v>
      </c>
      <c r="L333" s="1489">
        <v>0</v>
      </c>
      <c r="M333" s="1489">
        <v>0</v>
      </c>
      <c r="N333" s="1489">
        <v>0</v>
      </c>
      <c r="O333" s="1489">
        <v>0</v>
      </c>
      <c r="P333" s="1489">
        <v>0</v>
      </c>
    </row>
    <row r="334" spans="1:16" s="1488" customFormat="1">
      <c r="A334" s="1394" t="s">
        <v>2140</v>
      </c>
      <c r="B334" s="1394" t="s">
        <v>2080</v>
      </c>
      <c r="C334" s="1489">
        <v>3572</v>
      </c>
      <c r="D334" s="1489">
        <v>5119</v>
      </c>
      <c r="E334" s="1489">
        <v>5119</v>
      </c>
      <c r="F334" s="1489">
        <v>5130</v>
      </c>
      <c r="G334" s="1489">
        <v>5593</v>
      </c>
      <c r="H334" s="1489">
        <v>5597</v>
      </c>
      <c r="I334" s="1489">
        <v>5597</v>
      </c>
      <c r="J334" s="1490">
        <v>5606</v>
      </c>
      <c r="K334" s="1489">
        <v>5616</v>
      </c>
      <c r="L334" s="1489">
        <v>5616</v>
      </c>
      <c r="M334" s="1489">
        <v>5616</v>
      </c>
      <c r="N334" s="1489">
        <v>5616</v>
      </c>
      <c r="O334" s="1489">
        <v>5616</v>
      </c>
      <c r="P334" s="1489">
        <v>5401361</v>
      </c>
    </row>
    <row r="335" spans="1:16" s="1488" customFormat="1">
      <c r="A335" s="1394" t="s">
        <v>2141</v>
      </c>
      <c r="B335" s="1394" t="s">
        <v>2080</v>
      </c>
      <c r="C335" s="1489">
        <v>458</v>
      </c>
      <c r="D335" s="1489">
        <v>458</v>
      </c>
      <c r="E335" s="1489">
        <v>458</v>
      </c>
      <c r="F335" s="1489">
        <v>458</v>
      </c>
      <c r="G335" s="1489">
        <v>0</v>
      </c>
      <c r="H335" s="1489">
        <v>0</v>
      </c>
      <c r="I335" s="1489">
        <v>0</v>
      </c>
      <c r="J335" s="1490">
        <v>0</v>
      </c>
      <c r="K335" s="1489">
        <v>0</v>
      </c>
      <c r="L335" s="1489">
        <v>0</v>
      </c>
      <c r="M335" s="1489">
        <v>0</v>
      </c>
      <c r="N335" s="1489">
        <v>0</v>
      </c>
      <c r="O335" s="1489">
        <v>0</v>
      </c>
      <c r="P335" s="1489">
        <v>133604</v>
      </c>
    </row>
    <row r="336" spans="1:16" s="1488" customFormat="1">
      <c r="A336" s="1394" t="s">
        <v>2142</v>
      </c>
      <c r="B336" s="1394" t="s">
        <v>2080</v>
      </c>
      <c r="C336" s="1489">
        <v>6593</v>
      </c>
      <c r="D336" s="1489">
        <v>6373</v>
      </c>
      <c r="E336" s="1489">
        <v>7499</v>
      </c>
      <c r="F336" s="1489">
        <v>8659</v>
      </c>
      <c r="G336" s="1489">
        <v>8660</v>
      </c>
      <c r="H336" s="1489">
        <v>8110</v>
      </c>
      <c r="I336" s="1489">
        <v>8271</v>
      </c>
      <c r="J336" s="1490">
        <v>8305</v>
      </c>
      <c r="K336" s="1489">
        <v>9027</v>
      </c>
      <c r="L336" s="1489">
        <v>9076</v>
      </c>
      <c r="M336" s="1489">
        <v>10862</v>
      </c>
      <c r="N336" s="1489">
        <v>10905</v>
      </c>
      <c r="O336" s="1489">
        <v>13712</v>
      </c>
      <c r="P336" s="1489">
        <v>8824970</v>
      </c>
    </row>
    <row r="337" spans="1:16" s="1488" customFormat="1">
      <c r="A337" s="1394" t="s">
        <v>2143</v>
      </c>
      <c r="B337" s="1394" t="s">
        <v>2080</v>
      </c>
      <c r="C337" s="1489">
        <v>15577</v>
      </c>
      <c r="D337" s="1489">
        <v>15577</v>
      </c>
      <c r="E337" s="1489">
        <v>15577</v>
      </c>
      <c r="F337" s="1489">
        <v>18118</v>
      </c>
      <c r="G337" s="1489">
        <v>18144</v>
      </c>
      <c r="H337" s="1489">
        <v>18119</v>
      </c>
      <c r="I337" s="1489">
        <v>18119</v>
      </c>
      <c r="J337" s="1490">
        <v>15436</v>
      </c>
      <c r="K337" s="1489">
        <v>15323</v>
      </c>
      <c r="L337" s="1489">
        <v>15323</v>
      </c>
      <c r="M337" s="1489">
        <v>15323</v>
      </c>
      <c r="N337" s="1489">
        <v>15323</v>
      </c>
      <c r="O337" s="1489">
        <v>15323</v>
      </c>
      <c r="P337" s="1489">
        <v>16319498</v>
      </c>
    </row>
    <row r="338" spans="1:16" s="1488" customFormat="1">
      <c r="A338" s="1394" t="s">
        <v>2144</v>
      </c>
      <c r="B338" s="1394" t="s">
        <v>2080</v>
      </c>
      <c r="C338" s="1489">
        <v>0</v>
      </c>
      <c r="D338" s="1489">
        <v>0</v>
      </c>
      <c r="E338" s="1489">
        <v>0</v>
      </c>
      <c r="F338" s="1489">
        <v>0</v>
      </c>
      <c r="G338" s="1489">
        <v>0</v>
      </c>
      <c r="H338" s="1489">
        <v>0</v>
      </c>
      <c r="I338" s="1489">
        <v>0</v>
      </c>
      <c r="J338" s="1490">
        <v>0</v>
      </c>
      <c r="K338" s="1489">
        <v>0</v>
      </c>
      <c r="L338" s="1489">
        <v>0</v>
      </c>
      <c r="M338" s="1489">
        <v>0</v>
      </c>
      <c r="N338" s="1489">
        <v>0</v>
      </c>
      <c r="O338" s="1489">
        <v>0</v>
      </c>
      <c r="P338" s="1489">
        <v>0</v>
      </c>
    </row>
    <row r="339" spans="1:16" s="1488" customFormat="1">
      <c r="A339" s="1394" t="s">
        <v>2145</v>
      </c>
      <c r="B339" s="1394" t="s">
        <v>2080</v>
      </c>
      <c r="C339" s="1489">
        <v>0</v>
      </c>
      <c r="D339" s="1489">
        <v>0</v>
      </c>
      <c r="E339" s="1489">
        <v>0</v>
      </c>
      <c r="F339" s="1489">
        <v>5778</v>
      </c>
      <c r="G339" s="1489">
        <v>5778</v>
      </c>
      <c r="H339" s="1489">
        <v>5778</v>
      </c>
      <c r="I339" s="1489">
        <v>5778</v>
      </c>
      <c r="J339" s="1490">
        <v>5778</v>
      </c>
      <c r="K339" s="1489">
        <v>5778</v>
      </c>
      <c r="L339" s="1489">
        <v>5778</v>
      </c>
      <c r="M339" s="1489">
        <v>5778</v>
      </c>
      <c r="N339" s="1489">
        <v>5778</v>
      </c>
      <c r="O339" s="1489">
        <v>5778</v>
      </c>
      <c r="P339" s="1489">
        <v>4574201</v>
      </c>
    </row>
    <row r="340" spans="1:16" s="1488" customFormat="1">
      <c r="A340" s="1394" t="s">
        <v>2146</v>
      </c>
      <c r="B340" s="1394" t="s">
        <v>2080</v>
      </c>
      <c r="C340" s="1489">
        <v>0</v>
      </c>
      <c r="D340" s="1489">
        <v>0</v>
      </c>
      <c r="E340" s="1489">
        <v>0</v>
      </c>
      <c r="F340" s="1489">
        <v>0</v>
      </c>
      <c r="G340" s="1489">
        <v>0</v>
      </c>
      <c r="H340" s="1489">
        <v>0</v>
      </c>
      <c r="I340" s="1489">
        <v>0</v>
      </c>
      <c r="J340" s="1490">
        <v>0</v>
      </c>
      <c r="K340" s="1489">
        <v>0</v>
      </c>
      <c r="L340" s="1489">
        <v>0</v>
      </c>
      <c r="M340" s="1489">
        <v>0</v>
      </c>
      <c r="N340" s="1489">
        <v>0</v>
      </c>
      <c r="O340" s="1489">
        <v>0</v>
      </c>
      <c r="P340" s="1489">
        <v>0</v>
      </c>
    </row>
    <row r="341" spans="1:16" s="1488" customFormat="1">
      <c r="A341" s="1394" t="s">
        <v>2147</v>
      </c>
      <c r="B341" s="1394" t="s">
        <v>2080</v>
      </c>
      <c r="C341" s="1489">
        <v>2</v>
      </c>
      <c r="D341" s="1489">
        <v>2</v>
      </c>
      <c r="E341" s="1489">
        <v>2</v>
      </c>
      <c r="F341" s="1489">
        <v>6</v>
      </c>
      <c r="G341" s="1489">
        <v>6</v>
      </c>
      <c r="H341" s="1489">
        <v>6</v>
      </c>
      <c r="I341" s="1489">
        <v>6</v>
      </c>
      <c r="J341" s="1490">
        <v>6</v>
      </c>
      <c r="K341" s="1489">
        <v>6</v>
      </c>
      <c r="L341" s="1489">
        <v>6</v>
      </c>
      <c r="M341" s="1489">
        <v>6</v>
      </c>
      <c r="N341" s="1489">
        <v>6</v>
      </c>
      <c r="O341" s="1489">
        <v>6</v>
      </c>
      <c r="P341" s="1489">
        <v>5510</v>
      </c>
    </row>
    <row r="342" spans="1:16" s="1488" customFormat="1">
      <c r="A342" s="1394" t="s">
        <v>2148</v>
      </c>
      <c r="B342" s="1394" t="s">
        <v>2080</v>
      </c>
      <c r="C342" s="1489">
        <v>5</v>
      </c>
      <c r="D342" s="1489">
        <v>5</v>
      </c>
      <c r="E342" s="1489">
        <v>5</v>
      </c>
      <c r="F342" s="1489">
        <v>5</v>
      </c>
      <c r="G342" s="1489">
        <v>8</v>
      </c>
      <c r="H342" s="1489">
        <v>8</v>
      </c>
      <c r="I342" s="1489">
        <v>8</v>
      </c>
      <c r="J342" s="1490">
        <v>10</v>
      </c>
      <c r="K342" s="1489">
        <v>10</v>
      </c>
      <c r="L342" s="1489">
        <v>10</v>
      </c>
      <c r="M342" s="1489">
        <v>10</v>
      </c>
      <c r="N342" s="1489">
        <v>10</v>
      </c>
      <c r="O342" s="1489">
        <v>10</v>
      </c>
      <c r="P342" s="1489">
        <v>8110</v>
      </c>
    </row>
    <row r="343" spans="1:16" s="1488" customFormat="1">
      <c r="A343" s="1394" t="s">
        <v>2149</v>
      </c>
      <c r="B343" s="1394" t="s">
        <v>2080</v>
      </c>
      <c r="C343" s="1489">
        <v>751</v>
      </c>
      <c r="D343" s="1489">
        <v>751</v>
      </c>
      <c r="E343" s="1489">
        <v>751</v>
      </c>
      <c r="F343" s="1489">
        <v>751</v>
      </c>
      <c r="G343" s="1489">
        <v>751</v>
      </c>
      <c r="H343" s="1489">
        <v>751</v>
      </c>
      <c r="I343" s="1489">
        <v>751</v>
      </c>
      <c r="J343" s="1490">
        <v>751</v>
      </c>
      <c r="K343" s="1489">
        <v>751</v>
      </c>
      <c r="L343" s="1489">
        <v>751</v>
      </c>
      <c r="M343" s="1489">
        <v>751</v>
      </c>
      <c r="N343" s="1489">
        <v>751</v>
      </c>
      <c r="O343" s="1489">
        <v>751</v>
      </c>
      <c r="P343" s="1489">
        <v>750573</v>
      </c>
    </row>
    <row r="344" spans="1:16" s="1488" customFormat="1">
      <c r="A344" s="1394" t="s">
        <v>2150</v>
      </c>
      <c r="B344" s="1394" t="s">
        <v>2080</v>
      </c>
      <c r="C344" s="1489">
        <v>0</v>
      </c>
      <c r="D344" s="1489">
        <v>0</v>
      </c>
      <c r="E344" s="1489">
        <v>0</v>
      </c>
      <c r="F344" s="1489">
        <v>0</v>
      </c>
      <c r="G344" s="1489">
        <v>0</v>
      </c>
      <c r="H344" s="1489">
        <v>0</v>
      </c>
      <c r="I344" s="1489">
        <v>0</v>
      </c>
      <c r="J344" s="1490">
        <v>0</v>
      </c>
      <c r="K344" s="1489">
        <v>0</v>
      </c>
      <c r="L344" s="1489">
        <v>0</v>
      </c>
      <c r="M344" s="1489">
        <v>0</v>
      </c>
      <c r="N344" s="1489">
        <v>0</v>
      </c>
      <c r="O344" s="1489">
        <v>0</v>
      </c>
      <c r="P344" s="1489">
        <v>0</v>
      </c>
    </row>
    <row r="345" spans="1:16" s="1488" customFormat="1">
      <c r="A345" s="1394" t="s">
        <v>2151</v>
      </c>
      <c r="B345" s="1394" t="s">
        <v>2080</v>
      </c>
      <c r="C345" s="1489">
        <v>494</v>
      </c>
      <c r="D345" s="1489">
        <v>494</v>
      </c>
      <c r="E345" s="1489">
        <v>494</v>
      </c>
      <c r="F345" s="1489">
        <v>494</v>
      </c>
      <c r="G345" s="1489">
        <v>494</v>
      </c>
      <c r="H345" s="1489">
        <v>494</v>
      </c>
      <c r="I345" s="1489">
        <v>494</v>
      </c>
      <c r="J345" s="1490">
        <v>494</v>
      </c>
      <c r="K345" s="1489">
        <v>0</v>
      </c>
      <c r="L345" s="1489">
        <v>0</v>
      </c>
      <c r="M345" s="1489">
        <v>0</v>
      </c>
      <c r="N345" s="1489">
        <v>0</v>
      </c>
      <c r="O345" s="1489">
        <v>0</v>
      </c>
      <c r="P345" s="1489">
        <v>308963</v>
      </c>
    </row>
    <row r="346" spans="1:16" s="1488" customFormat="1">
      <c r="A346" s="1394" t="s">
        <v>2152</v>
      </c>
      <c r="B346" s="1394" t="s">
        <v>2080</v>
      </c>
      <c r="C346" s="1489">
        <v>0</v>
      </c>
      <c r="D346" s="1489">
        <v>0</v>
      </c>
      <c r="E346" s="1489">
        <v>0</v>
      </c>
      <c r="F346" s="1489">
        <v>0</v>
      </c>
      <c r="G346" s="1489">
        <v>0</v>
      </c>
      <c r="H346" s="1489">
        <v>0</v>
      </c>
      <c r="I346" s="1489">
        <v>0</v>
      </c>
      <c r="J346" s="1490">
        <v>0</v>
      </c>
      <c r="K346" s="1489">
        <v>0</v>
      </c>
      <c r="L346" s="1489">
        <v>0</v>
      </c>
      <c r="M346" s="1489">
        <v>0</v>
      </c>
      <c r="N346" s="1489">
        <v>0</v>
      </c>
      <c r="O346" s="1489">
        <v>0</v>
      </c>
      <c r="P346" s="1489">
        <v>0</v>
      </c>
    </row>
    <row r="347" spans="1:16" s="1488" customFormat="1">
      <c r="A347" s="1394" t="s">
        <v>2153</v>
      </c>
      <c r="B347" s="1394" t="s">
        <v>2080</v>
      </c>
      <c r="C347" s="1489">
        <v>91</v>
      </c>
      <c r="D347" s="1489">
        <v>91</v>
      </c>
      <c r="E347" s="1489">
        <v>91</v>
      </c>
      <c r="F347" s="1489">
        <v>91</v>
      </c>
      <c r="G347" s="1489">
        <v>91</v>
      </c>
      <c r="H347" s="1489">
        <v>91</v>
      </c>
      <c r="I347" s="1489">
        <v>91</v>
      </c>
      <c r="J347" s="1490">
        <v>91</v>
      </c>
      <c r="K347" s="1489">
        <v>203</v>
      </c>
      <c r="L347" s="1489">
        <v>203</v>
      </c>
      <c r="M347" s="1489">
        <v>203</v>
      </c>
      <c r="N347" s="1489">
        <v>203</v>
      </c>
      <c r="O347" s="1489">
        <v>203</v>
      </c>
      <c r="P347" s="1489">
        <v>132726</v>
      </c>
    </row>
    <row r="348" spans="1:16" s="1488" customFormat="1">
      <c r="A348" s="1394" t="s">
        <v>2154</v>
      </c>
      <c r="B348" s="1394" t="s">
        <v>2080</v>
      </c>
      <c r="C348" s="1489">
        <v>9</v>
      </c>
      <c r="D348" s="1489">
        <v>9</v>
      </c>
      <c r="E348" s="1489">
        <v>9</v>
      </c>
      <c r="F348" s="1489">
        <v>9</v>
      </c>
      <c r="G348" s="1489">
        <v>9</v>
      </c>
      <c r="H348" s="1489">
        <v>9</v>
      </c>
      <c r="I348" s="1489">
        <v>9</v>
      </c>
      <c r="J348" s="1490">
        <v>9</v>
      </c>
      <c r="K348" s="1489">
        <v>9</v>
      </c>
      <c r="L348" s="1489">
        <v>9</v>
      </c>
      <c r="M348" s="1489">
        <v>9</v>
      </c>
      <c r="N348" s="1489">
        <v>9</v>
      </c>
      <c r="O348" s="1489">
        <v>9</v>
      </c>
      <c r="P348" s="1489">
        <v>9243</v>
      </c>
    </row>
    <row r="349" spans="1:16" s="1488" customFormat="1">
      <c r="A349" s="1394" t="s">
        <v>2155</v>
      </c>
      <c r="B349" s="1394" t="s">
        <v>2080</v>
      </c>
      <c r="C349" s="1489">
        <v>0</v>
      </c>
      <c r="D349" s="1489">
        <v>0</v>
      </c>
      <c r="E349" s="1489">
        <v>0</v>
      </c>
      <c r="F349" s="1489">
        <v>0</v>
      </c>
      <c r="G349" s="1489">
        <v>0</v>
      </c>
      <c r="H349" s="1489">
        <v>0</v>
      </c>
      <c r="I349" s="1489">
        <v>0</v>
      </c>
      <c r="J349" s="1490">
        <v>0</v>
      </c>
      <c r="K349" s="1489">
        <v>0</v>
      </c>
      <c r="L349" s="1489">
        <v>0</v>
      </c>
      <c r="M349" s="1489">
        <v>0</v>
      </c>
      <c r="N349" s="1489">
        <v>0</v>
      </c>
      <c r="O349" s="1489">
        <v>0</v>
      </c>
      <c r="P349" s="1489">
        <v>0</v>
      </c>
    </row>
    <row r="350" spans="1:16" s="1488" customFormat="1">
      <c r="A350" s="1394" t="s">
        <v>2156</v>
      </c>
      <c r="B350" s="1394" t="s">
        <v>2080</v>
      </c>
      <c r="C350" s="1489">
        <v>205</v>
      </c>
      <c r="D350" s="1489">
        <v>205</v>
      </c>
      <c r="E350" s="1489">
        <v>205</v>
      </c>
      <c r="F350" s="1489">
        <v>205</v>
      </c>
      <c r="G350" s="1489">
        <v>205</v>
      </c>
      <c r="H350" s="1489">
        <v>205</v>
      </c>
      <c r="I350" s="1489">
        <v>205</v>
      </c>
      <c r="J350" s="1490">
        <v>205</v>
      </c>
      <c r="K350" s="1489">
        <v>205</v>
      </c>
      <c r="L350" s="1489">
        <v>205</v>
      </c>
      <c r="M350" s="1489">
        <v>205</v>
      </c>
      <c r="N350" s="1489">
        <v>205</v>
      </c>
      <c r="O350" s="1489">
        <v>205</v>
      </c>
      <c r="P350" s="1489">
        <v>205384</v>
      </c>
    </row>
    <row r="351" spans="1:16" s="1488" customFormat="1">
      <c r="A351" s="1394" t="s">
        <v>2157</v>
      </c>
      <c r="B351" s="1394" t="s">
        <v>2080</v>
      </c>
      <c r="C351" s="1489">
        <v>0</v>
      </c>
      <c r="D351" s="1489">
        <v>0</v>
      </c>
      <c r="E351" s="1489">
        <v>0</v>
      </c>
      <c r="F351" s="1489">
        <v>0</v>
      </c>
      <c r="G351" s="1489">
        <v>0</v>
      </c>
      <c r="H351" s="1489">
        <v>0</v>
      </c>
      <c r="I351" s="1489">
        <v>0</v>
      </c>
      <c r="J351" s="1490">
        <v>2088</v>
      </c>
      <c r="K351" s="1489">
        <v>2088</v>
      </c>
      <c r="L351" s="1489">
        <v>2088</v>
      </c>
      <c r="M351" s="1489">
        <v>2088</v>
      </c>
      <c r="N351" s="1489">
        <v>2088</v>
      </c>
      <c r="O351" s="1489">
        <v>2088</v>
      </c>
      <c r="P351" s="1489">
        <v>956942</v>
      </c>
    </row>
    <row r="352" spans="1:16" s="1488" customFormat="1">
      <c r="A352" s="1394" t="s">
        <v>2158</v>
      </c>
      <c r="B352" s="1394" t="s">
        <v>2080</v>
      </c>
      <c r="C352" s="1489">
        <v>3</v>
      </c>
      <c r="D352" s="1489">
        <v>3</v>
      </c>
      <c r="E352" s="1489">
        <v>3</v>
      </c>
      <c r="F352" s="1489">
        <v>3</v>
      </c>
      <c r="G352" s="1489">
        <v>3</v>
      </c>
      <c r="H352" s="1489">
        <v>3</v>
      </c>
      <c r="I352" s="1489">
        <v>3</v>
      </c>
      <c r="J352" s="1490">
        <v>3</v>
      </c>
      <c r="K352" s="1489">
        <v>3</v>
      </c>
      <c r="L352" s="1489">
        <v>3</v>
      </c>
      <c r="M352" s="1489">
        <v>3</v>
      </c>
      <c r="N352" s="1489">
        <v>3</v>
      </c>
      <c r="O352" s="1489">
        <v>3</v>
      </c>
      <c r="P352" s="1489">
        <v>2655</v>
      </c>
    </row>
    <row r="353" spans="1:16" s="1488" customFormat="1">
      <c r="A353" s="1394" t="s">
        <v>2159</v>
      </c>
      <c r="B353" s="1394" t="s">
        <v>2080</v>
      </c>
      <c r="C353" s="1489">
        <v>291</v>
      </c>
      <c r="D353" s="1489">
        <v>291</v>
      </c>
      <c r="E353" s="1489">
        <v>291</v>
      </c>
      <c r="F353" s="1489">
        <v>291</v>
      </c>
      <c r="G353" s="1489">
        <v>291</v>
      </c>
      <c r="H353" s="1489">
        <v>291</v>
      </c>
      <c r="I353" s="1489">
        <v>291</v>
      </c>
      <c r="J353" s="1490">
        <v>291</v>
      </c>
      <c r="K353" s="1489">
        <v>293</v>
      </c>
      <c r="L353" s="1489">
        <v>293</v>
      </c>
      <c r="M353" s="1489">
        <v>295</v>
      </c>
      <c r="N353" s="1489">
        <v>294</v>
      </c>
      <c r="O353" s="1489">
        <v>294</v>
      </c>
      <c r="P353" s="1489">
        <v>292319</v>
      </c>
    </row>
    <row r="354" spans="1:16" s="1488" customFormat="1">
      <c r="A354" s="1394" t="s">
        <v>2160</v>
      </c>
      <c r="B354" s="1394" t="s">
        <v>2080</v>
      </c>
      <c r="C354" s="1489">
        <v>0</v>
      </c>
      <c r="D354" s="1489">
        <v>0</v>
      </c>
      <c r="E354" s="1489">
        <v>0</v>
      </c>
      <c r="F354" s="1489">
        <v>0</v>
      </c>
      <c r="G354" s="1489">
        <v>0</v>
      </c>
      <c r="H354" s="1489">
        <v>0</v>
      </c>
      <c r="I354" s="1489">
        <v>0</v>
      </c>
      <c r="J354" s="1490">
        <v>0</v>
      </c>
      <c r="K354" s="1489">
        <v>0</v>
      </c>
      <c r="L354" s="1489">
        <v>0</v>
      </c>
      <c r="M354" s="1489">
        <v>0</v>
      </c>
      <c r="N354" s="1489">
        <v>0</v>
      </c>
      <c r="O354" s="1489">
        <v>0</v>
      </c>
      <c r="P354" s="1489">
        <v>0</v>
      </c>
    </row>
    <row r="355" spans="1:16" s="1488" customFormat="1">
      <c r="A355" s="1394" t="s">
        <v>2161</v>
      </c>
      <c r="B355" s="1394" t="s">
        <v>2080</v>
      </c>
      <c r="C355" s="1489">
        <v>0</v>
      </c>
      <c r="D355" s="1489">
        <v>0</v>
      </c>
      <c r="E355" s="1489">
        <v>0</v>
      </c>
      <c r="F355" s="1489">
        <v>0</v>
      </c>
      <c r="G355" s="1489">
        <v>0</v>
      </c>
      <c r="H355" s="1489">
        <v>0</v>
      </c>
      <c r="I355" s="1489">
        <v>0</v>
      </c>
      <c r="J355" s="1490">
        <v>0</v>
      </c>
      <c r="K355" s="1489">
        <v>0</v>
      </c>
      <c r="L355" s="1489">
        <v>0</v>
      </c>
      <c r="M355" s="1489">
        <v>0</v>
      </c>
      <c r="N355" s="1489">
        <v>0</v>
      </c>
      <c r="O355" s="1489">
        <v>0</v>
      </c>
      <c r="P355" s="1489">
        <v>0</v>
      </c>
    </row>
    <row r="356" spans="1:16" s="1488" customFormat="1">
      <c r="A356" s="1394" t="s">
        <v>2162</v>
      </c>
      <c r="B356" s="1394" t="s">
        <v>2080</v>
      </c>
      <c r="C356" s="1489">
        <v>0</v>
      </c>
      <c r="D356" s="1489">
        <v>0</v>
      </c>
      <c r="E356" s="1489">
        <v>0</v>
      </c>
      <c r="F356" s="1489">
        <v>0</v>
      </c>
      <c r="G356" s="1489">
        <v>0</v>
      </c>
      <c r="H356" s="1489">
        <v>0</v>
      </c>
      <c r="I356" s="1489">
        <v>0</v>
      </c>
      <c r="J356" s="1490">
        <v>0</v>
      </c>
      <c r="K356" s="1489">
        <v>0</v>
      </c>
      <c r="L356" s="1489">
        <v>0</v>
      </c>
      <c r="M356" s="1489">
        <v>0</v>
      </c>
      <c r="N356" s="1489">
        <v>0</v>
      </c>
      <c r="O356" s="1489">
        <v>0</v>
      </c>
      <c r="P356" s="1489">
        <v>0</v>
      </c>
    </row>
    <row r="357" spans="1:16" s="1488" customFormat="1">
      <c r="A357" s="1394" t="s">
        <v>2163</v>
      </c>
      <c r="B357" s="1394" t="s">
        <v>2080</v>
      </c>
      <c r="C357" s="1489">
        <v>0</v>
      </c>
      <c r="D357" s="1489">
        <v>0</v>
      </c>
      <c r="E357" s="1489">
        <v>0</v>
      </c>
      <c r="F357" s="1489">
        <v>0</v>
      </c>
      <c r="G357" s="1489">
        <v>0</v>
      </c>
      <c r="H357" s="1489">
        <v>0</v>
      </c>
      <c r="I357" s="1489">
        <v>0</v>
      </c>
      <c r="J357" s="1490">
        <v>0</v>
      </c>
      <c r="K357" s="1489">
        <v>0</v>
      </c>
      <c r="L357" s="1489">
        <v>0</v>
      </c>
      <c r="M357" s="1489">
        <v>0</v>
      </c>
      <c r="N357" s="1489">
        <v>0</v>
      </c>
      <c r="O357" s="1489">
        <v>0</v>
      </c>
      <c r="P357" s="1489">
        <v>0</v>
      </c>
    </row>
    <row r="358" spans="1:16" s="1488" customFormat="1">
      <c r="A358" s="1394" t="s">
        <v>2164</v>
      </c>
      <c r="B358" s="1394" t="s">
        <v>2080</v>
      </c>
      <c r="C358" s="1489">
        <v>0</v>
      </c>
      <c r="D358" s="1489">
        <v>0</v>
      </c>
      <c r="E358" s="1489">
        <v>0</v>
      </c>
      <c r="F358" s="1489">
        <v>0</v>
      </c>
      <c r="G358" s="1489">
        <v>0</v>
      </c>
      <c r="H358" s="1489">
        <v>0</v>
      </c>
      <c r="I358" s="1489">
        <v>0</v>
      </c>
      <c r="J358" s="1490">
        <v>0</v>
      </c>
      <c r="K358" s="1489">
        <v>0</v>
      </c>
      <c r="L358" s="1489">
        <v>0</v>
      </c>
      <c r="M358" s="1489">
        <v>0</v>
      </c>
      <c r="N358" s="1489">
        <v>0</v>
      </c>
      <c r="O358" s="1489">
        <v>0</v>
      </c>
      <c r="P358" s="1489">
        <v>0</v>
      </c>
    </row>
    <row r="359" spans="1:16" s="1488" customFormat="1">
      <c r="A359" s="1394" t="s">
        <v>2165</v>
      </c>
      <c r="B359" s="1394" t="s">
        <v>2080</v>
      </c>
      <c r="C359" s="1489">
        <v>0</v>
      </c>
      <c r="D359" s="1489">
        <v>0</v>
      </c>
      <c r="E359" s="1489">
        <v>0</v>
      </c>
      <c r="F359" s="1489">
        <v>0</v>
      </c>
      <c r="G359" s="1489">
        <v>0</v>
      </c>
      <c r="H359" s="1489">
        <v>0</v>
      </c>
      <c r="I359" s="1489">
        <v>0</v>
      </c>
      <c r="J359" s="1490">
        <v>0</v>
      </c>
      <c r="K359" s="1489">
        <v>0</v>
      </c>
      <c r="L359" s="1489">
        <v>0</v>
      </c>
      <c r="M359" s="1489">
        <v>0</v>
      </c>
      <c r="N359" s="1489">
        <v>0</v>
      </c>
      <c r="O359" s="1489">
        <v>0</v>
      </c>
      <c r="P359" s="1489">
        <v>0</v>
      </c>
    </row>
    <row r="360" spans="1:16" s="1488" customFormat="1">
      <c r="A360" s="1394" t="s">
        <v>2166</v>
      </c>
      <c r="B360" s="1394" t="s">
        <v>2080</v>
      </c>
      <c r="C360" s="1489">
        <v>0</v>
      </c>
      <c r="D360" s="1489">
        <v>0</v>
      </c>
      <c r="E360" s="1489">
        <v>0</v>
      </c>
      <c r="F360" s="1489">
        <v>0</v>
      </c>
      <c r="G360" s="1489">
        <v>0</v>
      </c>
      <c r="H360" s="1489">
        <v>0</v>
      </c>
      <c r="I360" s="1489">
        <v>0</v>
      </c>
      <c r="J360" s="1490">
        <v>0</v>
      </c>
      <c r="K360" s="1489">
        <v>0</v>
      </c>
      <c r="L360" s="1489">
        <v>0</v>
      </c>
      <c r="M360" s="1489">
        <v>0</v>
      </c>
      <c r="N360" s="1489">
        <v>0</v>
      </c>
      <c r="O360" s="1489">
        <v>0</v>
      </c>
      <c r="P360" s="1489">
        <v>0</v>
      </c>
    </row>
    <row r="361" spans="1:16" s="1488" customFormat="1">
      <c r="A361" s="1394" t="s">
        <v>2167</v>
      </c>
      <c r="B361" s="1394" t="s">
        <v>2080</v>
      </c>
      <c r="C361" s="1489">
        <v>0</v>
      </c>
      <c r="D361" s="1489">
        <v>0</v>
      </c>
      <c r="E361" s="1489">
        <v>0</v>
      </c>
      <c r="F361" s="1489">
        <v>0</v>
      </c>
      <c r="G361" s="1489">
        <v>0</v>
      </c>
      <c r="H361" s="1489">
        <v>0</v>
      </c>
      <c r="I361" s="1489">
        <v>0</v>
      </c>
      <c r="J361" s="1490">
        <v>0</v>
      </c>
      <c r="K361" s="1489">
        <v>0</v>
      </c>
      <c r="L361" s="1489">
        <v>0</v>
      </c>
      <c r="M361" s="1489">
        <v>0</v>
      </c>
      <c r="N361" s="1489">
        <v>0</v>
      </c>
      <c r="O361" s="1489">
        <v>0</v>
      </c>
      <c r="P361" s="1489">
        <v>0</v>
      </c>
    </row>
    <row r="362" spans="1:16" s="1488" customFormat="1">
      <c r="A362" s="1394" t="s">
        <v>2168</v>
      </c>
      <c r="B362" s="1394" t="s">
        <v>2080</v>
      </c>
      <c r="C362" s="1489">
        <v>0</v>
      </c>
      <c r="D362" s="1489">
        <v>0</v>
      </c>
      <c r="E362" s="1489">
        <v>0</v>
      </c>
      <c r="F362" s="1489">
        <v>0</v>
      </c>
      <c r="G362" s="1489">
        <v>0</v>
      </c>
      <c r="H362" s="1489">
        <v>0</v>
      </c>
      <c r="I362" s="1489">
        <v>0</v>
      </c>
      <c r="J362" s="1490">
        <v>0</v>
      </c>
      <c r="K362" s="1489">
        <v>0</v>
      </c>
      <c r="L362" s="1489">
        <v>0</v>
      </c>
      <c r="M362" s="1489">
        <v>0</v>
      </c>
      <c r="N362" s="1489">
        <v>0</v>
      </c>
      <c r="O362" s="1489">
        <v>0</v>
      </c>
      <c r="P362" s="1489">
        <v>0</v>
      </c>
    </row>
    <row r="363" spans="1:16" s="1488" customFormat="1">
      <c r="A363" s="1394" t="s">
        <v>2169</v>
      </c>
      <c r="B363" s="1394" t="s">
        <v>2080</v>
      </c>
      <c r="C363" s="1489">
        <v>0</v>
      </c>
      <c r="D363" s="1489">
        <v>0</v>
      </c>
      <c r="E363" s="1489">
        <v>0</v>
      </c>
      <c r="F363" s="1489">
        <v>0</v>
      </c>
      <c r="G363" s="1489">
        <v>0</v>
      </c>
      <c r="H363" s="1489">
        <v>0</v>
      </c>
      <c r="I363" s="1489">
        <v>0</v>
      </c>
      <c r="J363" s="1490">
        <v>0</v>
      </c>
      <c r="K363" s="1489">
        <v>0</v>
      </c>
      <c r="L363" s="1489">
        <v>0</v>
      </c>
      <c r="M363" s="1489">
        <v>0</v>
      </c>
      <c r="N363" s="1489">
        <v>0</v>
      </c>
      <c r="O363" s="1489">
        <v>0</v>
      </c>
      <c r="P363" s="1489">
        <v>0</v>
      </c>
    </row>
    <row r="364" spans="1:16" s="1488" customFormat="1">
      <c r="A364" s="1394" t="s">
        <v>2170</v>
      </c>
      <c r="B364" s="1394" t="s">
        <v>2080</v>
      </c>
      <c r="C364" s="1489">
        <v>0</v>
      </c>
      <c r="D364" s="1489">
        <v>0</v>
      </c>
      <c r="E364" s="1489">
        <v>0</v>
      </c>
      <c r="F364" s="1489">
        <v>0</v>
      </c>
      <c r="G364" s="1489">
        <v>0</v>
      </c>
      <c r="H364" s="1489">
        <v>0</v>
      </c>
      <c r="I364" s="1489">
        <v>0</v>
      </c>
      <c r="J364" s="1490">
        <v>0</v>
      </c>
      <c r="K364" s="1489">
        <v>0</v>
      </c>
      <c r="L364" s="1489">
        <v>0</v>
      </c>
      <c r="M364" s="1489">
        <v>0</v>
      </c>
      <c r="N364" s="1489">
        <v>0</v>
      </c>
      <c r="O364" s="1489">
        <v>0</v>
      </c>
      <c r="P364" s="1489">
        <v>0</v>
      </c>
    </row>
    <row r="365" spans="1:16" s="1488" customFormat="1">
      <c r="A365" s="1394" t="s">
        <v>2171</v>
      </c>
      <c r="B365" s="1394" t="s">
        <v>2080</v>
      </c>
      <c r="C365" s="1489">
        <v>0</v>
      </c>
      <c r="D365" s="1489">
        <v>0</v>
      </c>
      <c r="E365" s="1489">
        <v>0</v>
      </c>
      <c r="F365" s="1489">
        <v>0</v>
      </c>
      <c r="G365" s="1489">
        <v>0</v>
      </c>
      <c r="H365" s="1489">
        <v>0</v>
      </c>
      <c r="I365" s="1489">
        <v>0</v>
      </c>
      <c r="J365" s="1490">
        <v>0</v>
      </c>
      <c r="K365" s="1489">
        <v>0</v>
      </c>
      <c r="L365" s="1489">
        <v>0</v>
      </c>
      <c r="M365" s="1489">
        <v>0</v>
      </c>
      <c r="N365" s="1489">
        <v>0</v>
      </c>
      <c r="O365" s="1489">
        <v>0</v>
      </c>
      <c r="P365" s="1489">
        <v>0</v>
      </c>
    </row>
    <row r="366" spans="1:16" s="1488" customFormat="1">
      <c r="A366" s="1394" t="s">
        <v>2172</v>
      </c>
      <c r="B366" s="1394" t="s">
        <v>2080</v>
      </c>
      <c r="C366" s="1489">
        <v>0</v>
      </c>
      <c r="D366" s="1489">
        <v>0</v>
      </c>
      <c r="E366" s="1489">
        <v>0</v>
      </c>
      <c r="F366" s="1489">
        <v>0</v>
      </c>
      <c r="G366" s="1489">
        <v>0</v>
      </c>
      <c r="H366" s="1489">
        <v>0</v>
      </c>
      <c r="I366" s="1489">
        <v>0</v>
      </c>
      <c r="J366" s="1490">
        <v>0</v>
      </c>
      <c r="K366" s="1489">
        <v>0</v>
      </c>
      <c r="L366" s="1489">
        <v>0</v>
      </c>
      <c r="M366" s="1489">
        <v>0</v>
      </c>
      <c r="N366" s="1489">
        <v>0</v>
      </c>
      <c r="O366" s="1489">
        <v>0</v>
      </c>
      <c r="P366" s="1489">
        <v>0</v>
      </c>
    </row>
    <row r="367" spans="1:16" s="1488" customFormat="1">
      <c r="A367" s="1394" t="s">
        <v>2173</v>
      </c>
      <c r="B367" s="1394" t="s">
        <v>2080</v>
      </c>
      <c r="C367" s="1489">
        <v>0</v>
      </c>
      <c r="D367" s="1489">
        <v>0</v>
      </c>
      <c r="E367" s="1489">
        <v>0</v>
      </c>
      <c r="F367" s="1489">
        <v>0</v>
      </c>
      <c r="G367" s="1489">
        <v>0</v>
      </c>
      <c r="H367" s="1489">
        <v>0</v>
      </c>
      <c r="I367" s="1489">
        <v>0</v>
      </c>
      <c r="J367" s="1490">
        <v>0</v>
      </c>
      <c r="K367" s="1489">
        <v>0</v>
      </c>
      <c r="L367" s="1489">
        <v>0</v>
      </c>
      <c r="M367" s="1489">
        <v>0</v>
      </c>
      <c r="N367" s="1489">
        <v>0</v>
      </c>
      <c r="O367" s="1489">
        <v>0</v>
      </c>
      <c r="P367" s="1489">
        <v>0</v>
      </c>
    </row>
    <row r="368" spans="1:16" s="1488" customFormat="1">
      <c r="A368" s="1394" t="s">
        <v>2174</v>
      </c>
      <c r="B368" s="1394" t="s">
        <v>2080</v>
      </c>
      <c r="C368" s="1489">
        <v>150</v>
      </c>
      <c r="D368" s="1489">
        <v>150</v>
      </c>
      <c r="E368" s="1489">
        <v>150</v>
      </c>
      <c r="F368" s="1489">
        <v>150</v>
      </c>
      <c r="G368" s="1489">
        <v>150</v>
      </c>
      <c r="H368" s="1489">
        <v>150</v>
      </c>
      <c r="I368" s="1489">
        <v>150</v>
      </c>
      <c r="J368" s="1490">
        <v>150</v>
      </c>
      <c r="K368" s="1489">
        <v>150</v>
      </c>
      <c r="L368" s="1489">
        <v>150</v>
      </c>
      <c r="M368" s="1489">
        <v>150</v>
      </c>
      <c r="N368" s="1489">
        <v>150</v>
      </c>
      <c r="O368" s="1489">
        <v>150</v>
      </c>
      <c r="P368" s="1489">
        <v>150385</v>
      </c>
    </row>
    <row r="369" spans="1:17" s="1488" customFormat="1">
      <c r="A369" s="1394" t="s">
        <v>2175</v>
      </c>
      <c r="B369" s="1394" t="s">
        <v>2080</v>
      </c>
      <c r="C369" s="1489">
        <v>0</v>
      </c>
      <c r="D369" s="1489">
        <v>0</v>
      </c>
      <c r="E369" s="1489">
        <v>0</v>
      </c>
      <c r="F369" s="1489">
        <v>0</v>
      </c>
      <c r="G369" s="1489">
        <v>0</v>
      </c>
      <c r="H369" s="1489">
        <v>0</v>
      </c>
      <c r="I369" s="1489">
        <v>0</v>
      </c>
      <c r="J369" s="1490">
        <v>0</v>
      </c>
      <c r="K369" s="1489">
        <v>0</v>
      </c>
      <c r="L369" s="1489">
        <v>0</v>
      </c>
      <c r="M369" s="1489">
        <v>0</v>
      </c>
      <c r="N369" s="1489">
        <v>0</v>
      </c>
      <c r="O369" s="1489">
        <v>0</v>
      </c>
      <c r="P369" s="1489">
        <v>0</v>
      </c>
    </row>
    <row r="370" spans="1:17" s="1488" customFormat="1">
      <c r="A370" s="1394" t="s">
        <v>2176</v>
      </c>
      <c r="B370" s="1394" t="s">
        <v>2080</v>
      </c>
      <c r="C370" s="1489">
        <v>1192</v>
      </c>
      <c r="D370" s="1489">
        <v>1233</v>
      </c>
      <c r="E370" s="1489">
        <v>1239</v>
      </c>
      <c r="F370" s="1489">
        <v>1266</v>
      </c>
      <c r="G370" s="1489">
        <v>77</v>
      </c>
      <c r="H370" s="1489">
        <v>77</v>
      </c>
      <c r="I370" s="1489">
        <v>83</v>
      </c>
      <c r="J370" s="1490">
        <v>84</v>
      </c>
      <c r="K370" s="1489">
        <v>84</v>
      </c>
      <c r="L370" s="1489">
        <v>85</v>
      </c>
      <c r="M370" s="1489">
        <v>85</v>
      </c>
      <c r="N370" s="1489">
        <v>219</v>
      </c>
      <c r="O370" s="1489">
        <v>212</v>
      </c>
      <c r="P370" s="1489">
        <v>436110</v>
      </c>
    </row>
    <row r="371" spans="1:17" s="1488" customFormat="1">
      <c r="A371" s="1394" t="s">
        <v>2177</v>
      </c>
      <c r="B371" s="1394" t="s">
        <v>2080</v>
      </c>
      <c r="C371" s="1489">
        <v>0</v>
      </c>
      <c r="D371" s="1489">
        <v>0</v>
      </c>
      <c r="E371" s="1489">
        <v>0</v>
      </c>
      <c r="F371" s="1489">
        <v>0</v>
      </c>
      <c r="G371" s="1489">
        <v>1192</v>
      </c>
      <c r="H371" s="1489">
        <v>1192</v>
      </c>
      <c r="I371" s="1489">
        <v>1192</v>
      </c>
      <c r="J371" s="1490">
        <v>1813</v>
      </c>
      <c r="K371" s="1489">
        <v>1813</v>
      </c>
      <c r="L371" s="1489">
        <v>1813</v>
      </c>
      <c r="M371" s="1489">
        <v>1813</v>
      </c>
      <c r="N371" s="1489">
        <v>1813</v>
      </c>
      <c r="O371" s="1489">
        <v>1813</v>
      </c>
      <c r="P371" s="1489">
        <v>1128923</v>
      </c>
    </row>
    <row r="372" spans="1:17" s="1488" customFormat="1">
      <c r="A372" s="1394" t="s">
        <v>2178</v>
      </c>
      <c r="B372" s="1394" t="s">
        <v>2080</v>
      </c>
      <c r="C372" s="1489">
        <v>0</v>
      </c>
      <c r="D372" s="1489">
        <v>0</v>
      </c>
      <c r="E372" s="1489">
        <v>0</v>
      </c>
      <c r="F372" s="1489">
        <v>0</v>
      </c>
      <c r="G372" s="1489">
        <v>0</v>
      </c>
      <c r="H372" s="1489">
        <v>0</v>
      </c>
      <c r="I372" s="1489">
        <v>0</v>
      </c>
      <c r="J372" s="1490">
        <v>0</v>
      </c>
      <c r="K372" s="1489">
        <v>0</v>
      </c>
      <c r="L372" s="1489">
        <v>0</v>
      </c>
      <c r="M372" s="1489">
        <v>0</v>
      </c>
      <c r="N372" s="1489">
        <v>0</v>
      </c>
      <c r="O372" s="1489">
        <v>0</v>
      </c>
      <c r="P372" s="1489">
        <v>0</v>
      </c>
    </row>
    <row r="373" spans="1:17" s="1488" customFormat="1">
      <c r="A373" s="1394" t="s">
        <v>2179</v>
      </c>
      <c r="B373" s="1394" t="s">
        <v>2080</v>
      </c>
      <c r="C373" s="1489">
        <v>0</v>
      </c>
      <c r="D373" s="1489">
        <v>0</v>
      </c>
      <c r="E373" s="1489">
        <v>0</v>
      </c>
      <c r="F373" s="1489">
        <v>0</v>
      </c>
      <c r="G373" s="1489">
        <v>0</v>
      </c>
      <c r="H373" s="1489">
        <v>0</v>
      </c>
      <c r="I373" s="1489">
        <v>0</v>
      </c>
      <c r="J373" s="1490">
        <v>0</v>
      </c>
      <c r="K373" s="1489">
        <v>0</v>
      </c>
      <c r="L373" s="1489">
        <v>0</v>
      </c>
      <c r="M373" s="1489">
        <v>0</v>
      </c>
      <c r="N373" s="1489">
        <v>0</v>
      </c>
      <c r="O373" s="1489">
        <v>0</v>
      </c>
      <c r="P373" s="1489">
        <v>0</v>
      </c>
    </row>
    <row r="374" spans="1:17" s="1488" customFormat="1">
      <c r="A374" s="1394" t="s">
        <v>2180</v>
      </c>
      <c r="B374" s="1394" t="s">
        <v>2080</v>
      </c>
      <c r="C374" s="1489">
        <v>27</v>
      </c>
      <c r="D374" s="1489">
        <v>303</v>
      </c>
      <c r="E374" s="1489">
        <v>303</v>
      </c>
      <c r="F374" s="1489">
        <v>283</v>
      </c>
      <c r="G374" s="1489">
        <v>213</v>
      </c>
      <c r="H374" s="1489">
        <v>148</v>
      </c>
      <c r="I374" s="1489">
        <v>84</v>
      </c>
      <c r="J374" s="1490">
        <v>23</v>
      </c>
      <c r="K374" s="1489">
        <v>30</v>
      </c>
      <c r="L374" s="1489">
        <v>25</v>
      </c>
      <c r="M374" s="1489">
        <v>24</v>
      </c>
      <c r="N374" s="1489">
        <v>24</v>
      </c>
      <c r="O374" s="1489">
        <v>24</v>
      </c>
      <c r="P374" s="1489">
        <v>123890</v>
      </c>
    </row>
    <row r="375" spans="1:17" s="1488" customFormat="1">
      <c r="A375" s="1394" t="s">
        <v>2181</v>
      </c>
      <c r="B375" s="1394" t="s">
        <v>2080</v>
      </c>
      <c r="C375" s="1489">
        <v>125</v>
      </c>
      <c r="D375" s="1489">
        <v>125</v>
      </c>
      <c r="E375" s="1489">
        <v>125</v>
      </c>
      <c r="F375" s="1489">
        <v>130</v>
      </c>
      <c r="G375" s="1489">
        <v>130</v>
      </c>
      <c r="H375" s="1489">
        <v>130</v>
      </c>
      <c r="I375" s="1489">
        <v>130</v>
      </c>
      <c r="J375" s="1490">
        <v>130</v>
      </c>
      <c r="K375" s="1489">
        <v>130</v>
      </c>
      <c r="L375" s="1489">
        <v>130</v>
      </c>
      <c r="M375" s="1489">
        <v>130</v>
      </c>
      <c r="N375" s="1489">
        <v>130</v>
      </c>
      <c r="O375" s="1489">
        <v>130</v>
      </c>
      <c r="P375" s="1489">
        <v>129055</v>
      </c>
    </row>
    <row r="376" spans="1:17" s="1488" customFormat="1">
      <c r="A376" s="1394" t="s">
        <v>2182</v>
      </c>
      <c r="B376" s="1394" t="s">
        <v>2080</v>
      </c>
      <c r="C376" s="1489">
        <v>0</v>
      </c>
      <c r="D376" s="1489">
        <v>0</v>
      </c>
      <c r="E376" s="1489">
        <v>0</v>
      </c>
      <c r="F376" s="1489">
        <v>0</v>
      </c>
      <c r="G376" s="1489">
        <v>0</v>
      </c>
      <c r="H376" s="1489">
        <v>0</v>
      </c>
      <c r="I376" s="1489">
        <v>0</v>
      </c>
      <c r="J376" s="1490">
        <v>0</v>
      </c>
      <c r="K376" s="1489">
        <v>0</v>
      </c>
      <c r="L376" s="1489">
        <v>0</v>
      </c>
      <c r="M376" s="1489">
        <v>0</v>
      </c>
      <c r="N376" s="1489">
        <v>0</v>
      </c>
      <c r="O376" s="1489">
        <v>0</v>
      </c>
      <c r="P376" s="1489">
        <v>0</v>
      </c>
    </row>
    <row r="377" spans="1:17" s="1488" customFormat="1">
      <c r="A377" s="1394" t="s">
        <v>2183</v>
      </c>
      <c r="B377" s="1394" t="s">
        <v>2080</v>
      </c>
      <c r="C377" s="1489">
        <v>-3</v>
      </c>
      <c r="D377" s="1489">
        <v>-3</v>
      </c>
      <c r="E377" s="1489">
        <v>-3</v>
      </c>
      <c r="F377" s="1489">
        <v>56</v>
      </c>
      <c r="G377" s="1489">
        <v>56</v>
      </c>
      <c r="H377" s="1489">
        <v>56</v>
      </c>
      <c r="I377" s="1489">
        <v>56</v>
      </c>
      <c r="J377" s="1490">
        <v>56</v>
      </c>
      <c r="K377" s="1489">
        <v>56</v>
      </c>
      <c r="L377" s="1489">
        <v>56</v>
      </c>
      <c r="M377" s="1489">
        <v>56</v>
      </c>
      <c r="N377" s="1489">
        <v>56</v>
      </c>
      <c r="O377" s="1489">
        <v>54</v>
      </c>
      <c r="P377" s="1489">
        <v>43277</v>
      </c>
    </row>
    <row r="378" spans="1:17" s="1488" customFormat="1">
      <c r="A378" s="1394"/>
      <c r="B378" s="1394"/>
      <c r="C378" s="1489"/>
      <c r="D378" s="1489"/>
      <c r="E378" s="1489"/>
      <c r="F378" s="1489"/>
      <c r="G378" s="1489"/>
      <c r="H378" s="1489"/>
      <c r="I378" s="1489"/>
      <c r="J378" s="1490"/>
      <c r="K378" s="1489"/>
      <c r="L378" s="1489"/>
      <c r="M378" s="1489"/>
      <c r="N378" s="1489"/>
      <c r="O378" s="1489"/>
      <c r="P378" s="1489"/>
    </row>
    <row r="379" spans="1:17" ht="13.5" thickBot="1">
      <c r="A379" s="1491"/>
      <c r="B379" s="1492" t="s">
        <v>2184</v>
      </c>
      <c r="C379" s="1495">
        <f t="shared" ref="C379:P379" si="2">SUM(C274:C378)</f>
        <v>116978</v>
      </c>
      <c r="D379" s="1495">
        <f t="shared" si="2"/>
        <v>125497</v>
      </c>
      <c r="E379" s="1495">
        <f t="shared" si="2"/>
        <v>126644</v>
      </c>
      <c r="F379" s="1495">
        <f t="shared" si="2"/>
        <v>136453</v>
      </c>
      <c r="G379" s="1495">
        <f t="shared" si="2"/>
        <v>136607</v>
      </c>
      <c r="H379" s="1495">
        <f t="shared" si="2"/>
        <v>135953</v>
      </c>
      <c r="I379" s="1495">
        <f t="shared" si="2"/>
        <v>136099</v>
      </c>
      <c r="J379" s="1497">
        <f t="shared" si="2"/>
        <v>136169</v>
      </c>
      <c r="K379" s="1495">
        <f t="shared" si="2"/>
        <v>136463</v>
      </c>
      <c r="L379" s="1495">
        <f t="shared" si="2"/>
        <v>136524</v>
      </c>
      <c r="M379" s="1495">
        <f t="shared" si="2"/>
        <v>138348</v>
      </c>
      <c r="N379" s="1495">
        <f t="shared" si="2"/>
        <v>138709</v>
      </c>
      <c r="O379" s="1495">
        <f t="shared" si="2"/>
        <v>141581</v>
      </c>
      <c r="P379" s="1495">
        <f t="shared" si="2"/>
        <v>134397615</v>
      </c>
      <c r="Q379" s="1495">
        <f>(C379+O379+SUM(D379:N379)*2)/24</f>
        <v>134395.45833333334</v>
      </c>
    </row>
    <row r="380" spans="1:17" ht="13.5" thickTop="1"/>
    <row r="381" spans="1:17">
      <c r="P381" s="1498"/>
    </row>
    <row r="382" spans="1:17" s="1488" customFormat="1">
      <c r="A382" s="1394" t="s">
        <v>2185</v>
      </c>
      <c r="B382" s="1394"/>
      <c r="C382" s="1489">
        <f>'3.05 - Electric Rtrmt'!J2/1000</f>
        <v>8404.9035199999962</v>
      </c>
      <c r="D382" s="1489">
        <f>'3.05 - Electric Rtrmt'!J3/1000</f>
        <v>8516.4926700000015</v>
      </c>
      <c r="E382" s="1489">
        <f>'3.05 - Electric Rtrmt'!J4/1000</f>
        <v>8516.4926700000015</v>
      </c>
      <c r="F382" s="1489">
        <f>'3.05 - Electric Rtrmt'!J5/1000</f>
        <v>0</v>
      </c>
      <c r="G382" s="1489">
        <f>'3.05 - Electric Rtrmt'!J6/1000</f>
        <v>0</v>
      </c>
      <c r="H382" s="1489">
        <f>'3.05 - Electric Rtrmt'!J7/1000</f>
        <v>24.213000000000001</v>
      </c>
      <c r="I382" s="1489">
        <f>'3.05 - Electric Rtrmt'!J8/1000</f>
        <v>24.213000000000001</v>
      </c>
      <c r="J382" s="1489">
        <f>'3.05 - Electric Rtrmt'!J9/1000</f>
        <v>0</v>
      </c>
      <c r="K382" s="1489">
        <f>'3.05 - Electric Rtrmt'!J10/1000</f>
        <v>0</v>
      </c>
      <c r="L382" s="1489">
        <f>'3.05 - Electric Rtrmt'!J11/1000</f>
        <v>0</v>
      </c>
      <c r="M382" s="1489">
        <f>'3.05 - Electric Rtrmt'!J12/1000</f>
        <v>0</v>
      </c>
      <c r="N382" s="1489">
        <f>'3.05 - Electric Rtrmt'!J13/1000</f>
        <v>0</v>
      </c>
      <c r="O382" s="1489">
        <f>'3.05 - Electric Rtrmt'!J14/1000</f>
        <v>0</v>
      </c>
      <c r="P382" s="1489">
        <f>(C382+O382+SUM(D382:N382)*2)/24*1000</f>
        <v>1773655.2583333335</v>
      </c>
    </row>
    <row r="383" spans="1:17">
      <c r="C383" s="1499"/>
      <c r="D383" s="1499"/>
      <c r="E383" s="1499"/>
      <c r="F383" s="1499"/>
      <c r="G383" s="1499"/>
      <c r="H383" s="1499"/>
      <c r="I383" s="1499"/>
      <c r="J383" s="1500"/>
      <c r="K383" s="1499"/>
      <c r="L383" s="1499"/>
      <c r="M383" s="1499"/>
      <c r="N383" s="1499"/>
      <c r="O383" s="1499"/>
      <c r="P383" s="1501"/>
    </row>
    <row r="384" spans="1:17">
      <c r="C384" s="1499"/>
      <c r="D384" s="1499"/>
      <c r="E384" s="1499"/>
      <c r="F384" s="1499"/>
      <c r="G384" s="1499"/>
      <c r="H384" s="1499"/>
      <c r="I384" s="1499"/>
      <c r="J384" s="1500"/>
      <c r="K384" s="1499"/>
      <c r="L384" s="1499"/>
      <c r="M384" s="1499"/>
      <c r="N384" s="1499"/>
      <c r="O384" s="1499"/>
      <c r="P384" s="1501"/>
    </row>
    <row r="385" spans="1:17" ht="13.5" thickBot="1">
      <c r="A385" s="1491"/>
      <c r="B385" s="1492" t="s">
        <v>2186</v>
      </c>
      <c r="C385" s="1495">
        <f t="shared" ref="C385:O385" si="3">+C379+C382</f>
        <v>125382.90351999999</v>
      </c>
      <c r="D385" s="1495">
        <f t="shared" si="3"/>
        <v>134013.49267000001</v>
      </c>
      <c r="E385" s="1495">
        <f t="shared" si="3"/>
        <v>135160.49267000001</v>
      </c>
      <c r="F385" s="1495">
        <f t="shared" si="3"/>
        <v>136453</v>
      </c>
      <c r="G385" s="1495">
        <f t="shared" si="3"/>
        <v>136607</v>
      </c>
      <c r="H385" s="1495">
        <f t="shared" si="3"/>
        <v>135977.21299999999</v>
      </c>
      <c r="I385" s="1495">
        <f t="shared" si="3"/>
        <v>136123.21299999999</v>
      </c>
      <c r="J385" s="1497">
        <f t="shared" si="3"/>
        <v>136169</v>
      </c>
      <c r="K385" s="1495">
        <f t="shared" si="3"/>
        <v>136463</v>
      </c>
      <c r="L385" s="1495">
        <f t="shared" si="3"/>
        <v>136524</v>
      </c>
      <c r="M385" s="1495">
        <f t="shared" si="3"/>
        <v>138348</v>
      </c>
      <c r="N385" s="1495">
        <f t="shared" si="3"/>
        <v>138709</v>
      </c>
      <c r="O385" s="1495">
        <f t="shared" si="3"/>
        <v>141581</v>
      </c>
      <c r="P385" s="1495">
        <f>+P379+P382</f>
        <v>136171270.25833333</v>
      </c>
      <c r="Q385" s="1495"/>
    </row>
    <row r="386" spans="1:17" ht="13.5" thickTop="1"/>
  </sheetData>
  <mergeCells count="4">
    <mergeCell ref="C1:O1"/>
    <mergeCell ref="A2:A3"/>
    <mergeCell ref="B2:B3"/>
    <mergeCell ref="P2:P3"/>
  </mergeCells>
  <pageMargins left="0.2" right="0.21" top="0.37" bottom="0.37" header="0.16" footer="0.17"/>
  <pageSetup scale="6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J30"/>
  <sheetViews>
    <sheetView workbookViewId="0">
      <selection activeCell="H18" sqref="H18"/>
    </sheetView>
  </sheetViews>
  <sheetFormatPr defaultColWidth="10.6640625" defaultRowHeight="12.75"/>
  <cols>
    <col min="1" max="1" width="17.5" style="1509" customWidth="1"/>
    <col min="2" max="2" width="20" style="1509" customWidth="1"/>
    <col min="3" max="3" width="13.5" style="1509" customWidth="1"/>
    <col min="4" max="4" width="17.83203125" style="1509" customWidth="1"/>
    <col min="5" max="5" width="16.1640625" style="1509" customWidth="1"/>
    <col min="6" max="6" width="16" style="1509" customWidth="1"/>
    <col min="7" max="7" width="14.1640625" style="1509" customWidth="1"/>
    <col min="8" max="8" width="18.6640625" style="1509" customWidth="1"/>
    <col min="9" max="9" width="17.5" style="1509" customWidth="1"/>
    <col min="10" max="10" width="16.33203125" style="1509" bestFit="1" customWidth="1"/>
    <col min="11" max="256" width="10.6640625" style="1509"/>
    <col min="257" max="257" width="17.5" style="1509" customWidth="1"/>
    <col min="258" max="258" width="20" style="1509" customWidth="1"/>
    <col min="259" max="259" width="13.5" style="1509" customWidth="1"/>
    <col min="260" max="260" width="17.83203125" style="1509" customWidth="1"/>
    <col min="261" max="261" width="16.1640625" style="1509" customWidth="1"/>
    <col min="262" max="262" width="16" style="1509" customWidth="1"/>
    <col min="263" max="263" width="14.1640625" style="1509" customWidth="1"/>
    <col min="264" max="264" width="18.6640625" style="1509" customWidth="1"/>
    <col min="265" max="265" width="17.5" style="1509" customWidth="1"/>
    <col min="266" max="266" width="16.33203125" style="1509" bestFit="1" customWidth="1"/>
    <col min="267" max="512" width="10.6640625" style="1509"/>
    <col min="513" max="513" width="17.5" style="1509" customWidth="1"/>
    <col min="514" max="514" width="20" style="1509" customWidth="1"/>
    <col min="515" max="515" width="13.5" style="1509" customWidth="1"/>
    <col min="516" max="516" width="17.83203125" style="1509" customWidth="1"/>
    <col min="517" max="517" width="16.1640625" style="1509" customWidth="1"/>
    <col min="518" max="518" width="16" style="1509" customWidth="1"/>
    <col min="519" max="519" width="14.1640625" style="1509" customWidth="1"/>
    <col min="520" max="520" width="18.6640625" style="1509" customWidth="1"/>
    <col min="521" max="521" width="17.5" style="1509" customWidth="1"/>
    <col min="522" max="522" width="16.33203125" style="1509" bestFit="1" customWidth="1"/>
    <col min="523" max="768" width="10.6640625" style="1509"/>
    <col min="769" max="769" width="17.5" style="1509" customWidth="1"/>
    <col min="770" max="770" width="20" style="1509" customWidth="1"/>
    <col min="771" max="771" width="13.5" style="1509" customWidth="1"/>
    <col min="772" max="772" width="17.83203125" style="1509" customWidth="1"/>
    <col min="773" max="773" width="16.1640625" style="1509" customWidth="1"/>
    <col min="774" max="774" width="16" style="1509" customWidth="1"/>
    <col min="775" max="775" width="14.1640625" style="1509" customWidth="1"/>
    <col min="776" max="776" width="18.6640625" style="1509" customWidth="1"/>
    <col min="777" max="777" width="17.5" style="1509" customWidth="1"/>
    <col min="778" max="778" width="16.33203125" style="1509" bestFit="1" customWidth="1"/>
    <col min="779" max="1024" width="10.6640625" style="1509"/>
    <col min="1025" max="1025" width="17.5" style="1509" customWidth="1"/>
    <col min="1026" max="1026" width="20" style="1509" customWidth="1"/>
    <col min="1027" max="1027" width="13.5" style="1509" customWidth="1"/>
    <col min="1028" max="1028" width="17.83203125" style="1509" customWidth="1"/>
    <col min="1029" max="1029" width="16.1640625" style="1509" customWidth="1"/>
    <col min="1030" max="1030" width="16" style="1509" customWidth="1"/>
    <col min="1031" max="1031" width="14.1640625" style="1509" customWidth="1"/>
    <col min="1032" max="1032" width="18.6640625" style="1509" customWidth="1"/>
    <col min="1033" max="1033" width="17.5" style="1509" customWidth="1"/>
    <col min="1034" max="1034" width="16.33203125" style="1509" bestFit="1" customWidth="1"/>
    <col min="1035" max="1280" width="10.6640625" style="1509"/>
    <col min="1281" max="1281" width="17.5" style="1509" customWidth="1"/>
    <col min="1282" max="1282" width="20" style="1509" customWidth="1"/>
    <col min="1283" max="1283" width="13.5" style="1509" customWidth="1"/>
    <col min="1284" max="1284" width="17.83203125" style="1509" customWidth="1"/>
    <col min="1285" max="1285" width="16.1640625" style="1509" customWidth="1"/>
    <col min="1286" max="1286" width="16" style="1509" customWidth="1"/>
    <col min="1287" max="1287" width="14.1640625" style="1509" customWidth="1"/>
    <col min="1288" max="1288" width="18.6640625" style="1509" customWidth="1"/>
    <col min="1289" max="1289" width="17.5" style="1509" customWidth="1"/>
    <col min="1290" max="1290" width="16.33203125" style="1509" bestFit="1" customWidth="1"/>
    <col min="1291" max="1536" width="10.6640625" style="1509"/>
    <col min="1537" max="1537" width="17.5" style="1509" customWidth="1"/>
    <col min="1538" max="1538" width="20" style="1509" customWidth="1"/>
    <col min="1539" max="1539" width="13.5" style="1509" customWidth="1"/>
    <col min="1540" max="1540" width="17.83203125" style="1509" customWidth="1"/>
    <col min="1541" max="1541" width="16.1640625" style="1509" customWidth="1"/>
    <col min="1542" max="1542" width="16" style="1509" customWidth="1"/>
    <col min="1543" max="1543" width="14.1640625" style="1509" customWidth="1"/>
    <col min="1544" max="1544" width="18.6640625" style="1509" customWidth="1"/>
    <col min="1545" max="1545" width="17.5" style="1509" customWidth="1"/>
    <col min="1546" max="1546" width="16.33203125" style="1509" bestFit="1" customWidth="1"/>
    <col min="1547" max="1792" width="10.6640625" style="1509"/>
    <col min="1793" max="1793" width="17.5" style="1509" customWidth="1"/>
    <col min="1794" max="1794" width="20" style="1509" customWidth="1"/>
    <col min="1795" max="1795" width="13.5" style="1509" customWidth="1"/>
    <col min="1796" max="1796" width="17.83203125" style="1509" customWidth="1"/>
    <col min="1797" max="1797" width="16.1640625" style="1509" customWidth="1"/>
    <col min="1798" max="1798" width="16" style="1509" customWidth="1"/>
    <col min="1799" max="1799" width="14.1640625" style="1509" customWidth="1"/>
    <col min="1800" max="1800" width="18.6640625" style="1509" customWidth="1"/>
    <col min="1801" max="1801" width="17.5" style="1509" customWidth="1"/>
    <col min="1802" max="1802" width="16.33203125" style="1509" bestFit="1" customWidth="1"/>
    <col min="1803" max="2048" width="10.6640625" style="1509"/>
    <col min="2049" max="2049" width="17.5" style="1509" customWidth="1"/>
    <col min="2050" max="2050" width="20" style="1509" customWidth="1"/>
    <col min="2051" max="2051" width="13.5" style="1509" customWidth="1"/>
    <col min="2052" max="2052" width="17.83203125" style="1509" customWidth="1"/>
    <col min="2053" max="2053" width="16.1640625" style="1509" customWidth="1"/>
    <col min="2054" max="2054" width="16" style="1509" customWidth="1"/>
    <col min="2055" max="2055" width="14.1640625" style="1509" customWidth="1"/>
    <col min="2056" max="2056" width="18.6640625" style="1509" customWidth="1"/>
    <col min="2057" max="2057" width="17.5" style="1509" customWidth="1"/>
    <col min="2058" max="2058" width="16.33203125" style="1509" bestFit="1" customWidth="1"/>
    <col min="2059" max="2304" width="10.6640625" style="1509"/>
    <col min="2305" max="2305" width="17.5" style="1509" customWidth="1"/>
    <col min="2306" max="2306" width="20" style="1509" customWidth="1"/>
    <col min="2307" max="2307" width="13.5" style="1509" customWidth="1"/>
    <col min="2308" max="2308" width="17.83203125" style="1509" customWidth="1"/>
    <col min="2309" max="2309" width="16.1640625" style="1509" customWidth="1"/>
    <col min="2310" max="2310" width="16" style="1509" customWidth="1"/>
    <col min="2311" max="2311" width="14.1640625" style="1509" customWidth="1"/>
    <col min="2312" max="2312" width="18.6640625" style="1509" customWidth="1"/>
    <col min="2313" max="2313" width="17.5" style="1509" customWidth="1"/>
    <col min="2314" max="2314" width="16.33203125" style="1509" bestFit="1" customWidth="1"/>
    <col min="2315" max="2560" width="10.6640625" style="1509"/>
    <col min="2561" max="2561" width="17.5" style="1509" customWidth="1"/>
    <col min="2562" max="2562" width="20" style="1509" customWidth="1"/>
    <col min="2563" max="2563" width="13.5" style="1509" customWidth="1"/>
    <col min="2564" max="2564" width="17.83203125" style="1509" customWidth="1"/>
    <col min="2565" max="2565" width="16.1640625" style="1509" customWidth="1"/>
    <col min="2566" max="2566" width="16" style="1509" customWidth="1"/>
    <col min="2567" max="2567" width="14.1640625" style="1509" customWidth="1"/>
    <col min="2568" max="2568" width="18.6640625" style="1509" customWidth="1"/>
    <col min="2569" max="2569" width="17.5" style="1509" customWidth="1"/>
    <col min="2570" max="2570" width="16.33203125" style="1509" bestFit="1" customWidth="1"/>
    <col min="2571" max="2816" width="10.6640625" style="1509"/>
    <col min="2817" max="2817" width="17.5" style="1509" customWidth="1"/>
    <col min="2818" max="2818" width="20" style="1509" customWidth="1"/>
    <col min="2819" max="2819" width="13.5" style="1509" customWidth="1"/>
    <col min="2820" max="2820" width="17.83203125" style="1509" customWidth="1"/>
    <col min="2821" max="2821" width="16.1640625" style="1509" customWidth="1"/>
    <col min="2822" max="2822" width="16" style="1509" customWidth="1"/>
    <col min="2823" max="2823" width="14.1640625" style="1509" customWidth="1"/>
    <col min="2824" max="2824" width="18.6640625" style="1509" customWidth="1"/>
    <col min="2825" max="2825" width="17.5" style="1509" customWidth="1"/>
    <col min="2826" max="2826" width="16.33203125" style="1509" bestFit="1" customWidth="1"/>
    <col min="2827" max="3072" width="10.6640625" style="1509"/>
    <col min="3073" max="3073" width="17.5" style="1509" customWidth="1"/>
    <col min="3074" max="3074" width="20" style="1509" customWidth="1"/>
    <col min="3075" max="3075" width="13.5" style="1509" customWidth="1"/>
    <col min="3076" max="3076" width="17.83203125" style="1509" customWidth="1"/>
    <col min="3077" max="3077" width="16.1640625" style="1509" customWidth="1"/>
    <col min="3078" max="3078" width="16" style="1509" customWidth="1"/>
    <col min="3079" max="3079" width="14.1640625" style="1509" customWidth="1"/>
    <col min="3080" max="3080" width="18.6640625" style="1509" customWidth="1"/>
    <col min="3081" max="3081" width="17.5" style="1509" customWidth="1"/>
    <col min="3082" max="3082" width="16.33203125" style="1509" bestFit="1" customWidth="1"/>
    <col min="3083" max="3328" width="10.6640625" style="1509"/>
    <col min="3329" max="3329" width="17.5" style="1509" customWidth="1"/>
    <col min="3330" max="3330" width="20" style="1509" customWidth="1"/>
    <col min="3331" max="3331" width="13.5" style="1509" customWidth="1"/>
    <col min="3332" max="3332" width="17.83203125" style="1509" customWidth="1"/>
    <col min="3333" max="3333" width="16.1640625" style="1509" customWidth="1"/>
    <col min="3334" max="3334" width="16" style="1509" customWidth="1"/>
    <col min="3335" max="3335" width="14.1640625" style="1509" customWidth="1"/>
    <col min="3336" max="3336" width="18.6640625" style="1509" customWidth="1"/>
    <col min="3337" max="3337" width="17.5" style="1509" customWidth="1"/>
    <col min="3338" max="3338" width="16.33203125" style="1509" bestFit="1" customWidth="1"/>
    <col min="3339" max="3584" width="10.6640625" style="1509"/>
    <col min="3585" max="3585" width="17.5" style="1509" customWidth="1"/>
    <col min="3586" max="3586" width="20" style="1509" customWidth="1"/>
    <col min="3587" max="3587" width="13.5" style="1509" customWidth="1"/>
    <col min="3588" max="3588" width="17.83203125" style="1509" customWidth="1"/>
    <col min="3589" max="3589" width="16.1640625" style="1509" customWidth="1"/>
    <col min="3590" max="3590" width="16" style="1509" customWidth="1"/>
    <col min="3591" max="3591" width="14.1640625" style="1509" customWidth="1"/>
    <col min="3592" max="3592" width="18.6640625" style="1509" customWidth="1"/>
    <col min="3593" max="3593" width="17.5" style="1509" customWidth="1"/>
    <col min="3594" max="3594" width="16.33203125" style="1509" bestFit="1" customWidth="1"/>
    <col min="3595" max="3840" width="10.6640625" style="1509"/>
    <col min="3841" max="3841" width="17.5" style="1509" customWidth="1"/>
    <col min="3842" max="3842" width="20" style="1509" customWidth="1"/>
    <col min="3843" max="3843" width="13.5" style="1509" customWidth="1"/>
    <col min="3844" max="3844" width="17.83203125" style="1509" customWidth="1"/>
    <col min="3845" max="3845" width="16.1640625" style="1509" customWidth="1"/>
    <col min="3846" max="3846" width="16" style="1509" customWidth="1"/>
    <col min="3847" max="3847" width="14.1640625" style="1509" customWidth="1"/>
    <col min="3848" max="3848" width="18.6640625" style="1509" customWidth="1"/>
    <col min="3849" max="3849" width="17.5" style="1509" customWidth="1"/>
    <col min="3850" max="3850" width="16.33203125" style="1509" bestFit="1" customWidth="1"/>
    <col min="3851" max="4096" width="10.6640625" style="1509"/>
    <col min="4097" max="4097" width="17.5" style="1509" customWidth="1"/>
    <col min="4098" max="4098" width="20" style="1509" customWidth="1"/>
    <col min="4099" max="4099" width="13.5" style="1509" customWidth="1"/>
    <col min="4100" max="4100" width="17.83203125" style="1509" customWidth="1"/>
    <col min="4101" max="4101" width="16.1640625" style="1509" customWidth="1"/>
    <col min="4102" max="4102" width="16" style="1509" customWidth="1"/>
    <col min="4103" max="4103" width="14.1640625" style="1509" customWidth="1"/>
    <col min="4104" max="4104" width="18.6640625" style="1509" customWidth="1"/>
    <col min="4105" max="4105" width="17.5" style="1509" customWidth="1"/>
    <col min="4106" max="4106" width="16.33203125" style="1509" bestFit="1" customWidth="1"/>
    <col min="4107" max="4352" width="10.6640625" style="1509"/>
    <col min="4353" max="4353" width="17.5" style="1509" customWidth="1"/>
    <col min="4354" max="4354" width="20" style="1509" customWidth="1"/>
    <col min="4355" max="4355" width="13.5" style="1509" customWidth="1"/>
    <col min="4356" max="4356" width="17.83203125" style="1509" customWidth="1"/>
    <col min="4357" max="4357" width="16.1640625" style="1509" customWidth="1"/>
    <col min="4358" max="4358" width="16" style="1509" customWidth="1"/>
    <col min="4359" max="4359" width="14.1640625" style="1509" customWidth="1"/>
    <col min="4360" max="4360" width="18.6640625" style="1509" customWidth="1"/>
    <col min="4361" max="4361" width="17.5" style="1509" customWidth="1"/>
    <col min="4362" max="4362" width="16.33203125" style="1509" bestFit="1" customWidth="1"/>
    <col min="4363" max="4608" width="10.6640625" style="1509"/>
    <col min="4609" max="4609" width="17.5" style="1509" customWidth="1"/>
    <col min="4610" max="4610" width="20" style="1509" customWidth="1"/>
    <col min="4611" max="4611" width="13.5" style="1509" customWidth="1"/>
    <col min="4612" max="4612" width="17.83203125" style="1509" customWidth="1"/>
    <col min="4613" max="4613" width="16.1640625" style="1509" customWidth="1"/>
    <col min="4614" max="4614" width="16" style="1509" customWidth="1"/>
    <col min="4615" max="4615" width="14.1640625" style="1509" customWidth="1"/>
    <col min="4616" max="4616" width="18.6640625" style="1509" customWidth="1"/>
    <col min="4617" max="4617" width="17.5" style="1509" customWidth="1"/>
    <col min="4618" max="4618" width="16.33203125" style="1509" bestFit="1" customWidth="1"/>
    <col min="4619" max="4864" width="10.6640625" style="1509"/>
    <col min="4865" max="4865" width="17.5" style="1509" customWidth="1"/>
    <col min="4866" max="4866" width="20" style="1509" customWidth="1"/>
    <col min="4867" max="4867" width="13.5" style="1509" customWidth="1"/>
    <col min="4868" max="4868" width="17.83203125" style="1509" customWidth="1"/>
    <col min="4869" max="4869" width="16.1640625" style="1509" customWidth="1"/>
    <col min="4870" max="4870" width="16" style="1509" customWidth="1"/>
    <col min="4871" max="4871" width="14.1640625" style="1509" customWidth="1"/>
    <col min="4872" max="4872" width="18.6640625" style="1509" customWidth="1"/>
    <col min="4873" max="4873" width="17.5" style="1509" customWidth="1"/>
    <col min="4874" max="4874" width="16.33203125" style="1509" bestFit="1" customWidth="1"/>
    <col min="4875" max="5120" width="10.6640625" style="1509"/>
    <col min="5121" max="5121" width="17.5" style="1509" customWidth="1"/>
    <col min="5122" max="5122" width="20" style="1509" customWidth="1"/>
    <col min="5123" max="5123" width="13.5" style="1509" customWidth="1"/>
    <col min="5124" max="5124" width="17.83203125" style="1509" customWidth="1"/>
    <col min="5125" max="5125" width="16.1640625" style="1509" customWidth="1"/>
    <col min="5126" max="5126" width="16" style="1509" customWidth="1"/>
    <col min="5127" max="5127" width="14.1640625" style="1509" customWidth="1"/>
    <col min="5128" max="5128" width="18.6640625" style="1509" customWidth="1"/>
    <col min="5129" max="5129" width="17.5" style="1509" customWidth="1"/>
    <col min="5130" max="5130" width="16.33203125" style="1509" bestFit="1" customWidth="1"/>
    <col min="5131" max="5376" width="10.6640625" style="1509"/>
    <col min="5377" max="5377" width="17.5" style="1509" customWidth="1"/>
    <col min="5378" max="5378" width="20" style="1509" customWidth="1"/>
    <col min="5379" max="5379" width="13.5" style="1509" customWidth="1"/>
    <col min="5380" max="5380" width="17.83203125" style="1509" customWidth="1"/>
    <col min="5381" max="5381" width="16.1640625" style="1509" customWidth="1"/>
    <col min="5382" max="5382" width="16" style="1509" customWidth="1"/>
    <col min="5383" max="5383" width="14.1640625" style="1509" customWidth="1"/>
    <col min="5384" max="5384" width="18.6640625" style="1509" customWidth="1"/>
    <col min="5385" max="5385" width="17.5" style="1509" customWidth="1"/>
    <col min="5386" max="5386" width="16.33203125" style="1509" bestFit="1" customWidth="1"/>
    <col min="5387" max="5632" width="10.6640625" style="1509"/>
    <col min="5633" max="5633" width="17.5" style="1509" customWidth="1"/>
    <col min="5634" max="5634" width="20" style="1509" customWidth="1"/>
    <col min="5635" max="5635" width="13.5" style="1509" customWidth="1"/>
    <col min="5636" max="5636" width="17.83203125" style="1509" customWidth="1"/>
    <col min="5637" max="5637" width="16.1640625" style="1509" customWidth="1"/>
    <col min="5638" max="5638" width="16" style="1509" customWidth="1"/>
    <col min="5639" max="5639" width="14.1640625" style="1509" customWidth="1"/>
    <col min="5640" max="5640" width="18.6640625" style="1509" customWidth="1"/>
    <col min="5641" max="5641" width="17.5" style="1509" customWidth="1"/>
    <col min="5642" max="5642" width="16.33203125" style="1509" bestFit="1" customWidth="1"/>
    <col min="5643" max="5888" width="10.6640625" style="1509"/>
    <col min="5889" max="5889" width="17.5" style="1509" customWidth="1"/>
    <col min="5890" max="5890" width="20" style="1509" customWidth="1"/>
    <col min="5891" max="5891" width="13.5" style="1509" customWidth="1"/>
    <col min="5892" max="5892" width="17.83203125" style="1509" customWidth="1"/>
    <col min="5893" max="5893" width="16.1640625" style="1509" customWidth="1"/>
    <col min="5894" max="5894" width="16" style="1509" customWidth="1"/>
    <col min="5895" max="5895" width="14.1640625" style="1509" customWidth="1"/>
    <col min="5896" max="5896" width="18.6640625" style="1509" customWidth="1"/>
    <col min="5897" max="5897" width="17.5" style="1509" customWidth="1"/>
    <col min="5898" max="5898" width="16.33203125" style="1509" bestFit="1" customWidth="1"/>
    <col min="5899" max="6144" width="10.6640625" style="1509"/>
    <col min="6145" max="6145" width="17.5" style="1509" customWidth="1"/>
    <col min="6146" max="6146" width="20" style="1509" customWidth="1"/>
    <col min="6147" max="6147" width="13.5" style="1509" customWidth="1"/>
    <col min="6148" max="6148" width="17.83203125" style="1509" customWidth="1"/>
    <col min="6149" max="6149" width="16.1640625" style="1509" customWidth="1"/>
    <col min="6150" max="6150" width="16" style="1509" customWidth="1"/>
    <col min="6151" max="6151" width="14.1640625" style="1509" customWidth="1"/>
    <col min="6152" max="6152" width="18.6640625" style="1509" customWidth="1"/>
    <col min="6153" max="6153" width="17.5" style="1509" customWidth="1"/>
    <col min="6154" max="6154" width="16.33203125" style="1509" bestFit="1" customWidth="1"/>
    <col min="6155" max="6400" width="10.6640625" style="1509"/>
    <col min="6401" max="6401" width="17.5" style="1509" customWidth="1"/>
    <col min="6402" max="6402" width="20" style="1509" customWidth="1"/>
    <col min="6403" max="6403" width="13.5" style="1509" customWidth="1"/>
    <col min="6404" max="6404" width="17.83203125" style="1509" customWidth="1"/>
    <col min="6405" max="6405" width="16.1640625" style="1509" customWidth="1"/>
    <col min="6406" max="6406" width="16" style="1509" customWidth="1"/>
    <col min="6407" max="6407" width="14.1640625" style="1509" customWidth="1"/>
    <col min="6408" max="6408" width="18.6640625" style="1509" customWidth="1"/>
    <col min="6409" max="6409" width="17.5" style="1509" customWidth="1"/>
    <col min="6410" max="6410" width="16.33203125" style="1509" bestFit="1" customWidth="1"/>
    <col min="6411" max="6656" width="10.6640625" style="1509"/>
    <col min="6657" max="6657" width="17.5" style="1509" customWidth="1"/>
    <col min="6658" max="6658" width="20" style="1509" customWidth="1"/>
    <col min="6659" max="6659" width="13.5" style="1509" customWidth="1"/>
    <col min="6660" max="6660" width="17.83203125" style="1509" customWidth="1"/>
    <col min="6661" max="6661" width="16.1640625" style="1509" customWidth="1"/>
    <col min="6662" max="6662" width="16" style="1509" customWidth="1"/>
    <col min="6663" max="6663" width="14.1640625" style="1509" customWidth="1"/>
    <col min="6664" max="6664" width="18.6640625" style="1509" customWidth="1"/>
    <col min="6665" max="6665" width="17.5" style="1509" customWidth="1"/>
    <col min="6666" max="6666" width="16.33203125" style="1509" bestFit="1" customWidth="1"/>
    <col min="6667" max="6912" width="10.6640625" style="1509"/>
    <col min="6913" max="6913" width="17.5" style="1509" customWidth="1"/>
    <col min="6914" max="6914" width="20" style="1509" customWidth="1"/>
    <col min="6915" max="6915" width="13.5" style="1509" customWidth="1"/>
    <col min="6916" max="6916" width="17.83203125" style="1509" customWidth="1"/>
    <col min="6917" max="6917" width="16.1640625" style="1509" customWidth="1"/>
    <col min="6918" max="6918" width="16" style="1509" customWidth="1"/>
    <col min="6919" max="6919" width="14.1640625" style="1509" customWidth="1"/>
    <col min="6920" max="6920" width="18.6640625" style="1509" customWidth="1"/>
    <col min="6921" max="6921" width="17.5" style="1509" customWidth="1"/>
    <col min="6922" max="6922" width="16.33203125" style="1509" bestFit="1" customWidth="1"/>
    <col min="6923" max="7168" width="10.6640625" style="1509"/>
    <col min="7169" max="7169" width="17.5" style="1509" customWidth="1"/>
    <col min="7170" max="7170" width="20" style="1509" customWidth="1"/>
    <col min="7171" max="7171" width="13.5" style="1509" customWidth="1"/>
    <col min="7172" max="7172" width="17.83203125" style="1509" customWidth="1"/>
    <col min="7173" max="7173" width="16.1640625" style="1509" customWidth="1"/>
    <col min="7174" max="7174" width="16" style="1509" customWidth="1"/>
    <col min="7175" max="7175" width="14.1640625" style="1509" customWidth="1"/>
    <col min="7176" max="7176" width="18.6640625" style="1509" customWidth="1"/>
    <col min="7177" max="7177" width="17.5" style="1509" customWidth="1"/>
    <col min="7178" max="7178" width="16.33203125" style="1509" bestFit="1" customWidth="1"/>
    <col min="7179" max="7424" width="10.6640625" style="1509"/>
    <col min="7425" max="7425" width="17.5" style="1509" customWidth="1"/>
    <col min="7426" max="7426" width="20" style="1509" customWidth="1"/>
    <col min="7427" max="7427" width="13.5" style="1509" customWidth="1"/>
    <col min="7428" max="7428" width="17.83203125" style="1509" customWidth="1"/>
    <col min="7429" max="7429" width="16.1640625" style="1509" customWidth="1"/>
    <col min="7430" max="7430" width="16" style="1509" customWidth="1"/>
    <col min="7431" max="7431" width="14.1640625" style="1509" customWidth="1"/>
    <col min="7432" max="7432" width="18.6640625" style="1509" customWidth="1"/>
    <col min="7433" max="7433" width="17.5" style="1509" customWidth="1"/>
    <col min="7434" max="7434" width="16.33203125" style="1509" bestFit="1" customWidth="1"/>
    <col min="7435" max="7680" width="10.6640625" style="1509"/>
    <col min="7681" max="7681" width="17.5" style="1509" customWidth="1"/>
    <col min="7682" max="7682" width="20" style="1509" customWidth="1"/>
    <col min="7683" max="7683" width="13.5" style="1509" customWidth="1"/>
    <col min="7684" max="7684" width="17.83203125" style="1509" customWidth="1"/>
    <col min="7685" max="7685" width="16.1640625" style="1509" customWidth="1"/>
    <col min="7686" max="7686" width="16" style="1509" customWidth="1"/>
    <col min="7687" max="7687" width="14.1640625" style="1509" customWidth="1"/>
    <col min="7688" max="7688" width="18.6640625" style="1509" customWidth="1"/>
    <col min="7689" max="7689" width="17.5" style="1509" customWidth="1"/>
    <col min="7690" max="7690" width="16.33203125" style="1509" bestFit="1" customWidth="1"/>
    <col min="7691" max="7936" width="10.6640625" style="1509"/>
    <col min="7937" max="7937" width="17.5" style="1509" customWidth="1"/>
    <col min="7938" max="7938" width="20" style="1509" customWidth="1"/>
    <col min="7939" max="7939" width="13.5" style="1509" customWidth="1"/>
    <col min="7940" max="7940" width="17.83203125" style="1509" customWidth="1"/>
    <col min="7941" max="7941" width="16.1640625" style="1509" customWidth="1"/>
    <col min="7942" max="7942" width="16" style="1509" customWidth="1"/>
    <col min="7943" max="7943" width="14.1640625" style="1509" customWidth="1"/>
    <col min="7944" max="7944" width="18.6640625" style="1509" customWidth="1"/>
    <col min="7945" max="7945" width="17.5" style="1509" customWidth="1"/>
    <col min="7946" max="7946" width="16.33203125" style="1509" bestFit="1" customWidth="1"/>
    <col min="7947" max="8192" width="10.6640625" style="1509"/>
    <col min="8193" max="8193" width="17.5" style="1509" customWidth="1"/>
    <col min="8194" max="8194" width="20" style="1509" customWidth="1"/>
    <col min="8195" max="8195" width="13.5" style="1509" customWidth="1"/>
    <col min="8196" max="8196" width="17.83203125" style="1509" customWidth="1"/>
    <col min="8197" max="8197" width="16.1640625" style="1509" customWidth="1"/>
    <col min="8198" max="8198" width="16" style="1509" customWidth="1"/>
    <col min="8199" max="8199" width="14.1640625" style="1509" customWidth="1"/>
    <col min="8200" max="8200" width="18.6640625" style="1509" customWidth="1"/>
    <col min="8201" max="8201" width="17.5" style="1509" customWidth="1"/>
    <col min="8202" max="8202" width="16.33203125" style="1509" bestFit="1" customWidth="1"/>
    <col min="8203" max="8448" width="10.6640625" style="1509"/>
    <col min="8449" max="8449" width="17.5" style="1509" customWidth="1"/>
    <col min="8450" max="8450" width="20" style="1509" customWidth="1"/>
    <col min="8451" max="8451" width="13.5" style="1509" customWidth="1"/>
    <col min="8452" max="8452" width="17.83203125" style="1509" customWidth="1"/>
    <col min="8453" max="8453" width="16.1640625" style="1509" customWidth="1"/>
    <col min="8454" max="8454" width="16" style="1509" customWidth="1"/>
    <col min="8455" max="8455" width="14.1640625" style="1509" customWidth="1"/>
    <col min="8456" max="8456" width="18.6640625" style="1509" customWidth="1"/>
    <col min="8457" max="8457" width="17.5" style="1509" customWidth="1"/>
    <col min="8458" max="8458" width="16.33203125" style="1509" bestFit="1" customWidth="1"/>
    <col min="8459" max="8704" width="10.6640625" style="1509"/>
    <col min="8705" max="8705" width="17.5" style="1509" customWidth="1"/>
    <col min="8706" max="8706" width="20" style="1509" customWidth="1"/>
    <col min="8707" max="8707" width="13.5" style="1509" customWidth="1"/>
    <col min="8708" max="8708" width="17.83203125" style="1509" customWidth="1"/>
    <col min="8709" max="8709" width="16.1640625" style="1509" customWidth="1"/>
    <col min="8710" max="8710" width="16" style="1509" customWidth="1"/>
    <col min="8711" max="8711" width="14.1640625" style="1509" customWidth="1"/>
    <col min="8712" max="8712" width="18.6640625" style="1509" customWidth="1"/>
    <col min="8713" max="8713" width="17.5" style="1509" customWidth="1"/>
    <col min="8714" max="8714" width="16.33203125" style="1509" bestFit="1" customWidth="1"/>
    <col min="8715" max="8960" width="10.6640625" style="1509"/>
    <col min="8961" max="8961" width="17.5" style="1509" customWidth="1"/>
    <col min="8962" max="8962" width="20" style="1509" customWidth="1"/>
    <col min="8963" max="8963" width="13.5" style="1509" customWidth="1"/>
    <col min="8964" max="8964" width="17.83203125" style="1509" customWidth="1"/>
    <col min="8965" max="8965" width="16.1640625" style="1509" customWidth="1"/>
    <col min="8966" max="8966" width="16" style="1509" customWidth="1"/>
    <col min="8967" max="8967" width="14.1640625" style="1509" customWidth="1"/>
    <col min="8968" max="8968" width="18.6640625" style="1509" customWidth="1"/>
    <col min="8969" max="8969" width="17.5" style="1509" customWidth="1"/>
    <col min="8970" max="8970" width="16.33203125" style="1509" bestFit="1" customWidth="1"/>
    <col min="8971" max="9216" width="10.6640625" style="1509"/>
    <col min="9217" max="9217" width="17.5" style="1509" customWidth="1"/>
    <col min="9218" max="9218" width="20" style="1509" customWidth="1"/>
    <col min="9219" max="9219" width="13.5" style="1509" customWidth="1"/>
    <col min="9220" max="9220" width="17.83203125" style="1509" customWidth="1"/>
    <col min="9221" max="9221" width="16.1640625" style="1509" customWidth="1"/>
    <col min="9222" max="9222" width="16" style="1509" customWidth="1"/>
    <col min="9223" max="9223" width="14.1640625" style="1509" customWidth="1"/>
    <col min="9224" max="9224" width="18.6640625" style="1509" customWidth="1"/>
    <col min="9225" max="9225" width="17.5" style="1509" customWidth="1"/>
    <col min="9226" max="9226" width="16.33203125" style="1509" bestFit="1" customWidth="1"/>
    <col min="9227" max="9472" width="10.6640625" style="1509"/>
    <col min="9473" max="9473" width="17.5" style="1509" customWidth="1"/>
    <col min="9474" max="9474" width="20" style="1509" customWidth="1"/>
    <col min="9475" max="9475" width="13.5" style="1509" customWidth="1"/>
    <col min="9476" max="9476" width="17.83203125" style="1509" customWidth="1"/>
    <col min="9477" max="9477" width="16.1640625" style="1509" customWidth="1"/>
    <col min="9478" max="9478" width="16" style="1509" customWidth="1"/>
    <col min="9479" max="9479" width="14.1640625" style="1509" customWidth="1"/>
    <col min="9480" max="9480" width="18.6640625" style="1509" customWidth="1"/>
    <col min="9481" max="9481" width="17.5" style="1509" customWidth="1"/>
    <col min="9482" max="9482" width="16.33203125" style="1509" bestFit="1" customWidth="1"/>
    <col min="9483" max="9728" width="10.6640625" style="1509"/>
    <col min="9729" max="9729" width="17.5" style="1509" customWidth="1"/>
    <col min="9730" max="9730" width="20" style="1509" customWidth="1"/>
    <col min="9731" max="9731" width="13.5" style="1509" customWidth="1"/>
    <col min="9732" max="9732" width="17.83203125" style="1509" customWidth="1"/>
    <col min="9733" max="9733" width="16.1640625" style="1509" customWidth="1"/>
    <col min="9734" max="9734" width="16" style="1509" customWidth="1"/>
    <col min="9735" max="9735" width="14.1640625" style="1509" customWidth="1"/>
    <col min="9736" max="9736" width="18.6640625" style="1509" customWidth="1"/>
    <col min="9737" max="9737" width="17.5" style="1509" customWidth="1"/>
    <col min="9738" max="9738" width="16.33203125" style="1509" bestFit="1" customWidth="1"/>
    <col min="9739" max="9984" width="10.6640625" style="1509"/>
    <col min="9985" max="9985" width="17.5" style="1509" customWidth="1"/>
    <col min="9986" max="9986" width="20" style="1509" customWidth="1"/>
    <col min="9987" max="9987" width="13.5" style="1509" customWidth="1"/>
    <col min="9988" max="9988" width="17.83203125" style="1509" customWidth="1"/>
    <col min="9989" max="9989" width="16.1640625" style="1509" customWidth="1"/>
    <col min="9990" max="9990" width="16" style="1509" customWidth="1"/>
    <col min="9991" max="9991" width="14.1640625" style="1509" customWidth="1"/>
    <col min="9992" max="9992" width="18.6640625" style="1509" customWidth="1"/>
    <col min="9993" max="9993" width="17.5" style="1509" customWidth="1"/>
    <col min="9994" max="9994" width="16.33203125" style="1509" bestFit="1" customWidth="1"/>
    <col min="9995" max="10240" width="10.6640625" style="1509"/>
    <col min="10241" max="10241" width="17.5" style="1509" customWidth="1"/>
    <col min="10242" max="10242" width="20" style="1509" customWidth="1"/>
    <col min="10243" max="10243" width="13.5" style="1509" customWidth="1"/>
    <col min="10244" max="10244" width="17.83203125" style="1509" customWidth="1"/>
    <col min="10245" max="10245" width="16.1640625" style="1509" customWidth="1"/>
    <col min="10246" max="10246" width="16" style="1509" customWidth="1"/>
    <col min="10247" max="10247" width="14.1640625" style="1509" customWidth="1"/>
    <col min="10248" max="10248" width="18.6640625" style="1509" customWidth="1"/>
    <col min="10249" max="10249" width="17.5" style="1509" customWidth="1"/>
    <col min="10250" max="10250" width="16.33203125" style="1509" bestFit="1" customWidth="1"/>
    <col min="10251" max="10496" width="10.6640625" style="1509"/>
    <col min="10497" max="10497" width="17.5" style="1509" customWidth="1"/>
    <col min="10498" max="10498" width="20" style="1509" customWidth="1"/>
    <col min="10499" max="10499" width="13.5" style="1509" customWidth="1"/>
    <col min="10500" max="10500" width="17.83203125" style="1509" customWidth="1"/>
    <col min="10501" max="10501" width="16.1640625" style="1509" customWidth="1"/>
    <col min="10502" max="10502" width="16" style="1509" customWidth="1"/>
    <col min="10503" max="10503" width="14.1640625" style="1509" customWidth="1"/>
    <col min="10504" max="10504" width="18.6640625" style="1509" customWidth="1"/>
    <col min="10505" max="10505" width="17.5" style="1509" customWidth="1"/>
    <col min="10506" max="10506" width="16.33203125" style="1509" bestFit="1" customWidth="1"/>
    <col min="10507" max="10752" width="10.6640625" style="1509"/>
    <col min="10753" max="10753" width="17.5" style="1509" customWidth="1"/>
    <col min="10754" max="10754" width="20" style="1509" customWidth="1"/>
    <col min="10755" max="10755" width="13.5" style="1509" customWidth="1"/>
    <col min="10756" max="10756" width="17.83203125" style="1509" customWidth="1"/>
    <col min="10757" max="10757" width="16.1640625" style="1509" customWidth="1"/>
    <col min="10758" max="10758" width="16" style="1509" customWidth="1"/>
    <col min="10759" max="10759" width="14.1640625" style="1509" customWidth="1"/>
    <col min="10760" max="10760" width="18.6640625" style="1509" customWidth="1"/>
    <col min="10761" max="10761" width="17.5" style="1509" customWidth="1"/>
    <col min="10762" max="10762" width="16.33203125" style="1509" bestFit="1" customWidth="1"/>
    <col min="10763" max="11008" width="10.6640625" style="1509"/>
    <col min="11009" max="11009" width="17.5" style="1509" customWidth="1"/>
    <col min="11010" max="11010" width="20" style="1509" customWidth="1"/>
    <col min="11011" max="11011" width="13.5" style="1509" customWidth="1"/>
    <col min="11012" max="11012" width="17.83203125" style="1509" customWidth="1"/>
    <col min="11013" max="11013" width="16.1640625" style="1509" customWidth="1"/>
    <col min="11014" max="11014" width="16" style="1509" customWidth="1"/>
    <col min="11015" max="11015" width="14.1640625" style="1509" customWidth="1"/>
    <col min="11016" max="11016" width="18.6640625" style="1509" customWidth="1"/>
    <col min="11017" max="11017" width="17.5" style="1509" customWidth="1"/>
    <col min="11018" max="11018" width="16.33203125" style="1509" bestFit="1" customWidth="1"/>
    <col min="11019" max="11264" width="10.6640625" style="1509"/>
    <col min="11265" max="11265" width="17.5" style="1509" customWidth="1"/>
    <col min="11266" max="11266" width="20" style="1509" customWidth="1"/>
    <col min="11267" max="11267" width="13.5" style="1509" customWidth="1"/>
    <col min="11268" max="11268" width="17.83203125" style="1509" customWidth="1"/>
    <col min="11269" max="11269" width="16.1640625" style="1509" customWidth="1"/>
    <col min="11270" max="11270" width="16" style="1509" customWidth="1"/>
    <col min="11271" max="11271" width="14.1640625" style="1509" customWidth="1"/>
    <col min="11272" max="11272" width="18.6640625" style="1509" customWidth="1"/>
    <col min="11273" max="11273" width="17.5" style="1509" customWidth="1"/>
    <col min="11274" max="11274" width="16.33203125" style="1509" bestFit="1" customWidth="1"/>
    <col min="11275" max="11520" width="10.6640625" style="1509"/>
    <col min="11521" max="11521" width="17.5" style="1509" customWidth="1"/>
    <col min="11522" max="11522" width="20" style="1509" customWidth="1"/>
    <col min="11523" max="11523" width="13.5" style="1509" customWidth="1"/>
    <col min="11524" max="11524" width="17.83203125" style="1509" customWidth="1"/>
    <col min="11525" max="11525" width="16.1640625" style="1509" customWidth="1"/>
    <col min="11526" max="11526" width="16" style="1509" customWidth="1"/>
    <col min="11527" max="11527" width="14.1640625" style="1509" customWidth="1"/>
    <col min="11528" max="11528" width="18.6640625" style="1509" customWidth="1"/>
    <col min="11529" max="11529" width="17.5" style="1509" customWidth="1"/>
    <col min="11530" max="11530" width="16.33203125" style="1509" bestFit="1" customWidth="1"/>
    <col min="11531" max="11776" width="10.6640625" style="1509"/>
    <col min="11777" max="11777" width="17.5" style="1509" customWidth="1"/>
    <col min="11778" max="11778" width="20" style="1509" customWidth="1"/>
    <col min="11779" max="11779" width="13.5" style="1509" customWidth="1"/>
    <col min="11780" max="11780" width="17.83203125" style="1509" customWidth="1"/>
    <col min="11781" max="11781" width="16.1640625" style="1509" customWidth="1"/>
    <col min="11782" max="11782" width="16" style="1509" customWidth="1"/>
    <col min="11783" max="11783" width="14.1640625" style="1509" customWidth="1"/>
    <col min="11784" max="11784" width="18.6640625" style="1509" customWidth="1"/>
    <col min="11785" max="11785" width="17.5" style="1509" customWidth="1"/>
    <col min="11786" max="11786" width="16.33203125" style="1509" bestFit="1" customWidth="1"/>
    <col min="11787" max="12032" width="10.6640625" style="1509"/>
    <col min="12033" max="12033" width="17.5" style="1509" customWidth="1"/>
    <col min="12034" max="12034" width="20" style="1509" customWidth="1"/>
    <col min="12035" max="12035" width="13.5" style="1509" customWidth="1"/>
    <col min="12036" max="12036" width="17.83203125" style="1509" customWidth="1"/>
    <col min="12037" max="12037" width="16.1640625" style="1509" customWidth="1"/>
    <col min="12038" max="12038" width="16" style="1509" customWidth="1"/>
    <col min="12039" max="12039" width="14.1640625" style="1509" customWidth="1"/>
    <col min="12040" max="12040" width="18.6640625" style="1509" customWidth="1"/>
    <col min="12041" max="12041" width="17.5" style="1509" customWidth="1"/>
    <col min="12042" max="12042" width="16.33203125" style="1509" bestFit="1" customWidth="1"/>
    <col min="12043" max="12288" width="10.6640625" style="1509"/>
    <col min="12289" max="12289" width="17.5" style="1509" customWidth="1"/>
    <col min="12290" max="12290" width="20" style="1509" customWidth="1"/>
    <col min="12291" max="12291" width="13.5" style="1509" customWidth="1"/>
    <col min="12292" max="12292" width="17.83203125" style="1509" customWidth="1"/>
    <col min="12293" max="12293" width="16.1640625" style="1509" customWidth="1"/>
    <col min="12294" max="12294" width="16" style="1509" customWidth="1"/>
    <col min="12295" max="12295" width="14.1640625" style="1509" customWidth="1"/>
    <col min="12296" max="12296" width="18.6640625" style="1509" customWidth="1"/>
    <col min="12297" max="12297" width="17.5" style="1509" customWidth="1"/>
    <col min="12298" max="12298" width="16.33203125" style="1509" bestFit="1" customWidth="1"/>
    <col min="12299" max="12544" width="10.6640625" style="1509"/>
    <col min="12545" max="12545" width="17.5" style="1509" customWidth="1"/>
    <col min="12546" max="12546" width="20" style="1509" customWidth="1"/>
    <col min="12547" max="12547" width="13.5" style="1509" customWidth="1"/>
    <col min="12548" max="12548" width="17.83203125" style="1509" customWidth="1"/>
    <col min="12549" max="12549" width="16.1640625" style="1509" customWidth="1"/>
    <col min="12550" max="12550" width="16" style="1509" customWidth="1"/>
    <col min="12551" max="12551" width="14.1640625" style="1509" customWidth="1"/>
    <col min="12552" max="12552" width="18.6640625" style="1509" customWidth="1"/>
    <col min="12553" max="12553" width="17.5" style="1509" customWidth="1"/>
    <col min="12554" max="12554" width="16.33203125" style="1509" bestFit="1" customWidth="1"/>
    <col min="12555" max="12800" width="10.6640625" style="1509"/>
    <col min="12801" max="12801" width="17.5" style="1509" customWidth="1"/>
    <col min="12802" max="12802" width="20" style="1509" customWidth="1"/>
    <col min="12803" max="12803" width="13.5" style="1509" customWidth="1"/>
    <col min="12804" max="12804" width="17.83203125" style="1509" customWidth="1"/>
    <col min="12805" max="12805" width="16.1640625" style="1509" customWidth="1"/>
    <col min="12806" max="12806" width="16" style="1509" customWidth="1"/>
    <col min="12807" max="12807" width="14.1640625" style="1509" customWidth="1"/>
    <col min="12808" max="12808" width="18.6640625" style="1509" customWidth="1"/>
    <col min="12809" max="12809" width="17.5" style="1509" customWidth="1"/>
    <col min="12810" max="12810" width="16.33203125" style="1509" bestFit="1" customWidth="1"/>
    <col min="12811" max="13056" width="10.6640625" style="1509"/>
    <col min="13057" max="13057" width="17.5" style="1509" customWidth="1"/>
    <col min="13058" max="13058" width="20" style="1509" customWidth="1"/>
    <col min="13059" max="13059" width="13.5" style="1509" customWidth="1"/>
    <col min="13060" max="13060" width="17.83203125" style="1509" customWidth="1"/>
    <col min="13061" max="13061" width="16.1640625" style="1509" customWidth="1"/>
    <col min="13062" max="13062" width="16" style="1509" customWidth="1"/>
    <col min="13063" max="13063" width="14.1640625" style="1509" customWidth="1"/>
    <col min="13064" max="13064" width="18.6640625" style="1509" customWidth="1"/>
    <col min="13065" max="13065" width="17.5" style="1509" customWidth="1"/>
    <col min="13066" max="13066" width="16.33203125" style="1509" bestFit="1" customWidth="1"/>
    <col min="13067" max="13312" width="10.6640625" style="1509"/>
    <col min="13313" max="13313" width="17.5" style="1509" customWidth="1"/>
    <col min="13314" max="13314" width="20" style="1509" customWidth="1"/>
    <col min="13315" max="13315" width="13.5" style="1509" customWidth="1"/>
    <col min="13316" max="13316" width="17.83203125" style="1509" customWidth="1"/>
    <col min="13317" max="13317" width="16.1640625" style="1509" customWidth="1"/>
    <col min="13318" max="13318" width="16" style="1509" customWidth="1"/>
    <col min="13319" max="13319" width="14.1640625" style="1509" customWidth="1"/>
    <col min="13320" max="13320" width="18.6640625" style="1509" customWidth="1"/>
    <col min="13321" max="13321" width="17.5" style="1509" customWidth="1"/>
    <col min="13322" max="13322" width="16.33203125" style="1509" bestFit="1" customWidth="1"/>
    <col min="13323" max="13568" width="10.6640625" style="1509"/>
    <col min="13569" max="13569" width="17.5" style="1509" customWidth="1"/>
    <col min="13570" max="13570" width="20" style="1509" customWidth="1"/>
    <col min="13571" max="13571" width="13.5" style="1509" customWidth="1"/>
    <col min="13572" max="13572" width="17.83203125" style="1509" customWidth="1"/>
    <col min="13573" max="13573" width="16.1640625" style="1509" customWidth="1"/>
    <col min="13574" max="13574" width="16" style="1509" customWidth="1"/>
    <col min="13575" max="13575" width="14.1640625" style="1509" customWidth="1"/>
    <col min="13576" max="13576" width="18.6640625" style="1509" customWidth="1"/>
    <col min="13577" max="13577" width="17.5" style="1509" customWidth="1"/>
    <col min="13578" max="13578" width="16.33203125" style="1509" bestFit="1" customWidth="1"/>
    <col min="13579" max="13824" width="10.6640625" style="1509"/>
    <col min="13825" max="13825" width="17.5" style="1509" customWidth="1"/>
    <col min="13826" max="13826" width="20" style="1509" customWidth="1"/>
    <col min="13827" max="13827" width="13.5" style="1509" customWidth="1"/>
    <col min="13828" max="13828" width="17.83203125" style="1509" customWidth="1"/>
    <col min="13829" max="13829" width="16.1640625" style="1509" customWidth="1"/>
    <col min="13830" max="13830" width="16" style="1509" customWidth="1"/>
    <col min="13831" max="13831" width="14.1640625" style="1509" customWidth="1"/>
    <col min="13832" max="13832" width="18.6640625" style="1509" customWidth="1"/>
    <col min="13833" max="13833" width="17.5" style="1509" customWidth="1"/>
    <col min="13834" max="13834" width="16.33203125" style="1509" bestFit="1" customWidth="1"/>
    <col min="13835" max="14080" width="10.6640625" style="1509"/>
    <col min="14081" max="14081" width="17.5" style="1509" customWidth="1"/>
    <col min="14082" max="14082" width="20" style="1509" customWidth="1"/>
    <col min="14083" max="14083" width="13.5" style="1509" customWidth="1"/>
    <col min="14084" max="14084" width="17.83203125" style="1509" customWidth="1"/>
    <col min="14085" max="14085" width="16.1640625" style="1509" customWidth="1"/>
    <col min="14086" max="14086" width="16" style="1509" customWidth="1"/>
    <col min="14087" max="14087" width="14.1640625" style="1509" customWidth="1"/>
    <col min="14088" max="14088" width="18.6640625" style="1509" customWidth="1"/>
    <col min="14089" max="14089" width="17.5" style="1509" customWidth="1"/>
    <col min="14090" max="14090" width="16.33203125" style="1509" bestFit="1" customWidth="1"/>
    <col min="14091" max="14336" width="10.6640625" style="1509"/>
    <col min="14337" max="14337" width="17.5" style="1509" customWidth="1"/>
    <col min="14338" max="14338" width="20" style="1509" customWidth="1"/>
    <col min="14339" max="14339" width="13.5" style="1509" customWidth="1"/>
    <col min="14340" max="14340" width="17.83203125" style="1509" customWidth="1"/>
    <col min="14341" max="14341" width="16.1640625" style="1509" customWidth="1"/>
    <col min="14342" max="14342" width="16" style="1509" customWidth="1"/>
    <col min="14343" max="14343" width="14.1640625" style="1509" customWidth="1"/>
    <col min="14344" max="14344" width="18.6640625" style="1509" customWidth="1"/>
    <col min="14345" max="14345" width="17.5" style="1509" customWidth="1"/>
    <col min="14346" max="14346" width="16.33203125" style="1509" bestFit="1" customWidth="1"/>
    <col min="14347" max="14592" width="10.6640625" style="1509"/>
    <col min="14593" max="14593" width="17.5" style="1509" customWidth="1"/>
    <col min="14594" max="14594" width="20" style="1509" customWidth="1"/>
    <col min="14595" max="14595" width="13.5" style="1509" customWidth="1"/>
    <col min="14596" max="14596" width="17.83203125" style="1509" customWidth="1"/>
    <col min="14597" max="14597" width="16.1640625" style="1509" customWidth="1"/>
    <col min="14598" max="14598" width="16" style="1509" customWidth="1"/>
    <col min="14599" max="14599" width="14.1640625" style="1509" customWidth="1"/>
    <col min="14600" max="14600" width="18.6640625" style="1509" customWidth="1"/>
    <col min="14601" max="14601" width="17.5" style="1509" customWidth="1"/>
    <col min="14602" max="14602" width="16.33203125" style="1509" bestFit="1" customWidth="1"/>
    <col min="14603" max="14848" width="10.6640625" style="1509"/>
    <col min="14849" max="14849" width="17.5" style="1509" customWidth="1"/>
    <col min="14850" max="14850" width="20" style="1509" customWidth="1"/>
    <col min="14851" max="14851" width="13.5" style="1509" customWidth="1"/>
    <col min="14852" max="14852" width="17.83203125" style="1509" customWidth="1"/>
    <col min="14853" max="14853" width="16.1640625" style="1509" customWidth="1"/>
    <col min="14854" max="14854" width="16" style="1509" customWidth="1"/>
    <col min="14855" max="14855" width="14.1640625" style="1509" customWidth="1"/>
    <col min="14856" max="14856" width="18.6640625" style="1509" customWidth="1"/>
    <col min="14857" max="14857" width="17.5" style="1509" customWidth="1"/>
    <col min="14858" max="14858" width="16.33203125" style="1509" bestFit="1" customWidth="1"/>
    <col min="14859" max="15104" width="10.6640625" style="1509"/>
    <col min="15105" max="15105" width="17.5" style="1509" customWidth="1"/>
    <col min="15106" max="15106" width="20" style="1509" customWidth="1"/>
    <col min="15107" max="15107" width="13.5" style="1509" customWidth="1"/>
    <col min="15108" max="15108" width="17.83203125" style="1509" customWidth="1"/>
    <col min="15109" max="15109" width="16.1640625" style="1509" customWidth="1"/>
    <col min="15110" max="15110" width="16" style="1509" customWidth="1"/>
    <col min="15111" max="15111" width="14.1640625" style="1509" customWidth="1"/>
    <col min="15112" max="15112" width="18.6640625" style="1509" customWidth="1"/>
    <col min="15113" max="15113" width="17.5" style="1509" customWidth="1"/>
    <col min="15114" max="15114" width="16.33203125" style="1509" bestFit="1" customWidth="1"/>
    <col min="15115" max="15360" width="10.6640625" style="1509"/>
    <col min="15361" max="15361" width="17.5" style="1509" customWidth="1"/>
    <col min="15362" max="15362" width="20" style="1509" customWidth="1"/>
    <col min="15363" max="15363" width="13.5" style="1509" customWidth="1"/>
    <col min="15364" max="15364" width="17.83203125" style="1509" customWidth="1"/>
    <col min="15365" max="15365" width="16.1640625" style="1509" customWidth="1"/>
    <col min="15366" max="15366" width="16" style="1509" customWidth="1"/>
    <col min="15367" max="15367" width="14.1640625" style="1509" customWidth="1"/>
    <col min="15368" max="15368" width="18.6640625" style="1509" customWidth="1"/>
    <col min="15369" max="15369" width="17.5" style="1509" customWidth="1"/>
    <col min="15370" max="15370" width="16.33203125" style="1509" bestFit="1" customWidth="1"/>
    <col min="15371" max="15616" width="10.6640625" style="1509"/>
    <col min="15617" max="15617" width="17.5" style="1509" customWidth="1"/>
    <col min="15618" max="15618" width="20" style="1509" customWidth="1"/>
    <col min="15619" max="15619" width="13.5" style="1509" customWidth="1"/>
    <col min="15620" max="15620" width="17.83203125" style="1509" customWidth="1"/>
    <col min="15621" max="15621" width="16.1640625" style="1509" customWidth="1"/>
    <col min="15622" max="15622" width="16" style="1509" customWidth="1"/>
    <col min="15623" max="15623" width="14.1640625" style="1509" customWidth="1"/>
    <col min="15624" max="15624" width="18.6640625" style="1509" customWidth="1"/>
    <col min="15625" max="15625" width="17.5" style="1509" customWidth="1"/>
    <col min="15626" max="15626" width="16.33203125" style="1509" bestFit="1" customWidth="1"/>
    <col min="15627" max="15872" width="10.6640625" style="1509"/>
    <col min="15873" max="15873" width="17.5" style="1509" customWidth="1"/>
    <col min="15874" max="15874" width="20" style="1509" customWidth="1"/>
    <col min="15875" max="15875" width="13.5" style="1509" customWidth="1"/>
    <col min="15876" max="15876" width="17.83203125" style="1509" customWidth="1"/>
    <col min="15877" max="15877" width="16.1640625" style="1509" customWidth="1"/>
    <col min="15878" max="15878" width="16" style="1509" customWidth="1"/>
    <col min="15879" max="15879" width="14.1640625" style="1509" customWidth="1"/>
    <col min="15880" max="15880" width="18.6640625" style="1509" customWidth="1"/>
    <col min="15881" max="15881" width="17.5" style="1509" customWidth="1"/>
    <col min="15882" max="15882" width="16.33203125" style="1509" bestFit="1" customWidth="1"/>
    <col min="15883" max="16128" width="10.6640625" style="1509"/>
    <col min="16129" max="16129" width="17.5" style="1509" customWidth="1"/>
    <col min="16130" max="16130" width="20" style="1509" customWidth="1"/>
    <col min="16131" max="16131" width="13.5" style="1509" customWidth="1"/>
    <col min="16132" max="16132" width="17.83203125" style="1509" customWidth="1"/>
    <col min="16133" max="16133" width="16.1640625" style="1509" customWidth="1"/>
    <col min="16134" max="16134" width="16" style="1509" customWidth="1"/>
    <col min="16135" max="16135" width="14.1640625" style="1509" customWidth="1"/>
    <col min="16136" max="16136" width="18.6640625" style="1509" customWidth="1"/>
    <col min="16137" max="16137" width="17.5" style="1509" customWidth="1"/>
    <col min="16138" max="16138" width="16.33203125" style="1509" bestFit="1" customWidth="1"/>
    <col min="16139" max="16384" width="10.6640625" style="1509"/>
  </cols>
  <sheetData>
    <row r="1" spans="1:10" s="1504" customFormat="1" ht="63.75">
      <c r="A1" s="1502" t="s">
        <v>2187</v>
      </c>
      <c r="B1" s="1502" t="s">
        <v>2188</v>
      </c>
      <c r="C1" s="1502" t="s">
        <v>2189</v>
      </c>
      <c r="D1" s="1502" t="s">
        <v>2190</v>
      </c>
      <c r="E1" s="1502" t="s">
        <v>2191</v>
      </c>
      <c r="F1" s="1502" t="s">
        <v>2192</v>
      </c>
      <c r="G1" s="1502" t="s">
        <v>2193</v>
      </c>
      <c r="H1" s="1502" t="s">
        <v>2194</v>
      </c>
      <c r="I1" s="1503" t="s">
        <v>2195</v>
      </c>
      <c r="J1" s="1503" t="s">
        <v>2196</v>
      </c>
    </row>
    <row r="2" spans="1:10">
      <c r="A2" s="1505">
        <v>40148</v>
      </c>
      <c r="B2" s="1506">
        <v>50047211.039999992</v>
      </c>
      <c r="C2" s="1507">
        <v>0</v>
      </c>
      <c r="D2" s="1507">
        <v>-7106179.6699999999</v>
      </c>
      <c r="E2" s="1507">
        <v>0</v>
      </c>
      <c r="F2" s="1507">
        <v>0</v>
      </c>
      <c r="G2" s="1507">
        <v>0</v>
      </c>
      <c r="H2" s="1507">
        <v>42941031.36999999</v>
      </c>
      <c r="I2" s="1508">
        <v>51345934.889999986</v>
      </c>
      <c r="J2" s="1506">
        <f t="shared" ref="J2:J8" si="0">I2-H2</f>
        <v>8404903.5199999958</v>
      </c>
    </row>
    <row r="3" spans="1:10">
      <c r="A3" s="1505">
        <v>40179</v>
      </c>
      <c r="B3" s="1506">
        <f t="shared" ref="B3:B14" si="1">H2</f>
        <v>42941031.36999999</v>
      </c>
      <c r="C3" s="1506">
        <v>0</v>
      </c>
      <c r="D3" s="1506">
        <v>-111589.15</v>
      </c>
      <c r="E3" s="1506">
        <v>0</v>
      </c>
      <c r="F3" s="1506">
        <v>0</v>
      </c>
      <c r="G3" s="1506">
        <v>0</v>
      </c>
      <c r="H3" s="1506">
        <f t="shared" ref="H3:H14" si="2">H2+SUM(C3:F3)</f>
        <v>42829442.219999991</v>
      </c>
      <c r="I3" s="1506">
        <f>H3+SUM(D4:D$14)</f>
        <v>51345934.889999993</v>
      </c>
      <c r="J3" s="1506">
        <f t="shared" si="0"/>
        <v>8516492.6700000018</v>
      </c>
    </row>
    <row r="4" spans="1:10">
      <c r="A4" s="1505">
        <v>40210</v>
      </c>
      <c r="B4" s="1506">
        <f t="shared" si="1"/>
        <v>42829442.219999991</v>
      </c>
      <c r="C4" s="1506">
        <v>0</v>
      </c>
      <c r="D4" s="1506">
        <v>0</v>
      </c>
      <c r="E4" s="1506">
        <v>0</v>
      </c>
      <c r="F4" s="1506">
        <v>0</v>
      </c>
      <c r="G4" s="1506">
        <v>0</v>
      </c>
      <c r="H4" s="1506">
        <f t="shared" si="2"/>
        <v>42829442.219999991</v>
      </c>
      <c r="I4" s="1506">
        <f>H4+SUM(D5:D$14)</f>
        <v>51345934.889999993</v>
      </c>
      <c r="J4" s="1506">
        <f t="shared" si="0"/>
        <v>8516492.6700000018</v>
      </c>
    </row>
    <row r="5" spans="1:10">
      <c r="A5" s="1505">
        <v>40238</v>
      </c>
      <c r="B5" s="1506">
        <f t="shared" si="1"/>
        <v>42829442.219999991</v>
      </c>
      <c r="C5" s="1506">
        <v>710.64</v>
      </c>
      <c r="D5" s="1506">
        <v>8516492.6699999999</v>
      </c>
      <c r="E5" s="1506">
        <v>0</v>
      </c>
      <c r="F5" s="1506">
        <v>0</v>
      </c>
      <c r="G5" s="1506">
        <v>0</v>
      </c>
      <c r="H5" s="1506">
        <f t="shared" si="2"/>
        <v>51346645.529999994</v>
      </c>
      <c r="I5" s="1506">
        <f>H5+SUM(D6:D$14)</f>
        <v>51346645.529999994</v>
      </c>
      <c r="J5" s="1506">
        <f t="shared" si="0"/>
        <v>0</v>
      </c>
    </row>
    <row r="6" spans="1:10">
      <c r="A6" s="1505">
        <v>40269</v>
      </c>
      <c r="B6" s="1506">
        <f t="shared" si="1"/>
        <v>51346645.529999994</v>
      </c>
      <c r="C6" s="1506">
        <v>180.54</v>
      </c>
      <c r="D6" s="1506">
        <v>0</v>
      </c>
      <c r="E6" s="1506">
        <v>1249393.55</v>
      </c>
      <c r="F6" s="1506">
        <v>-540520.28</v>
      </c>
      <c r="G6" s="1506">
        <v>0</v>
      </c>
      <c r="H6" s="1506">
        <f t="shared" si="2"/>
        <v>52055699.339999996</v>
      </c>
      <c r="I6" s="1506">
        <f>H6+SUM(D7:D$14)</f>
        <v>52055699.339999996</v>
      </c>
      <c r="J6" s="1506">
        <f t="shared" si="0"/>
        <v>0</v>
      </c>
    </row>
    <row r="7" spans="1:10">
      <c r="A7" s="1505">
        <v>40299</v>
      </c>
      <c r="B7" s="1506">
        <f t="shared" si="1"/>
        <v>52055699.339999996</v>
      </c>
      <c r="C7" s="1506">
        <v>473.77</v>
      </c>
      <c r="D7" s="1506">
        <v>-24213</v>
      </c>
      <c r="E7" s="1506">
        <v>0</v>
      </c>
      <c r="F7" s="1506">
        <v>0</v>
      </c>
      <c r="G7" s="1506">
        <v>0</v>
      </c>
      <c r="H7" s="1506">
        <f t="shared" si="2"/>
        <v>52031960.109999999</v>
      </c>
      <c r="I7" s="1506">
        <f>H7+SUM(D8:D$14)</f>
        <v>52056173.109999999</v>
      </c>
      <c r="J7" s="1506">
        <f t="shared" si="0"/>
        <v>24213</v>
      </c>
    </row>
    <row r="8" spans="1:10">
      <c r="A8" s="1505">
        <v>40330</v>
      </c>
      <c r="B8" s="1506">
        <f t="shared" si="1"/>
        <v>52031960.109999999</v>
      </c>
      <c r="C8" s="1506">
        <v>0</v>
      </c>
      <c r="D8" s="1506">
        <v>0</v>
      </c>
      <c r="E8" s="1506">
        <v>0</v>
      </c>
      <c r="F8" s="1506">
        <v>0</v>
      </c>
      <c r="G8" s="1506">
        <v>0</v>
      </c>
      <c r="H8" s="1506">
        <f t="shared" si="2"/>
        <v>52031960.109999999</v>
      </c>
      <c r="I8" s="1506">
        <f>H8+SUM(D9:D$14)</f>
        <v>52056173.109999999</v>
      </c>
      <c r="J8" s="1506">
        <f t="shared" si="0"/>
        <v>24213</v>
      </c>
    </row>
    <row r="9" spans="1:10">
      <c r="A9" s="1505">
        <v>40360</v>
      </c>
      <c r="B9" s="1506">
        <f t="shared" si="1"/>
        <v>52031960.109999999</v>
      </c>
      <c r="C9" s="1506">
        <v>609.08000000000004</v>
      </c>
      <c r="D9" s="1506">
        <v>24213</v>
      </c>
      <c r="E9" s="1506">
        <v>2708058.62</v>
      </c>
      <c r="F9" s="1506">
        <v>-2709007.87</v>
      </c>
      <c r="G9" s="1506">
        <v>0</v>
      </c>
      <c r="H9" s="1506">
        <f t="shared" si="2"/>
        <v>52055832.939999998</v>
      </c>
      <c r="I9" s="1506">
        <f>H9+SUM(D10:D$14)</f>
        <v>52055832.939999998</v>
      </c>
      <c r="J9" s="1506">
        <v>0</v>
      </c>
    </row>
    <row r="10" spans="1:10">
      <c r="A10" s="1505">
        <v>40391</v>
      </c>
      <c r="B10" s="1506">
        <f t="shared" si="1"/>
        <v>52055832.939999998</v>
      </c>
      <c r="C10" s="1506">
        <v>0</v>
      </c>
      <c r="D10" s="1506">
        <v>0</v>
      </c>
      <c r="E10" s="1506">
        <v>112359.99</v>
      </c>
      <c r="F10" s="1506">
        <v>-112359.99</v>
      </c>
      <c r="G10" s="1506">
        <v>0</v>
      </c>
      <c r="H10" s="1506">
        <f t="shared" si="2"/>
        <v>52055832.939999998</v>
      </c>
      <c r="I10" s="1506">
        <f>H10+SUM(D11:D$14)</f>
        <v>52055832.939999998</v>
      </c>
      <c r="J10" s="1506">
        <v>0</v>
      </c>
    </row>
    <row r="11" spans="1:10">
      <c r="A11" s="1505">
        <v>40422</v>
      </c>
      <c r="B11" s="1506">
        <f t="shared" si="1"/>
        <v>52055832.939999998</v>
      </c>
      <c r="C11" s="1506">
        <v>0</v>
      </c>
      <c r="D11" s="1506">
        <v>0</v>
      </c>
      <c r="E11" s="1506">
        <v>0</v>
      </c>
      <c r="F11" s="1506">
        <v>0</v>
      </c>
      <c r="G11" s="1506">
        <v>0</v>
      </c>
      <c r="H11" s="1506">
        <f t="shared" si="2"/>
        <v>52055832.939999998</v>
      </c>
      <c r="I11" s="1506">
        <f>H11+SUM(D12:D$14)</f>
        <v>52055832.939999998</v>
      </c>
      <c r="J11" s="1506">
        <v>0</v>
      </c>
    </row>
    <row r="12" spans="1:10">
      <c r="A12" s="1505">
        <v>40452</v>
      </c>
      <c r="B12" s="1506">
        <f t="shared" si="1"/>
        <v>52055832.939999998</v>
      </c>
      <c r="C12" s="1506">
        <v>0</v>
      </c>
      <c r="D12" s="1506">
        <v>0</v>
      </c>
      <c r="E12" s="1506">
        <v>0</v>
      </c>
      <c r="F12" s="1506">
        <v>0</v>
      </c>
      <c r="G12" s="1506">
        <v>0</v>
      </c>
      <c r="H12" s="1506">
        <f t="shared" si="2"/>
        <v>52055832.939999998</v>
      </c>
      <c r="I12" s="1506">
        <f>H12+SUM(D13:D$14)</f>
        <v>52055832.939999998</v>
      </c>
      <c r="J12" s="1506">
        <v>0</v>
      </c>
    </row>
    <row r="13" spans="1:10">
      <c r="A13" s="1505">
        <v>40483</v>
      </c>
      <c r="B13" s="1506">
        <f t="shared" si="1"/>
        <v>52055832.939999998</v>
      </c>
      <c r="C13" s="1506">
        <v>-163565.19</v>
      </c>
      <c r="D13" s="1506">
        <v>0</v>
      </c>
      <c r="E13" s="1506">
        <v>0</v>
      </c>
      <c r="F13" s="1506">
        <v>0</v>
      </c>
      <c r="G13" s="1506">
        <v>0</v>
      </c>
      <c r="H13" s="1506">
        <f t="shared" si="2"/>
        <v>51892267.75</v>
      </c>
      <c r="I13" s="1506">
        <f>H13+SUM(D14:D$14)</f>
        <v>51892267.75</v>
      </c>
      <c r="J13" s="1506">
        <v>0</v>
      </c>
    </row>
    <row r="14" spans="1:10">
      <c r="A14" s="1505">
        <v>40513</v>
      </c>
      <c r="B14" s="1506">
        <f t="shared" si="1"/>
        <v>51892267.75</v>
      </c>
      <c r="C14" s="1506">
        <v>163565.19</v>
      </c>
      <c r="D14" s="1506">
        <v>0</v>
      </c>
      <c r="E14" s="1506">
        <v>0</v>
      </c>
      <c r="F14" s="1506">
        <v>0</v>
      </c>
      <c r="G14" s="1506">
        <v>0</v>
      </c>
      <c r="H14" s="1506">
        <f t="shared" si="2"/>
        <v>52055832.939999998</v>
      </c>
      <c r="I14" s="1506">
        <f>H14+SUM(D$14:D15)</f>
        <v>52055832.939999998</v>
      </c>
      <c r="J14" s="1506">
        <v>0</v>
      </c>
    </row>
    <row r="16" spans="1:10">
      <c r="C16" s="1506">
        <f>SUM(C2:C14)</f>
        <v>1974.0299999999988</v>
      </c>
      <c r="D16" s="1506">
        <f>SUM(D2:D14)</f>
        <v>1298723.8499999996</v>
      </c>
      <c r="E16" s="1506">
        <f>SUM(E2:E14)</f>
        <v>4069812.16</v>
      </c>
      <c r="F16" s="1506">
        <f>SUM(F2:F14)</f>
        <v>-3361888.1400000006</v>
      </c>
      <c r="G16" s="1506">
        <f>SUM(G2:G14)</f>
        <v>0</v>
      </c>
      <c r="H16" s="1510"/>
      <c r="I16" s="1506"/>
      <c r="J16" s="1511">
        <f>(J2+J14+SUM(J3:J13)*2)/24</f>
        <v>1773655.2583333335</v>
      </c>
    </row>
    <row r="18" spans="3:5">
      <c r="C18" s="1506"/>
    </row>
    <row r="19" spans="3:5">
      <c r="C19" s="1506"/>
      <c r="E19" s="1506"/>
    </row>
    <row r="20" spans="3:5">
      <c r="C20" s="1506"/>
    </row>
    <row r="21" spans="3:5">
      <c r="C21" s="1506"/>
    </row>
    <row r="22" spans="3:5">
      <c r="C22" s="1506"/>
    </row>
    <row r="23" spans="3:5">
      <c r="C23" s="1506"/>
    </row>
    <row r="24" spans="3:5">
      <c r="C24" s="1506"/>
    </row>
    <row r="25" spans="3:5">
      <c r="C25" s="1506"/>
    </row>
    <row r="26" spans="3:5">
      <c r="C26" s="1506"/>
    </row>
    <row r="27" spans="3:5">
      <c r="C27" s="1506"/>
    </row>
    <row r="28" spans="3:5">
      <c r="C28" s="1506"/>
    </row>
    <row r="29" spans="3:5">
      <c r="C29" s="1506"/>
    </row>
    <row r="30" spans="3:5">
      <c r="C30" s="1506"/>
    </row>
  </sheetData>
  <printOptions gridLines="1"/>
  <pageMargins left="0.75" right="0.75" top="1" bottom="1" header="0.5" footer="0.5"/>
  <pageSetup scale="91" orientation="landscape" r:id="rId1"/>
  <headerFooter alignWithMargins="0">
    <oddHeader>&amp;LOld General Plant Groups  - Electric
Adjusted Gross Book Cost</oddHeader>
    <oddFooter>&amp;LPrepared by:  Kathy Chinn
Date prepared:  7/27/2010&amp;R&amp;Z&amp;F&amp;A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39997558519241921"/>
  </sheetPr>
  <dimension ref="A1:P111"/>
  <sheetViews>
    <sheetView workbookViewId="0">
      <pane ySplit="3" topLeftCell="A65" activePane="bottomLeft" state="frozen"/>
      <selection activeCell="O32" sqref="O32"/>
      <selection pane="bottomLeft" activeCell="O32" sqref="O32"/>
    </sheetView>
  </sheetViews>
  <sheetFormatPr defaultRowHeight="12.75"/>
  <cols>
    <col min="1" max="1" width="34.6640625" style="151" customWidth="1"/>
    <col min="2" max="2" width="16.1640625" style="151" customWidth="1"/>
    <col min="3" max="6" width="14.5" style="151" customWidth="1"/>
    <col min="7" max="9" width="13.83203125" style="151" customWidth="1"/>
    <col min="10" max="15" width="13.6640625" style="151" customWidth="1"/>
    <col min="16" max="16" width="17" style="151" customWidth="1"/>
    <col min="17" max="17" width="9.33203125" style="151"/>
    <col min="18" max="18" width="13.6640625" style="151" customWidth="1"/>
    <col min="19" max="256" width="9.33203125" style="151"/>
    <col min="257" max="257" width="34.6640625" style="151" customWidth="1"/>
    <col min="258" max="258" width="16.1640625" style="151" customWidth="1"/>
    <col min="259" max="262" width="14.5" style="151" customWidth="1"/>
    <col min="263" max="265" width="13.83203125" style="151" customWidth="1"/>
    <col min="266" max="271" width="13.6640625" style="151" customWidth="1"/>
    <col min="272" max="272" width="17" style="151" customWidth="1"/>
    <col min="273" max="273" width="9.33203125" style="151"/>
    <col min="274" max="274" width="13.6640625" style="151" customWidth="1"/>
    <col min="275" max="512" width="9.33203125" style="151"/>
    <col min="513" max="513" width="34.6640625" style="151" customWidth="1"/>
    <col min="514" max="514" width="16.1640625" style="151" customWidth="1"/>
    <col min="515" max="518" width="14.5" style="151" customWidth="1"/>
    <col min="519" max="521" width="13.83203125" style="151" customWidth="1"/>
    <col min="522" max="527" width="13.6640625" style="151" customWidth="1"/>
    <col min="528" max="528" width="17" style="151" customWidth="1"/>
    <col min="529" max="529" width="9.33203125" style="151"/>
    <col min="530" max="530" width="13.6640625" style="151" customWidth="1"/>
    <col min="531" max="768" width="9.33203125" style="151"/>
    <col min="769" max="769" width="34.6640625" style="151" customWidth="1"/>
    <col min="770" max="770" width="16.1640625" style="151" customWidth="1"/>
    <col min="771" max="774" width="14.5" style="151" customWidth="1"/>
    <col min="775" max="777" width="13.83203125" style="151" customWidth="1"/>
    <col min="778" max="783" width="13.6640625" style="151" customWidth="1"/>
    <col min="784" max="784" width="17" style="151" customWidth="1"/>
    <col min="785" max="785" width="9.33203125" style="151"/>
    <col min="786" max="786" width="13.6640625" style="151" customWidth="1"/>
    <col min="787" max="1024" width="9.33203125" style="151"/>
    <col min="1025" max="1025" width="34.6640625" style="151" customWidth="1"/>
    <col min="1026" max="1026" width="16.1640625" style="151" customWidth="1"/>
    <col min="1027" max="1030" width="14.5" style="151" customWidth="1"/>
    <col min="1031" max="1033" width="13.83203125" style="151" customWidth="1"/>
    <col min="1034" max="1039" width="13.6640625" style="151" customWidth="1"/>
    <col min="1040" max="1040" width="17" style="151" customWidth="1"/>
    <col min="1041" max="1041" width="9.33203125" style="151"/>
    <col min="1042" max="1042" width="13.6640625" style="151" customWidth="1"/>
    <col min="1043" max="1280" width="9.33203125" style="151"/>
    <col min="1281" max="1281" width="34.6640625" style="151" customWidth="1"/>
    <col min="1282" max="1282" width="16.1640625" style="151" customWidth="1"/>
    <col min="1283" max="1286" width="14.5" style="151" customWidth="1"/>
    <col min="1287" max="1289" width="13.83203125" style="151" customWidth="1"/>
    <col min="1290" max="1295" width="13.6640625" style="151" customWidth="1"/>
    <col min="1296" max="1296" width="17" style="151" customWidth="1"/>
    <col min="1297" max="1297" width="9.33203125" style="151"/>
    <col min="1298" max="1298" width="13.6640625" style="151" customWidth="1"/>
    <col min="1299" max="1536" width="9.33203125" style="151"/>
    <col min="1537" max="1537" width="34.6640625" style="151" customWidth="1"/>
    <col min="1538" max="1538" width="16.1640625" style="151" customWidth="1"/>
    <col min="1539" max="1542" width="14.5" style="151" customWidth="1"/>
    <col min="1543" max="1545" width="13.83203125" style="151" customWidth="1"/>
    <col min="1546" max="1551" width="13.6640625" style="151" customWidth="1"/>
    <col min="1552" max="1552" width="17" style="151" customWidth="1"/>
    <col min="1553" max="1553" width="9.33203125" style="151"/>
    <col min="1554" max="1554" width="13.6640625" style="151" customWidth="1"/>
    <col min="1555" max="1792" width="9.33203125" style="151"/>
    <col min="1793" max="1793" width="34.6640625" style="151" customWidth="1"/>
    <col min="1794" max="1794" width="16.1640625" style="151" customWidth="1"/>
    <col min="1795" max="1798" width="14.5" style="151" customWidth="1"/>
    <col min="1799" max="1801" width="13.83203125" style="151" customWidth="1"/>
    <col min="1802" max="1807" width="13.6640625" style="151" customWidth="1"/>
    <col min="1808" max="1808" width="17" style="151" customWidth="1"/>
    <col min="1809" max="1809" width="9.33203125" style="151"/>
    <col min="1810" max="1810" width="13.6640625" style="151" customWidth="1"/>
    <col min="1811" max="2048" width="9.33203125" style="151"/>
    <col min="2049" max="2049" width="34.6640625" style="151" customWidth="1"/>
    <col min="2050" max="2050" width="16.1640625" style="151" customWidth="1"/>
    <col min="2051" max="2054" width="14.5" style="151" customWidth="1"/>
    <col min="2055" max="2057" width="13.83203125" style="151" customWidth="1"/>
    <col min="2058" max="2063" width="13.6640625" style="151" customWidth="1"/>
    <col min="2064" max="2064" width="17" style="151" customWidth="1"/>
    <col min="2065" max="2065" width="9.33203125" style="151"/>
    <col min="2066" max="2066" width="13.6640625" style="151" customWidth="1"/>
    <col min="2067" max="2304" width="9.33203125" style="151"/>
    <col min="2305" max="2305" width="34.6640625" style="151" customWidth="1"/>
    <col min="2306" max="2306" width="16.1640625" style="151" customWidth="1"/>
    <col min="2307" max="2310" width="14.5" style="151" customWidth="1"/>
    <col min="2311" max="2313" width="13.83203125" style="151" customWidth="1"/>
    <col min="2314" max="2319" width="13.6640625" style="151" customWidth="1"/>
    <col min="2320" max="2320" width="17" style="151" customWidth="1"/>
    <col min="2321" max="2321" width="9.33203125" style="151"/>
    <col min="2322" max="2322" width="13.6640625" style="151" customWidth="1"/>
    <col min="2323" max="2560" width="9.33203125" style="151"/>
    <col min="2561" max="2561" width="34.6640625" style="151" customWidth="1"/>
    <col min="2562" max="2562" width="16.1640625" style="151" customWidth="1"/>
    <col min="2563" max="2566" width="14.5" style="151" customWidth="1"/>
    <col min="2567" max="2569" width="13.83203125" style="151" customWidth="1"/>
    <col min="2570" max="2575" width="13.6640625" style="151" customWidth="1"/>
    <col min="2576" max="2576" width="17" style="151" customWidth="1"/>
    <col min="2577" max="2577" width="9.33203125" style="151"/>
    <col min="2578" max="2578" width="13.6640625" style="151" customWidth="1"/>
    <col min="2579" max="2816" width="9.33203125" style="151"/>
    <col min="2817" max="2817" width="34.6640625" style="151" customWidth="1"/>
    <col min="2818" max="2818" width="16.1640625" style="151" customWidth="1"/>
    <col min="2819" max="2822" width="14.5" style="151" customWidth="1"/>
    <col min="2823" max="2825" width="13.83203125" style="151" customWidth="1"/>
    <col min="2826" max="2831" width="13.6640625" style="151" customWidth="1"/>
    <col min="2832" max="2832" width="17" style="151" customWidth="1"/>
    <col min="2833" max="2833" width="9.33203125" style="151"/>
    <col min="2834" max="2834" width="13.6640625" style="151" customWidth="1"/>
    <col min="2835" max="3072" width="9.33203125" style="151"/>
    <col min="3073" max="3073" width="34.6640625" style="151" customWidth="1"/>
    <col min="3074" max="3074" width="16.1640625" style="151" customWidth="1"/>
    <col min="3075" max="3078" width="14.5" style="151" customWidth="1"/>
    <col min="3079" max="3081" width="13.83203125" style="151" customWidth="1"/>
    <col min="3082" max="3087" width="13.6640625" style="151" customWidth="1"/>
    <col min="3088" max="3088" width="17" style="151" customWidth="1"/>
    <col min="3089" max="3089" width="9.33203125" style="151"/>
    <col min="3090" max="3090" width="13.6640625" style="151" customWidth="1"/>
    <col min="3091" max="3328" width="9.33203125" style="151"/>
    <col min="3329" max="3329" width="34.6640625" style="151" customWidth="1"/>
    <col min="3330" max="3330" width="16.1640625" style="151" customWidth="1"/>
    <col min="3331" max="3334" width="14.5" style="151" customWidth="1"/>
    <col min="3335" max="3337" width="13.83203125" style="151" customWidth="1"/>
    <col min="3338" max="3343" width="13.6640625" style="151" customWidth="1"/>
    <col min="3344" max="3344" width="17" style="151" customWidth="1"/>
    <col min="3345" max="3345" width="9.33203125" style="151"/>
    <col min="3346" max="3346" width="13.6640625" style="151" customWidth="1"/>
    <col min="3347" max="3584" width="9.33203125" style="151"/>
    <col min="3585" max="3585" width="34.6640625" style="151" customWidth="1"/>
    <col min="3586" max="3586" width="16.1640625" style="151" customWidth="1"/>
    <col min="3587" max="3590" width="14.5" style="151" customWidth="1"/>
    <col min="3591" max="3593" width="13.83203125" style="151" customWidth="1"/>
    <col min="3594" max="3599" width="13.6640625" style="151" customWidth="1"/>
    <col min="3600" max="3600" width="17" style="151" customWidth="1"/>
    <col min="3601" max="3601" width="9.33203125" style="151"/>
    <col min="3602" max="3602" width="13.6640625" style="151" customWidth="1"/>
    <col min="3603" max="3840" width="9.33203125" style="151"/>
    <col min="3841" max="3841" width="34.6640625" style="151" customWidth="1"/>
    <col min="3842" max="3842" width="16.1640625" style="151" customWidth="1"/>
    <col min="3843" max="3846" width="14.5" style="151" customWidth="1"/>
    <col min="3847" max="3849" width="13.83203125" style="151" customWidth="1"/>
    <col min="3850" max="3855" width="13.6640625" style="151" customWidth="1"/>
    <col min="3856" max="3856" width="17" style="151" customWidth="1"/>
    <col min="3857" max="3857" width="9.33203125" style="151"/>
    <col min="3858" max="3858" width="13.6640625" style="151" customWidth="1"/>
    <col min="3859" max="4096" width="9.33203125" style="151"/>
    <col min="4097" max="4097" width="34.6640625" style="151" customWidth="1"/>
    <col min="4098" max="4098" width="16.1640625" style="151" customWidth="1"/>
    <col min="4099" max="4102" width="14.5" style="151" customWidth="1"/>
    <col min="4103" max="4105" width="13.83203125" style="151" customWidth="1"/>
    <col min="4106" max="4111" width="13.6640625" style="151" customWidth="1"/>
    <col min="4112" max="4112" width="17" style="151" customWidth="1"/>
    <col min="4113" max="4113" width="9.33203125" style="151"/>
    <col min="4114" max="4114" width="13.6640625" style="151" customWidth="1"/>
    <col min="4115" max="4352" width="9.33203125" style="151"/>
    <col min="4353" max="4353" width="34.6640625" style="151" customWidth="1"/>
    <col min="4354" max="4354" width="16.1640625" style="151" customWidth="1"/>
    <col min="4355" max="4358" width="14.5" style="151" customWidth="1"/>
    <col min="4359" max="4361" width="13.83203125" style="151" customWidth="1"/>
    <col min="4362" max="4367" width="13.6640625" style="151" customWidth="1"/>
    <col min="4368" max="4368" width="17" style="151" customWidth="1"/>
    <col min="4369" max="4369" width="9.33203125" style="151"/>
    <col min="4370" max="4370" width="13.6640625" style="151" customWidth="1"/>
    <col min="4371" max="4608" width="9.33203125" style="151"/>
    <col min="4609" max="4609" width="34.6640625" style="151" customWidth="1"/>
    <col min="4610" max="4610" width="16.1640625" style="151" customWidth="1"/>
    <col min="4611" max="4614" width="14.5" style="151" customWidth="1"/>
    <col min="4615" max="4617" width="13.83203125" style="151" customWidth="1"/>
    <col min="4618" max="4623" width="13.6640625" style="151" customWidth="1"/>
    <col min="4624" max="4624" width="17" style="151" customWidth="1"/>
    <col min="4625" max="4625" width="9.33203125" style="151"/>
    <col min="4626" max="4626" width="13.6640625" style="151" customWidth="1"/>
    <col min="4627" max="4864" width="9.33203125" style="151"/>
    <col min="4865" max="4865" width="34.6640625" style="151" customWidth="1"/>
    <col min="4866" max="4866" width="16.1640625" style="151" customWidth="1"/>
    <col min="4867" max="4870" width="14.5" style="151" customWidth="1"/>
    <col min="4871" max="4873" width="13.83203125" style="151" customWidth="1"/>
    <col min="4874" max="4879" width="13.6640625" style="151" customWidth="1"/>
    <col min="4880" max="4880" width="17" style="151" customWidth="1"/>
    <col min="4881" max="4881" width="9.33203125" style="151"/>
    <col min="4882" max="4882" width="13.6640625" style="151" customWidth="1"/>
    <col min="4883" max="5120" width="9.33203125" style="151"/>
    <col min="5121" max="5121" width="34.6640625" style="151" customWidth="1"/>
    <col min="5122" max="5122" width="16.1640625" style="151" customWidth="1"/>
    <col min="5123" max="5126" width="14.5" style="151" customWidth="1"/>
    <col min="5127" max="5129" width="13.83203125" style="151" customWidth="1"/>
    <col min="5130" max="5135" width="13.6640625" style="151" customWidth="1"/>
    <col min="5136" max="5136" width="17" style="151" customWidth="1"/>
    <col min="5137" max="5137" width="9.33203125" style="151"/>
    <col min="5138" max="5138" width="13.6640625" style="151" customWidth="1"/>
    <col min="5139" max="5376" width="9.33203125" style="151"/>
    <col min="5377" max="5377" width="34.6640625" style="151" customWidth="1"/>
    <col min="5378" max="5378" width="16.1640625" style="151" customWidth="1"/>
    <col min="5379" max="5382" width="14.5" style="151" customWidth="1"/>
    <col min="5383" max="5385" width="13.83203125" style="151" customWidth="1"/>
    <col min="5386" max="5391" width="13.6640625" style="151" customWidth="1"/>
    <col min="5392" max="5392" width="17" style="151" customWidth="1"/>
    <col min="5393" max="5393" width="9.33203125" style="151"/>
    <col min="5394" max="5394" width="13.6640625" style="151" customWidth="1"/>
    <col min="5395" max="5632" width="9.33203125" style="151"/>
    <col min="5633" max="5633" width="34.6640625" style="151" customWidth="1"/>
    <col min="5634" max="5634" width="16.1640625" style="151" customWidth="1"/>
    <col min="5635" max="5638" width="14.5" style="151" customWidth="1"/>
    <col min="5639" max="5641" width="13.83203125" style="151" customWidth="1"/>
    <col min="5642" max="5647" width="13.6640625" style="151" customWidth="1"/>
    <col min="5648" max="5648" width="17" style="151" customWidth="1"/>
    <col min="5649" max="5649" width="9.33203125" style="151"/>
    <col min="5650" max="5650" width="13.6640625" style="151" customWidth="1"/>
    <col min="5651" max="5888" width="9.33203125" style="151"/>
    <col min="5889" max="5889" width="34.6640625" style="151" customWidth="1"/>
    <col min="5890" max="5890" width="16.1640625" style="151" customWidth="1"/>
    <col min="5891" max="5894" width="14.5" style="151" customWidth="1"/>
    <col min="5895" max="5897" width="13.83203125" style="151" customWidth="1"/>
    <col min="5898" max="5903" width="13.6640625" style="151" customWidth="1"/>
    <col min="5904" max="5904" width="17" style="151" customWidth="1"/>
    <col min="5905" max="5905" width="9.33203125" style="151"/>
    <col min="5906" max="5906" width="13.6640625" style="151" customWidth="1"/>
    <col min="5907" max="6144" width="9.33203125" style="151"/>
    <col min="6145" max="6145" width="34.6640625" style="151" customWidth="1"/>
    <col min="6146" max="6146" width="16.1640625" style="151" customWidth="1"/>
    <col min="6147" max="6150" width="14.5" style="151" customWidth="1"/>
    <col min="6151" max="6153" width="13.83203125" style="151" customWidth="1"/>
    <col min="6154" max="6159" width="13.6640625" style="151" customWidth="1"/>
    <col min="6160" max="6160" width="17" style="151" customWidth="1"/>
    <col min="6161" max="6161" width="9.33203125" style="151"/>
    <col min="6162" max="6162" width="13.6640625" style="151" customWidth="1"/>
    <col min="6163" max="6400" width="9.33203125" style="151"/>
    <col min="6401" max="6401" width="34.6640625" style="151" customWidth="1"/>
    <col min="6402" max="6402" width="16.1640625" style="151" customWidth="1"/>
    <col min="6403" max="6406" width="14.5" style="151" customWidth="1"/>
    <col min="6407" max="6409" width="13.83203125" style="151" customWidth="1"/>
    <col min="6410" max="6415" width="13.6640625" style="151" customWidth="1"/>
    <col min="6416" max="6416" width="17" style="151" customWidth="1"/>
    <col min="6417" max="6417" width="9.33203125" style="151"/>
    <col min="6418" max="6418" width="13.6640625" style="151" customWidth="1"/>
    <col min="6419" max="6656" width="9.33203125" style="151"/>
    <col min="6657" max="6657" width="34.6640625" style="151" customWidth="1"/>
    <col min="6658" max="6658" width="16.1640625" style="151" customWidth="1"/>
    <col min="6659" max="6662" width="14.5" style="151" customWidth="1"/>
    <col min="6663" max="6665" width="13.83203125" style="151" customWidth="1"/>
    <col min="6666" max="6671" width="13.6640625" style="151" customWidth="1"/>
    <col min="6672" max="6672" width="17" style="151" customWidth="1"/>
    <col min="6673" max="6673" width="9.33203125" style="151"/>
    <col min="6674" max="6674" width="13.6640625" style="151" customWidth="1"/>
    <col min="6675" max="6912" width="9.33203125" style="151"/>
    <col min="6913" max="6913" width="34.6640625" style="151" customWidth="1"/>
    <col min="6914" max="6914" width="16.1640625" style="151" customWidth="1"/>
    <col min="6915" max="6918" width="14.5" style="151" customWidth="1"/>
    <col min="6919" max="6921" width="13.83203125" style="151" customWidth="1"/>
    <col min="6922" max="6927" width="13.6640625" style="151" customWidth="1"/>
    <col min="6928" max="6928" width="17" style="151" customWidth="1"/>
    <col min="6929" max="6929" width="9.33203125" style="151"/>
    <col min="6930" max="6930" width="13.6640625" style="151" customWidth="1"/>
    <col min="6931" max="7168" width="9.33203125" style="151"/>
    <col min="7169" max="7169" width="34.6640625" style="151" customWidth="1"/>
    <col min="7170" max="7170" width="16.1640625" style="151" customWidth="1"/>
    <col min="7171" max="7174" width="14.5" style="151" customWidth="1"/>
    <col min="7175" max="7177" width="13.83203125" style="151" customWidth="1"/>
    <col min="7178" max="7183" width="13.6640625" style="151" customWidth="1"/>
    <col min="7184" max="7184" width="17" style="151" customWidth="1"/>
    <col min="7185" max="7185" width="9.33203125" style="151"/>
    <col min="7186" max="7186" width="13.6640625" style="151" customWidth="1"/>
    <col min="7187" max="7424" width="9.33203125" style="151"/>
    <col min="7425" max="7425" width="34.6640625" style="151" customWidth="1"/>
    <col min="7426" max="7426" width="16.1640625" style="151" customWidth="1"/>
    <col min="7427" max="7430" width="14.5" style="151" customWidth="1"/>
    <col min="7431" max="7433" width="13.83203125" style="151" customWidth="1"/>
    <col min="7434" max="7439" width="13.6640625" style="151" customWidth="1"/>
    <col min="7440" max="7440" width="17" style="151" customWidth="1"/>
    <col min="7441" max="7441" width="9.33203125" style="151"/>
    <col min="7442" max="7442" width="13.6640625" style="151" customWidth="1"/>
    <col min="7443" max="7680" width="9.33203125" style="151"/>
    <col min="7681" max="7681" width="34.6640625" style="151" customWidth="1"/>
    <col min="7682" max="7682" width="16.1640625" style="151" customWidth="1"/>
    <col min="7683" max="7686" width="14.5" style="151" customWidth="1"/>
    <col min="7687" max="7689" width="13.83203125" style="151" customWidth="1"/>
    <col min="7690" max="7695" width="13.6640625" style="151" customWidth="1"/>
    <col min="7696" max="7696" width="17" style="151" customWidth="1"/>
    <col min="7697" max="7697" width="9.33203125" style="151"/>
    <col min="7698" max="7698" width="13.6640625" style="151" customWidth="1"/>
    <col min="7699" max="7936" width="9.33203125" style="151"/>
    <col min="7937" max="7937" width="34.6640625" style="151" customWidth="1"/>
    <col min="7938" max="7938" width="16.1640625" style="151" customWidth="1"/>
    <col min="7939" max="7942" width="14.5" style="151" customWidth="1"/>
    <col min="7943" max="7945" width="13.83203125" style="151" customWidth="1"/>
    <col min="7946" max="7951" width="13.6640625" style="151" customWidth="1"/>
    <col min="7952" max="7952" width="17" style="151" customWidth="1"/>
    <col min="7953" max="7953" width="9.33203125" style="151"/>
    <col min="7954" max="7954" width="13.6640625" style="151" customWidth="1"/>
    <col min="7955" max="8192" width="9.33203125" style="151"/>
    <col min="8193" max="8193" width="34.6640625" style="151" customWidth="1"/>
    <col min="8194" max="8194" width="16.1640625" style="151" customWidth="1"/>
    <col min="8195" max="8198" width="14.5" style="151" customWidth="1"/>
    <col min="8199" max="8201" width="13.83203125" style="151" customWidth="1"/>
    <col min="8202" max="8207" width="13.6640625" style="151" customWidth="1"/>
    <col min="8208" max="8208" width="17" style="151" customWidth="1"/>
    <col min="8209" max="8209" width="9.33203125" style="151"/>
    <col min="8210" max="8210" width="13.6640625" style="151" customWidth="1"/>
    <col min="8211" max="8448" width="9.33203125" style="151"/>
    <col min="8449" max="8449" width="34.6640625" style="151" customWidth="1"/>
    <col min="8450" max="8450" width="16.1640625" style="151" customWidth="1"/>
    <col min="8451" max="8454" width="14.5" style="151" customWidth="1"/>
    <col min="8455" max="8457" width="13.83203125" style="151" customWidth="1"/>
    <col min="8458" max="8463" width="13.6640625" style="151" customWidth="1"/>
    <col min="8464" max="8464" width="17" style="151" customWidth="1"/>
    <col min="8465" max="8465" width="9.33203125" style="151"/>
    <col min="8466" max="8466" width="13.6640625" style="151" customWidth="1"/>
    <col min="8467" max="8704" width="9.33203125" style="151"/>
    <col min="8705" max="8705" width="34.6640625" style="151" customWidth="1"/>
    <col min="8706" max="8706" width="16.1640625" style="151" customWidth="1"/>
    <col min="8707" max="8710" width="14.5" style="151" customWidth="1"/>
    <col min="8711" max="8713" width="13.83203125" style="151" customWidth="1"/>
    <col min="8714" max="8719" width="13.6640625" style="151" customWidth="1"/>
    <col min="8720" max="8720" width="17" style="151" customWidth="1"/>
    <col min="8721" max="8721" width="9.33203125" style="151"/>
    <col min="8722" max="8722" width="13.6640625" style="151" customWidth="1"/>
    <col min="8723" max="8960" width="9.33203125" style="151"/>
    <col min="8961" max="8961" width="34.6640625" style="151" customWidth="1"/>
    <col min="8962" max="8962" width="16.1640625" style="151" customWidth="1"/>
    <col min="8963" max="8966" width="14.5" style="151" customWidth="1"/>
    <col min="8967" max="8969" width="13.83203125" style="151" customWidth="1"/>
    <col min="8970" max="8975" width="13.6640625" style="151" customWidth="1"/>
    <col min="8976" max="8976" width="17" style="151" customWidth="1"/>
    <col min="8977" max="8977" width="9.33203125" style="151"/>
    <col min="8978" max="8978" width="13.6640625" style="151" customWidth="1"/>
    <col min="8979" max="9216" width="9.33203125" style="151"/>
    <col min="9217" max="9217" width="34.6640625" style="151" customWidth="1"/>
    <col min="9218" max="9218" width="16.1640625" style="151" customWidth="1"/>
    <col min="9219" max="9222" width="14.5" style="151" customWidth="1"/>
    <col min="9223" max="9225" width="13.83203125" style="151" customWidth="1"/>
    <col min="9226" max="9231" width="13.6640625" style="151" customWidth="1"/>
    <col min="9232" max="9232" width="17" style="151" customWidth="1"/>
    <col min="9233" max="9233" width="9.33203125" style="151"/>
    <col min="9234" max="9234" width="13.6640625" style="151" customWidth="1"/>
    <col min="9235" max="9472" width="9.33203125" style="151"/>
    <col min="9473" max="9473" width="34.6640625" style="151" customWidth="1"/>
    <col min="9474" max="9474" width="16.1640625" style="151" customWidth="1"/>
    <col min="9475" max="9478" width="14.5" style="151" customWidth="1"/>
    <col min="9479" max="9481" width="13.83203125" style="151" customWidth="1"/>
    <col min="9482" max="9487" width="13.6640625" style="151" customWidth="1"/>
    <col min="9488" max="9488" width="17" style="151" customWidth="1"/>
    <col min="9489" max="9489" width="9.33203125" style="151"/>
    <col min="9490" max="9490" width="13.6640625" style="151" customWidth="1"/>
    <col min="9491" max="9728" width="9.33203125" style="151"/>
    <col min="9729" max="9729" width="34.6640625" style="151" customWidth="1"/>
    <col min="9730" max="9730" width="16.1640625" style="151" customWidth="1"/>
    <col min="9731" max="9734" width="14.5" style="151" customWidth="1"/>
    <col min="9735" max="9737" width="13.83203125" style="151" customWidth="1"/>
    <col min="9738" max="9743" width="13.6640625" style="151" customWidth="1"/>
    <col min="9744" max="9744" width="17" style="151" customWidth="1"/>
    <col min="9745" max="9745" width="9.33203125" style="151"/>
    <col min="9746" max="9746" width="13.6640625" style="151" customWidth="1"/>
    <col min="9747" max="9984" width="9.33203125" style="151"/>
    <col min="9985" max="9985" width="34.6640625" style="151" customWidth="1"/>
    <col min="9986" max="9986" width="16.1640625" style="151" customWidth="1"/>
    <col min="9987" max="9990" width="14.5" style="151" customWidth="1"/>
    <col min="9991" max="9993" width="13.83203125" style="151" customWidth="1"/>
    <col min="9994" max="9999" width="13.6640625" style="151" customWidth="1"/>
    <col min="10000" max="10000" width="17" style="151" customWidth="1"/>
    <col min="10001" max="10001" width="9.33203125" style="151"/>
    <col min="10002" max="10002" width="13.6640625" style="151" customWidth="1"/>
    <col min="10003" max="10240" width="9.33203125" style="151"/>
    <col min="10241" max="10241" width="34.6640625" style="151" customWidth="1"/>
    <col min="10242" max="10242" width="16.1640625" style="151" customWidth="1"/>
    <col min="10243" max="10246" width="14.5" style="151" customWidth="1"/>
    <col min="10247" max="10249" width="13.83203125" style="151" customWidth="1"/>
    <col min="10250" max="10255" width="13.6640625" style="151" customWidth="1"/>
    <col min="10256" max="10256" width="17" style="151" customWidth="1"/>
    <col min="10257" max="10257" width="9.33203125" style="151"/>
    <col min="10258" max="10258" width="13.6640625" style="151" customWidth="1"/>
    <col min="10259" max="10496" width="9.33203125" style="151"/>
    <col min="10497" max="10497" width="34.6640625" style="151" customWidth="1"/>
    <col min="10498" max="10498" width="16.1640625" style="151" customWidth="1"/>
    <col min="10499" max="10502" width="14.5" style="151" customWidth="1"/>
    <col min="10503" max="10505" width="13.83203125" style="151" customWidth="1"/>
    <col min="10506" max="10511" width="13.6640625" style="151" customWidth="1"/>
    <col min="10512" max="10512" width="17" style="151" customWidth="1"/>
    <col min="10513" max="10513" width="9.33203125" style="151"/>
    <col min="10514" max="10514" width="13.6640625" style="151" customWidth="1"/>
    <col min="10515" max="10752" width="9.33203125" style="151"/>
    <col min="10753" max="10753" width="34.6640625" style="151" customWidth="1"/>
    <col min="10754" max="10754" width="16.1640625" style="151" customWidth="1"/>
    <col min="10755" max="10758" width="14.5" style="151" customWidth="1"/>
    <col min="10759" max="10761" width="13.83203125" style="151" customWidth="1"/>
    <col min="10762" max="10767" width="13.6640625" style="151" customWidth="1"/>
    <col min="10768" max="10768" width="17" style="151" customWidth="1"/>
    <col min="10769" max="10769" width="9.33203125" style="151"/>
    <col min="10770" max="10770" width="13.6640625" style="151" customWidth="1"/>
    <col min="10771" max="11008" width="9.33203125" style="151"/>
    <col min="11009" max="11009" width="34.6640625" style="151" customWidth="1"/>
    <col min="11010" max="11010" width="16.1640625" style="151" customWidth="1"/>
    <col min="11011" max="11014" width="14.5" style="151" customWidth="1"/>
    <col min="11015" max="11017" width="13.83203125" style="151" customWidth="1"/>
    <col min="11018" max="11023" width="13.6640625" style="151" customWidth="1"/>
    <col min="11024" max="11024" width="17" style="151" customWidth="1"/>
    <col min="11025" max="11025" width="9.33203125" style="151"/>
    <col min="11026" max="11026" width="13.6640625" style="151" customWidth="1"/>
    <col min="11027" max="11264" width="9.33203125" style="151"/>
    <col min="11265" max="11265" width="34.6640625" style="151" customWidth="1"/>
    <col min="11266" max="11266" width="16.1640625" style="151" customWidth="1"/>
    <col min="11267" max="11270" width="14.5" style="151" customWidth="1"/>
    <col min="11271" max="11273" width="13.83203125" style="151" customWidth="1"/>
    <col min="11274" max="11279" width="13.6640625" style="151" customWidth="1"/>
    <col min="11280" max="11280" width="17" style="151" customWidth="1"/>
    <col min="11281" max="11281" width="9.33203125" style="151"/>
    <col min="11282" max="11282" width="13.6640625" style="151" customWidth="1"/>
    <col min="11283" max="11520" width="9.33203125" style="151"/>
    <col min="11521" max="11521" width="34.6640625" style="151" customWidth="1"/>
    <col min="11522" max="11522" width="16.1640625" style="151" customWidth="1"/>
    <col min="11523" max="11526" width="14.5" style="151" customWidth="1"/>
    <col min="11527" max="11529" width="13.83203125" style="151" customWidth="1"/>
    <col min="11530" max="11535" width="13.6640625" style="151" customWidth="1"/>
    <col min="11536" max="11536" width="17" style="151" customWidth="1"/>
    <col min="11537" max="11537" width="9.33203125" style="151"/>
    <col min="11538" max="11538" width="13.6640625" style="151" customWidth="1"/>
    <col min="11539" max="11776" width="9.33203125" style="151"/>
    <col min="11777" max="11777" width="34.6640625" style="151" customWidth="1"/>
    <col min="11778" max="11778" width="16.1640625" style="151" customWidth="1"/>
    <col min="11779" max="11782" width="14.5" style="151" customWidth="1"/>
    <col min="11783" max="11785" width="13.83203125" style="151" customWidth="1"/>
    <col min="11786" max="11791" width="13.6640625" style="151" customWidth="1"/>
    <col min="11792" max="11792" width="17" style="151" customWidth="1"/>
    <col min="11793" max="11793" width="9.33203125" style="151"/>
    <col min="11794" max="11794" width="13.6640625" style="151" customWidth="1"/>
    <col min="11795" max="12032" width="9.33203125" style="151"/>
    <col min="12033" max="12033" width="34.6640625" style="151" customWidth="1"/>
    <col min="12034" max="12034" width="16.1640625" style="151" customWidth="1"/>
    <col min="12035" max="12038" width="14.5" style="151" customWidth="1"/>
    <col min="12039" max="12041" width="13.83203125" style="151" customWidth="1"/>
    <col min="12042" max="12047" width="13.6640625" style="151" customWidth="1"/>
    <col min="12048" max="12048" width="17" style="151" customWidth="1"/>
    <col min="12049" max="12049" width="9.33203125" style="151"/>
    <col min="12050" max="12050" width="13.6640625" style="151" customWidth="1"/>
    <col min="12051" max="12288" width="9.33203125" style="151"/>
    <col min="12289" max="12289" width="34.6640625" style="151" customWidth="1"/>
    <col min="12290" max="12290" width="16.1640625" style="151" customWidth="1"/>
    <col min="12291" max="12294" width="14.5" style="151" customWidth="1"/>
    <col min="12295" max="12297" width="13.83203125" style="151" customWidth="1"/>
    <col min="12298" max="12303" width="13.6640625" style="151" customWidth="1"/>
    <col min="12304" max="12304" width="17" style="151" customWidth="1"/>
    <col min="12305" max="12305" width="9.33203125" style="151"/>
    <col min="12306" max="12306" width="13.6640625" style="151" customWidth="1"/>
    <col min="12307" max="12544" width="9.33203125" style="151"/>
    <col min="12545" max="12545" width="34.6640625" style="151" customWidth="1"/>
    <col min="12546" max="12546" width="16.1640625" style="151" customWidth="1"/>
    <col min="12547" max="12550" width="14.5" style="151" customWidth="1"/>
    <col min="12551" max="12553" width="13.83203125" style="151" customWidth="1"/>
    <col min="12554" max="12559" width="13.6640625" style="151" customWidth="1"/>
    <col min="12560" max="12560" width="17" style="151" customWidth="1"/>
    <col min="12561" max="12561" width="9.33203125" style="151"/>
    <col min="12562" max="12562" width="13.6640625" style="151" customWidth="1"/>
    <col min="12563" max="12800" width="9.33203125" style="151"/>
    <col min="12801" max="12801" width="34.6640625" style="151" customWidth="1"/>
    <col min="12802" max="12802" width="16.1640625" style="151" customWidth="1"/>
    <col min="12803" max="12806" width="14.5" style="151" customWidth="1"/>
    <col min="12807" max="12809" width="13.83203125" style="151" customWidth="1"/>
    <col min="12810" max="12815" width="13.6640625" style="151" customWidth="1"/>
    <col min="12816" max="12816" width="17" style="151" customWidth="1"/>
    <col min="12817" max="12817" width="9.33203125" style="151"/>
    <col min="12818" max="12818" width="13.6640625" style="151" customWidth="1"/>
    <col min="12819" max="13056" width="9.33203125" style="151"/>
    <col min="13057" max="13057" width="34.6640625" style="151" customWidth="1"/>
    <col min="13058" max="13058" width="16.1640625" style="151" customWidth="1"/>
    <col min="13059" max="13062" width="14.5" style="151" customWidth="1"/>
    <col min="13063" max="13065" width="13.83203125" style="151" customWidth="1"/>
    <col min="13066" max="13071" width="13.6640625" style="151" customWidth="1"/>
    <col min="13072" max="13072" width="17" style="151" customWidth="1"/>
    <col min="13073" max="13073" width="9.33203125" style="151"/>
    <col min="13074" max="13074" width="13.6640625" style="151" customWidth="1"/>
    <col min="13075" max="13312" width="9.33203125" style="151"/>
    <col min="13313" max="13313" width="34.6640625" style="151" customWidth="1"/>
    <col min="13314" max="13314" width="16.1640625" style="151" customWidth="1"/>
    <col min="13315" max="13318" width="14.5" style="151" customWidth="1"/>
    <col min="13319" max="13321" width="13.83203125" style="151" customWidth="1"/>
    <col min="13322" max="13327" width="13.6640625" style="151" customWidth="1"/>
    <col min="13328" max="13328" width="17" style="151" customWidth="1"/>
    <col min="13329" max="13329" width="9.33203125" style="151"/>
    <col min="13330" max="13330" width="13.6640625" style="151" customWidth="1"/>
    <col min="13331" max="13568" width="9.33203125" style="151"/>
    <col min="13569" max="13569" width="34.6640625" style="151" customWidth="1"/>
    <col min="13570" max="13570" width="16.1640625" style="151" customWidth="1"/>
    <col min="13571" max="13574" width="14.5" style="151" customWidth="1"/>
    <col min="13575" max="13577" width="13.83203125" style="151" customWidth="1"/>
    <col min="13578" max="13583" width="13.6640625" style="151" customWidth="1"/>
    <col min="13584" max="13584" width="17" style="151" customWidth="1"/>
    <col min="13585" max="13585" width="9.33203125" style="151"/>
    <col min="13586" max="13586" width="13.6640625" style="151" customWidth="1"/>
    <col min="13587" max="13824" width="9.33203125" style="151"/>
    <col min="13825" max="13825" width="34.6640625" style="151" customWidth="1"/>
    <col min="13826" max="13826" width="16.1640625" style="151" customWidth="1"/>
    <col min="13827" max="13830" width="14.5" style="151" customWidth="1"/>
    <col min="13831" max="13833" width="13.83203125" style="151" customWidth="1"/>
    <col min="13834" max="13839" width="13.6640625" style="151" customWidth="1"/>
    <col min="13840" max="13840" width="17" style="151" customWidth="1"/>
    <col min="13841" max="13841" width="9.33203125" style="151"/>
    <col min="13842" max="13842" width="13.6640625" style="151" customWidth="1"/>
    <col min="13843" max="14080" width="9.33203125" style="151"/>
    <col min="14081" max="14081" width="34.6640625" style="151" customWidth="1"/>
    <col min="14082" max="14082" width="16.1640625" style="151" customWidth="1"/>
    <col min="14083" max="14086" width="14.5" style="151" customWidth="1"/>
    <col min="14087" max="14089" width="13.83203125" style="151" customWidth="1"/>
    <col min="14090" max="14095" width="13.6640625" style="151" customWidth="1"/>
    <col min="14096" max="14096" width="17" style="151" customWidth="1"/>
    <col min="14097" max="14097" width="9.33203125" style="151"/>
    <col min="14098" max="14098" width="13.6640625" style="151" customWidth="1"/>
    <col min="14099" max="14336" width="9.33203125" style="151"/>
    <col min="14337" max="14337" width="34.6640625" style="151" customWidth="1"/>
    <col min="14338" max="14338" width="16.1640625" style="151" customWidth="1"/>
    <col min="14339" max="14342" width="14.5" style="151" customWidth="1"/>
    <col min="14343" max="14345" width="13.83203125" style="151" customWidth="1"/>
    <col min="14346" max="14351" width="13.6640625" style="151" customWidth="1"/>
    <col min="14352" max="14352" width="17" style="151" customWidth="1"/>
    <col min="14353" max="14353" width="9.33203125" style="151"/>
    <col min="14354" max="14354" width="13.6640625" style="151" customWidth="1"/>
    <col min="14355" max="14592" width="9.33203125" style="151"/>
    <col min="14593" max="14593" width="34.6640625" style="151" customWidth="1"/>
    <col min="14594" max="14594" width="16.1640625" style="151" customWidth="1"/>
    <col min="14595" max="14598" width="14.5" style="151" customWidth="1"/>
    <col min="14599" max="14601" width="13.83203125" style="151" customWidth="1"/>
    <col min="14602" max="14607" width="13.6640625" style="151" customWidth="1"/>
    <col min="14608" max="14608" width="17" style="151" customWidth="1"/>
    <col min="14609" max="14609" width="9.33203125" style="151"/>
    <col min="14610" max="14610" width="13.6640625" style="151" customWidth="1"/>
    <col min="14611" max="14848" width="9.33203125" style="151"/>
    <col min="14849" max="14849" width="34.6640625" style="151" customWidth="1"/>
    <col min="14850" max="14850" width="16.1640625" style="151" customWidth="1"/>
    <col min="14851" max="14854" width="14.5" style="151" customWidth="1"/>
    <col min="14855" max="14857" width="13.83203125" style="151" customWidth="1"/>
    <col min="14858" max="14863" width="13.6640625" style="151" customWidth="1"/>
    <col min="14864" max="14864" width="17" style="151" customWidth="1"/>
    <col min="14865" max="14865" width="9.33203125" style="151"/>
    <col min="14866" max="14866" width="13.6640625" style="151" customWidth="1"/>
    <col min="14867" max="15104" width="9.33203125" style="151"/>
    <col min="15105" max="15105" width="34.6640625" style="151" customWidth="1"/>
    <col min="15106" max="15106" width="16.1640625" style="151" customWidth="1"/>
    <col min="15107" max="15110" width="14.5" style="151" customWidth="1"/>
    <col min="15111" max="15113" width="13.83203125" style="151" customWidth="1"/>
    <col min="15114" max="15119" width="13.6640625" style="151" customWidth="1"/>
    <col min="15120" max="15120" width="17" style="151" customWidth="1"/>
    <col min="15121" max="15121" width="9.33203125" style="151"/>
    <col min="15122" max="15122" width="13.6640625" style="151" customWidth="1"/>
    <col min="15123" max="15360" width="9.33203125" style="151"/>
    <col min="15361" max="15361" width="34.6640625" style="151" customWidth="1"/>
    <col min="15362" max="15362" width="16.1640625" style="151" customWidth="1"/>
    <col min="15363" max="15366" width="14.5" style="151" customWidth="1"/>
    <col min="15367" max="15369" width="13.83203125" style="151" customWidth="1"/>
    <col min="15370" max="15375" width="13.6640625" style="151" customWidth="1"/>
    <col min="15376" max="15376" width="17" style="151" customWidth="1"/>
    <col min="15377" max="15377" width="9.33203125" style="151"/>
    <col min="15378" max="15378" width="13.6640625" style="151" customWidth="1"/>
    <col min="15379" max="15616" width="9.33203125" style="151"/>
    <col min="15617" max="15617" width="34.6640625" style="151" customWidth="1"/>
    <col min="15618" max="15618" width="16.1640625" style="151" customWidth="1"/>
    <col min="15619" max="15622" width="14.5" style="151" customWidth="1"/>
    <col min="15623" max="15625" width="13.83203125" style="151" customWidth="1"/>
    <col min="15626" max="15631" width="13.6640625" style="151" customWidth="1"/>
    <col min="15632" max="15632" width="17" style="151" customWidth="1"/>
    <col min="15633" max="15633" width="9.33203125" style="151"/>
    <col min="15634" max="15634" width="13.6640625" style="151" customWidth="1"/>
    <col min="15635" max="15872" width="9.33203125" style="151"/>
    <col min="15873" max="15873" width="34.6640625" style="151" customWidth="1"/>
    <col min="15874" max="15874" width="16.1640625" style="151" customWidth="1"/>
    <col min="15875" max="15878" width="14.5" style="151" customWidth="1"/>
    <col min="15879" max="15881" width="13.83203125" style="151" customWidth="1"/>
    <col min="15882" max="15887" width="13.6640625" style="151" customWidth="1"/>
    <col min="15888" max="15888" width="17" style="151" customWidth="1"/>
    <col min="15889" max="15889" width="9.33203125" style="151"/>
    <col min="15890" max="15890" width="13.6640625" style="151" customWidth="1"/>
    <col min="15891" max="16128" width="9.33203125" style="151"/>
    <col min="16129" max="16129" width="34.6640625" style="151" customWidth="1"/>
    <col min="16130" max="16130" width="16.1640625" style="151" customWidth="1"/>
    <col min="16131" max="16134" width="14.5" style="151" customWidth="1"/>
    <col min="16135" max="16137" width="13.83203125" style="151" customWidth="1"/>
    <col min="16138" max="16143" width="13.6640625" style="151" customWidth="1"/>
    <col min="16144" max="16144" width="17" style="151" customWidth="1"/>
    <col min="16145" max="16145" width="9.33203125" style="151"/>
    <col min="16146" max="16146" width="13.6640625" style="151" customWidth="1"/>
    <col min="16147" max="16384" width="9.33203125" style="151"/>
  </cols>
  <sheetData>
    <row r="1" spans="1:16" ht="13.5" thickBot="1">
      <c r="C1" s="2905" t="s">
        <v>1795</v>
      </c>
      <c r="D1" s="2906"/>
      <c r="E1" s="2906"/>
      <c r="F1" s="2906"/>
      <c r="G1" s="2906"/>
      <c r="H1" s="2906"/>
      <c r="I1" s="2906"/>
      <c r="J1" s="2906"/>
      <c r="K1" s="2906"/>
      <c r="L1" s="2906"/>
      <c r="M1" s="2906"/>
      <c r="N1" s="2906"/>
      <c r="O1" s="2907"/>
    </row>
    <row r="2" spans="1:16">
      <c r="A2" s="2908" t="s">
        <v>1796</v>
      </c>
      <c r="B2" s="2908" t="s">
        <v>523</v>
      </c>
      <c r="C2" s="1512"/>
      <c r="D2" s="1512"/>
      <c r="E2" s="1512"/>
      <c r="F2" s="1512"/>
      <c r="G2" s="1513"/>
      <c r="H2" s="1512"/>
      <c r="I2" s="1514"/>
      <c r="J2" s="1513"/>
      <c r="K2" s="1512"/>
      <c r="L2" s="1512"/>
      <c r="M2" s="1513"/>
      <c r="N2" s="1512"/>
      <c r="O2" s="1514"/>
      <c r="P2" s="2908" t="s">
        <v>1797</v>
      </c>
    </row>
    <row r="3" spans="1:16" ht="13.5" thickBot="1">
      <c r="A3" s="2909"/>
      <c r="B3" s="2909"/>
      <c r="C3" s="1486" t="s">
        <v>1798</v>
      </c>
      <c r="D3" s="1486" t="s">
        <v>1799</v>
      </c>
      <c r="E3" s="1486" t="s">
        <v>1800</v>
      </c>
      <c r="F3" s="1487" t="s">
        <v>1801</v>
      </c>
      <c r="G3" s="1486" t="s">
        <v>1802</v>
      </c>
      <c r="H3" s="1486" t="s">
        <v>1803</v>
      </c>
      <c r="I3" s="1486" t="s">
        <v>1804</v>
      </c>
      <c r="J3" s="1487" t="s">
        <v>1805</v>
      </c>
      <c r="K3" s="1487" t="s">
        <v>1806</v>
      </c>
      <c r="L3" s="1487" t="s">
        <v>1807</v>
      </c>
      <c r="M3" s="1486" t="s">
        <v>1808</v>
      </c>
      <c r="N3" s="1486" t="s">
        <v>1809</v>
      </c>
      <c r="O3" s="1486" t="s">
        <v>1810</v>
      </c>
      <c r="P3" s="2909"/>
    </row>
    <row r="4" spans="1:16">
      <c r="C4" s="1515"/>
      <c r="D4" s="1515"/>
      <c r="E4" s="1515"/>
      <c r="F4" s="1515"/>
      <c r="G4" s="1515"/>
      <c r="H4" s="1515"/>
      <c r="I4" s="1515"/>
      <c r="J4" s="1515"/>
      <c r="K4" s="1515"/>
      <c r="L4" s="1515"/>
      <c r="M4" s="1515"/>
      <c r="N4" s="1515"/>
      <c r="O4" s="1515"/>
      <c r="P4" s="1515"/>
    </row>
    <row r="5" spans="1:16" s="1488" customFormat="1" ht="21.75">
      <c r="A5" s="1394" t="s">
        <v>2197</v>
      </c>
      <c r="B5" s="1394" t="s">
        <v>2198</v>
      </c>
      <c r="C5" s="1489">
        <v>64</v>
      </c>
      <c r="D5" s="1489">
        <v>64</v>
      </c>
      <c r="E5" s="1489">
        <v>64</v>
      </c>
      <c r="F5" s="1489">
        <v>64</v>
      </c>
      <c r="G5" s="1489">
        <v>64</v>
      </c>
      <c r="H5" s="1489">
        <v>64</v>
      </c>
      <c r="I5" s="1489">
        <v>64</v>
      </c>
      <c r="J5" s="1489">
        <v>64</v>
      </c>
      <c r="K5" s="1489">
        <v>64</v>
      </c>
      <c r="L5" s="1489">
        <v>64</v>
      </c>
      <c r="M5" s="1489">
        <v>64</v>
      </c>
      <c r="N5" s="1489">
        <v>64</v>
      </c>
      <c r="O5" s="1489">
        <v>0</v>
      </c>
      <c r="P5" s="1489">
        <v>61754</v>
      </c>
    </row>
    <row r="6" spans="1:16" s="1488" customFormat="1" ht="21.75">
      <c r="A6" s="1394" t="s">
        <v>2199</v>
      </c>
      <c r="B6" s="1394" t="s">
        <v>2198</v>
      </c>
      <c r="C6" s="1489">
        <v>3045</v>
      </c>
      <c r="D6" s="1489">
        <v>3045</v>
      </c>
      <c r="E6" s="1489">
        <v>3045</v>
      </c>
      <c r="F6" s="1489">
        <v>3045</v>
      </c>
      <c r="G6" s="1489">
        <v>3045</v>
      </c>
      <c r="H6" s="1489">
        <v>3045</v>
      </c>
      <c r="I6" s="1489">
        <v>3045</v>
      </c>
      <c r="J6" s="1489">
        <v>3045</v>
      </c>
      <c r="K6" s="1489">
        <v>3045</v>
      </c>
      <c r="L6" s="1489">
        <v>3045</v>
      </c>
      <c r="M6" s="1489">
        <v>3045</v>
      </c>
      <c r="N6" s="1489">
        <v>3045</v>
      </c>
      <c r="O6" s="1489">
        <v>3109</v>
      </c>
      <c r="P6" s="1489">
        <v>3047484</v>
      </c>
    </row>
    <row r="7" spans="1:16" s="1488" customFormat="1" ht="21.75">
      <c r="A7" s="1394" t="s">
        <v>2200</v>
      </c>
      <c r="B7" s="1394" t="s">
        <v>2198</v>
      </c>
      <c r="C7" s="1489">
        <v>125</v>
      </c>
      <c r="D7" s="1489">
        <v>125</v>
      </c>
      <c r="E7" s="1489">
        <v>125</v>
      </c>
      <c r="F7" s="1489">
        <v>125</v>
      </c>
      <c r="G7" s="1489">
        <v>125</v>
      </c>
      <c r="H7" s="1489">
        <v>125</v>
      </c>
      <c r="I7" s="1489">
        <v>125</v>
      </c>
      <c r="J7" s="1489">
        <v>125</v>
      </c>
      <c r="K7" s="1489">
        <v>125</v>
      </c>
      <c r="L7" s="1489">
        <v>125</v>
      </c>
      <c r="M7" s="1489">
        <v>125</v>
      </c>
      <c r="N7" s="1489">
        <v>125</v>
      </c>
      <c r="O7" s="1489">
        <v>125</v>
      </c>
      <c r="P7" s="1489">
        <v>125304</v>
      </c>
    </row>
    <row r="8" spans="1:16" s="1488" customFormat="1" ht="21.75">
      <c r="A8" s="1394" t="s">
        <v>2201</v>
      </c>
      <c r="B8" s="1394" t="s">
        <v>2198</v>
      </c>
      <c r="C8" s="1489">
        <v>218</v>
      </c>
      <c r="D8" s="1489">
        <v>218</v>
      </c>
      <c r="E8" s="1489">
        <v>218</v>
      </c>
      <c r="F8" s="1489">
        <v>218</v>
      </c>
      <c r="G8" s="1489">
        <v>218</v>
      </c>
      <c r="H8" s="1489">
        <v>218</v>
      </c>
      <c r="I8" s="1489">
        <v>218</v>
      </c>
      <c r="J8" s="1489">
        <v>218</v>
      </c>
      <c r="K8" s="1489">
        <v>218</v>
      </c>
      <c r="L8" s="1489">
        <v>218</v>
      </c>
      <c r="M8" s="1489">
        <v>218</v>
      </c>
      <c r="N8" s="1489">
        <v>218</v>
      </c>
      <c r="O8" s="1489">
        <v>218</v>
      </c>
      <c r="P8" s="1489">
        <v>218108</v>
      </c>
    </row>
    <row r="9" spans="1:16" s="1488" customFormat="1" ht="21.75">
      <c r="A9" s="1394" t="s">
        <v>2202</v>
      </c>
      <c r="B9" s="1394" t="s">
        <v>2198</v>
      </c>
      <c r="C9" s="1489">
        <v>0</v>
      </c>
      <c r="D9" s="1489">
        <v>0</v>
      </c>
      <c r="E9" s="1489">
        <v>0</v>
      </c>
      <c r="F9" s="1489">
        <v>0</v>
      </c>
      <c r="G9" s="1489">
        <v>0</v>
      </c>
      <c r="H9" s="1489">
        <v>0</v>
      </c>
      <c r="I9" s="1489">
        <v>0</v>
      </c>
      <c r="J9" s="1489">
        <v>4703</v>
      </c>
      <c r="K9" s="1489">
        <v>4703</v>
      </c>
      <c r="L9" s="1489">
        <v>4703</v>
      </c>
      <c r="M9" s="1489">
        <v>4703</v>
      </c>
      <c r="N9" s="1489">
        <v>4703</v>
      </c>
      <c r="O9" s="1489">
        <v>4703</v>
      </c>
      <c r="P9" s="1489">
        <v>2155473</v>
      </c>
    </row>
    <row r="10" spans="1:16" s="1488" customFormat="1" ht="21.75">
      <c r="A10" s="1394" t="s">
        <v>2203</v>
      </c>
      <c r="B10" s="1394" t="s">
        <v>2198</v>
      </c>
      <c r="C10" s="1489">
        <v>84</v>
      </c>
      <c r="D10" s="1489">
        <v>190</v>
      </c>
      <c r="E10" s="1489">
        <v>190</v>
      </c>
      <c r="F10" s="1489">
        <v>190</v>
      </c>
      <c r="G10" s="1489">
        <v>190</v>
      </c>
      <c r="H10" s="1489">
        <v>190</v>
      </c>
      <c r="I10" s="1489">
        <v>4893</v>
      </c>
      <c r="J10" s="1489">
        <v>190</v>
      </c>
      <c r="K10" s="1489">
        <v>190</v>
      </c>
      <c r="L10" s="1489">
        <v>190</v>
      </c>
      <c r="M10" s="1489">
        <v>190</v>
      </c>
      <c r="N10" s="1489">
        <v>190</v>
      </c>
      <c r="O10" s="1489">
        <v>190</v>
      </c>
      <c r="P10" s="1489">
        <v>577398</v>
      </c>
    </row>
    <row r="11" spans="1:16" s="1488" customFormat="1" ht="21.75">
      <c r="A11" s="1394" t="s">
        <v>2204</v>
      </c>
      <c r="B11" s="1394" t="s">
        <v>2198</v>
      </c>
      <c r="C11" s="1489">
        <v>106</v>
      </c>
      <c r="D11" s="1489">
        <v>0</v>
      </c>
      <c r="E11" s="1489">
        <v>0</v>
      </c>
      <c r="F11" s="1489">
        <v>0</v>
      </c>
      <c r="G11" s="1489">
        <v>0</v>
      </c>
      <c r="H11" s="1489">
        <v>0</v>
      </c>
      <c r="I11" s="1489">
        <v>0</v>
      </c>
      <c r="J11" s="1489">
        <v>0</v>
      </c>
      <c r="K11" s="1489">
        <v>0</v>
      </c>
      <c r="L11" s="1489">
        <v>0</v>
      </c>
      <c r="M11" s="1489">
        <v>0</v>
      </c>
      <c r="N11" s="1489">
        <v>0</v>
      </c>
      <c r="O11" s="1489">
        <v>0</v>
      </c>
      <c r="P11" s="1489">
        <v>4417</v>
      </c>
    </row>
    <row r="12" spans="1:16" s="1488" customFormat="1" ht="21.75">
      <c r="A12" s="1394" t="s">
        <v>2205</v>
      </c>
      <c r="B12" s="1394" t="s">
        <v>2198</v>
      </c>
      <c r="C12" s="1489">
        <v>4473</v>
      </c>
      <c r="D12" s="1489">
        <v>4473</v>
      </c>
      <c r="E12" s="1489">
        <v>4478</v>
      </c>
      <c r="F12" s="1489">
        <v>4478</v>
      </c>
      <c r="G12" s="1489">
        <v>4478</v>
      </c>
      <c r="H12" s="1489">
        <v>4480</v>
      </c>
      <c r="I12" s="1489">
        <v>4480</v>
      </c>
      <c r="J12" s="1489">
        <v>4480</v>
      </c>
      <c r="K12" s="1489">
        <v>4480</v>
      </c>
      <c r="L12" s="1489">
        <v>4480</v>
      </c>
      <c r="M12" s="1489">
        <v>4480</v>
      </c>
      <c r="N12" s="1489">
        <v>4554</v>
      </c>
      <c r="O12" s="1489">
        <v>4554</v>
      </c>
      <c r="P12" s="1489">
        <v>4487787</v>
      </c>
    </row>
    <row r="13" spans="1:16" s="1488" customFormat="1" ht="21.75">
      <c r="A13" s="1394" t="s">
        <v>2206</v>
      </c>
      <c r="B13" s="1394" t="s">
        <v>2198</v>
      </c>
      <c r="C13" s="1489">
        <v>3445</v>
      </c>
      <c r="D13" s="1489">
        <v>3445</v>
      </c>
      <c r="E13" s="1489">
        <v>3445</v>
      </c>
      <c r="F13" s="1489">
        <v>3445</v>
      </c>
      <c r="G13" s="1489">
        <v>3445</v>
      </c>
      <c r="H13" s="1489">
        <v>3445</v>
      </c>
      <c r="I13" s="1489">
        <v>3445</v>
      </c>
      <c r="J13" s="1489">
        <v>3445</v>
      </c>
      <c r="K13" s="1489">
        <v>3445</v>
      </c>
      <c r="L13" s="1489">
        <v>3445</v>
      </c>
      <c r="M13" s="1489">
        <v>3445</v>
      </c>
      <c r="N13" s="1489">
        <v>3445</v>
      </c>
      <c r="O13" s="1489">
        <v>3445</v>
      </c>
      <c r="P13" s="1489">
        <v>3444976</v>
      </c>
    </row>
    <row r="14" spans="1:16" s="1488" customFormat="1" ht="21.75">
      <c r="A14" s="1394" t="s">
        <v>2207</v>
      </c>
      <c r="B14" s="1394" t="s">
        <v>2198</v>
      </c>
      <c r="C14" s="1489">
        <v>401</v>
      </c>
      <c r="D14" s="1489">
        <v>401</v>
      </c>
      <c r="E14" s="1489">
        <v>401</v>
      </c>
      <c r="F14" s="1489">
        <v>401</v>
      </c>
      <c r="G14" s="1489">
        <v>401</v>
      </c>
      <c r="H14" s="1489">
        <v>401</v>
      </c>
      <c r="I14" s="1489">
        <v>401</v>
      </c>
      <c r="J14" s="1489">
        <v>401</v>
      </c>
      <c r="K14" s="1489">
        <v>401</v>
      </c>
      <c r="L14" s="1489">
        <v>401</v>
      </c>
      <c r="M14" s="1489">
        <v>401</v>
      </c>
      <c r="N14" s="1489">
        <v>401</v>
      </c>
      <c r="O14" s="1489">
        <v>401</v>
      </c>
      <c r="P14" s="1489">
        <v>401416</v>
      </c>
    </row>
    <row r="15" spans="1:16" s="1488" customFormat="1" ht="21.75">
      <c r="A15" s="1394" t="s">
        <v>2208</v>
      </c>
      <c r="B15" s="1394" t="s">
        <v>2198</v>
      </c>
      <c r="C15" s="1489">
        <v>4409</v>
      </c>
      <c r="D15" s="1489">
        <v>4409</v>
      </c>
      <c r="E15" s="1489">
        <v>4409</v>
      </c>
      <c r="F15" s="1489">
        <v>4409</v>
      </c>
      <c r="G15" s="1489">
        <v>4409</v>
      </c>
      <c r="H15" s="1489">
        <v>4409</v>
      </c>
      <c r="I15" s="1489">
        <v>4409</v>
      </c>
      <c r="J15" s="1489">
        <v>4409</v>
      </c>
      <c r="K15" s="1489">
        <v>4409</v>
      </c>
      <c r="L15" s="1489">
        <v>4422</v>
      </c>
      <c r="M15" s="1489">
        <v>4422</v>
      </c>
      <c r="N15" s="1489">
        <v>4422</v>
      </c>
      <c r="O15" s="1489">
        <v>4422</v>
      </c>
      <c r="P15" s="1489">
        <v>4412684</v>
      </c>
    </row>
    <row r="16" spans="1:16" s="1488" customFormat="1" ht="21.75">
      <c r="A16" s="1394" t="s">
        <v>2209</v>
      </c>
      <c r="B16" s="1394" t="s">
        <v>2198</v>
      </c>
      <c r="C16" s="1489">
        <v>3047</v>
      </c>
      <c r="D16" s="1489">
        <v>3047</v>
      </c>
      <c r="E16" s="1489">
        <v>3047</v>
      </c>
      <c r="F16" s="1489">
        <v>3047</v>
      </c>
      <c r="G16" s="1489">
        <v>3047</v>
      </c>
      <c r="H16" s="1489">
        <v>3047</v>
      </c>
      <c r="I16" s="1489">
        <v>3047</v>
      </c>
      <c r="J16" s="1489">
        <v>3047</v>
      </c>
      <c r="K16" s="1489">
        <v>3047</v>
      </c>
      <c r="L16" s="1489">
        <v>3047</v>
      </c>
      <c r="M16" s="1489">
        <v>3047</v>
      </c>
      <c r="N16" s="1489">
        <v>3047</v>
      </c>
      <c r="O16" s="1489">
        <v>3047</v>
      </c>
      <c r="P16" s="1489">
        <v>3046982</v>
      </c>
    </row>
    <row r="17" spans="1:16" s="1488" customFormat="1" ht="21.75">
      <c r="A17" s="1394" t="s">
        <v>2210</v>
      </c>
      <c r="B17" s="1394" t="s">
        <v>2198</v>
      </c>
      <c r="C17" s="1489">
        <v>36</v>
      </c>
      <c r="D17" s="1489">
        <v>36</v>
      </c>
      <c r="E17" s="1489">
        <v>36</v>
      </c>
      <c r="F17" s="1489">
        <v>36</v>
      </c>
      <c r="G17" s="1489">
        <v>36</v>
      </c>
      <c r="H17" s="1489">
        <v>36</v>
      </c>
      <c r="I17" s="1489">
        <v>36</v>
      </c>
      <c r="J17" s="1489">
        <v>36</v>
      </c>
      <c r="K17" s="1489">
        <v>36</v>
      </c>
      <c r="L17" s="1489">
        <v>36</v>
      </c>
      <c r="M17" s="1489">
        <v>36</v>
      </c>
      <c r="N17" s="1489">
        <v>36</v>
      </c>
      <c r="O17" s="1489">
        <v>36</v>
      </c>
      <c r="P17" s="1489">
        <v>36192</v>
      </c>
    </row>
    <row r="18" spans="1:16" s="1488" customFormat="1" ht="21.75">
      <c r="A18" s="1394" t="s">
        <v>2211</v>
      </c>
      <c r="B18" s="1394" t="s">
        <v>2198</v>
      </c>
      <c r="C18" s="1489">
        <v>434</v>
      </c>
      <c r="D18" s="1489">
        <v>434</v>
      </c>
      <c r="E18" s="1489">
        <v>434</v>
      </c>
      <c r="F18" s="1489">
        <v>434</v>
      </c>
      <c r="G18" s="1489">
        <v>434</v>
      </c>
      <c r="H18" s="1489">
        <v>434</v>
      </c>
      <c r="I18" s="1489">
        <v>434</v>
      </c>
      <c r="J18" s="1489">
        <v>434</v>
      </c>
      <c r="K18" s="1489">
        <v>434</v>
      </c>
      <c r="L18" s="1489">
        <v>434</v>
      </c>
      <c r="M18" s="1489">
        <v>434</v>
      </c>
      <c r="N18" s="1489">
        <v>434</v>
      </c>
      <c r="O18" s="1489">
        <v>434</v>
      </c>
      <c r="P18" s="1489">
        <v>434335</v>
      </c>
    </row>
    <row r="19" spans="1:16" s="1488" customFormat="1" ht="21.75">
      <c r="A19" s="1394" t="s">
        <v>2212</v>
      </c>
      <c r="B19" s="1394" t="s">
        <v>2198</v>
      </c>
      <c r="C19" s="1489">
        <v>0</v>
      </c>
      <c r="D19" s="1489">
        <v>0</v>
      </c>
      <c r="E19" s="1489">
        <v>0</v>
      </c>
      <c r="F19" s="1489">
        <v>0</v>
      </c>
      <c r="G19" s="1489">
        <v>0</v>
      </c>
      <c r="H19" s="1489">
        <v>0</v>
      </c>
      <c r="I19" s="1489">
        <v>0</v>
      </c>
      <c r="J19" s="1489">
        <v>0</v>
      </c>
      <c r="K19" s="1489">
        <v>0</v>
      </c>
      <c r="L19" s="1489">
        <v>0</v>
      </c>
      <c r="M19" s="1489">
        <v>0</v>
      </c>
      <c r="N19" s="1489">
        <v>0</v>
      </c>
      <c r="O19" s="1489">
        <v>0</v>
      </c>
      <c r="P19" s="1489">
        <v>0</v>
      </c>
    </row>
    <row r="20" spans="1:16" s="1488" customFormat="1" ht="21.75">
      <c r="A20" s="1394" t="s">
        <v>2213</v>
      </c>
      <c r="B20" s="1394" t="s">
        <v>2198</v>
      </c>
      <c r="C20" s="1489">
        <v>0</v>
      </c>
      <c r="D20" s="1489">
        <v>0</v>
      </c>
      <c r="E20" s="1489">
        <v>0</v>
      </c>
      <c r="F20" s="1489">
        <v>0</v>
      </c>
      <c r="G20" s="1489">
        <v>0</v>
      </c>
      <c r="H20" s="1489">
        <v>0</v>
      </c>
      <c r="I20" s="1489">
        <v>0</v>
      </c>
      <c r="J20" s="1489">
        <v>0</v>
      </c>
      <c r="K20" s="1489">
        <v>0</v>
      </c>
      <c r="L20" s="1489">
        <v>0</v>
      </c>
      <c r="M20" s="1489">
        <v>0</v>
      </c>
      <c r="N20" s="1489">
        <v>0</v>
      </c>
      <c r="O20" s="1489">
        <v>0</v>
      </c>
      <c r="P20" s="1489">
        <v>0</v>
      </c>
    </row>
    <row r="21" spans="1:16" s="1488" customFormat="1" ht="21.75">
      <c r="A21" s="1394" t="s">
        <v>2214</v>
      </c>
      <c r="B21" s="1394" t="s">
        <v>2198</v>
      </c>
      <c r="C21" s="1489">
        <v>804170</v>
      </c>
      <c r="D21" s="1489">
        <v>806032</v>
      </c>
      <c r="E21" s="1489">
        <v>809539</v>
      </c>
      <c r="F21" s="1489">
        <v>813261</v>
      </c>
      <c r="G21" s="1489">
        <v>816758</v>
      </c>
      <c r="H21" s="1489">
        <v>820399</v>
      </c>
      <c r="I21" s="1489">
        <v>822654</v>
      </c>
      <c r="J21" s="1489">
        <v>824859</v>
      </c>
      <c r="K21" s="1489">
        <v>828188</v>
      </c>
      <c r="L21" s="1489">
        <v>832276</v>
      </c>
      <c r="M21" s="1489">
        <v>837872</v>
      </c>
      <c r="N21" s="1489">
        <v>841272</v>
      </c>
      <c r="O21" s="1489">
        <v>846651</v>
      </c>
      <c r="P21" s="1489">
        <v>823209997</v>
      </c>
    </row>
    <row r="22" spans="1:16" s="1488" customFormat="1" ht="21.75">
      <c r="A22" s="1394" t="s">
        <v>2215</v>
      </c>
      <c r="B22" s="1394" t="s">
        <v>2198</v>
      </c>
      <c r="C22" s="1489">
        <v>30848</v>
      </c>
      <c r="D22" s="1489">
        <v>30845</v>
      </c>
      <c r="E22" s="1489">
        <v>30794</v>
      </c>
      <c r="F22" s="1489">
        <v>30791</v>
      </c>
      <c r="G22" s="1489">
        <v>30787</v>
      </c>
      <c r="H22" s="1489">
        <v>30768</v>
      </c>
      <c r="I22" s="1489">
        <v>30760</v>
      </c>
      <c r="J22" s="1489">
        <v>30742</v>
      </c>
      <c r="K22" s="1489">
        <v>30736</v>
      </c>
      <c r="L22" s="1489">
        <v>30701</v>
      </c>
      <c r="M22" s="1489">
        <v>30658</v>
      </c>
      <c r="N22" s="1489">
        <v>30508</v>
      </c>
      <c r="O22" s="1489">
        <v>1824</v>
      </c>
      <c r="P22" s="1489">
        <v>29535414</v>
      </c>
    </row>
    <row r="23" spans="1:16" s="1488" customFormat="1" ht="21.75">
      <c r="A23" s="1394" t="s">
        <v>2216</v>
      </c>
      <c r="B23" s="1394" t="s">
        <v>2198</v>
      </c>
      <c r="C23" s="1489">
        <v>1263</v>
      </c>
      <c r="D23" s="1489">
        <v>0</v>
      </c>
      <c r="E23" s="1489">
        <v>0</v>
      </c>
      <c r="F23" s="1489">
        <v>0</v>
      </c>
      <c r="G23" s="1489">
        <v>0</v>
      </c>
      <c r="H23" s="1489">
        <v>0</v>
      </c>
      <c r="I23" s="1489">
        <v>0</v>
      </c>
      <c r="J23" s="1489">
        <v>0</v>
      </c>
      <c r="K23" s="1489">
        <v>0</v>
      </c>
      <c r="L23" s="1489">
        <v>0</v>
      </c>
      <c r="M23" s="1489">
        <v>0</v>
      </c>
      <c r="N23" s="1489">
        <v>0</v>
      </c>
      <c r="O23" s="1489">
        <v>0</v>
      </c>
      <c r="P23" s="1489">
        <v>52643</v>
      </c>
    </row>
    <row r="24" spans="1:16" s="1488" customFormat="1" ht="21.75">
      <c r="A24" s="1394" t="s">
        <v>2217</v>
      </c>
      <c r="B24" s="1394" t="s">
        <v>2198</v>
      </c>
      <c r="C24" s="1489">
        <v>33308</v>
      </c>
      <c r="D24" s="1489">
        <v>33308</v>
      </c>
      <c r="E24" s="1489">
        <v>33308</v>
      </c>
      <c r="F24" s="1489">
        <v>33308</v>
      </c>
      <c r="G24" s="1489">
        <v>33308</v>
      </c>
      <c r="H24" s="1489">
        <v>33308</v>
      </c>
      <c r="I24" s="1489">
        <v>33308</v>
      </c>
      <c r="J24" s="1489">
        <v>33308</v>
      </c>
      <c r="K24" s="1489">
        <v>33308</v>
      </c>
      <c r="L24" s="1489">
        <v>33308</v>
      </c>
      <c r="M24" s="1489">
        <v>33308</v>
      </c>
      <c r="N24" s="1489">
        <v>33308</v>
      </c>
      <c r="O24" s="1489">
        <v>33308</v>
      </c>
      <c r="P24" s="1489">
        <v>33307946</v>
      </c>
    </row>
    <row r="25" spans="1:16" s="1488" customFormat="1" ht="21.75">
      <c r="A25" s="1394" t="s">
        <v>2218</v>
      </c>
      <c r="B25" s="1394" t="s">
        <v>2198</v>
      </c>
      <c r="C25" s="1489">
        <v>307407</v>
      </c>
      <c r="D25" s="1489">
        <v>308981</v>
      </c>
      <c r="E25" s="1489">
        <v>309627</v>
      </c>
      <c r="F25" s="1489">
        <v>310598</v>
      </c>
      <c r="G25" s="1489">
        <v>310538</v>
      </c>
      <c r="H25" s="1489">
        <v>311855</v>
      </c>
      <c r="I25" s="1489">
        <v>312049</v>
      </c>
      <c r="J25" s="1489">
        <v>312890</v>
      </c>
      <c r="K25" s="1489">
        <v>312593</v>
      </c>
      <c r="L25" s="1489">
        <v>313053</v>
      </c>
      <c r="M25" s="1489">
        <v>316372</v>
      </c>
      <c r="N25" s="1489">
        <v>317641</v>
      </c>
      <c r="O25" s="1489">
        <v>344732</v>
      </c>
      <c r="P25" s="1489">
        <v>313522238</v>
      </c>
    </row>
    <row r="26" spans="1:16" s="1488" customFormat="1" ht="21.75">
      <c r="A26" s="1394" t="s">
        <v>2219</v>
      </c>
      <c r="B26" s="1394" t="s">
        <v>2198</v>
      </c>
      <c r="C26" s="1489">
        <v>27243</v>
      </c>
      <c r="D26" s="1489">
        <v>27462</v>
      </c>
      <c r="E26" s="1489">
        <v>27568</v>
      </c>
      <c r="F26" s="1489">
        <v>27887</v>
      </c>
      <c r="G26" s="1489">
        <v>27990</v>
      </c>
      <c r="H26" s="1489">
        <v>28064</v>
      </c>
      <c r="I26" s="1489">
        <v>28098</v>
      </c>
      <c r="J26" s="1489">
        <v>28128</v>
      </c>
      <c r="K26" s="1489">
        <v>28387</v>
      </c>
      <c r="L26" s="1489">
        <v>28645</v>
      </c>
      <c r="M26" s="1489">
        <v>28759</v>
      </c>
      <c r="N26" s="1489">
        <v>28989</v>
      </c>
      <c r="O26" s="1489">
        <v>29172</v>
      </c>
      <c r="P26" s="1489">
        <v>28181948</v>
      </c>
    </row>
    <row r="27" spans="1:16" s="1488" customFormat="1" ht="21.75">
      <c r="A27" s="1394" t="s">
        <v>2220</v>
      </c>
      <c r="B27" s="1394" t="s">
        <v>2198</v>
      </c>
      <c r="C27" s="1489">
        <v>67585</v>
      </c>
      <c r="D27" s="1489">
        <v>67585</v>
      </c>
      <c r="E27" s="1489">
        <v>67585</v>
      </c>
      <c r="F27" s="1489">
        <v>67585</v>
      </c>
      <c r="G27" s="1489">
        <v>67585</v>
      </c>
      <c r="H27" s="1489">
        <v>67585</v>
      </c>
      <c r="I27" s="1489">
        <v>67585</v>
      </c>
      <c r="J27" s="1489">
        <v>67584</v>
      </c>
      <c r="K27" s="1489">
        <v>67584</v>
      </c>
      <c r="L27" s="1489">
        <v>67584</v>
      </c>
      <c r="M27" s="1489">
        <v>67584</v>
      </c>
      <c r="N27" s="1489">
        <v>67584</v>
      </c>
      <c r="O27" s="1489">
        <v>85657</v>
      </c>
      <c r="P27" s="1489">
        <v>68337507</v>
      </c>
    </row>
    <row r="28" spans="1:16" s="1488" customFormat="1" ht="21.75">
      <c r="A28" s="1394" t="s">
        <v>2221</v>
      </c>
      <c r="B28" s="1394" t="s">
        <v>2198</v>
      </c>
      <c r="C28" s="1489">
        <v>27164</v>
      </c>
      <c r="D28" s="1489">
        <v>27164</v>
      </c>
      <c r="E28" s="1489">
        <v>27164</v>
      </c>
      <c r="F28" s="1489">
        <v>27164</v>
      </c>
      <c r="G28" s="1489">
        <v>27164</v>
      </c>
      <c r="H28" s="1489">
        <v>27164</v>
      </c>
      <c r="I28" s="1489">
        <v>27164</v>
      </c>
      <c r="J28" s="1489">
        <v>27164</v>
      </c>
      <c r="K28" s="1489">
        <v>27164</v>
      </c>
      <c r="L28" s="1489">
        <v>27164</v>
      </c>
      <c r="M28" s="1489">
        <v>27164</v>
      </c>
      <c r="N28" s="1489">
        <v>27164</v>
      </c>
      <c r="O28" s="1489">
        <v>27164</v>
      </c>
      <c r="P28" s="1489">
        <v>27164308</v>
      </c>
    </row>
    <row r="29" spans="1:16" s="1488" customFormat="1" ht="21.75">
      <c r="A29" s="1394" t="s">
        <v>2222</v>
      </c>
      <c r="B29" s="1394" t="s">
        <v>2198</v>
      </c>
      <c r="C29" s="1489">
        <v>18074</v>
      </c>
      <c r="D29" s="1489">
        <v>18074</v>
      </c>
      <c r="E29" s="1489">
        <v>18074</v>
      </c>
      <c r="F29" s="1489">
        <v>18074</v>
      </c>
      <c r="G29" s="1489">
        <v>18074</v>
      </c>
      <c r="H29" s="1489">
        <v>18074</v>
      </c>
      <c r="I29" s="1489">
        <v>18074</v>
      </c>
      <c r="J29" s="1489">
        <v>18074</v>
      </c>
      <c r="K29" s="1489">
        <v>18074</v>
      </c>
      <c r="L29" s="1489">
        <v>18074</v>
      </c>
      <c r="M29" s="1489">
        <v>18074</v>
      </c>
      <c r="N29" s="1489">
        <v>18074</v>
      </c>
      <c r="O29" s="1489">
        <v>0</v>
      </c>
      <c r="P29" s="1489">
        <v>17320644</v>
      </c>
    </row>
    <row r="30" spans="1:16" s="1488" customFormat="1" ht="21.75">
      <c r="A30" s="1394" t="s">
        <v>2223</v>
      </c>
      <c r="B30" s="1394" t="s">
        <v>2198</v>
      </c>
      <c r="C30" s="1489">
        <v>59784</v>
      </c>
      <c r="D30" s="1489">
        <v>60743</v>
      </c>
      <c r="E30" s="1489">
        <v>60851</v>
      </c>
      <c r="F30" s="1489">
        <v>61231</v>
      </c>
      <c r="G30" s="1489">
        <v>60846</v>
      </c>
      <c r="H30" s="1489">
        <v>61130</v>
      </c>
      <c r="I30" s="1489">
        <v>61411</v>
      </c>
      <c r="J30" s="1489">
        <v>61461</v>
      </c>
      <c r="K30" s="1489">
        <v>61219</v>
      </c>
      <c r="L30" s="1489">
        <v>61569</v>
      </c>
      <c r="M30" s="1489">
        <v>62498</v>
      </c>
      <c r="N30" s="1489">
        <v>62789</v>
      </c>
      <c r="O30" s="1489">
        <v>63588</v>
      </c>
      <c r="P30" s="1489">
        <v>61452906</v>
      </c>
    </row>
    <row r="31" spans="1:16" s="1488" customFormat="1" ht="21.75">
      <c r="A31" s="1394" t="s">
        <v>2224</v>
      </c>
      <c r="B31" s="1394" t="s">
        <v>2198</v>
      </c>
      <c r="C31" s="1489">
        <v>25190</v>
      </c>
      <c r="D31" s="1489">
        <v>25190</v>
      </c>
      <c r="E31" s="1489">
        <v>25190</v>
      </c>
      <c r="F31" s="1489">
        <v>25189</v>
      </c>
      <c r="G31" s="1489">
        <v>25189</v>
      </c>
      <c r="H31" s="1489">
        <v>25189</v>
      </c>
      <c r="I31" s="1489">
        <v>25189</v>
      </c>
      <c r="J31" s="1489">
        <v>25189</v>
      </c>
      <c r="K31" s="1489">
        <v>25426</v>
      </c>
      <c r="L31" s="1489">
        <v>25426</v>
      </c>
      <c r="M31" s="1489">
        <v>25426</v>
      </c>
      <c r="N31" s="1489">
        <v>25426</v>
      </c>
      <c r="O31" s="1489">
        <v>25311</v>
      </c>
      <c r="P31" s="1489">
        <v>25273400</v>
      </c>
    </row>
    <row r="32" spans="1:16" s="1488" customFormat="1" ht="21.75">
      <c r="A32" s="1394" t="s">
        <v>2225</v>
      </c>
      <c r="B32" s="1394" t="s">
        <v>2198</v>
      </c>
      <c r="C32" s="1489">
        <v>0</v>
      </c>
      <c r="D32" s="1489">
        <v>0</v>
      </c>
      <c r="E32" s="1489">
        <v>0</v>
      </c>
      <c r="F32" s="1489">
        <v>0</v>
      </c>
      <c r="G32" s="1489">
        <v>0</v>
      </c>
      <c r="H32" s="1489">
        <v>0</v>
      </c>
      <c r="I32" s="1489">
        <v>0</v>
      </c>
      <c r="J32" s="1489">
        <v>0</v>
      </c>
      <c r="K32" s="1489">
        <v>0</v>
      </c>
      <c r="L32" s="1489">
        <v>0</v>
      </c>
      <c r="M32" s="1489">
        <v>0</v>
      </c>
      <c r="N32" s="1489">
        <v>0</v>
      </c>
      <c r="O32" s="1489">
        <v>80</v>
      </c>
      <c r="P32" s="1489">
        <v>3332</v>
      </c>
    </row>
    <row r="33" spans="1:16" s="1488" customFormat="1" ht="21.75">
      <c r="A33" s="1394" t="s">
        <v>2226</v>
      </c>
      <c r="B33" s="1394" t="s">
        <v>2198</v>
      </c>
      <c r="C33" s="1489">
        <v>17340</v>
      </c>
      <c r="D33" s="1489">
        <v>17519</v>
      </c>
      <c r="E33" s="1489">
        <v>17553</v>
      </c>
      <c r="F33" s="1489">
        <v>17619</v>
      </c>
      <c r="G33" s="1489">
        <v>17477</v>
      </c>
      <c r="H33" s="1489">
        <v>17509</v>
      </c>
      <c r="I33" s="1489">
        <v>17534</v>
      </c>
      <c r="J33" s="1489">
        <v>17565</v>
      </c>
      <c r="K33" s="1489">
        <v>17583</v>
      </c>
      <c r="L33" s="1489">
        <v>17656</v>
      </c>
      <c r="M33" s="1489">
        <v>17827</v>
      </c>
      <c r="N33" s="1489">
        <v>18062</v>
      </c>
      <c r="O33" s="1489">
        <v>18261</v>
      </c>
      <c r="P33" s="1489">
        <v>17642018</v>
      </c>
    </row>
    <row r="34" spans="1:16" s="1488" customFormat="1" ht="21.75">
      <c r="A34" s="1394" t="s">
        <v>2227</v>
      </c>
      <c r="B34" s="1394" t="s">
        <v>2198</v>
      </c>
      <c r="C34" s="1489">
        <v>637362</v>
      </c>
      <c r="D34" s="1489">
        <v>639244</v>
      </c>
      <c r="E34" s="1489">
        <v>643283</v>
      </c>
      <c r="F34" s="1489">
        <v>646951</v>
      </c>
      <c r="G34" s="1489">
        <v>650864</v>
      </c>
      <c r="H34" s="1489">
        <v>653559</v>
      </c>
      <c r="I34" s="1489">
        <v>657204</v>
      </c>
      <c r="J34" s="1489">
        <v>660181</v>
      </c>
      <c r="K34" s="1489">
        <v>663557</v>
      </c>
      <c r="L34" s="1489">
        <v>667005</v>
      </c>
      <c r="M34" s="1489">
        <v>670067</v>
      </c>
      <c r="N34" s="1489">
        <v>673567</v>
      </c>
      <c r="O34" s="1489">
        <v>679416</v>
      </c>
      <c r="P34" s="1489">
        <v>656989370</v>
      </c>
    </row>
    <row r="35" spans="1:16" s="1488" customFormat="1" ht="21.75">
      <c r="A35" s="1394" t="s">
        <v>2228</v>
      </c>
      <c r="B35" s="1394" t="s">
        <v>2198</v>
      </c>
      <c r="C35" s="1489">
        <v>27867</v>
      </c>
      <c r="D35" s="1489">
        <v>27820</v>
      </c>
      <c r="E35" s="1489">
        <v>27813</v>
      </c>
      <c r="F35" s="1489">
        <v>27836</v>
      </c>
      <c r="G35" s="1489">
        <v>27955</v>
      </c>
      <c r="H35" s="1489">
        <v>27952</v>
      </c>
      <c r="I35" s="1489">
        <v>27980</v>
      </c>
      <c r="J35" s="1489">
        <v>27924</v>
      </c>
      <c r="K35" s="1489">
        <v>27873</v>
      </c>
      <c r="L35" s="1489">
        <v>27833</v>
      </c>
      <c r="M35" s="1489">
        <v>27707</v>
      </c>
      <c r="N35" s="1489">
        <v>27717</v>
      </c>
      <c r="O35" s="1489">
        <v>27653</v>
      </c>
      <c r="P35" s="1489">
        <v>27847501</v>
      </c>
    </row>
    <row r="36" spans="1:16" s="1488" customFormat="1" ht="21.75">
      <c r="A36" s="1394" t="s">
        <v>2229</v>
      </c>
      <c r="B36" s="1394" t="s">
        <v>2198</v>
      </c>
      <c r="C36" s="1489">
        <v>10006</v>
      </c>
      <c r="D36" s="1489">
        <v>10004</v>
      </c>
      <c r="E36" s="1489">
        <v>10007</v>
      </c>
      <c r="F36" s="1489">
        <v>10012</v>
      </c>
      <c r="G36" s="1489">
        <v>10030</v>
      </c>
      <c r="H36" s="1489">
        <v>10062</v>
      </c>
      <c r="I36" s="1489">
        <v>10085</v>
      </c>
      <c r="J36" s="1489">
        <v>10094</v>
      </c>
      <c r="K36" s="1489">
        <v>10117</v>
      </c>
      <c r="L36" s="1489">
        <v>10126</v>
      </c>
      <c r="M36" s="1489">
        <v>10146</v>
      </c>
      <c r="N36" s="1489">
        <v>10143</v>
      </c>
      <c r="O36" s="1489">
        <v>10159</v>
      </c>
      <c r="P36" s="1489">
        <v>10075830</v>
      </c>
    </row>
    <row r="37" spans="1:16" s="1488" customFormat="1" ht="21.75">
      <c r="A37" s="1394" t="s">
        <v>2230</v>
      </c>
      <c r="B37" s="1394" t="s">
        <v>2198</v>
      </c>
      <c r="C37" s="1489">
        <v>212</v>
      </c>
      <c r="D37" s="1489">
        <v>212</v>
      </c>
      <c r="E37" s="1489">
        <v>9</v>
      </c>
      <c r="F37" s="1489">
        <v>9</v>
      </c>
      <c r="G37" s="1489">
        <v>9</v>
      </c>
      <c r="H37" s="1489">
        <v>9</v>
      </c>
      <c r="I37" s="1489">
        <v>9</v>
      </c>
      <c r="J37" s="1489">
        <v>9</v>
      </c>
      <c r="K37" s="1489">
        <v>9</v>
      </c>
      <c r="L37" s="1489">
        <v>9</v>
      </c>
      <c r="M37" s="1489">
        <v>9</v>
      </c>
      <c r="N37" s="1489">
        <v>9</v>
      </c>
      <c r="O37" s="1489">
        <v>9</v>
      </c>
      <c r="P37" s="1489">
        <v>34408</v>
      </c>
    </row>
    <row r="38" spans="1:16" s="1488" customFormat="1" ht="21.75">
      <c r="A38" s="1394" t="s">
        <v>2231</v>
      </c>
      <c r="B38" s="1394" t="s">
        <v>2198</v>
      </c>
      <c r="C38" s="1489">
        <v>61383</v>
      </c>
      <c r="D38" s="1489">
        <v>61445</v>
      </c>
      <c r="E38" s="1489">
        <v>61204</v>
      </c>
      <c r="F38" s="1489">
        <v>61170</v>
      </c>
      <c r="G38" s="1489">
        <v>61424</v>
      </c>
      <c r="H38" s="1489">
        <v>61604</v>
      </c>
      <c r="I38" s="1489">
        <v>61968</v>
      </c>
      <c r="J38" s="1489">
        <v>62079</v>
      </c>
      <c r="K38" s="1489">
        <v>62507</v>
      </c>
      <c r="L38" s="1489">
        <v>62811</v>
      </c>
      <c r="M38" s="1489">
        <v>62926</v>
      </c>
      <c r="N38" s="1489">
        <v>62913</v>
      </c>
      <c r="O38" s="1489">
        <v>63031</v>
      </c>
      <c r="P38" s="1489">
        <v>62021599</v>
      </c>
    </row>
    <row r="39" spans="1:16" s="1488" customFormat="1" ht="21.75">
      <c r="A39" s="1394" t="s">
        <v>2232</v>
      </c>
      <c r="B39" s="1394" t="s">
        <v>2198</v>
      </c>
      <c r="C39" s="1489">
        <v>134751</v>
      </c>
      <c r="D39" s="1489">
        <v>135134</v>
      </c>
      <c r="E39" s="1489">
        <v>134754</v>
      </c>
      <c r="F39" s="1489">
        <v>134939</v>
      </c>
      <c r="G39" s="1489">
        <v>134965</v>
      </c>
      <c r="H39" s="1489">
        <v>135256</v>
      </c>
      <c r="I39" s="1489">
        <v>135466</v>
      </c>
      <c r="J39" s="1489">
        <v>135937</v>
      </c>
      <c r="K39" s="1489">
        <v>136020</v>
      </c>
      <c r="L39" s="1489">
        <v>136163</v>
      </c>
      <c r="M39" s="1489">
        <v>136380</v>
      </c>
      <c r="N39" s="1489">
        <v>136625</v>
      </c>
      <c r="O39" s="1489">
        <v>137671</v>
      </c>
      <c r="P39" s="1489">
        <v>135654228</v>
      </c>
    </row>
    <row r="40" spans="1:16" s="1488" customFormat="1" ht="21.75">
      <c r="A40" s="1394" t="s">
        <v>2233</v>
      </c>
      <c r="B40" s="1394" t="s">
        <v>2198</v>
      </c>
      <c r="C40" s="1489">
        <v>13665</v>
      </c>
      <c r="D40" s="1489">
        <v>13725</v>
      </c>
      <c r="E40" s="1489">
        <v>13715</v>
      </c>
      <c r="F40" s="1489">
        <v>13725</v>
      </c>
      <c r="G40" s="1489">
        <v>13777</v>
      </c>
      <c r="H40" s="1489">
        <v>13812</v>
      </c>
      <c r="I40" s="1489">
        <v>13826</v>
      </c>
      <c r="J40" s="1489">
        <v>13868</v>
      </c>
      <c r="K40" s="1489">
        <v>13862</v>
      </c>
      <c r="L40" s="1489">
        <v>13890</v>
      </c>
      <c r="M40" s="1489">
        <v>13898</v>
      </c>
      <c r="N40" s="1489">
        <v>13947</v>
      </c>
      <c r="O40" s="1489">
        <v>13937</v>
      </c>
      <c r="P40" s="1489">
        <v>13820462</v>
      </c>
    </row>
    <row r="41" spans="1:16" s="1488" customFormat="1" ht="21.75">
      <c r="A41" s="1394" t="s">
        <v>2234</v>
      </c>
      <c r="B41" s="1394" t="s">
        <v>2198</v>
      </c>
      <c r="C41" s="1489">
        <v>73231</v>
      </c>
      <c r="D41" s="1489">
        <v>74290</v>
      </c>
      <c r="E41" s="1489">
        <v>74280</v>
      </c>
      <c r="F41" s="1489">
        <v>74297</v>
      </c>
      <c r="G41" s="1489">
        <v>74296</v>
      </c>
      <c r="H41" s="1489">
        <v>74290</v>
      </c>
      <c r="I41" s="1489">
        <v>74286</v>
      </c>
      <c r="J41" s="1489">
        <v>74289</v>
      </c>
      <c r="K41" s="1489">
        <v>74285</v>
      </c>
      <c r="L41" s="1489">
        <v>74277</v>
      </c>
      <c r="M41" s="1489">
        <v>74271</v>
      </c>
      <c r="N41" s="1489">
        <v>74264</v>
      </c>
      <c r="O41" s="1489">
        <v>74561</v>
      </c>
      <c r="P41" s="1489">
        <v>74251826</v>
      </c>
    </row>
    <row r="42" spans="1:16" s="1488" customFormat="1" ht="21.75">
      <c r="A42" s="1394" t="s">
        <v>2235</v>
      </c>
      <c r="B42" s="1394" t="s">
        <v>2198</v>
      </c>
      <c r="C42" s="1489">
        <v>40442</v>
      </c>
      <c r="D42" s="1489">
        <v>39783</v>
      </c>
      <c r="E42" s="1489">
        <v>38280</v>
      </c>
      <c r="F42" s="1489">
        <v>38723</v>
      </c>
      <c r="G42" s="1489">
        <v>38576</v>
      </c>
      <c r="H42" s="1489">
        <v>38637</v>
      </c>
      <c r="I42" s="1489">
        <v>38984</v>
      </c>
      <c r="J42" s="1489">
        <v>39079</v>
      </c>
      <c r="K42" s="1489">
        <v>39258</v>
      </c>
      <c r="L42" s="1489">
        <v>39435</v>
      </c>
      <c r="M42" s="1489">
        <v>37640</v>
      </c>
      <c r="N42" s="1489">
        <v>37451</v>
      </c>
      <c r="O42" s="1489">
        <v>37932</v>
      </c>
      <c r="P42" s="1489">
        <v>38752669</v>
      </c>
    </row>
    <row r="43" spans="1:16" s="1488" customFormat="1" ht="21.75">
      <c r="A43" s="1394" t="s">
        <v>2236</v>
      </c>
      <c r="B43" s="1394" t="s">
        <v>2198</v>
      </c>
      <c r="C43" s="1489">
        <v>0</v>
      </c>
      <c r="D43" s="1489">
        <v>0</v>
      </c>
      <c r="E43" s="1489">
        <v>0</v>
      </c>
      <c r="F43" s="1489">
        <v>0</v>
      </c>
      <c r="G43" s="1489">
        <v>0</v>
      </c>
      <c r="H43" s="1489">
        <v>0</v>
      </c>
      <c r="I43" s="1489">
        <v>0</v>
      </c>
      <c r="J43" s="1489">
        <v>0</v>
      </c>
      <c r="K43" s="1489">
        <v>0</v>
      </c>
      <c r="L43" s="1489">
        <v>0</v>
      </c>
      <c r="M43" s="1489">
        <v>0</v>
      </c>
      <c r="N43" s="1489">
        <v>0</v>
      </c>
      <c r="O43" s="1489">
        <v>0</v>
      </c>
      <c r="P43" s="1489">
        <v>0</v>
      </c>
    </row>
    <row r="44" spans="1:16" s="1488" customFormat="1" ht="21.75">
      <c r="A44" s="1394" t="s">
        <v>2237</v>
      </c>
      <c r="B44" s="1394" t="s">
        <v>2198</v>
      </c>
      <c r="C44" s="1489">
        <v>7263</v>
      </c>
      <c r="D44" s="1489">
        <v>7275</v>
      </c>
      <c r="E44" s="1489">
        <v>7248</v>
      </c>
      <c r="F44" s="1489">
        <v>7277</v>
      </c>
      <c r="G44" s="1489">
        <v>7301</v>
      </c>
      <c r="H44" s="1489">
        <v>7191</v>
      </c>
      <c r="I44" s="1489">
        <v>7191</v>
      </c>
      <c r="J44" s="1489">
        <v>7176</v>
      </c>
      <c r="K44" s="1489">
        <v>7208</v>
      </c>
      <c r="L44" s="1489">
        <v>7218</v>
      </c>
      <c r="M44" s="1489">
        <v>7218</v>
      </c>
      <c r="N44" s="1489">
        <v>7232</v>
      </c>
      <c r="O44" s="1489">
        <v>7252</v>
      </c>
      <c r="P44" s="1489">
        <v>7232782</v>
      </c>
    </row>
    <row r="45" spans="1:16" s="1488" customFormat="1" ht="21.75">
      <c r="A45" s="1394" t="s">
        <v>2238</v>
      </c>
      <c r="B45" s="1394" t="s">
        <v>2198</v>
      </c>
      <c r="C45" s="1489">
        <v>5235</v>
      </c>
      <c r="D45" s="1489">
        <v>5230</v>
      </c>
      <c r="E45" s="1489">
        <v>5143</v>
      </c>
      <c r="F45" s="1489">
        <v>5002</v>
      </c>
      <c r="G45" s="1489">
        <v>4963</v>
      </c>
      <c r="H45" s="1489">
        <v>4867</v>
      </c>
      <c r="I45" s="1489">
        <v>4811</v>
      </c>
      <c r="J45" s="1489">
        <v>4714</v>
      </c>
      <c r="K45" s="1489">
        <v>4666</v>
      </c>
      <c r="L45" s="1489">
        <v>4586</v>
      </c>
      <c r="M45" s="1489">
        <v>4562</v>
      </c>
      <c r="N45" s="1489">
        <v>4522</v>
      </c>
      <c r="O45" s="1489">
        <v>4418</v>
      </c>
      <c r="P45" s="1489">
        <v>4824322</v>
      </c>
    </row>
    <row r="46" spans="1:16" s="1488" customFormat="1" ht="21.75">
      <c r="A46" s="1394" t="s">
        <v>2239</v>
      </c>
      <c r="B46" s="1394" t="s">
        <v>2198</v>
      </c>
      <c r="C46" s="1489">
        <v>17553</v>
      </c>
      <c r="D46" s="1489">
        <v>17670</v>
      </c>
      <c r="E46" s="1489">
        <v>17791</v>
      </c>
      <c r="F46" s="1489">
        <v>17921</v>
      </c>
      <c r="G46" s="1489">
        <v>18027</v>
      </c>
      <c r="H46" s="1489">
        <v>18067</v>
      </c>
      <c r="I46" s="1489">
        <v>18169</v>
      </c>
      <c r="J46" s="1489">
        <v>18253</v>
      </c>
      <c r="K46" s="1489">
        <v>18405</v>
      </c>
      <c r="L46" s="1489">
        <v>18413</v>
      </c>
      <c r="M46" s="1489">
        <v>18462</v>
      </c>
      <c r="N46" s="1489">
        <v>18543</v>
      </c>
      <c r="O46" s="1489">
        <v>18665</v>
      </c>
      <c r="P46" s="1489">
        <v>18152483</v>
      </c>
    </row>
    <row r="47" spans="1:16" s="1488" customFormat="1" ht="21.75">
      <c r="A47" s="1394" t="s">
        <v>2240</v>
      </c>
      <c r="B47" s="1394" t="s">
        <v>2198</v>
      </c>
      <c r="C47" s="1489">
        <v>4136</v>
      </c>
      <c r="D47" s="1489">
        <v>4088</v>
      </c>
      <c r="E47" s="1489">
        <v>3990</v>
      </c>
      <c r="F47" s="1489">
        <v>3883</v>
      </c>
      <c r="G47" s="1489">
        <v>3797</v>
      </c>
      <c r="H47" s="1489">
        <v>3714</v>
      </c>
      <c r="I47" s="1489">
        <v>3633</v>
      </c>
      <c r="J47" s="1489">
        <v>3544</v>
      </c>
      <c r="K47" s="1489">
        <v>3463</v>
      </c>
      <c r="L47" s="1489">
        <v>3400</v>
      </c>
      <c r="M47" s="1489">
        <v>3344</v>
      </c>
      <c r="N47" s="1489">
        <v>3256</v>
      </c>
      <c r="O47" s="1489">
        <v>3128</v>
      </c>
      <c r="P47" s="1489">
        <v>3645203</v>
      </c>
    </row>
    <row r="48" spans="1:16" s="1488" customFormat="1" ht="21.75">
      <c r="A48" s="1394" t="s">
        <v>2241</v>
      </c>
      <c r="B48" s="1394" t="s">
        <v>2198</v>
      </c>
      <c r="C48" s="1489">
        <v>1874</v>
      </c>
      <c r="D48" s="1489">
        <v>1863</v>
      </c>
      <c r="E48" s="1489">
        <v>1852</v>
      </c>
      <c r="F48" s="1489">
        <v>1842</v>
      </c>
      <c r="G48" s="1489">
        <v>1830</v>
      </c>
      <c r="H48" s="1489">
        <v>1822</v>
      </c>
      <c r="I48" s="1489">
        <v>1810</v>
      </c>
      <c r="J48" s="1489">
        <v>1797</v>
      </c>
      <c r="K48" s="1489">
        <v>1788</v>
      </c>
      <c r="L48" s="1489">
        <v>1775</v>
      </c>
      <c r="M48" s="1489">
        <v>1764</v>
      </c>
      <c r="N48" s="1489">
        <v>1755</v>
      </c>
      <c r="O48" s="1489">
        <v>1746</v>
      </c>
      <c r="P48" s="1489">
        <v>1809031</v>
      </c>
    </row>
    <row r="49" spans="1:16" s="1488" customFormat="1" ht="21.75">
      <c r="A49" s="1394" t="s">
        <v>2242</v>
      </c>
      <c r="B49" s="1394" t="s">
        <v>2198</v>
      </c>
      <c r="C49" s="1489">
        <v>0</v>
      </c>
      <c r="D49" s="1489">
        <v>0</v>
      </c>
      <c r="E49" s="1489">
        <v>0</v>
      </c>
      <c r="F49" s="1489">
        <v>0</v>
      </c>
      <c r="G49" s="1489">
        <v>0</v>
      </c>
      <c r="H49" s="1489">
        <v>0</v>
      </c>
      <c r="I49" s="1489">
        <v>0</v>
      </c>
      <c r="J49" s="1489">
        <v>0</v>
      </c>
      <c r="K49" s="1489">
        <v>0</v>
      </c>
      <c r="L49" s="1489">
        <v>0</v>
      </c>
      <c r="M49" s="1489">
        <v>0</v>
      </c>
      <c r="N49" s="1489">
        <v>0</v>
      </c>
      <c r="O49" s="1489">
        <v>0</v>
      </c>
      <c r="P49" s="1489">
        <v>0</v>
      </c>
    </row>
    <row r="50" spans="1:16" s="1488" customFormat="1" ht="21.75">
      <c r="A50" s="1394" t="s">
        <v>2243</v>
      </c>
      <c r="B50" s="1394" t="s">
        <v>2198</v>
      </c>
      <c r="C50" s="1489">
        <v>255</v>
      </c>
      <c r="D50" s="1489">
        <v>255</v>
      </c>
      <c r="E50" s="1489">
        <v>255</v>
      </c>
      <c r="F50" s="1489">
        <v>255</v>
      </c>
      <c r="G50" s="1489">
        <v>255</v>
      </c>
      <c r="H50" s="1489">
        <v>255</v>
      </c>
      <c r="I50" s="1489">
        <v>255</v>
      </c>
      <c r="J50" s="1489">
        <v>255</v>
      </c>
      <c r="K50" s="1489">
        <v>255</v>
      </c>
      <c r="L50" s="1489">
        <v>255</v>
      </c>
      <c r="M50" s="1489">
        <v>255</v>
      </c>
      <c r="N50" s="1489">
        <v>255</v>
      </c>
      <c r="O50" s="1489">
        <v>255</v>
      </c>
      <c r="P50" s="1489">
        <v>254904</v>
      </c>
    </row>
    <row r="51" spans="1:16" s="1488" customFormat="1" ht="21.75">
      <c r="A51" s="1394" t="s">
        <v>2244</v>
      </c>
      <c r="B51" s="1394" t="s">
        <v>2198</v>
      </c>
      <c r="C51" s="1489">
        <v>0</v>
      </c>
      <c r="D51" s="1489">
        <v>0</v>
      </c>
      <c r="E51" s="1489">
        <v>0</v>
      </c>
      <c r="F51" s="1489">
        <v>0</v>
      </c>
      <c r="G51" s="1489">
        <v>0</v>
      </c>
      <c r="H51" s="1489">
        <v>0</v>
      </c>
      <c r="I51" s="1489">
        <v>0</v>
      </c>
      <c r="J51" s="1489">
        <v>0</v>
      </c>
      <c r="K51" s="1489">
        <v>0</v>
      </c>
      <c r="L51" s="1489">
        <v>0</v>
      </c>
      <c r="M51" s="1489">
        <v>0</v>
      </c>
      <c r="N51" s="1489">
        <v>0</v>
      </c>
      <c r="O51" s="1489">
        <v>0</v>
      </c>
      <c r="P51" s="1489">
        <v>0</v>
      </c>
    </row>
    <row r="52" spans="1:16" s="1488" customFormat="1" ht="21.75">
      <c r="A52" s="1394" t="s">
        <v>2245</v>
      </c>
      <c r="B52" s="1394" t="s">
        <v>2198</v>
      </c>
      <c r="C52" s="1489">
        <v>0</v>
      </c>
      <c r="D52" s="1489">
        <v>0</v>
      </c>
      <c r="E52" s="1489">
        <v>0</v>
      </c>
      <c r="F52" s="1489">
        <v>0</v>
      </c>
      <c r="G52" s="1489">
        <v>0</v>
      </c>
      <c r="H52" s="1489">
        <v>0</v>
      </c>
      <c r="I52" s="1489">
        <v>0</v>
      </c>
      <c r="J52" s="1489">
        <v>0</v>
      </c>
      <c r="K52" s="1489">
        <v>0</v>
      </c>
      <c r="L52" s="1489">
        <v>0</v>
      </c>
      <c r="M52" s="1489">
        <v>0</v>
      </c>
      <c r="N52" s="1489">
        <v>0</v>
      </c>
      <c r="O52" s="1489">
        <v>0</v>
      </c>
      <c r="P52" s="1489">
        <v>0</v>
      </c>
    </row>
    <row r="53" spans="1:16" s="1488" customFormat="1" ht="21.75">
      <c r="A53" s="1394" t="s">
        <v>2246</v>
      </c>
      <c r="B53" s="1394" t="s">
        <v>2198</v>
      </c>
      <c r="C53" s="1489">
        <v>0</v>
      </c>
      <c r="D53" s="1489">
        <v>0</v>
      </c>
      <c r="E53" s="1489">
        <v>0</v>
      </c>
      <c r="F53" s="1489">
        <v>0</v>
      </c>
      <c r="G53" s="1489">
        <v>0</v>
      </c>
      <c r="H53" s="1489">
        <v>0</v>
      </c>
      <c r="I53" s="1489">
        <v>0</v>
      </c>
      <c r="J53" s="1489">
        <v>0</v>
      </c>
      <c r="K53" s="1489">
        <v>0</v>
      </c>
      <c r="L53" s="1489">
        <v>0</v>
      </c>
      <c r="M53" s="1489">
        <v>0</v>
      </c>
      <c r="N53" s="1489">
        <v>0</v>
      </c>
      <c r="O53" s="1489">
        <v>0</v>
      </c>
      <c r="P53" s="1489">
        <v>0</v>
      </c>
    </row>
    <row r="54" spans="1:16" s="1488" customFormat="1" ht="21.75">
      <c r="A54" s="1394" t="s">
        <v>2247</v>
      </c>
      <c r="B54" s="1394" t="s">
        <v>2198</v>
      </c>
      <c r="C54" s="1489">
        <v>0</v>
      </c>
      <c r="D54" s="1489">
        <v>0</v>
      </c>
      <c r="E54" s="1489">
        <v>0</v>
      </c>
      <c r="F54" s="1489">
        <v>0</v>
      </c>
      <c r="G54" s="1489">
        <v>0</v>
      </c>
      <c r="H54" s="1489">
        <v>0</v>
      </c>
      <c r="I54" s="1489">
        <v>0</v>
      </c>
      <c r="J54" s="1489">
        <v>0</v>
      </c>
      <c r="K54" s="1489">
        <v>0</v>
      </c>
      <c r="L54" s="1489">
        <v>0</v>
      </c>
      <c r="M54" s="1489">
        <v>0</v>
      </c>
      <c r="N54" s="1489">
        <v>0</v>
      </c>
      <c r="O54" s="1489">
        <v>0</v>
      </c>
      <c r="P54" s="1489">
        <v>0</v>
      </c>
    </row>
    <row r="55" spans="1:16" s="1488" customFormat="1" ht="21.75">
      <c r="A55" s="1394" t="s">
        <v>2248</v>
      </c>
      <c r="B55" s="1394" t="s">
        <v>2198</v>
      </c>
      <c r="C55" s="1489">
        <v>0</v>
      </c>
      <c r="D55" s="1489">
        <v>0</v>
      </c>
      <c r="E55" s="1489">
        <v>0</v>
      </c>
      <c r="F55" s="1489">
        <v>0</v>
      </c>
      <c r="G55" s="1489">
        <v>0</v>
      </c>
      <c r="H55" s="1489">
        <v>0</v>
      </c>
      <c r="I55" s="1489">
        <v>0</v>
      </c>
      <c r="J55" s="1489">
        <v>0</v>
      </c>
      <c r="K55" s="1489">
        <v>0</v>
      </c>
      <c r="L55" s="1489">
        <v>0</v>
      </c>
      <c r="M55" s="1489">
        <v>0</v>
      </c>
      <c r="N55" s="1489">
        <v>0</v>
      </c>
      <c r="O55" s="1489">
        <v>0</v>
      </c>
      <c r="P55" s="1489">
        <v>0</v>
      </c>
    </row>
    <row r="56" spans="1:16" s="1488" customFormat="1" ht="21.75">
      <c r="A56" s="1394" t="s">
        <v>2249</v>
      </c>
      <c r="B56" s="1394" t="s">
        <v>2198</v>
      </c>
      <c r="C56" s="1489">
        <v>3237</v>
      </c>
      <c r="D56" s="1489">
        <v>3237</v>
      </c>
      <c r="E56" s="1489">
        <v>3239</v>
      </c>
      <c r="F56" s="1489">
        <v>3121</v>
      </c>
      <c r="G56" s="1489">
        <v>4341</v>
      </c>
      <c r="H56" s="1489">
        <v>4341</v>
      </c>
      <c r="I56" s="1489">
        <v>4342</v>
      </c>
      <c r="J56" s="1489">
        <v>4327</v>
      </c>
      <c r="K56" s="1489">
        <v>4328</v>
      </c>
      <c r="L56" s="1489">
        <v>4326</v>
      </c>
      <c r="M56" s="1489">
        <v>4341</v>
      </c>
      <c r="N56" s="1489">
        <v>4341</v>
      </c>
      <c r="O56" s="1489">
        <v>5741</v>
      </c>
      <c r="P56" s="1489">
        <v>4064498</v>
      </c>
    </row>
    <row r="57" spans="1:16" s="1488" customFormat="1" ht="21.75">
      <c r="A57" s="1394" t="s">
        <v>2250</v>
      </c>
      <c r="B57" s="1394" t="s">
        <v>2198</v>
      </c>
      <c r="C57" s="1489">
        <v>6308</v>
      </c>
      <c r="D57" s="1489">
        <v>6308</v>
      </c>
      <c r="E57" s="1489">
        <v>6308</v>
      </c>
      <c r="F57" s="1489">
        <v>6308</v>
      </c>
      <c r="G57" s="1489">
        <v>6308</v>
      </c>
      <c r="H57" s="1489">
        <v>6308</v>
      </c>
      <c r="I57" s="1489">
        <v>6308</v>
      </c>
      <c r="J57" s="1489">
        <v>6308</v>
      </c>
      <c r="K57" s="1489">
        <v>6308</v>
      </c>
      <c r="L57" s="1489">
        <v>7966</v>
      </c>
      <c r="M57" s="1489">
        <v>7966</v>
      </c>
      <c r="N57" s="1489">
        <v>7966</v>
      </c>
      <c r="O57" s="1489">
        <v>4280</v>
      </c>
      <c r="P57" s="1489">
        <v>6637888</v>
      </c>
    </row>
    <row r="58" spans="1:16" s="1488" customFormat="1">
      <c r="C58" s="1489"/>
      <c r="D58" s="1489"/>
      <c r="E58" s="1489"/>
      <c r="F58" s="1489"/>
      <c r="G58" s="1489"/>
      <c r="H58" s="1489"/>
      <c r="I58" s="1489"/>
      <c r="J58" s="1489"/>
      <c r="K58" s="1489"/>
      <c r="L58" s="1489"/>
      <c r="M58" s="1489"/>
      <c r="N58" s="1489"/>
      <c r="O58" s="1489"/>
      <c r="P58" s="1489"/>
    </row>
    <row r="59" spans="1:16" s="1488" customFormat="1">
      <c r="C59" s="1489"/>
      <c r="D59" s="1489"/>
      <c r="E59" s="1489"/>
      <c r="F59" s="1489"/>
      <c r="G59" s="1489"/>
      <c r="H59" s="1489"/>
      <c r="I59" s="1489"/>
      <c r="J59" s="1489"/>
      <c r="K59" s="1489"/>
      <c r="L59" s="1489"/>
      <c r="M59" s="1489"/>
      <c r="N59" s="1489"/>
      <c r="O59" s="1489"/>
      <c r="P59" s="1489"/>
    </row>
    <row r="60" spans="1:16" ht="13.5" thickBot="1">
      <c r="A60" s="1491"/>
      <c r="B60" s="1492" t="s">
        <v>2078</v>
      </c>
      <c r="C60" s="1495">
        <f>SUM(C5:C59)</f>
        <v>2484043</v>
      </c>
      <c r="D60" s="1495">
        <f t="shared" ref="D60:P60" si="0">SUM(D5:D59)</f>
        <v>2490373</v>
      </c>
      <c r="E60" s="1495">
        <f t="shared" si="0"/>
        <v>2496316</v>
      </c>
      <c r="F60" s="1495">
        <f t="shared" si="0"/>
        <v>2505870</v>
      </c>
      <c r="G60" s="1495">
        <f t="shared" si="0"/>
        <v>2514326</v>
      </c>
      <c r="H60" s="1495">
        <f t="shared" si="0"/>
        <v>2522685</v>
      </c>
      <c r="I60" s="1495">
        <f t="shared" si="0"/>
        <v>2534750</v>
      </c>
      <c r="J60" s="1495">
        <f t="shared" si="0"/>
        <v>2541395</v>
      </c>
      <c r="K60" s="1495">
        <f t="shared" si="0"/>
        <v>2548768</v>
      </c>
      <c r="L60" s="1495">
        <f t="shared" si="0"/>
        <v>2559554</v>
      </c>
      <c r="M60" s="1495">
        <f t="shared" si="0"/>
        <v>2571108</v>
      </c>
      <c r="N60" s="1495">
        <f t="shared" si="0"/>
        <v>2580007</v>
      </c>
      <c r="O60" s="1495">
        <f t="shared" si="0"/>
        <v>2590286</v>
      </c>
      <c r="P60" s="1495">
        <f t="shared" si="0"/>
        <v>2533527615</v>
      </c>
    </row>
    <row r="61" spans="1:16" s="1488" customFormat="1" ht="13.5" thickTop="1">
      <c r="A61" s="1149"/>
      <c r="B61" s="1149"/>
      <c r="C61" s="1149"/>
      <c r="D61" s="1149"/>
      <c r="E61" s="1149"/>
      <c r="F61" s="1149"/>
      <c r="G61" s="1149"/>
      <c r="H61" s="1149"/>
      <c r="I61" s="1149"/>
      <c r="J61" s="1149"/>
      <c r="K61" s="1149"/>
      <c r="L61" s="1149"/>
      <c r="M61" s="1149"/>
      <c r="N61" s="1149"/>
      <c r="O61" s="1149"/>
      <c r="P61" s="1149"/>
    </row>
    <row r="62" spans="1:16" s="1488" customFormat="1">
      <c r="A62" s="1394" t="s">
        <v>2251</v>
      </c>
      <c r="B62" s="1394" t="s">
        <v>2252</v>
      </c>
      <c r="C62" s="1489">
        <v>6005</v>
      </c>
      <c r="D62" s="1489">
        <v>6006</v>
      </c>
      <c r="E62" s="1489">
        <v>6008</v>
      </c>
      <c r="F62" s="1489">
        <v>6008</v>
      </c>
      <c r="G62" s="1489">
        <v>6008</v>
      </c>
      <c r="H62" s="1489">
        <v>5963</v>
      </c>
      <c r="I62" s="1489">
        <v>13472</v>
      </c>
      <c r="J62" s="1489">
        <v>13488</v>
      </c>
      <c r="K62" s="1489">
        <v>13488</v>
      </c>
      <c r="L62" s="1489">
        <v>13488</v>
      </c>
      <c r="M62" s="1489">
        <v>13488</v>
      </c>
      <c r="N62" s="1489">
        <v>13488</v>
      </c>
      <c r="O62" s="1489">
        <v>13488</v>
      </c>
      <c r="P62" s="1489">
        <v>10054287</v>
      </c>
    </row>
    <row r="63" spans="1:16" s="1488" customFormat="1">
      <c r="A63" s="1394" t="s">
        <v>2253</v>
      </c>
      <c r="B63" s="1394" t="s">
        <v>2252</v>
      </c>
      <c r="C63" s="1489">
        <v>23</v>
      </c>
      <c r="D63" s="1489">
        <v>23</v>
      </c>
      <c r="E63" s="1489">
        <v>23</v>
      </c>
      <c r="F63" s="1489">
        <v>23</v>
      </c>
      <c r="G63" s="1489">
        <v>23</v>
      </c>
      <c r="H63" s="1489">
        <v>23</v>
      </c>
      <c r="I63" s="1489">
        <v>23</v>
      </c>
      <c r="J63" s="1489">
        <v>23</v>
      </c>
      <c r="K63" s="1489">
        <v>23</v>
      </c>
      <c r="L63" s="1489">
        <v>23</v>
      </c>
      <c r="M63" s="1489">
        <v>23</v>
      </c>
      <c r="N63" s="1489">
        <v>23</v>
      </c>
      <c r="O63" s="1489">
        <v>23</v>
      </c>
      <c r="P63" s="1489">
        <v>22729</v>
      </c>
    </row>
    <row r="64" spans="1:16" s="1488" customFormat="1">
      <c r="A64" s="1394" t="s">
        <v>2254</v>
      </c>
      <c r="B64" s="1394" t="s">
        <v>2252</v>
      </c>
      <c r="C64" s="1489">
        <v>6506</v>
      </c>
      <c r="D64" s="1489">
        <v>6506</v>
      </c>
      <c r="E64" s="1489">
        <v>6509</v>
      </c>
      <c r="F64" s="1489">
        <v>6509</v>
      </c>
      <c r="G64" s="1489">
        <v>6509</v>
      </c>
      <c r="H64" s="1489">
        <v>6460</v>
      </c>
      <c r="I64" s="1489">
        <v>6460</v>
      </c>
      <c r="J64" s="1489">
        <v>6462</v>
      </c>
      <c r="K64" s="1489">
        <v>6462</v>
      </c>
      <c r="L64" s="1489">
        <v>6462</v>
      </c>
      <c r="M64" s="1489">
        <v>6462</v>
      </c>
      <c r="N64" s="1489">
        <v>6462</v>
      </c>
      <c r="O64" s="1489">
        <v>6462</v>
      </c>
      <c r="P64" s="1489">
        <v>6478772</v>
      </c>
    </row>
    <row r="65" spans="1:16" s="1488" customFormat="1">
      <c r="A65" s="1394" t="s">
        <v>2255</v>
      </c>
      <c r="B65" s="1394" t="s">
        <v>2252</v>
      </c>
      <c r="C65" s="1489">
        <v>356</v>
      </c>
      <c r="D65" s="1489">
        <v>356</v>
      </c>
      <c r="E65" s="1489">
        <v>356</v>
      </c>
      <c r="F65" s="1489">
        <v>356</v>
      </c>
      <c r="G65" s="1489">
        <v>356</v>
      </c>
      <c r="H65" s="1489">
        <v>356</v>
      </c>
      <c r="I65" s="1489">
        <v>356</v>
      </c>
      <c r="J65" s="1489">
        <v>356</v>
      </c>
      <c r="K65" s="1489">
        <v>356</v>
      </c>
      <c r="L65" s="1489">
        <v>356</v>
      </c>
      <c r="M65" s="1489">
        <v>356</v>
      </c>
      <c r="N65" s="1489">
        <v>356</v>
      </c>
      <c r="O65" s="1489">
        <v>356</v>
      </c>
      <c r="P65" s="1489">
        <v>355786</v>
      </c>
    </row>
    <row r="66" spans="1:16" s="1488" customFormat="1">
      <c r="A66" s="1394" t="s">
        <v>2256</v>
      </c>
      <c r="B66" s="1394" t="s">
        <v>2252</v>
      </c>
      <c r="C66" s="1489">
        <v>185</v>
      </c>
      <c r="D66" s="1489">
        <v>185</v>
      </c>
      <c r="E66" s="1489">
        <v>185</v>
      </c>
      <c r="F66" s="1489">
        <v>185</v>
      </c>
      <c r="G66" s="1489">
        <v>185</v>
      </c>
      <c r="H66" s="1489">
        <v>185</v>
      </c>
      <c r="I66" s="1489">
        <v>186</v>
      </c>
      <c r="J66" s="1489">
        <v>334</v>
      </c>
      <c r="K66" s="1489">
        <v>367</v>
      </c>
      <c r="L66" s="1489">
        <v>367</v>
      </c>
      <c r="M66" s="1489">
        <v>367</v>
      </c>
      <c r="N66" s="1489">
        <v>367</v>
      </c>
      <c r="O66" s="1489">
        <v>367</v>
      </c>
      <c r="P66" s="1489">
        <v>265515</v>
      </c>
    </row>
    <row r="67" spans="1:16" s="1488" customFormat="1">
      <c r="A67" s="1394" t="s">
        <v>2257</v>
      </c>
      <c r="B67" s="1394" t="s">
        <v>2252</v>
      </c>
      <c r="C67" s="1489">
        <v>0</v>
      </c>
      <c r="D67" s="1489">
        <v>0</v>
      </c>
      <c r="E67" s="1489">
        <v>0</v>
      </c>
      <c r="F67" s="1489">
        <v>0</v>
      </c>
      <c r="G67" s="1489">
        <v>0</v>
      </c>
      <c r="H67" s="1489">
        <v>0</v>
      </c>
      <c r="I67" s="1489">
        <v>0</v>
      </c>
      <c r="J67" s="1489">
        <v>0</v>
      </c>
      <c r="K67" s="1489">
        <v>0</v>
      </c>
      <c r="L67" s="1489">
        <v>0</v>
      </c>
      <c r="M67" s="1489">
        <v>0</v>
      </c>
      <c r="N67" s="1489">
        <v>0</v>
      </c>
      <c r="O67" s="1489">
        <v>0</v>
      </c>
      <c r="P67" s="1489">
        <v>0</v>
      </c>
    </row>
    <row r="68" spans="1:16" s="1488" customFormat="1">
      <c r="A68" s="1394" t="s">
        <v>2258</v>
      </c>
      <c r="B68" s="1394" t="s">
        <v>2252</v>
      </c>
      <c r="C68" s="1489">
        <v>0</v>
      </c>
      <c r="D68" s="1489">
        <v>0</v>
      </c>
      <c r="E68" s="1489">
        <v>0</v>
      </c>
      <c r="F68" s="1489">
        <v>0</v>
      </c>
      <c r="G68" s="1489">
        <v>0</v>
      </c>
      <c r="H68" s="1489">
        <v>0</v>
      </c>
      <c r="I68" s="1489">
        <v>0</v>
      </c>
      <c r="J68" s="1489">
        <v>0</v>
      </c>
      <c r="K68" s="1489">
        <v>0</v>
      </c>
      <c r="L68" s="1489">
        <v>0</v>
      </c>
      <c r="M68" s="1489">
        <v>0</v>
      </c>
      <c r="N68" s="1489">
        <v>0</v>
      </c>
      <c r="O68" s="1489">
        <v>0</v>
      </c>
      <c r="P68" s="1489">
        <v>0</v>
      </c>
    </row>
    <row r="69" spans="1:16" s="1488" customFormat="1">
      <c r="A69" s="1394" t="s">
        <v>2259</v>
      </c>
      <c r="B69" s="1394" t="s">
        <v>2252</v>
      </c>
      <c r="C69" s="1489">
        <v>3323</v>
      </c>
      <c r="D69" s="1489">
        <v>3323</v>
      </c>
      <c r="E69" s="1489">
        <v>3323</v>
      </c>
      <c r="F69" s="1489">
        <v>3323</v>
      </c>
      <c r="G69" s="1489">
        <v>3323</v>
      </c>
      <c r="H69" s="1489">
        <v>3323</v>
      </c>
      <c r="I69" s="1489">
        <v>3323</v>
      </c>
      <c r="J69" s="1489">
        <v>3323</v>
      </c>
      <c r="K69" s="1489">
        <v>3323</v>
      </c>
      <c r="L69" s="1489">
        <v>3323</v>
      </c>
      <c r="M69" s="1489">
        <v>3323</v>
      </c>
      <c r="N69" s="1489">
        <v>3323</v>
      </c>
      <c r="O69" s="1489">
        <v>3323</v>
      </c>
      <c r="P69" s="1489">
        <v>3323258</v>
      </c>
    </row>
    <row r="70" spans="1:16" s="1488" customFormat="1">
      <c r="A70" s="1394" t="s">
        <v>2260</v>
      </c>
      <c r="B70" s="1394" t="s">
        <v>2252</v>
      </c>
      <c r="C70" s="1489">
        <v>0</v>
      </c>
      <c r="D70" s="1489">
        <v>0</v>
      </c>
      <c r="E70" s="1489">
        <v>0</v>
      </c>
      <c r="F70" s="1489">
        <v>0</v>
      </c>
      <c r="G70" s="1489">
        <v>0</v>
      </c>
      <c r="H70" s="1489">
        <v>0</v>
      </c>
      <c r="I70" s="1489">
        <v>0</v>
      </c>
      <c r="J70" s="1489">
        <v>0</v>
      </c>
      <c r="K70" s="1489">
        <v>0</v>
      </c>
      <c r="L70" s="1489">
        <v>0</v>
      </c>
      <c r="M70" s="1489">
        <v>626</v>
      </c>
      <c r="N70" s="1489">
        <v>626</v>
      </c>
      <c r="O70" s="1489">
        <v>626</v>
      </c>
      <c r="P70" s="1489">
        <v>130495</v>
      </c>
    </row>
    <row r="71" spans="1:16" s="1488" customFormat="1">
      <c r="A71" s="1394" t="s">
        <v>2261</v>
      </c>
      <c r="B71" s="1394" t="s">
        <v>2252</v>
      </c>
      <c r="C71" s="1489">
        <v>0</v>
      </c>
      <c r="D71" s="1489">
        <v>0</v>
      </c>
      <c r="E71" s="1489">
        <v>0</v>
      </c>
      <c r="F71" s="1489">
        <v>4577</v>
      </c>
      <c r="G71" s="1489">
        <v>4577</v>
      </c>
      <c r="H71" s="1489">
        <v>4577</v>
      </c>
      <c r="I71" s="1489">
        <v>4577</v>
      </c>
      <c r="J71" s="1489">
        <v>4577</v>
      </c>
      <c r="K71" s="1489">
        <v>4577</v>
      </c>
      <c r="L71" s="1489">
        <v>4577</v>
      </c>
      <c r="M71" s="1489">
        <v>4577</v>
      </c>
      <c r="N71" s="1489">
        <v>4577</v>
      </c>
      <c r="O71" s="1489">
        <v>4577</v>
      </c>
      <c r="P71" s="1489">
        <v>3623772</v>
      </c>
    </row>
    <row r="72" spans="1:16" s="1488" customFormat="1">
      <c r="A72" s="1394" t="s">
        <v>2262</v>
      </c>
      <c r="B72" s="1394" t="s">
        <v>2252</v>
      </c>
      <c r="C72" s="1489">
        <v>0</v>
      </c>
      <c r="D72" s="1489">
        <v>0</v>
      </c>
      <c r="E72" s="1489">
        <v>0</v>
      </c>
      <c r="F72" s="1489">
        <v>0</v>
      </c>
      <c r="G72" s="1489">
        <v>0</v>
      </c>
      <c r="H72" s="1489">
        <v>0</v>
      </c>
      <c r="I72" s="1489">
        <v>0</v>
      </c>
      <c r="J72" s="1489">
        <v>0</v>
      </c>
      <c r="K72" s="1489">
        <v>0</v>
      </c>
      <c r="L72" s="1489">
        <v>0</v>
      </c>
      <c r="M72" s="1489">
        <v>0</v>
      </c>
      <c r="N72" s="1489">
        <v>0</v>
      </c>
      <c r="O72" s="1489">
        <v>0</v>
      </c>
      <c r="P72" s="1489">
        <v>0</v>
      </c>
    </row>
    <row r="73" spans="1:16" s="1488" customFormat="1">
      <c r="A73" s="1394" t="s">
        <v>2263</v>
      </c>
      <c r="B73" s="1394" t="s">
        <v>2252</v>
      </c>
      <c r="C73" s="1489">
        <v>0</v>
      </c>
      <c r="D73" s="1489">
        <v>0</v>
      </c>
      <c r="E73" s="1489">
        <v>0</v>
      </c>
      <c r="F73" s="1489">
        <v>0</v>
      </c>
      <c r="G73" s="1489">
        <v>0</v>
      </c>
      <c r="H73" s="1489">
        <v>0</v>
      </c>
      <c r="I73" s="1489">
        <v>0</v>
      </c>
      <c r="J73" s="1489">
        <v>0</v>
      </c>
      <c r="K73" s="1489">
        <v>0</v>
      </c>
      <c r="L73" s="1489">
        <v>0</v>
      </c>
      <c r="M73" s="1489">
        <v>0</v>
      </c>
      <c r="N73" s="1489">
        <v>0</v>
      </c>
      <c r="O73" s="1489">
        <v>0</v>
      </c>
      <c r="P73" s="1489">
        <v>0</v>
      </c>
    </row>
    <row r="74" spans="1:16" s="1488" customFormat="1">
      <c r="A74" s="1394" t="s">
        <v>2264</v>
      </c>
      <c r="B74" s="1394" t="s">
        <v>2252</v>
      </c>
      <c r="C74" s="1489">
        <v>0</v>
      </c>
      <c r="D74" s="1489">
        <v>0</v>
      </c>
      <c r="E74" s="1489">
        <v>0</v>
      </c>
      <c r="F74" s="1489">
        <v>0</v>
      </c>
      <c r="G74" s="1489">
        <v>0</v>
      </c>
      <c r="H74" s="1489">
        <v>0</v>
      </c>
      <c r="I74" s="1489">
        <v>0</v>
      </c>
      <c r="J74" s="1489">
        <v>0</v>
      </c>
      <c r="K74" s="1489">
        <v>0</v>
      </c>
      <c r="L74" s="1489">
        <v>0</v>
      </c>
      <c r="M74" s="1489">
        <v>0</v>
      </c>
      <c r="N74" s="1489">
        <v>0</v>
      </c>
      <c r="O74" s="1489">
        <v>0</v>
      </c>
      <c r="P74" s="1489">
        <v>0</v>
      </c>
    </row>
    <row r="75" spans="1:16" s="1488" customFormat="1">
      <c r="A75" s="1394" t="s">
        <v>2265</v>
      </c>
      <c r="B75" s="1394" t="s">
        <v>2252</v>
      </c>
      <c r="C75" s="1489">
        <v>2301</v>
      </c>
      <c r="D75" s="1489">
        <v>5388</v>
      </c>
      <c r="E75" s="1489">
        <v>5391</v>
      </c>
      <c r="F75" s="1489">
        <v>5398</v>
      </c>
      <c r="G75" s="1489">
        <v>5442</v>
      </c>
      <c r="H75" s="1489">
        <v>5468</v>
      </c>
      <c r="I75" s="1489">
        <v>5483</v>
      </c>
      <c r="J75" s="1489">
        <v>5604</v>
      </c>
      <c r="K75" s="1489">
        <v>5769</v>
      </c>
      <c r="L75" s="1489">
        <v>5885</v>
      </c>
      <c r="M75" s="1489">
        <v>5906</v>
      </c>
      <c r="N75" s="1489">
        <v>5906</v>
      </c>
      <c r="O75" s="1489">
        <v>5906</v>
      </c>
      <c r="P75" s="1489">
        <v>5478496</v>
      </c>
    </row>
    <row r="76" spans="1:16" s="1488" customFormat="1">
      <c r="A76" s="1394" t="s">
        <v>2266</v>
      </c>
      <c r="B76" s="1394" t="s">
        <v>2252</v>
      </c>
      <c r="C76" s="1489">
        <v>428</v>
      </c>
      <c r="D76" s="1489">
        <v>428</v>
      </c>
      <c r="E76" s="1489">
        <v>428</v>
      </c>
      <c r="F76" s="1489">
        <v>428</v>
      </c>
      <c r="G76" s="1489">
        <v>390</v>
      </c>
      <c r="H76" s="1489">
        <v>391</v>
      </c>
      <c r="I76" s="1489">
        <v>390</v>
      </c>
      <c r="J76" s="1489">
        <v>398</v>
      </c>
      <c r="K76" s="1489">
        <v>401</v>
      </c>
      <c r="L76" s="1489">
        <v>401</v>
      </c>
      <c r="M76" s="1489">
        <v>401</v>
      </c>
      <c r="N76" s="1489">
        <v>401</v>
      </c>
      <c r="O76" s="1489">
        <v>401</v>
      </c>
      <c r="P76" s="1489">
        <v>405774</v>
      </c>
    </row>
    <row r="77" spans="1:16" s="1488" customFormat="1">
      <c r="A77" s="1394" t="s">
        <v>2267</v>
      </c>
      <c r="B77" s="1394" t="s">
        <v>2252</v>
      </c>
      <c r="C77" s="1489">
        <v>0</v>
      </c>
      <c r="D77" s="1489">
        <v>0</v>
      </c>
      <c r="E77" s="1489">
        <v>0</v>
      </c>
      <c r="F77" s="1489">
        <v>0</v>
      </c>
      <c r="G77" s="1489">
        <v>0</v>
      </c>
      <c r="H77" s="1489">
        <v>0</v>
      </c>
      <c r="I77" s="1489">
        <v>0</v>
      </c>
      <c r="J77" s="1489">
        <v>0</v>
      </c>
      <c r="K77" s="1489">
        <v>0</v>
      </c>
      <c r="L77" s="1489">
        <v>0</v>
      </c>
      <c r="M77" s="1489">
        <v>0</v>
      </c>
      <c r="N77" s="1489">
        <v>0</v>
      </c>
      <c r="O77" s="1489">
        <v>0</v>
      </c>
      <c r="P77" s="1489">
        <v>0</v>
      </c>
    </row>
    <row r="78" spans="1:16" s="1488" customFormat="1">
      <c r="A78" s="1394" t="s">
        <v>2268</v>
      </c>
      <c r="B78" s="1394" t="s">
        <v>2252</v>
      </c>
      <c r="C78" s="1489">
        <v>28</v>
      </c>
      <c r="D78" s="1489">
        <v>28</v>
      </c>
      <c r="E78" s="1489">
        <v>28</v>
      </c>
      <c r="F78" s="1489">
        <v>50</v>
      </c>
      <c r="G78" s="1489">
        <v>50</v>
      </c>
      <c r="H78" s="1489">
        <v>50</v>
      </c>
      <c r="I78" s="1489">
        <v>50</v>
      </c>
      <c r="J78" s="1489">
        <v>50</v>
      </c>
      <c r="K78" s="1489">
        <v>50</v>
      </c>
      <c r="L78" s="1489">
        <v>50</v>
      </c>
      <c r="M78" s="1489">
        <v>50</v>
      </c>
      <c r="N78" s="1489">
        <v>50</v>
      </c>
      <c r="O78" s="1489">
        <v>50</v>
      </c>
      <c r="P78" s="1489">
        <v>45541</v>
      </c>
    </row>
    <row r="79" spans="1:16" s="1488" customFormat="1">
      <c r="A79" s="1394" t="s">
        <v>2269</v>
      </c>
      <c r="B79" s="1394" t="s">
        <v>2252</v>
      </c>
      <c r="C79" s="1489">
        <v>0</v>
      </c>
      <c r="D79" s="1489">
        <v>0</v>
      </c>
      <c r="E79" s="1489">
        <v>0</v>
      </c>
      <c r="F79" s="1489">
        <v>0</v>
      </c>
      <c r="G79" s="1489">
        <v>0</v>
      </c>
      <c r="H79" s="1489">
        <v>0</v>
      </c>
      <c r="I79" s="1489">
        <v>0</v>
      </c>
      <c r="J79" s="1489">
        <v>0</v>
      </c>
      <c r="K79" s="1489">
        <v>0</v>
      </c>
      <c r="L79" s="1489">
        <v>0</v>
      </c>
      <c r="M79" s="1489">
        <v>0</v>
      </c>
      <c r="N79" s="1489">
        <v>0</v>
      </c>
      <c r="O79" s="1489">
        <v>0</v>
      </c>
      <c r="P79" s="1489">
        <v>0</v>
      </c>
    </row>
    <row r="80" spans="1:16" s="1488" customFormat="1">
      <c r="A80" s="1394" t="s">
        <v>2270</v>
      </c>
      <c r="B80" s="1394" t="s">
        <v>2252</v>
      </c>
      <c r="C80" s="1489">
        <v>269</v>
      </c>
      <c r="D80" s="1489">
        <v>845</v>
      </c>
      <c r="E80" s="1489">
        <v>845</v>
      </c>
      <c r="F80" s="1489">
        <v>845</v>
      </c>
      <c r="G80" s="1489">
        <v>845</v>
      </c>
      <c r="H80" s="1489">
        <v>845</v>
      </c>
      <c r="I80" s="1489">
        <v>845</v>
      </c>
      <c r="J80" s="1489">
        <v>845</v>
      </c>
      <c r="K80" s="1489">
        <v>845</v>
      </c>
      <c r="L80" s="1489">
        <v>845</v>
      </c>
      <c r="M80" s="1489">
        <v>845</v>
      </c>
      <c r="N80" s="1489">
        <v>845</v>
      </c>
      <c r="O80" s="1489">
        <v>845</v>
      </c>
      <c r="P80" s="1489">
        <v>821463</v>
      </c>
    </row>
    <row r="81" spans="1:16" s="1488" customFormat="1">
      <c r="A81" s="1394" t="s">
        <v>2271</v>
      </c>
      <c r="B81" s="1394" t="s">
        <v>2252</v>
      </c>
      <c r="C81" s="1489">
        <v>8518</v>
      </c>
      <c r="D81" s="1489">
        <v>8485</v>
      </c>
      <c r="E81" s="1489">
        <v>8485</v>
      </c>
      <c r="F81" s="1489">
        <v>8485</v>
      </c>
      <c r="G81" s="1489">
        <v>8485</v>
      </c>
      <c r="H81" s="1489">
        <v>8485</v>
      </c>
      <c r="I81" s="1489">
        <v>8485</v>
      </c>
      <c r="J81" s="1489">
        <v>8485</v>
      </c>
      <c r="K81" s="1489">
        <v>8485</v>
      </c>
      <c r="L81" s="1489">
        <v>8485</v>
      </c>
      <c r="M81" s="1489">
        <v>8485</v>
      </c>
      <c r="N81" s="1489">
        <v>8485</v>
      </c>
      <c r="O81" s="1489">
        <v>8485</v>
      </c>
      <c r="P81" s="1489">
        <v>8486208</v>
      </c>
    </row>
    <row r="82" spans="1:16" s="1488" customFormat="1">
      <c r="A82" s="1394" t="s">
        <v>2272</v>
      </c>
      <c r="B82" s="1394" t="s">
        <v>2252</v>
      </c>
      <c r="C82" s="1489">
        <v>0</v>
      </c>
      <c r="D82" s="1489">
        <v>0</v>
      </c>
      <c r="E82" s="1489">
        <v>0</v>
      </c>
      <c r="F82" s="1489">
        <v>0</v>
      </c>
      <c r="G82" s="1489">
        <v>0</v>
      </c>
      <c r="H82" s="1489">
        <v>0</v>
      </c>
      <c r="I82" s="1489">
        <v>0</v>
      </c>
      <c r="J82" s="1489">
        <v>0</v>
      </c>
      <c r="K82" s="1489">
        <v>0</v>
      </c>
      <c r="L82" s="1489">
        <v>0</v>
      </c>
      <c r="M82" s="1489">
        <v>0</v>
      </c>
      <c r="N82" s="1489">
        <v>0</v>
      </c>
      <c r="O82" s="1489">
        <v>0</v>
      </c>
      <c r="P82" s="1489">
        <v>0</v>
      </c>
    </row>
    <row r="83" spans="1:16" s="1488" customFormat="1">
      <c r="A83" s="1394" t="s">
        <v>2273</v>
      </c>
      <c r="B83" s="1394" t="s">
        <v>2252</v>
      </c>
      <c r="C83" s="1489">
        <v>0</v>
      </c>
      <c r="D83" s="1489">
        <v>0</v>
      </c>
      <c r="E83" s="1489">
        <v>0</v>
      </c>
      <c r="F83" s="1489">
        <v>0</v>
      </c>
      <c r="G83" s="1489">
        <v>0</v>
      </c>
      <c r="H83" s="1489">
        <v>0</v>
      </c>
      <c r="I83" s="1489">
        <v>0</v>
      </c>
      <c r="J83" s="1489">
        <v>0</v>
      </c>
      <c r="K83" s="1489">
        <v>0</v>
      </c>
      <c r="L83" s="1489">
        <v>0</v>
      </c>
      <c r="M83" s="1489">
        <v>0</v>
      </c>
      <c r="N83" s="1489">
        <v>0</v>
      </c>
      <c r="O83" s="1489">
        <v>0</v>
      </c>
      <c r="P83" s="1489">
        <v>0</v>
      </c>
    </row>
    <row r="84" spans="1:16" s="1488" customFormat="1">
      <c r="A84" s="1394" t="s">
        <v>2274</v>
      </c>
      <c r="B84" s="1394" t="s">
        <v>2252</v>
      </c>
      <c r="C84" s="1489">
        <v>0</v>
      </c>
      <c r="D84" s="1489">
        <v>0</v>
      </c>
      <c r="E84" s="1489">
        <v>0</v>
      </c>
      <c r="F84" s="1489">
        <v>0</v>
      </c>
      <c r="G84" s="1489">
        <v>0</v>
      </c>
      <c r="H84" s="1489">
        <v>0</v>
      </c>
      <c r="I84" s="1489">
        <v>0</v>
      </c>
      <c r="J84" s="1489">
        <v>0</v>
      </c>
      <c r="K84" s="1489">
        <v>0</v>
      </c>
      <c r="L84" s="1489">
        <v>0</v>
      </c>
      <c r="M84" s="1489">
        <v>0</v>
      </c>
      <c r="N84" s="1489">
        <v>0</v>
      </c>
      <c r="O84" s="1489">
        <v>0</v>
      </c>
      <c r="P84" s="1489">
        <v>0</v>
      </c>
    </row>
    <row r="85" spans="1:16" s="1488" customFormat="1">
      <c r="A85" s="1394" t="s">
        <v>2275</v>
      </c>
      <c r="B85" s="1394" t="s">
        <v>2252</v>
      </c>
      <c r="C85" s="1489">
        <v>119</v>
      </c>
      <c r="D85" s="1489">
        <v>233</v>
      </c>
      <c r="E85" s="1489">
        <v>233</v>
      </c>
      <c r="F85" s="1489">
        <v>233</v>
      </c>
      <c r="G85" s="1489">
        <v>233</v>
      </c>
      <c r="H85" s="1489">
        <v>233</v>
      </c>
      <c r="I85" s="1489">
        <v>233</v>
      </c>
      <c r="J85" s="1489">
        <v>233</v>
      </c>
      <c r="K85" s="1489">
        <v>233</v>
      </c>
      <c r="L85" s="1489">
        <v>233</v>
      </c>
      <c r="M85" s="1489">
        <v>233</v>
      </c>
      <c r="N85" s="1489">
        <v>233</v>
      </c>
      <c r="O85" s="1489">
        <v>233</v>
      </c>
      <c r="P85" s="1489">
        <v>227882</v>
      </c>
    </row>
    <row r="86" spans="1:16" s="1488" customFormat="1">
      <c r="A86" s="1394" t="s">
        <v>2276</v>
      </c>
      <c r="B86" s="1394" t="s">
        <v>2252</v>
      </c>
      <c r="C86" s="1489">
        <v>2295</v>
      </c>
      <c r="D86" s="1489">
        <v>2295</v>
      </c>
      <c r="E86" s="1489">
        <v>2295</v>
      </c>
      <c r="F86" s="1489">
        <v>2295</v>
      </c>
      <c r="G86" s="1489">
        <v>2295</v>
      </c>
      <c r="H86" s="1489">
        <v>2295</v>
      </c>
      <c r="I86" s="1489">
        <v>2295</v>
      </c>
      <c r="J86" s="1489">
        <v>2295</v>
      </c>
      <c r="K86" s="1489">
        <v>2295</v>
      </c>
      <c r="L86" s="1489">
        <v>2295</v>
      </c>
      <c r="M86" s="1489">
        <v>2295</v>
      </c>
      <c r="N86" s="1489">
        <v>2295</v>
      </c>
      <c r="O86" s="1489">
        <v>2295</v>
      </c>
      <c r="P86" s="1489">
        <v>2294864</v>
      </c>
    </row>
    <row r="87" spans="1:16" s="1488" customFormat="1">
      <c r="A87" s="1394" t="s">
        <v>2277</v>
      </c>
      <c r="B87" s="1394" t="s">
        <v>2252</v>
      </c>
      <c r="C87" s="1489">
        <v>0</v>
      </c>
      <c r="D87" s="1489">
        <v>0</v>
      </c>
      <c r="E87" s="1489">
        <v>0</v>
      </c>
      <c r="F87" s="1489">
        <v>0</v>
      </c>
      <c r="G87" s="1489">
        <v>0</v>
      </c>
      <c r="H87" s="1489">
        <v>0</v>
      </c>
      <c r="I87" s="1489">
        <v>0</v>
      </c>
      <c r="J87" s="1489">
        <v>0</v>
      </c>
      <c r="K87" s="1489">
        <v>0</v>
      </c>
      <c r="L87" s="1489">
        <v>0</v>
      </c>
      <c r="M87" s="1489">
        <v>0</v>
      </c>
      <c r="N87" s="1489">
        <v>0</v>
      </c>
      <c r="O87" s="1489">
        <v>0</v>
      </c>
      <c r="P87" s="1489">
        <v>0</v>
      </c>
    </row>
    <row r="88" spans="1:16" s="1488" customFormat="1">
      <c r="A88" s="1394" t="s">
        <v>2278</v>
      </c>
      <c r="B88" s="1394" t="s">
        <v>2252</v>
      </c>
      <c r="C88" s="1489">
        <v>0</v>
      </c>
      <c r="D88" s="1489">
        <v>0</v>
      </c>
      <c r="E88" s="1489">
        <v>0</v>
      </c>
      <c r="F88" s="1489">
        <v>0</v>
      </c>
      <c r="G88" s="1489">
        <v>0</v>
      </c>
      <c r="H88" s="1489">
        <v>0</v>
      </c>
      <c r="I88" s="1489">
        <v>0</v>
      </c>
      <c r="J88" s="1489">
        <v>0</v>
      </c>
      <c r="K88" s="1489">
        <v>0</v>
      </c>
      <c r="L88" s="1489">
        <v>0</v>
      </c>
      <c r="M88" s="1489">
        <v>0</v>
      </c>
      <c r="N88" s="1489">
        <v>0</v>
      </c>
      <c r="O88" s="1489">
        <v>0</v>
      </c>
      <c r="P88" s="1489">
        <v>0</v>
      </c>
    </row>
    <row r="89" spans="1:16" s="1488" customFormat="1">
      <c r="A89" s="1394" t="s">
        <v>2279</v>
      </c>
      <c r="B89" s="1394" t="s">
        <v>2252</v>
      </c>
      <c r="C89" s="1489">
        <v>484</v>
      </c>
      <c r="D89" s="1489">
        <v>484</v>
      </c>
      <c r="E89" s="1489">
        <v>484</v>
      </c>
      <c r="F89" s="1489">
        <v>484</v>
      </c>
      <c r="G89" s="1489">
        <v>484</v>
      </c>
      <c r="H89" s="1489">
        <v>484</v>
      </c>
      <c r="I89" s="1489">
        <v>484</v>
      </c>
      <c r="J89" s="1489">
        <v>484</v>
      </c>
      <c r="K89" s="1489">
        <v>484</v>
      </c>
      <c r="L89" s="1489">
        <v>484</v>
      </c>
      <c r="M89" s="1489">
        <v>484</v>
      </c>
      <c r="N89" s="1489">
        <v>484</v>
      </c>
      <c r="O89" s="1489">
        <v>484</v>
      </c>
      <c r="P89" s="1489">
        <v>483584</v>
      </c>
    </row>
    <row r="90" spans="1:16" s="1488" customFormat="1">
      <c r="A90" s="1394" t="s">
        <v>2280</v>
      </c>
      <c r="B90" s="1394" t="s">
        <v>2252</v>
      </c>
      <c r="C90" s="1489">
        <v>11</v>
      </c>
      <c r="D90" s="1489">
        <v>11</v>
      </c>
      <c r="E90" s="1489">
        <v>11</v>
      </c>
      <c r="F90" s="1489">
        <v>11</v>
      </c>
      <c r="G90" s="1489">
        <v>11</v>
      </c>
      <c r="H90" s="1489">
        <v>11</v>
      </c>
      <c r="I90" s="1489">
        <v>11</v>
      </c>
      <c r="J90" s="1489">
        <v>11</v>
      </c>
      <c r="K90" s="1489">
        <v>11</v>
      </c>
      <c r="L90" s="1489">
        <v>11</v>
      </c>
      <c r="M90" s="1489">
        <v>11</v>
      </c>
      <c r="N90" s="1489">
        <v>11</v>
      </c>
      <c r="O90" s="1489">
        <v>11</v>
      </c>
      <c r="P90" s="1489">
        <v>11019</v>
      </c>
    </row>
    <row r="91" spans="1:16" s="1488" customFormat="1">
      <c r="A91" s="1394" t="s">
        <v>2281</v>
      </c>
      <c r="B91" s="1394" t="s">
        <v>2252</v>
      </c>
      <c r="C91" s="1489">
        <v>3977</v>
      </c>
      <c r="D91" s="1489">
        <v>3977</v>
      </c>
      <c r="E91" s="1489">
        <v>3977</v>
      </c>
      <c r="F91" s="1489">
        <v>3977</v>
      </c>
      <c r="G91" s="1489">
        <v>3977</v>
      </c>
      <c r="H91" s="1489">
        <v>3977</v>
      </c>
      <c r="I91" s="1489">
        <v>3977</v>
      </c>
      <c r="J91" s="1489">
        <v>3977</v>
      </c>
      <c r="K91" s="1489">
        <v>3977</v>
      </c>
      <c r="L91" s="1489">
        <v>3977</v>
      </c>
      <c r="M91" s="1489">
        <v>3977</v>
      </c>
      <c r="N91" s="1489">
        <v>3977</v>
      </c>
      <c r="O91" s="1489">
        <v>3977</v>
      </c>
      <c r="P91" s="1489">
        <v>3977376</v>
      </c>
    </row>
    <row r="92" spans="1:16" s="1488" customFormat="1">
      <c r="A92" s="1394" t="s">
        <v>2282</v>
      </c>
      <c r="B92" s="1394" t="s">
        <v>2252</v>
      </c>
      <c r="C92" s="1489">
        <v>0</v>
      </c>
      <c r="D92" s="1489">
        <v>0</v>
      </c>
      <c r="E92" s="1489">
        <v>0</v>
      </c>
      <c r="F92" s="1489">
        <v>0</v>
      </c>
      <c r="G92" s="1489">
        <v>0</v>
      </c>
      <c r="H92" s="1489">
        <v>0</v>
      </c>
      <c r="I92" s="1489">
        <v>0</v>
      </c>
      <c r="J92" s="1489">
        <v>0</v>
      </c>
      <c r="K92" s="1489">
        <v>0</v>
      </c>
      <c r="L92" s="1489">
        <v>0</v>
      </c>
      <c r="M92" s="1489">
        <v>0</v>
      </c>
      <c r="N92" s="1489">
        <v>0</v>
      </c>
      <c r="O92" s="1489">
        <v>0</v>
      </c>
      <c r="P92" s="1489">
        <v>0</v>
      </c>
    </row>
    <row r="93" spans="1:16" s="1488" customFormat="1">
      <c r="A93" s="1394" t="s">
        <v>2283</v>
      </c>
      <c r="B93" s="1394" t="s">
        <v>2252</v>
      </c>
      <c r="C93" s="1489">
        <v>0</v>
      </c>
      <c r="D93" s="1489">
        <v>0</v>
      </c>
      <c r="E93" s="1489">
        <v>0</v>
      </c>
      <c r="F93" s="1489">
        <v>0</v>
      </c>
      <c r="G93" s="1489">
        <v>0</v>
      </c>
      <c r="H93" s="1489">
        <v>0</v>
      </c>
      <c r="I93" s="1489">
        <v>0</v>
      </c>
      <c r="J93" s="1489">
        <v>0</v>
      </c>
      <c r="K93" s="1489">
        <v>0</v>
      </c>
      <c r="L93" s="1489">
        <v>0</v>
      </c>
      <c r="M93" s="1489">
        <v>0</v>
      </c>
      <c r="N93" s="1489">
        <v>0</v>
      </c>
      <c r="O93" s="1489">
        <v>0</v>
      </c>
      <c r="P93" s="1489">
        <v>0</v>
      </c>
    </row>
    <row r="94" spans="1:16" s="1488" customFormat="1">
      <c r="A94" s="1394" t="s">
        <v>2284</v>
      </c>
      <c r="B94" s="1394" t="s">
        <v>2252</v>
      </c>
      <c r="C94" s="1489">
        <v>0</v>
      </c>
      <c r="D94" s="1489">
        <v>0</v>
      </c>
      <c r="E94" s="1489">
        <v>0</v>
      </c>
      <c r="F94" s="1489">
        <v>0</v>
      </c>
      <c r="G94" s="1489">
        <v>0</v>
      </c>
      <c r="H94" s="1489">
        <v>0</v>
      </c>
      <c r="I94" s="1489">
        <v>0</v>
      </c>
      <c r="J94" s="1489">
        <v>0</v>
      </c>
      <c r="K94" s="1489">
        <v>0</v>
      </c>
      <c r="L94" s="1489">
        <v>0</v>
      </c>
      <c r="M94" s="1489">
        <v>0</v>
      </c>
      <c r="N94" s="1489">
        <v>0</v>
      </c>
      <c r="O94" s="1489">
        <v>0</v>
      </c>
      <c r="P94" s="1489">
        <v>0</v>
      </c>
    </row>
    <row r="95" spans="1:16" s="1488" customFormat="1">
      <c r="A95" s="1394" t="s">
        <v>2285</v>
      </c>
      <c r="B95" s="1394" t="s">
        <v>2252</v>
      </c>
      <c r="C95" s="1489">
        <v>27</v>
      </c>
      <c r="D95" s="1489">
        <v>20</v>
      </c>
      <c r="E95" s="1489">
        <v>20</v>
      </c>
      <c r="F95" s="1489">
        <v>73</v>
      </c>
      <c r="G95" s="1489">
        <v>73</v>
      </c>
      <c r="H95" s="1489">
        <v>73</v>
      </c>
      <c r="I95" s="1489">
        <v>73</v>
      </c>
      <c r="J95" s="1489">
        <v>73</v>
      </c>
      <c r="K95" s="1489">
        <v>73</v>
      </c>
      <c r="L95" s="1489">
        <v>73</v>
      </c>
      <c r="M95" s="1489">
        <v>73</v>
      </c>
      <c r="N95" s="1489">
        <v>73</v>
      </c>
      <c r="O95" s="1489">
        <v>73</v>
      </c>
      <c r="P95" s="1489">
        <v>62245</v>
      </c>
    </row>
    <row r="96" spans="1:16" s="1488" customFormat="1">
      <c r="A96" s="1394" t="s">
        <v>2286</v>
      </c>
      <c r="B96" s="1394" t="s">
        <v>2252</v>
      </c>
      <c r="C96" s="1489">
        <v>0</v>
      </c>
      <c r="D96" s="1489">
        <v>0</v>
      </c>
      <c r="E96" s="1489">
        <v>0</v>
      </c>
      <c r="F96" s="1489">
        <v>0</v>
      </c>
      <c r="G96" s="1489">
        <v>0</v>
      </c>
      <c r="H96" s="1489">
        <v>0</v>
      </c>
      <c r="I96" s="1489">
        <v>0</v>
      </c>
      <c r="J96" s="1489">
        <v>0</v>
      </c>
      <c r="K96" s="1489">
        <v>0</v>
      </c>
      <c r="L96" s="1489">
        <v>0</v>
      </c>
      <c r="M96" s="1489">
        <v>0</v>
      </c>
      <c r="N96" s="1489">
        <v>0</v>
      </c>
      <c r="O96" s="1489">
        <v>0</v>
      </c>
      <c r="P96" s="1489">
        <v>0</v>
      </c>
    </row>
    <row r="97" spans="1:16" s="1488" customFormat="1">
      <c r="A97" s="1394" t="s">
        <v>2287</v>
      </c>
      <c r="B97" s="1394" t="s">
        <v>2252</v>
      </c>
      <c r="C97" s="1489">
        <v>0</v>
      </c>
      <c r="D97" s="1489">
        <v>0</v>
      </c>
      <c r="E97" s="1489">
        <v>0</v>
      </c>
      <c r="F97" s="1489">
        <v>0</v>
      </c>
      <c r="G97" s="1489">
        <v>0</v>
      </c>
      <c r="H97" s="1489">
        <v>0</v>
      </c>
      <c r="I97" s="1489">
        <v>0</v>
      </c>
      <c r="J97" s="1489">
        <v>0</v>
      </c>
      <c r="K97" s="1489">
        <v>0</v>
      </c>
      <c r="L97" s="1489">
        <v>0</v>
      </c>
      <c r="M97" s="1489">
        <v>0</v>
      </c>
      <c r="N97" s="1489">
        <v>0</v>
      </c>
      <c r="O97" s="1489">
        <v>0</v>
      </c>
      <c r="P97" s="1489">
        <v>0</v>
      </c>
    </row>
    <row r="98" spans="1:16" s="1488" customFormat="1">
      <c r="C98" s="1489"/>
      <c r="D98" s="1489"/>
      <c r="E98" s="1489"/>
      <c r="F98" s="1489"/>
      <c r="G98" s="1489"/>
      <c r="H98" s="1489"/>
      <c r="I98" s="1489"/>
      <c r="J98" s="1489"/>
      <c r="K98" s="1489"/>
      <c r="L98" s="1489"/>
      <c r="M98" s="1489"/>
      <c r="N98" s="1489"/>
      <c r="O98" s="1489"/>
      <c r="P98" s="1489"/>
    </row>
    <row r="99" spans="1:16" ht="13.5" thickBot="1">
      <c r="A99" s="1491"/>
      <c r="B99" s="1492" t="s">
        <v>376</v>
      </c>
      <c r="C99" s="1495">
        <f>SUM(C62:C98)</f>
        <v>34855</v>
      </c>
      <c r="D99" s="1495">
        <f t="shared" ref="D99:P99" si="1">SUM(D62:D98)</f>
        <v>38593</v>
      </c>
      <c r="E99" s="1495">
        <f t="shared" si="1"/>
        <v>38601</v>
      </c>
      <c r="F99" s="1495">
        <f t="shared" si="1"/>
        <v>43260</v>
      </c>
      <c r="G99" s="1495">
        <f t="shared" si="1"/>
        <v>43266</v>
      </c>
      <c r="H99" s="1495">
        <f t="shared" si="1"/>
        <v>43199</v>
      </c>
      <c r="I99" s="1495">
        <f t="shared" si="1"/>
        <v>50723</v>
      </c>
      <c r="J99" s="1495">
        <f t="shared" si="1"/>
        <v>51018</v>
      </c>
      <c r="K99" s="1495">
        <f t="shared" si="1"/>
        <v>51219</v>
      </c>
      <c r="L99" s="1495">
        <f t="shared" si="1"/>
        <v>51335</v>
      </c>
      <c r="M99" s="1495">
        <f t="shared" si="1"/>
        <v>51982</v>
      </c>
      <c r="N99" s="1495">
        <f t="shared" si="1"/>
        <v>51982</v>
      </c>
      <c r="O99" s="1495">
        <f t="shared" si="1"/>
        <v>51982</v>
      </c>
      <c r="P99" s="1495">
        <f t="shared" si="1"/>
        <v>46549066</v>
      </c>
    </row>
    <row r="100" spans="1:16" ht="13.5" thickTop="1"/>
    <row r="101" spans="1:16" s="1488" customFormat="1">
      <c r="A101" s="1394" t="s">
        <v>2185</v>
      </c>
      <c r="B101" s="1394"/>
      <c r="C101" s="1489">
        <f>'3.05 - Gas Rtrmt'!J2/1000</f>
        <v>4611.5462199999984</v>
      </c>
      <c r="D101" s="1489">
        <f>'3.05 - Gas Rtrmt'!J3/1000</f>
        <v>4652.4833499999977</v>
      </c>
      <c r="E101" s="1489">
        <f>'3.05 - Gas Rtrmt'!J4/1000</f>
        <v>4652.4833499999977</v>
      </c>
      <c r="F101" s="1489">
        <f>'3.05 - Gas Rtrmt'!$J5/1000</f>
        <v>0</v>
      </c>
      <c r="G101" s="1489">
        <f>'3.05 - Gas Rtrmt'!$J6/1000</f>
        <v>0</v>
      </c>
      <c r="H101" s="1489">
        <f>'3.05 - Gas Rtrmt'!$J8/1000</f>
        <v>0</v>
      </c>
      <c r="I101" s="1489">
        <f>'3.05 - Gas Rtrmt'!$J8/1000</f>
        <v>0</v>
      </c>
      <c r="J101" s="1489"/>
      <c r="K101" s="1489"/>
      <c r="L101" s="1489">
        <f>'3.05 - Gas Rtrmt'!$J5/1000</f>
        <v>0</v>
      </c>
      <c r="M101" s="1489">
        <f>'3.05 - Gas Rtrmt'!$J6/1000</f>
        <v>0</v>
      </c>
      <c r="N101" s="1489">
        <f>'3.05 - Gas Rtrmt'!$J7/1000</f>
        <v>0</v>
      </c>
      <c r="O101" s="1489">
        <f>'3.05 - Gas Rtrmt'!$J8/1000</f>
        <v>0</v>
      </c>
      <c r="P101" s="1489">
        <f>(C101+O101+SUM(D101:N101)*2)/24*1000</f>
        <v>967561.65083333291</v>
      </c>
    </row>
    <row r="102" spans="1:16">
      <c r="C102" s="1499"/>
      <c r="D102" s="1499"/>
      <c r="E102" s="1499"/>
      <c r="F102" s="1499"/>
      <c r="G102" s="1516"/>
      <c r="H102" s="1516"/>
      <c r="I102" s="1516"/>
      <c r="J102" s="1516"/>
      <c r="K102" s="1516"/>
      <c r="L102" s="1516"/>
      <c r="M102" s="1516"/>
      <c r="N102" s="1516"/>
      <c r="O102" s="1516"/>
      <c r="P102" s="1517"/>
    </row>
    <row r="103" spans="1:16" ht="13.5" thickBot="1">
      <c r="A103" s="1491"/>
      <c r="B103" s="1492" t="s">
        <v>2288</v>
      </c>
      <c r="C103" s="1495">
        <f>+C99+C101</f>
        <v>39466.546219999997</v>
      </c>
      <c r="D103" s="1495">
        <f t="shared" ref="D103:O103" si="2">+D99+D101</f>
        <v>43245.483349999995</v>
      </c>
      <c r="E103" s="1495">
        <f t="shared" si="2"/>
        <v>43253.483349999995</v>
      </c>
      <c r="F103" s="1495">
        <f t="shared" si="2"/>
        <v>43260</v>
      </c>
      <c r="G103" s="1495">
        <f t="shared" si="2"/>
        <v>43266</v>
      </c>
      <c r="H103" s="1495">
        <f t="shared" si="2"/>
        <v>43199</v>
      </c>
      <c r="I103" s="1495">
        <f t="shared" si="2"/>
        <v>50723</v>
      </c>
      <c r="J103" s="1495">
        <f t="shared" si="2"/>
        <v>51018</v>
      </c>
      <c r="K103" s="1495">
        <f t="shared" si="2"/>
        <v>51219</v>
      </c>
      <c r="L103" s="1495">
        <f t="shared" si="2"/>
        <v>51335</v>
      </c>
      <c r="M103" s="1495">
        <f t="shared" si="2"/>
        <v>51982</v>
      </c>
      <c r="N103" s="1495">
        <f t="shared" si="2"/>
        <v>51982</v>
      </c>
      <c r="O103" s="1495">
        <f t="shared" si="2"/>
        <v>51982</v>
      </c>
      <c r="P103" s="1495">
        <f>+P99+P101</f>
        <v>47516627.650833331</v>
      </c>
    </row>
    <row r="104" spans="1:16" ht="13.5" thickTop="1">
      <c r="C104" s="1518"/>
    </row>
    <row r="105" spans="1:16">
      <c r="C105" s="1518"/>
    </row>
    <row r="106" spans="1:16">
      <c r="C106" s="1518"/>
    </row>
    <row r="107" spans="1:16">
      <c r="C107" s="1518"/>
    </row>
    <row r="108" spans="1:16">
      <c r="C108" s="1518"/>
    </row>
    <row r="109" spans="1:16">
      <c r="C109" s="1518"/>
    </row>
    <row r="110" spans="1:16">
      <c r="C110" s="1518"/>
    </row>
    <row r="111" spans="1:16">
      <c r="C111" s="1518"/>
    </row>
  </sheetData>
  <mergeCells count="4">
    <mergeCell ref="C1:O1"/>
    <mergeCell ref="A2:A3"/>
    <mergeCell ref="B2:B3"/>
    <mergeCell ref="P2:P3"/>
  </mergeCells>
  <pageMargins left="0.2" right="0.21" top="0.5" bottom="0.66" header="0.16" footer="0.42"/>
  <pageSetup scale="67"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J19"/>
  <sheetViews>
    <sheetView workbookViewId="0">
      <selection activeCell="B17" sqref="B17"/>
    </sheetView>
  </sheetViews>
  <sheetFormatPr defaultColWidth="19.1640625" defaultRowHeight="12.75"/>
  <cols>
    <col min="1" max="4" width="19.1640625" style="1509" customWidth="1"/>
    <col min="5" max="5" width="14.33203125" style="1509" customWidth="1"/>
    <col min="6" max="6" width="15.5" style="1509" customWidth="1"/>
    <col min="7" max="7" width="14.83203125" style="1509" customWidth="1"/>
    <col min="8" max="256" width="19.1640625" style="1509"/>
    <col min="257" max="260" width="19.1640625" style="1509" customWidth="1"/>
    <col min="261" max="261" width="14.33203125" style="1509" customWidth="1"/>
    <col min="262" max="262" width="15.5" style="1509" customWidth="1"/>
    <col min="263" max="263" width="14.83203125" style="1509" customWidth="1"/>
    <col min="264" max="512" width="19.1640625" style="1509"/>
    <col min="513" max="516" width="19.1640625" style="1509" customWidth="1"/>
    <col min="517" max="517" width="14.33203125" style="1509" customWidth="1"/>
    <col min="518" max="518" width="15.5" style="1509" customWidth="1"/>
    <col min="519" max="519" width="14.83203125" style="1509" customWidth="1"/>
    <col min="520" max="768" width="19.1640625" style="1509"/>
    <col min="769" max="772" width="19.1640625" style="1509" customWidth="1"/>
    <col min="773" max="773" width="14.33203125" style="1509" customWidth="1"/>
    <col min="774" max="774" width="15.5" style="1509" customWidth="1"/>
    <col min="775" max="775" width="14.83203125" style="1509" customWidth="1"/>
    <col min="776" max="1024" width="19.1640625" style="1509"/>
    <col min="1025" max="1028" width="19.1640625" style="1509" customWidth="1"/>
    <col min="1029" max="1029" width="14.33203125" style="1509" customWidth="1"/>
    <col min="1030" max="1030" width="15.5" style="1509" customWidth="1"/>
    <col min="1031" max="1031" width="14.83203125" style="1509" customWidth="1"/>
    <col min="1032" max="1280" width="19.1640625" style="1509"/>
    <col min="1281" max="1284" width="19.1640625" style="1509" customWidth="1"/>
    <col min="1285" max="1285" width="14.33203125" style="1509" customWidth="1"/>
    <col min="1286" max="1286" width="15.5" style="1509" customWidth="1"/>
    <col min="1287" max="1287" width="14.83203125" style="1509" customWidth="1"/>
    <col min="1288" max="1536" width="19.1640625" style="1509"/>
    <col min="1537" max="1540" width="19.1640625" style="1509" customWidth="1"/>
    <col min="1541" max="1541" width="14.33203125" style="1509" customWidth="1"/>
    <col min="1542" max="1542" width="15.5" style="1509" customWidth="1"/>
    <col min="1543" max="1543" width="14.83203125" style="1509" customWidth="1"/>
    <col min="1544" max="1792" width="19.1640625" style="1509"/>
    <col min="1793" max="1796" width="19.1640625" style="1509" customWidth="1"/>
    <col min="1797" max="1797" width="14.33203125" style="1509" customWidth="1"/>
    <col min="1798" max="1798" width="15.5" style="1509" customWidth="1"/>
    <col min="1799" max="1799" width="14.83203125" style="1509" customWidth="1"/>
    <col min="1800" max="2048" width="19.1640625" style="1509"/>
    <col min="2049" max="2052" width="19.1640625" style="1509" customWidth="1"/>
    <col min="2053" max="2053" width="14.33203125" style="1509" customWidth="1"/>
    <col min="2054" max="2054" width="15.5" style="1509" customWidth="1"/>
    <col min="2055" max="2055" width="14.83203125" style="1509" customWidth="1"/>
    <col min="2056" max="2304" width="19.1640625" style="1509"/>
    <col min="2305" max="2308" width="19.1640625" style="1509" customWidth="1"/>
    <col min="2309" max="2309" width="14.33203125" style="1509" customWidth="1"/>
    <col min="2310" max="2310" width="15.5" style="1509" customWidth="1"/>
    <col min="2311" max="2311" width="14.83203125" style="1509" customWidth="1"/>
    <col min="2312" max="2560" width="19.1640625" style="1509"/>
    <col min="2561" max="2564" width="19.1640625" style="1509" customWidth="1"/>
    <col min="2565" max="2565" width="14.33203125" style="1509" customWidth="1"/>
    <col min="2566" max="2566" width="15.5" style="1509" customWidth="1"/>
    <col min="2567" max="2567" width="14.83203125" style="1509" customWidth="1"/>
    <col min="2568" max="2816" width="19.1640625" style="1509"/>
    <col min="2817" max="2820" width="19.1640625" style="1509" customWidth="1"/>
    <col min="2821" max="2821" width="14.33203125" style="1509" customWidth="1"/>
    <col min="2822" max="2822" width="15.5" style="1509" customWidth="1"/>
    <col min="2823" max="2823" width="14.83203125" style="1509" customWidth="1"/>
    <col min="2824" max="3072" width="19.1640625" style="1509"/>
    <col min="3073" max="3076" width="19.1640625" style="1509" customWidth="1"/>
    <col min="3077" max="3077" width="14.33203125" style="1509" customWidth="1"/>
    <col min="3078" max="3078" width="15.5" style="1509" customWidth="1"/>
    <col min="3079" max="3079" width="14.83203125" style="1509" customWidth="1"/>
    <col min="3080" max="3328" width="19.1640625" style="1509"/>
    <col min="3329" max="3332" width="19.1640625" style="1509" customWidth="1"/>
    <col min="3333" max="3333" width="14.33203125" style="1509" customWidth="1"/>
    <col min="3334" max="3334" width="15.5" style="1509" customWidth="1"/>
    <col min="3335" max="3335" width="14.83203125" style="1509" customWidth="1"/>
    <col min="3336" max="3584" width="19.1640625" style="1509"/>
    <col min="3585" max="3588" width="19.1640625" style="1509" customWidth="1"/>
    <col min="3589" max="3589" width="14.33203125" style="1509" customWidth="1"/>
    <col min="3590" max="3590" width="15.5" style="1509" customWidth="1"/>
    <col min="3591" max="3591" width="14.83203125" style="1509" customWidth="1"/>
    <col min="3592" max="3840" width="19.1640625" style="1509"/>
    <col min="3841" max="3844" width="19.1640625" style="1509" customWidth="1"/>
    <col min="3845" max="3845" width="14.33203125" style="1509" customWidth="1"/>
    <col min="3846" max="3846" width="15.5" style="1509" customWidth="1"/>
    <col min="3847" max="3847" width="14.83203125" style="1509" customWidth="1"/>
    <col min="3848" max="4096" width="19.1640625" style="1509"/>
    <col min="4097" max="4100" width="19.1640625" style="1509" customWidth="1"/>
    <col min="4101" max="4101" width="14.33203125" style="1509" customWidth="1"/>
    <col min="4102" max="4102" width="15.5" style="1509" customWidth="1"/>
    <col min="4103" max="4103" width="14.83203125" style="1509" customWidth="1"/>
    <col min="4104" max="4352" width="19.1640625" style="1509"/>
    <col min="4353" max="4356" width="19.1640625" style="1509" customWidth="1"/>
    <col min="4357" max="4357" width="14.33203125" style="1509" customWidth="1"/>
    <col min="4358" max="4358" width="15.5" style="1509" customWidth="1"/>
    <col min="4359" max="4359" width="14.83203125" style="1509" customWidth="1"/>
    <col min="4360" max="4608" width="19.1640625" style="1509"/>
    <col min="4609" max="4612" width="19.1640625" style="1509" customWidth="1"/>
    <col min="4613" max="4613" width="14.33203125" style="1509" customWidth="1"/>
    <col min="4614" max="4614" width="15.5" style="1509" customWidth="1"/>
    <col min="4615" max="4615" width="14.83203125" style="1509" customWidth="1"/>
    <col min="4616" max="4864" width="19.1640625" style="1509"/>
    <col min="4865" max="4868" width="19.1640625" style="1509" customWidth="1"/>
    <col min="4869" max="4869" width="14.33203125" style="1509" customWidth="1"/>
    <col min="4870" max="4870" width="15.5" style="1509" customWidth="1"/>
    <col min="4871" max="4871" width="14.83203125" style="1509" customWidth="1"/>
    <col min="4872" max="5120" width="19.1640625" style="1509"/>
    <col min="5121" max="5124" width="19.1640625" style="1509" customWidth="1"/>
    <col min="5125" max="5125" width="14.33203125" style="1509" customWidth="1"/>
    <col min="5126" max="5126" width="15.5" style="1509" customWidth="1"/>
    <col min="5127" max="5127" width="14.83203125" style="1509" customWidth="1"/>
    <col min="5128" max="5376" width="19.1640625" style="1509"/>
    <col min="5377" max="5380" width="19.1640625" style="1509" customWidth="1"/>
    <col min="5381" max="5381" width="14.33203125" style="1509" customWidth="1"/>
    <col min="5382" max="5382" width="15.5" style="1509" customWidth="1"/>
    <col min="5383" max="5383" width="14.83203125" style="1509" customWidth="1"/>
    <col min="5384" max="5632" width="19.1640625" style="1509"/>
    <col min="5633" max="5636" width="19.1640625" style="1509" customWidth="1"/>
    <col min="5637" max="5637" width="14.33203125" style="1509" customWidth="1"/>
    <col min="5638" max="5638" width="15.5" style="1509" customWidth="1"/>
    <col min="5639" max="5639" width="14.83203125" style="1509" customWidth="1"/>
    <col min="5640" max="5888" width="19.1640625" style="1509"/>
    <col min="5889" max="5892" width="19.1640625" style="1509" customWidth="1"/>
    <col min="5893" max="5893" width="14.33203125" style="1509" customWidth="1"/>
    <col min="5894" max="5894" width="15.5" style="1509" customWidth="1"/>
    <col min="5895" max="5895" width="14.83203125" style="1509" customWidth="1"/>
    <col min="5896" max="6144" width="19.1640625" style="1509"/>
    <col min="6145" max="6148" width="19.1640625" style="1509" customWidth="1"/>
    <col min="6149" max="6149" width="14.33203125" style="1509" customWidth="1"/>
    <col min="6150" max="6150" width="15.5" style="1509" customWidth="1"/>
    <col min="6151" max="6151" width="14.83203125" style="1509" customWidth="1"/>
    <col min="6152" max="6400" width="19.1640625" style="1509"/>
    <col min="6401" max="6404" width="19.1640625" style="1509" customWidth="1"/>
    <col min="6405" max="6405" width="14.33203125" style="1509" customWidth="1"/>
    <col min="6406" max="6406" width="15.5" style="1509" customWidth="1"/>
    <col min="6407" max="6407" width="14.83203125" style="1509" customWidth="1"/>
    <col min="6408" max="6656" width="19.1640625" style="1509"/>
    <col min="6657" max="6660" width="19.1640625" style="1509" customWidth="1"/>
    <col min="6661" max="6661" width="14.33203125" style="1509" customWidth="1"/>
    <col min="6662" max="6662" width="15.5" style="1509" customWidth="1"/>
    <col min="6663" max="6663" width="14.83203125" style="1509" customWidth="1"/>
    <col min="6664" max="6912" width="19.1640625" style="1509"/>
    <col min="6913" max="6916" width="19.1640625" style="1509" customWidth="1"/>
    <col min="6917" max="6917" width="14.33203125" style="1509" customWidth="1"/>
    <col min="6918" max="6918" width="15.5" style="1509" customWidth="1"/>
    <col min="6919" max="6919" width="14.83203125" style="1509" customWidth="1"/>
    <col min="6920" max="7168" width="19.1640625" style="1509"/>
    <col min="7169" max="7172" width="19.1640625" style="1509" customWidth="1"/>
    <col min="7173" max="7173" width="14.33203125" style="1509" customWidth="1"/>
    <col min="7174" max="7174" width="15.5" style="1509" customWidth="1"/>
    <col min="7175" max="7175" width="14.83203125" style="1509" customWidth="1"/>
    <col min="7176" max="7424" width="19.1640625" style="1509"/>
    <col min="7425" max="7428" width="19.1640625" style="1509" customWidth="1"/>
    <col min="7429" max="7429" width="14.33203125" style="1509" customWidth="1"/>
    <col min="7430" max="7430" width="15.5" style="1509" customWidth="1"/>
    <col min="7431" max="7431" width="14.83203125" style="1509" customWidth="1"/>
    <col min="7432" max="7680" width="19.1640625" style="1509"/>
    <col min="7681" max="7684" width="19.1640625" style="1509" customWidth="1"/>
    <col min="7685" max="7685" width="14.33203125" style="1509" customWidth="1"/>
    <col min="7686" max="7686" width="15.5" style="1509" customWidth="1"/>
    <col min="7687" max="7687" width="14.83203125" style="1509" customWidth="1"/>
    <col min="7688" max="7936" width="19.1640625" style="1509"/>
    <col min="7937" max="7940" width="19.1640625" style="1509" customWidth="1"/>
    <col min="7941" max="7941" width="14.33203125" style="1509" customWidth="1"/>
    <col min="7942" max="7942" width="15.5" style="1509" customWidth="1"/>
    <col min="7943" max="7943" width="14.83203125" style="1509" customWidth="1"/>
    <col min="7944" max="8192" width="19.1640625" style="1509"/>
    <col min="8193" max="8196" width="19.1640625" style="1509" customWidth="1"/>
    <col min="8197" max="8197" width="14.33203125" style="1509" customWidth="1"/>
    <col min="8198" max="8198" width="15.5" style="1509" customWidth="1"/>
    <col min="8199" max="8199" width="14.83203125" style="1509" customWidth="1"/>
    <col min="8200" max="8448" width="19.1640625" style="1509"/>
    <col min="8449" max="8452" width="19.1640625" style="1509" customWidth="1"/>
    <col min="8453" max="8453" width="14.33203125" style="1509" customWidth="1"/>
    <col min="8454" max="8454" width="15.5" style="1509" customWidth="1"/>
    <col min="8455" max="8455" width="14.83203125" style="1509" customWidth="1"/>
    <col min="8456" max="8704" width="19.1640625" style="1509"/>
    <col min="8705" max="8708" width="19.1640625" style="1509" customWidth="1"/>
    <col min="8709" max="8709" width="14.33203125" style="1509" customWidth="1"/>
    <col min="8710" max="8710" width="15.5" style="1509" customWidth="1"/>
    <col min="8711" max="8711" width="14.83203125" style="1509" customWidth="1"/>
    <col min="8712" max="8960" width="19.1640625" style="1509"/>
    <col min="8961" max="8964" width="19.1640625" style="1509" customWidth="1"/>
    <col min="8965" max="8965" width="14.33203125" style="1509" customWidth="1"/>
    <col min="8966" max="8966" width="15.5" style="1509" customWidth="1"/>
    <col min="8967" max="8967" width="14.83203125" style="1509" customWidth="1"/>
    <col min="8968" max="9216" width="19.1640625" style="1509"/>
    <col min="9217" max="9220" width="19.1640625" style="1509" customWidth="1"/>
    <col min="9221" max="9221" width="14.33203125" style="1509" customWidth="1"/>
    <col min="9222" max="9222" width="15.5" style="1509" customWidth="1"/>
    <col min="9223" max="9223" width="14.83203125" style="1509" customWidth="1"/>
    <col min="9224" max="9472" width="19.1640625" style="1509"/>
    <col min="9473" max="9476" width="19.1640625" style="1509" customWidth="1"/>
    <col min="9477" max="9477" width="14.33203125" style="1509" customWidth="1"/>
    <col min="9478" max="9478" width="15.5" style="1509" customWidth="1"/>
    <col min="9479" max="9479" width="14.83203125" style="1509" customWidth="1"/>
    <col min="9480" max="9728" width="19.1640625" style="1509"/>
    <col min="9729" max="9732" width="19.1640625" style="1509" customWidth="1"/>
    <col min="9733" max="9733" width="14.33203125" style="1509" customWidth="1"/>
    <col min="9734" max="9734" width="15.5" style="1509" customWidth="1"/>
    <col min="9735" max="9735" width="14.83203125" style="1509" customWidth="1"/>
    <col min="9736" max="9984" width="19.1640625" style="1509"/>
    <col min="9985" max="9988" width="19.1640625" style="1509" customWidth="1"/>
    <col min="9989" max="9989" width="14.33203125" style="1509" customWidth="1"/>
    <col min="9990" max="9990" width="15.5" style="1509" customWidth="1"/>
    <col min="9991" max="9991" width="14.83203125" style="1509" customWidth="1"/>
    <col min="9992" max="10240" width="19.1640625" style="1509"/>
    <col min="10241" max="10244" width="19.1640625" style="1509" customWidth="1"/>
    <col min="10245" max="10245" width="14.33203125" style="1509" customWidth="1"/>
    <col min="10246" max="10246" width="15.5" style="1509" customWidth="1"/>
    <col min="10247" max="10247" width="14.83203125" style="1509" customWidth="1"/>
    <col min="10248" max="10496" width="19.1640625" style="1509"/>
    <col min="10497" max="10500" width="19.1640625" style="1509" customWidth="1"/>
    <col min="10501" max="10501" width="14.33203125" style="1509" customWidth="1"/>
    <col min="10502" max="10502" width="15.5" style="1509" customWidth="1"/>
    <col min="10503" max="10503" width="14.83203125" style="1509" customWidth="1"/>
    <col min="10504" max="10752" width="19.1640625" style="1509"/>
    <col min="10753" max="10756" width="19.1640625" style="1509" customWidth="1"/>
    <col min="10757" max="10757" width="14.33203125" style="1509" customWidth="1"/>
    <col min="10758" max="10758" width="15.5" style="1509" customWidth="1"/>
    <col min="10759" max="10759" width="14.83203125" style="1509" customWidth="1"/>
    <col min="10760" max="11008" width="19.1640625" style="1509"/>
    <col min="11009" max="11012" width="19.1640625" style="1509" customWidth="1"/>
    <col min="11013" max="11013" width="14.33203125" style="1509" customWidth="1"/>
    <col min="11014" max="11014" width="15.5" style="1509" customWidth="1"/>
    <col min="11015" max="11015" width="14.83203125" style="1509" customWidth="1"/>
    <col min="11016" max="11264" width="19.1640625" style="1509"/>
    <col min="11265" max="11268" width="19.1640625" style="1509" customWidth="1"/>
    <col min="11269" max="11269" width="14.33203125" style="1509" customWidth="1"/>
    <col min="11270" max="11270" width="15.5" style="1509" customWidth="1"/>
    <col min="11271" max="11271" width="14.83203125" style="1509" customWidth="1"/>
    <col min="11272" max="11520" width="19.1640625" style="1509"/>
    <col min="11521" max="11524" width="19.1640625" style="1509" customWidth="1"/>
    <col min="11525" max="11525" width="14.33203125" style="1509" customWidth="1"/>
    <col min="11526" max="11526" width="15.5" style="1509" customWidth="1"/>
    <col min="11527" max="11527" width="14.83203125" style="1509" customWidth="1"/>
    <col min="11528" max="11776" width="19.1640625" style="1509"/>
    <col min="11777" max="11780" width="19.1640625" style="1509" customWidth="1"/>
    <col min="11781" max="11781" width="14.33203125" style="1509" customWidth="1"/>
    <col min="11782" max="11782" width="15.5" style="1509" customWidth="1"/>
    <col min="11783" max="11783" width="14.83203125" style="1509" customWidth="1"/>
    <col min="11784" max="12032" width="19.1640625" style="1509"/>
    <col min="12033" max="12036" width="19.1640625" style="1509" customWidth="1"/>
    <col min="12037" max="12037" width="14.33203125" style="1509" customWidth="1"/>
    <col min="12038" max="12038" width="15.5" style="1509" customWidth="1"/>
    <col min="12039" max="12039" width="14.83203125" style="1509" customWidth="1"/>
    <col min="12040" max="12288" width="19.1640625" style="1509"/>
    <col min="12289" max="12292" width="19.1640625" style="1509" customWidth="1"/>
    <col min="12293" max="12293" width="14.33203125" style="1509" customWidth="1"/>
    <col min="12294" max="12294" width="15.5" style="1509" customWidth="1"/>
    <col min="12295" max="12295" width="14.83203125" style="1509" customWidth="1"/>
    <col min="12296" max="12544" width="19.1640625" style="1509"/>
    <col min="12545" max="12548" width="19.1640625" style="1509" customWidth="1"/>
    <col min="12549" max="12549" width="14.33203125" style="1509" customWidth="1"/>
    <col min="12550" max="12550" width="15.5" style="1509" customWidth="1"/>
    <col min="12551" max="12551" width="14.83203125" style="1509" customWidth="1"/>
    <col min="12552" max="12800" width="19.1640625" style="1509"/>
    <col min="12801" max="12804" width="19.1640625" style="1509" customWidth="1"/>
    <col min="12805" max="12805" width="14.33203125" style="1509" customWidth="1"/>
    <col min="12806" max="12806" width="15.5" style="1509" customWidth="1"/>
    <col min="12807" max="12807" width="14.83203125" style="1509" customWidth="1"/>
    <col min="12808" max="13056" width="19.1640625" style="1509"/>
    <col min="13057" max="13060" width="19.1640625" style="1509" customWidth="1"/>
    <col min="13061" max="13061" width="14.33203125" style="1509" customWidth="1"/>
    <col min="13062" max="13062" width="15.5" style="1509" customWidth="1"/>
    <col min="13063" max="13063" width="14.83203125" style="1509" customWidth="1"/>
    <col min="13064" max="13312" width="19.1640625" style="1509"/>
    <col min="13313" max="13316" width="19.1640625" style="1509" customWidth="1"/>
    <col min="13317" max="13317" width="14.33203125" style="1509" customWidth="1"/>
    <col min="13318" max="13318" width="15.5" style="1509" customWidth="1"/>
    <col min="13319" max="13319" width="14.83203125" style="1509" customWidth="1"/>
    <col min="13320" max="13568" width="19.1640625" style="1509"/>
    <col min="13569" max="13572" width="19.1640625" style="1509" customWidth="1"/>
    <col min="13573" max="13573" width="14.33203125" style="1509" customWidth="1"/>
    <col min="13574" max="13574" width="15.5" style="1509" customWidth="1"/>
    <col min="13575" max="13575" width="14.83203125" style="1509" customWidth="1"/>
    <col min="13576" max="13824" width="19.1640625" style="1509"/>
    <col min="13825" max="13828" width="19.1640625" style="1509" customWidth="1"/>
    <col min="13829" max="13829" width="14.33203125" style="1509" customWidth="1"/>
    <col min="13830" max="13830" width="15.5" style="1509" customWidth="1"/>
    <col min="13831" max="13831" width="14.83203125" style="1509" customWidth="1"/>
    <col min="13832" max="14080" width="19.1640625" style="1509"/>
    <col min="14081" max="14084" width="19.1640625" style="1509" customWidth="1"/>
    <col min="14085" max="14085" width="14.33203125" style="1509" customWidth="1"/>
    <col min="14086" max="14086" width="15.5" style="1509" customWidth="1"/>
    <col min="14087" max="14087" width="14.83203125" style="1509" customWidth="1"/>
    <col min="14088" max="14336" width="19.1640625" style="1509"/>
    <col min="14337" max="14340" width="19.1640625" style="1509" customWidth="1"/>
    <col min="14341" max="14341" width="14.33203125" style="1509" customWidth="1"/>
    <col min="14342" max="14342" width="15.5" style="1509" customWidth="1"/>
    <col min="14343" max="14343" width="14.83203125" style="1509" customWidth="1"/>
    <col min="14344" max="14592" width="19.1640625" style="1509"/>
    <col min="14593" max="14596" width="19.1640625" style="1509" customWidth="1"/>
    <col min="14597" max="14597" width="14.33203125" style="1509" customWidth="1"/>
    <col min="14598" max="14598" width="15.5" style="1509" customWidth="1"/>
    <col min="14599" max="14599" width="14.83203125" style="1509" customWidth="1"/>
    <col min="14600" max="14848" width="19.1640625" style="1509"/>
    <col min="14849" max="14852" width="19.1640625" style="1509" customWidth="1"/>
    <col min="14853" max="14853" width="14.33203125" style="1509" customWidth="1"/>
    <col min="14854" max="14854" width="15.5" style="1509" customWidth="1"/>
    <col min="14855" max="14855" width="14.83203125" style="1509" customWidth="1"/>
    <col min="14856" max="15104" width="19.1640625" style="1509"/>
    <col min="15105" max="15108" width="19.1640625" style="1509" customWidth="1"/>
    <col min="15109" max="15109" width="14.33203125" style="1509" customWidth="1"/>
    <col min="15110" max="15110" width="15.5" style="1509" customWidth="1"/>
    <col min="15111" max="15111" width="14.83203125" style="1509" customWidth="1"/>
    <col min="15112" max="15360" width="19.1640625" style="1509"/>
    <col min="15361" max="15364" width="19.1640625" style="1509" customWidth="1"/>
    <col min="15365" max="15365" width="14.33203125" style="1509" customWidth="1"/>
    <col min="15366" max="15366" width="15.5" style="1509" customWidth="1"/>
    <col min="15367" max="15367" width="14.83203125" style="1509" customWidth="1"/>
    <col min="15368" max="15616" width="19.1640625" style="1509"/>
    <col min="15617" max="15620" width="19.1640625" style="1509" customWidth="1"/>
    <col min="15621" max="15621" width="14.33203125" style="1509" customWidth="1"/>
    <col min="15622" max="15622" width="15.5" style="1509" customWidth="1"/>
    <col min="15623" max="15623" width="14.83203125" style="1509" customWidth="1"/>
    <col min="15624" max="15872" width="19.1640625" style="1509"/>
    <col min="15873" max="15876" width="19.1640625" style="1509" customWidth="1"/>
    <col min="15877" max="15877" width="14.33203125" style="1509" customWidth="1"/>
    <col min="15878" max="15878" width="15.5" style="1509" customWidth="1"/>
    <col min="15879" max="15879" width="14.83203125" style="1509" customWidth="1"/>
    <col min="15880" max="16128" width="19.1640625" style="1509"/>
    <col min="16129" max="16132" width="19.1640625" style="1509" customWidth="1"/>
    <col min="16133" max="16133" width="14.33203125" style="1509" customWidth="1"/>
    <col min="16134" max="16134" width="15.5" style="1509" customWidth="1"/>
    <col min="16135" max="16135" width="14.83203125" style="1509" customWidth="1"/>
    <col min="16136" max="16384" width="19.1640625" style="1509"/>
  </cols>
  <sheetData>
    <row r="1" spans="1:10" s="1504" customFormat="1" ht="51">
      <c r="A1" s="1504" t="s">
        <v>2187</v>
      </c>
      <c r="B1" s="1504" t="s">
        <v>2188</v>
      </c>
      <c r="C1" s="1504" t="s">
        <v>2189</v>
      </c>
      <c r="D1" s="1504" t="s">
        <v>2190</v>
      </c>
      <c r="E1" s="1504" t="s">
        <v>2191</v>
      </c>
      <c r="F1" s="1504" t="s">
        <v>2192</v>
      </c>
      <c r="G1" s="1504" t="s">
        <v>2193</v>
      </c>
      <c r="H1" s="1504" t="s">
        <v>2194</v>
      </c>
      <c r="I1" s="1519" t="s">
        <v>2289</v>
      </c>
      <c r="J1" s="1519" t="s">
        <v>2196</v>
      </c>
    </row>
    <row r="2" spans="1:10">
      <c r="A2" s="1505">
        <v>40148</v>
      </c>
      <c r="B2" s="1520">
        <v>22439404.050000001</v>
      </c>
      <c r="C2" s="1520">
        <v>0</v>
      </c>
      <c r="D2" s="1520">
        <v>-3358771.23</v>
      </c>
      <c r="E2" s="1520">
        <v>0</v>
      </c>
      <c r="F2" s="1520">
        <v>0</v>
      </c>
      <c r="G2" s="1520">
        <v>0</v>
      </c>
      <c r="H2" s="1520">
        <v>19080632.82</v>
      </c>
      <c r="I2" s="1521">
        <v>23692179.039999999</v>
      </c>
      <c r="J2" s="1506">
        <f t="shared" ref="J2:J14" si="0">I2-H2</f>
        <v>4611546.2199999988</v>
      </c>
    </row>
    <row r="3" spans="1:10">
      <c r="A3" s="1505">
        <v>40179</v>
      </c>
      <c r="B3" s="1506">
        <f>H2</f>
        <v>19080632.82</v>
      </c>
      <c r="C3" s="1506">
        <v>0</v>
      </c>
      <c r="D3" s="1506">
        <v>-40937.129999999997</v>
      </c>
      <c r="E3" s="1506">
        <v>0</v>
      </c>
      <c r="F3" s="1506">
        <v>0</v>
      </c>
      <c r="G3" s="1506">
        <v>0</v>
      </c>
      <c r="H3" s="1506">
        <v>19039695.690000001</v>
      </c>
      <c r="I3" s="1506">
        <f>H3+SUM(D4:D$14)</f>
        <v>23692179.039999999</v>
      </c>
      <c r="J3" s="1506">
        <f t="shared" si="0"/>
        <v>4652483.3499999978</v>
      </c>
    </row>
    <row r="4" spans="1:10">
      <c r="A4" s="1505">
        <v>40210</v>
      </c>
      <c r="B4" s="1506">
        <f t="shared" ref="B4:B14" si="1">H3</f>
        <v>19039695.690000001</v>
      </c>
      <c r="C4" s="1506">
        <v>0</v>
      </c>
      <c r="D4" s="1506">
        <v>0</v>
      </c>
      <c r="E4" s="1506">
        <v>0</v>
      </c>
      <c r="F4" s="1506">
        <v>0</v>
      </c>
      <c r="G4" s="1506">
        <v>0</v>
      </c>
      <c r="H4" s="1506">
        <v>19039695.690000001</v>
      </c>
      <c r="I4" s="1506">
        <f>H4+SUM(D5:D$14)</f>
        <v>23692179.039999999</v>
      </c>
      <c r="J4" s="1506">
        <f t="shared" si="0"/>
        <v>4652483.3499999978</v>
      </c>
    </row>
    <row r="5" spans="1:10">
      <c r="A5" s="1505">
        <v>40238</v>
      </c>
      <c r="B5" s="1506">
        <f t="shared" si="1"/>
        <v>19039695.690000001</v>
      </c>
      <c r="C5" s="1506">
        <v>3.42</v>
      </c>
      <c r="D5" s="1506">
        <v>4652483.3499999996</v>
      </c>
      <c r="E5" s="1506">
        <v>0</v>
      </c>
      <c r="F5" s="1506">
        <v>0</v>
      </c>
      <c r="G5" s="1506">
        <v>0</v>
      </c>
      <c r="H5" s="1506">
        <v>23692182.460000001</v>
      </c>
      <c r="I5" s="1506">
        <f>H5+SUM(D6:D$14)</f>
        <v>23692182.460000001</v>
      </c>
      <c r="J5" s="1506">
        <f t="shared" si="0"/>
        <v>0</v>
      </c>
    </row>
    <row r="6" spans="1:10">
      <c r="A6" s="1505">
        <v>40269</v>
      </c>
      <c r="B6" s="1506">
        <f t="shared" si="1"/>
        <v>23692182.460000001</v>
      </c>
      <c r="C6" s="1506">
        <v>-0.68</v>
      </c>
      <c r="D6" s="1506">
        <v>0</v>
      </c>
      <c r="E6" s="1506">
        <v>0</v>
      </c>
      <c r="F6" s="1506">
        <v>-37577.79</v>
      </c>
      <c r="G6" s="1506">
        <v>0</v>
      </c>
      <c r="H6" s="1506">
        <v>23654603.989999998</v>
      </c>
      <c r="I6" s="1506">
        <f>H6+SUM(D7:D$14)</f>
        <v>23654603.989999998</v>
      </c>
      <c r="J6" s="1506">
        <f t="shared" si="0"/>
        <v>0</v>
      </c>
    </row>
    <row r="7" spans="1:10">
      <c r="A7" s="1505">
        <v>40299</v>
      </c>
      <c r="B7" s="1506">
        <f t="shared" si="1"/>
        <v>23654603.989999998</v>
      </c>
      <c r="C7" s="1506">
        <v>444.89</v>
      </c>
      <c r="D7" s="1506">
        <v>0</v>
      </c>
      <c r="E7" s="1506">
        <v>0</v>
      </c>
      <c r="F7" s="1506">
        <v>0</v>
      </c>
      <c r="G7" s="1506">
        <v>0</v>
      </c>
      <c r="H7" s="1506">
        <v>23655048.879999999</v>
      </c>
      <c r="I7" s="1506">
        <f>H7+SUM(D8:D$14)</f>
        <v>23655048.879999999</v>
      </c>
      <c r="J7" s="1506">
        <f t="shared" si="0"/>
        <v>0</v>
      </c>
    </row>
    <row r="8" spans="1:10">
      <c r="A8" s="1505">
        <v>40330</v>
      </c>
      <c r="B8" s="1506">
        <f t="shared" si="1"/>
        <v>23655048.879999999</v>
      </c>
      <c r="C8" s="1506">
        <v>-447.63</v>
      </c>
      <c r="D8" s="1506">
        <v>0</v>
      </c>
      <c r="E8" s="1506">
        <v>0</v>
      </c>
      <c r="F8" s="1506">
        <v>0</v>
      </c>
      <c r="G8" s="1506">
        <v>0</v>
      </c>
      <c r="H8" s="1506">
        <v>23654601.25</v>
      </c>
      <c r="I8" s="1506">
        <f>H8+SUM(D9:D$14)</f>
        <v>23654601.25</v>
      </c>
      <c r="J8" s="1506">
        <f t="shared" si="0"/>
        <v>0</v>
      </c>
    </row>
    <row r="9" spans="1:10">
      <c r="A9" s="1505">
        <v>40360</v>
      </c>
      <c r="B9" s="1506">
        <f t="shared" si="1"/>
        <v>23654601.25</v>
      </c>
      <c r="C9" s="1506">
        <v>7917.28</v>
      </c>
      <c r="D9" s="1506">
        <v>0</v>
      </c>
      <c r="E9" s="1506">
        <v>0</v>
      </c>
      <c r="F9" s="1506">
        <v>0</v>
      </c>
      <c r="G9" s="1506">
        <v>0</v>
      </c>
      <c r="H9" s="1506">
        <v>23662518.530000001</v>
      </c>
      <c r="I9" s="1506">
        <f>H9+SUM(D10:D$14)</f>
        <v>23662518.530000001</v>
      </c>
      <c r="J9" s="1506">
        <f t="shared" si="0"/>
        <v>0</v>
      </c>
    </row>
    <row r="10" spans="1:10">
      <c r="A10" s="1505">
        <v>40391</v>
      </c>
      <c r="B10" s="1506">
        <f t="shared" si="1"/>
        <v>23662518.530000001</v>
      </c>
      <c r="C10" s="1506">
        <v>2548.7199999999998</v>
      </c>
      <c r="D10" s="1506">
        <v>0</v>
      </c>
      <c r="E10" s="1506">
        <v>0</v>
      </c>
      <c r="F10" s="1506">
        <v>0</v>
      </c>
      <c r="G10" s="1506">
        <v>0</v>
      </c>
      <c r="H10" s="1506">
        <v>23665067.25</v>
      </c>
      <c r="I10" s="1506">
        <f>H10+SUM(D11:D$14)</f>
        <v>23665067.25</v>
      </c>
      <c r="J10" s="1506">
        <f t="shared" si="0"/>
        <v>0</v>
      </c>
    </row>
    <row r="11" spans="1:10">
      <c r="A11" s="1505">
        <v>40422</v>
      </c>
      <c r="B11" s="1506">
        <f t="shared" si="1"/>
        <v>23665067.25</v>
      </c>
      <c r="C11" s="1506">
        <v>0</v>
      </c>
      <c r="D11" s="1506">
        <v>0</v>
      </c>
      <c r="E11" s="1506">
        <v>0</v>
      </c>
      <c r="F11" s="1506">
        <v>0</v>
      </c>
      <c r="G11" s="1506">
        <v>0</v>
      </c>
      <c r="H11" s="1506">
        <v>23665067.25</v>
      </c>
      <c r="I11" s="1506">
        <f>H11+SUM(D12:D$14)</f>
        <v>23665067.25</v>
      </c>
      <c r="J11" s="1506">
        <f t="shared" si="0"/>
        <v>0</v>
      </c>
    </row>
    <row r="12" spans="1:10">
      <c r="A12" s="1505">
        <v>40452</v>
      </c>
      <c r="B12" s="1506">
        <f t="shared" si="1"/>
        <v>23665067.25</v>
      </c>
      <c r="C12" s="1506">
        <v>0</v>
      </c>
      <c r="D12" s="1506">
        <v>0</v>
      </c>
      <c r="E12" s="1506">
        <v>0</v>
      </c>
      <c r="F12" s="1506">
        <v>0</v>
      </c>
      <c r="G12" s="1506">
        <v>0</v>
      </c>
      <c r="H12" s="1506">
        <v>23665067.25</v>
      </c>
      <c r="I12" s="1506">
        <f>H12+SUM(D13:D$14)</f>
        <v>23665067.25</v>
      </c>
      <c r="J12" s="1506">
        <f t="shared" si="0"/>
        <v>0</v>
      </c>
    </row>
    <row r="13" spans="1:10">
      <c r="A13" s="1505">
        <v>40483</v>
      </c>
      <c r="B13" s="1506">
        <f t="shared" si="1"/>
        <v>23665067.25</v>
      </c>
      <c r="C13" s="1506">
        <v>0</v>
      </c>
      <c r="D13" s="1506">
        <v>0</v>
      </c>
      <c r="E13" s="1506">
        <v>0</v>
      </c>
      <c r="F13" s="1506">
        <v>0</v>
      </c>
      <c r="G13" s="1506">
        <v>0</v>
      </c>
      <c r="H13" s="1506">
        <v>23665067.25</v>
      </c>
      <c r="I13" s="1506">
        <f>H13+SUM(D14:D$14)</f>
        <v>23665067.25</v>
      </c>
      <c r="J13" s="1506">
        <f t="shared" si="0"/>
        <v>0</v>
      </c>
    </row>
    <row r="14" spans="1:10">
      <c r="A14" s="1505">
        <v>40513</v>
      </c>
      <c r="B14" s="1506">
        <f t="shared" si="1"/>
        <v>23665067.25</v>
      </c>
      <c r="C14" s="1506">
        <v>0</v>
      </c>
      <c r="D14" s="1506">
        <v>0</v>
      </c>
      <c r="E14" s="1506">
        <v>0</v>
      </c>
      <c r="F14" s="1506">
        <v>0</v>
      </c>
      <c r="G14" s="1506">
        <v>0</v>
      </c>
      <c r="H14" s="1506">
        <v>23665067.25</v>
      </c>
      <c r="I14" s="1506">
        <f>H14+SUM(D$14:D15)</f>
        <v>23665067.25</v>
      </c>
      <c r="J14" s="1506">
        <f t="shared" si="0"/>
        <v>0</v>
      </c>
    </row>
    <row r="15" spans="1:10">
      <c r="A15" s="1505"/>
      <c r="B15" s="1506"/>
      <c r="C15" s="1506"/>
      <c r="D15" s="1506"/>
      <c r="E15" s="1506"/>
      <c r="F15" s="1506"/>
      <c r="G15" s="1506"/>
      <c r="H15" s="1506"/>
      <c r="I15" s="1506"/>
      <c r="J15" s="1506"/>
    </row>
    <row r="17" spans="3:10">
      <c r="C17" s="1506">
        <f>SUM(C2:C14)</f>
        <v>10466</v>
      </c>
      <c r="D17" s="1506">
        <f>SUM(D2:D14)</f>
        <v>1252774.9899999998</v>
      </c>
      <c r="E17" s="1506">
        <f>SUM(E2:E14)</f>
        <v>0</v>
      </c>
      <c r="F17" s="1506">
        <f>SUM(F2:F14)</f>
        <v>-37577.79</v>
      </c>
      <c r="G17" s="1506">
        <f>SUM(G2:G14)</f>
        <v>0</v>
      </c>
      <c r="I17" s="1506"/>
      <c r="J17" s="1511">
        <f>(J2+J14+SUM(J3:J13)*2)/24</f>
        <v>967561.65083333291</v>
      </c>
    </row>
    <row r="19" spans="3:10">
      <c r="D19" s="1506"/>
    </row>
  </sheetData>
  <printOptions gridLines="1"/>
  <pageMargins left="0.75" right="0.75" top="1" bottom="1" header="0.5" footer="0.5"/>
  <pageSetup scale="85" orientation="landscape" r:id="rId1"/>
  <headerFooter alignWithMargins="0">
    <oddHeader xml:space="preserve">&amp;LOld General Plant Groups - Gas
Adjusted Gross book cost </oddHeader>
    <oddFooter>&amp;LPrepared by:  Kathy Chinn
Date prepared:  7/27/2010&amp;R&amp;Z&amp;F&amp;A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8" tint="0.39997558519241921"/>
  </sheetPr>
  <dimension ref="B1:I70"/>
  <sheetViews>
    <sheetView zoomScale="70" zoomScaleNormal="85" workbookViewId="0">
      <selection activeCell="O32" sqref="O32"/>
    </sheetView>
  </sheetViews>
  <sheetFormatPr defaultColWidth="10.33203125" defaultRowHeight="18.75"/>
  <cols>
    <col min="1" max="1" width="4.5" style="1525" customWidth="1"/>
    <col min="2" max="2" width="64" style="1525" customWidth="1"/>
    <col min="3" max="3" width="1.33203125" style="1525" customWidth="1"/>
    <col min="4" max="4" width="18.1640625" style="1525" bestFit="1" customWidth="1"/>
    <col min="5" max="5" width="18.1640625" style="1524" bestFit="1" customWidth="1"/>
    <col min="6" max="6" width="18.1640625" style="1525" bestFit="1" customWidth="1"/>
    <col min="7" max="7" width="16" style="1525" customWidth="1"/>
    <col min="8" max="8" width="14.5" style="1525" customWidth="1"/>
    <col min="9" max="9" width="17.33203125" style="1526" bestFit="1" customWidth="1"/>
    <col min="10" max="256" width="10.33203125" style="1525"/>
    <col min="257" max="257" width="4.5" style="1525" customWidth="1"/>
    <col min="258" max="258" width="64" style="1525" customWidth="1"/>
    <col min="259" max="259" width="1.33203125" style="1525" customWidth="1"/>
    <col min="260" max="262" width="18.1640625" style="1525" bestFit="1" customWidth="1"/>
    <col min="263" max="263" width="16" style="1525" customWidth="1"/>
    <col min="264" max="264" width="14.5" style="1525" customWidth="1"/>
    <col min="265" max="265" width="17.33203125" style="1525" bestFit="1" customWidth="1"/>
    <col min="266" max="512" width="10.33203125" style="1525"/>
    <col min="513" max="513" width="4.5" style="1525" customWidth="1"/>
    <col min="514" max="514" width="64" style="1525" customWidth="1"/>
    <col min="515" max="515" width="1.33203125" style="1525" customWidth="1"/>
    <col min="516" max="518" width="18.1640625" style="1525" bestFit="1" customWidth="1"/>
    <col min="519" max="519" width="16" style="1525" customWidth="1"/>
    <col min="520" max="520" width="14.5" style="1525" customWidth="1"/>
    <col min="521" max="521" width="17.33203125" style="1525" bestFit="1" customWidth="1"/>
    <col min="522" max="768" width="10.33203125" style="1525"/>
    <col min="769" max="769" width="4.5" style="1525" customWidth="1"/>
    <col min="770" max="770" width="64" style="1525" customWidth="1"/>
    <col min="771" max="771" width="1.33203125" style="1525" customWidth="1"/>
    <col min="772" max="774" width="18.1640625" style="1525" bestFit="1" customWidth="1"/>
    <col min="775" max="775" width="16" style="1525" customWidth="1"/>
    <col min="776" max="776" width="14.5" style="1525" customWidth="1"/>
    <col min="777" max="777" width="17.33203125" style="1525" bestFit="1" customWidth="1"/>
    <col min="778" max="1024" width="10.33203125" style="1525"/>
    <col min="1025" max="1025" width="4.5" style="1525" customWidth="1"/>
    <col min="1026" max="1026" width="64" style="1525" customWidth="1"/>
    <col min="1027" max="1027" width="1.33203125" style="1525" customWidth="1"/>
    <col min="1028" max="1030" width="18.1640625" style="1525" bestFit="1" customWidth="1"/>
    <col min="1031" max="1031" width="16" style="1525" customWidth="1"/>
    <col min="1032" max="1032" width="14.5" style="1525" customWidth="1"/>
    <col min="1033" max="1033" width="17.33203125" style="1525" bestFit="1" customWidth="1"/>
    <col min="1034" max="1280" width="10.33203125" style="1525"/>
    <col min="1281" max="1281" width="4.5" style="1525" customWidth="1"/>
    <col min="1282" max="1282" width="64" style="1525" customWidth="1"/>
    <col min="1283" max="1283" width="1.33203125" style="1525" customWidth="1"/>
    <col min="1284" max="1286" width="18.1640625" style="1525" bestFit="1" customWidth="1"/>
    <col min="1287" max="1287" width="16" style="1525" customWidth="1"/>
    <col min="1288" max="1288" width="14.5" style="1525" customWidth="1"/>
    <col min="1289" max="1289" width="17.33203125" style="1525" bestFit="1" customWidth="1"/>
    <col min="1290" max="1536" width="10.33203125" style="1525"/>
    <col min="1537" max="1537" width="4.5" style="1525" customWidth="1"/>
    <col min="1538" max="1538" width="64" style="1525" customWidth="1"/>
    <col min="1539" max="1539" width="1.33203125" style="1525" customWidth="1"/>
    <col min="1540" max="1542" width="18.1640625" style="1525" bestFit="1" customWidth="1"/>
    <col min="1543" max="1543" width="16" style="1525" customWidth="1"/>
    <col min="1544" max="1544" width="14.5" style="1525" customWidth="1"/>
    <col min="1545" max="1545" width="17.33203125" style="1525" bestFit="1" customWidth="1"/>
    <col min="1546" max="1792" width="10.33203125" style="1525"/>
    <col min="1793" max="1793" width="4.5" style="1525" customWidth="1"/>
    <col min="1794" max="1794" width="64" style="1525" customWidth="1"/>
    <col min="1795" max="1795" width="1.33203125" style="1525" customWidth="1"/>
    <col min="1796" max="1798" width="18.1640625" style="1525" bestFit="1" customWidth="1"/>
    <col min="1799" max="1799" width="16" style="1525" customWidth="1"/>
    <col min="1800" max="1800" width="14.5" style="1525" customWidth="1"/>
    <col min="1801" max="1801" width="17.33203125" style="1525" bestFit="1" customWidth="1"/>
    <col min="1802" max="2048" width="10.33203125" style="1525"/>
    <col min="2049" max="2049" width="4.5" style="1525" customWidth="1"/>
    <col min="2050" max="2050" width="64" style="1525" customWidth="1"/>
    <col min="2051" max="2051" width="1.33203125" style="1525" customWidth="1"/>
    <col min="2052" max="2054" width="18.1640625" style="1525" bestFit="1" customWidth="1"/>
    <col min="2055" max="2055" width="16" style="1525" customWidth="1"/>
    <col min="2056" max="2056" width="14.5" style="1525" customWidth="1"/>
    <col min="2057" max="2057" width="17.33203125" style="1525" bestFit="1" customWidth="1"/>
    <col min="2058" max="2304" width="10.33203125" style="1525"/>
    <col min="2305" max="2305" width="4.5" style="1525" customWidth="1"/>
    <col min="2306" max="2306" width="64" style="1525" customWidth="1"/>
    <col min="2307" max="2307" width="1.33203125" style="1525" customWidth="1"/>
    <col min="2308" max="2310" width="18.1640625" style="1525" bestFit="1" customWidth="1"/>
    <col min="2311" max="2311" width="16" style="1525" customWidth="1"/>
    <col min="2312" max="2312" width="14.5" style="1525" customWidth="1"/>
    <col min="2313" max="2313" width="17.33203125" style="1525" bestFit="1" customWidth="1"/>
    <col min="2314" max="2560" width="10.33203125" style="1525"/>
    <col min="2561" max="2561" width="4.5" style="1525" customWidth="1"/>
    <col min="2562" max="2562" width="64" style="1525" customWidth="1"/>
    <col min="2563" max="2563" width="1.33203125" style="1525" customWidth="1"/>
    <col min="2564" max="2566" width="18.1640625" style="1525" bestFit="1" customWidth="1"/>
    <col min="2567" max="2567" width="16" style="1525" customWidth="1"/>
    <col min="2568" max="2568" width="14.5" style="1525" customWidth="1"/>
    <col min="2569" max="2569" width="17.33203125" style="1525" bestFit="1" customWidth="1"/>
    <col min="2570" max="2816" width="10.33203125" style="1525"/>
    <col min="2817" max="2817" width="4.5" style="1525" customWidth="1"/>
    <col min="2818" max="2818" width="64" style="1525" customWidth="1"/>
    <col min="2819" max="2819" width="1.33203125" style="1525" customWidth="1"/>
    <col min="2820" max="2822" width="18.1640625" style="1525" bestFit="1" customWidth="1"/>
    <col min="2823" max="2823" width="16" style="1525" customWidth="1"/>
    <col min="2824" max="2824" width="14.5" style="1525" customWidth="1"/>
    <col min="2825" max="2825" width="17.33203125" style="1525" bestFit="1" customWidth="1"/>
    <col min="2826" max="3072" width="10.33203125" style="1525"/>
    <col min="3073" max="3073" width="4.5" style="1525" customWidth="1"/>
    <col min="3074" max="3074" width="64" style="1525" customWidth="1"/>
    <col min="3075" max="3075" width="1.33203125" style="1525" customWidth="1"/>
    <col min="3076" max="3078" width="18.1640625" style="1525" bestFit="1" customWidth="1"/>
    <col min="3079" max="3079" width="16" style="1525" customWidth="1"/>
    <col min="3080" max="3080" width="14.5" style="1525" customWidth="1"/>
    <col min="3081" max="3081" width="17.33203125" style="1525" bestFit="1" customWidth="1"/>
    <col min="3082" max="3328" width="10.33203125" style="1525"/>
    <col min="3329" max="3329" width="4.5" style="1525" customWidth="1"/>
    <col min="3330" max="3330" width="64" style="1525" customWidth="1"/>
    <col min="3331" max="3331" width="1.33203125" style="1525" customWidth="1"/>
    <col min="3332" max="3334" width="18.1640625" style="1525" bestFit="1" customWidth="1"/>
    <col min="3335" max="3335" width="16" style="1525" customWidth="1"/>
    <col min="3336" max="3336" width="14.5" style="1525" customWidth="1"/>
    <col min="3337" max="3337" width="17.33203125" style="1525" bestFit="1" customWidth="1"/>
    <col min="3338" max="3584" width="10.33203125" style="1525"/>
    <col min="3585" max="3585" width="4.5" style="1525" customWidth="1"/>
    <col min="3586" max="3586" width="64" style="1525" customWidth="1"/>
    <col min="3587" max="3587" width="1.33203125" style="1525" customWidth="1"/>
    <col min="3588" max="3590" width="18.1640625" style="1525" bestFit="1" customWidth="1"/>
    <col min="3591" max="3591" width="16" style="1525" customWidth="1"/>
    <col min="3592" max="3592" width="14.5" style="1525" customWidth="1"/>
    <col min="3593" max="3593" width="17.33203125" style="1525" bestFit="1" customWidth="1"/>
    <col min="3594" max="3840" width="10.33203125" style="1525"/>
    <col min="3841" max="3841" width="4.5" style="1525" customWidth="1"/>
    <col min="3842" max="3842" width="64" style="1525" customWidth="1"/>
    <col min="3843" max="3843" width="1.33203125" style="1525" customWidth="1"/>
    <col min="3844" max="3846" width="18.1640625" style="1525" bestFit="1" customWidth="1"/>
    <col min="3847" max="3847" width="16" style="1525" customWidth="1"/>
    <col min="3848" max="3848" width="14.5" style="1525" customWidth="1"/>
    <col min="3849" max="3849" width="17.33203125" style="1525" bestFit="1" customWidth="1"/>
    <col min="3850" max="4096" width="10.33203125" style="1525"/>
    <col min="4097" max="4097" width="4.5" style="1525" customWidth="1"/>
    <col min="4098" max="4098" width="64" style="1525" customWidth="1"/>
    <col min="4099" max="4099" width="1.33203125" style="1525" customWidth="1"/>
    <col min="4100" max="4102" width="18.1640625" style="1525" bestFit="1" customWidth="1"/>
    <col min="4103" max="4103" width="16" style="1525" customWidth="1"/>
    <col min="4104" max="4104" width="14.5" style="1525" customWidth="1"/>
    <col min="4105" max="4105" width="17.33203125" style="1525" bestFit="1" customWidth="1"/>
    <col min="4106" max="4352" width="10.33203125" style="1525"/>
    <col min="4353" max="4353" width="4.5" style="1525" customWidth="1"/>
    <col min="4354" max="4354" width="64" style="1525" customWidth="1"/>
    <col min="4355" max="4355" width="1.33203125" style="1525" customWidth="1"/>
    <col min="4356" max="4358" width="18.1640625" style="1525" bestFit="1" customWidth="1"/>
    <col min="4359" max="4359" width="16" style="1525" customWidth="1"/>
    <col min="4360" max="4360" width="14.5" style="1525" customWidth="1"/>
    <col min="4361" max="4361" width="17.33203125" style="1525" bestFit="1" customWidth="1"/>
    <col min="4362" max="4608" width="10.33203125" style="1525"/>
    <col min="4609" max="4609" width="4.5" style="1525" customWidth="1"/>
    <col min="4610" max="4610" width="64" style="1525" customWidth="1"/>
    <col min="4611" max="4611" width="1.33203125" style="1525" customWidth="1"/>
    <col min="4612" max="4614" width="18.1640625" style="1525" bestFit="1" customWidth="1"/>
    <col min="4615" max="4615" width="16" style="1525" customWidth="1"/>
    <col min="4616" max="4616" width="14.5" style="1525" customWidth="1"/>
    <col min="4617" max="4617" width="17.33203125" style="1525" bestFit="1" customWidth="1"/>
    <col min="4618" max="4864" width="10.33203125" style="1525"/>
    <col min="4865" max="4865" width="4.5" style="1525" customWidth="1"/>
    <col min="4866" max="4866" width="64" style="1525" customWidth="1"/>
    <col min="4867" max="4867" width="1.33203125" style="1525" customWidth="1"/>
    <col min="4868" max="4870" width="18.1640625" style="1525" bestFit="1" customWidth="1"/>
    <col min="4871" max="4871" width="16" style="1525" customWidth="1"/>
    <col min="4872" max="4872" width="14.5" style="1525" customWidth="1"/>
    <col min="4873" max="4873" width="17.33203125" style="1525" bestFit="1" customWidth="1"/>
    <col min="4874" max="5120" width="10.33203125" style="1525"/>
    <col min="5121" max="5121" width="4.5" style="1525" customWidth="1"/>
    <col min="5122" max="5122" width="64" style="1525" customWidth="1"/>
    <col min="5123" max="5123" width="1.33203125" style="1525" customWidth="1"/>
    <col min="5124" max="5126" width="18.1640625" style="1525" bestFit="1" customWidth="1"/>
    <col min="5127" max="5127" width="16" style="1525" customWidth="1"/>
    <col min="5128" max="5128" width="14.5" style="1525" customWidth="1"/>
    <col min="5129" max="5129" width="17.33203125" style="1525" bestFit="1" customWidth="1"/>
    <col min="5130" max="5376" width="10.33203125" style="1525"/>
    <col min="5377" max="5377" width="4.5" style="1525" customWidth="1"/>
    <col min="5378" max="5378" width="64" style="1525" customWidth="1"/>
    <col min="5379" max="5379" width="1.33203125" style="1525" customWidth="1"/>
    <col min="5380" max="5382" width="18.1640625" style="1525" bestFit="1" customWidth="1"/>
    <col min="5383" max="5383" width="16" style="1525" customWidth="1"/>
    <col min="5384" max="5384" width="14.5" style="1525" customWidth="1"/>
    <col min="5385" max="5385" width="17.33203125" style="1525" bestFit="1" customWidth="1"/>
    <col min="5386" max="5632" width="10.33203125" style="1525"/>
    <col min="5633" max="5633" width="4.5" style="1525" customWidth="1"/>
    <col min="5634" max="5634" width="64" style="1525" customWidth="1"/>
    <col min="5635" max="5635" width="1.33203125" style="1525" customWidth="1"/>
    <col min="5636" max="5638" width="18.1640625" style="1525" bestFit="1" customWidth="1"/>
    <col min="5639" max="5639" width="16" style="1525" customWidth="1"/>
    <col min="5640" max="5640" width="14.5" style="1525" customWidth="1"/>
    <col min="5641" max="5641" width="17.33203125" style="1525" bestFit="1" customWidth="1"/>
    <col min="5642" max="5888" width="10.33203125" style="1525"/>
    <col min="5889" max="5889" width="4.5" style="1525" customWidth="1"/>
    <col min="5890" max="5890" width="64" style="1525" customWidth="1"/>
    <col min="5891" max="5891" width="1.33203125" style="1525" customWidth="1"/>
    <col min="5892" max="5894" width="18.1640625" style="1525" bestFit="1" customWidth="1"/>
    <col min="5895" max="5895" width="16" style="1525" customWidth="1"/>
    <col min="5896" max="5896" width="14.5" style="1525" customWidth="1"/>
    <col min="5897" max="5897" width="17.33203125" style="1525" bestFit="1" customWidth="1"/>
    <col min="5898" max="6144" width="10.33203125" style="1525"/>
    <col min="6145" max="6145" width="4.5" style="1525" customWidth="1"/>
    <col min="6146" max="6146" width="64" style="1525" customWidth="1"/>
    <col min="6147" max="6147" width="1.33203125" style="1525" customWidth="1"/>
    <col min="6148" max="6150" width="18.1640625" style="1525" bestFit="1" customWidth="1"/>
    <col min="6151" max="6151" width="16" style="1525" customWidth="1"/>
    <col min="6152" max="6152" width="14.5" style="1525" customWidth="1"/>
    <col min="6153" max="6153" width="17.33203125" style="1525" bestFit="1" customWidth="1"/>
    <col min="6154" max="6400" width="10.33203125" style="1525"/>
    <col min="6401" max="6401" width="4.5" style="1525" customWidth="1"/>
    <col min="6402" max="6402" width="64" style="1525" customWidth="1"/>
    <col min="6403" max="6403" width="1.33203125" style="1525" customWidth="1"/>
    <col min="6404" max="6406" width="18.1640625" style="1525" bestFit="1" customWidth="1"/>
    <col min="6407" max="6407" width="16" style="1525" customWidth="1"/>
    <col min="6408" max="6408" width="14.5" style="1525" customWidth="1"/>
    <col min="6409" max="6409" width="17.33203125" style="1525" bestFit="1" customWidth="1"/>
    <col min="6410" max="6656" width="10.33203125" style="1525"/>
    <col min="6657" max="6657" width="4.5" style="1525" customWidth="1"/>
    <col min="6658" max="6658" width="64" style="1525" customWidth="1"/>
    <col min="6659" max="6659" width="1.33203125" style="1525" customWidth="1"/>
    <col min="6660" max="6662" width="18.1640625" style="1525" bestFit="1" customWidth="1"/>
    <col min="6663" max="6663" width="16" style="1525" customWidth="1"/>
    <col min="6664" max="6664" width="14.5" style="1525" customWidth="1"/>
    <col min="6665" max="6665" width="17.33203125" style="1525" bestFit="1" customWidth="1"/>
    <col min="6666" max="6912" width="10.33203125" style="1525"/>
    <col min="6913" max="6913" width="4.5" style="1525" customWidth="1"/>
    <col min="6914" max="6914" width="64" style="1525" customWidth="1"/>
    <col min="6915" max="6915" width="1.33203125" style="1525" customWidth="1"/>
    <col min="6916" max="6918" width="18.1640625" style="1525" bestFit="1" customWidth="1"/>
    <col min="6919" max="6919" width="16" style="1525" customWidth="1"/>
    <col min="6920" max="6920" width="14.5" style="1525" customWidth="1"/>
    <col min="6921" max="6921" width="17.33203125" style="1525" bestFit="1" customWidth="1"/>
    <col min="6922" max="7168" width="10.33203125" style="1525"/>
    <col min="7169" max="7169" width="4.5" style="1525" customWidth="1"/>
    <col min="7170" max="7170" width="64" style="1525" customWidth="1"/>
    <col min="7171" max="7171" width="1.33203125" style="1525" customWidth="1"/>
    <col min="7172" max="7174" width="18.1640625" style="1525" bestFit="1" customWidth="1"/>
    <col min="7175" max="7175" width="16" style="1525" customWidth="1"/>
    <col min="7176" max="7176" width="14.5" style="1525" customWidth="1"/>
    <col min="7177" max="7177" width="17.33203125" style="1525" bestFit="1" customWidth="1"/>
    <col min="7178" max="7424" width="10.33203125" style="1525"/>
    <col min="7425" max="7425" width="4.5" style="1525" customWidth="1"/>
    <col min="7426" max="7426" width="64" style="1525" customWidth="1"/>
    <col min="7427" max="7427" width="1.33203125" style="1525" customWidth="1"/>
    <col min="7428" max="7430" width="18.1640625" style="1525" bestFit="1" customWidth="1"/>
    <col min="7431" max="7431" width="16" style="1525" customWidth="1"/>
    <col min="7432" max="7432" width="14.5" style="1525" customWidth="1"/>
    <col min="7433" max="7433" width="17.33203125" style="1525" bestFit="1" customWidth="1"/>
    <col min="7434" max="7680" width="10.33203125" style="1525"/>
    <col min="7681" max="7681" width="4.5" style="1525" customWidth="1"/>
    <col min="7682" max="7682" width="64" style="1525" customWidth="1"/>
    <col min="7683" max="7683" width="1.33203125" style="1525" customWidth="1"/>
    <col min="7684" max="7686" width="18.1640625" style="1525" bestFit="1" customWidth="1"/>
    <col min="7687" max="7687" width="16" style="1525" customWidth="1"/>
    <col min="7688" max="7688" width="14.5" style="1525" customWidth="1"/>
    <col min="7689" max="7689" width="17.33203125" style="1525" bestFit="1" customWidth="1"/>
    <col min="7690" max="7936" width="10.33203125" style="1525"/>
    <col min="7937" max="7937" width="4.5" style="1525" customWidth="1"/>
    <col min="7938" max="7938" width="64" style="1525" customWidth="1"/>
    <col min="7939" max="7939" width="1.33203125" style="1525" customWidth="1"/>
    <col min="7940" max="7942" width="18.1640625" style="1525" bestFit="1" customWidth="1"/>
    <col min="7943" max="7943" width="16" style="1525" customWidth="1"/>
    <col min="7944" max="7944" width="14.5" style="1525" customWidth="1"/>
    <col min="7945" max="7945" width="17.33203125" style="1525" bestFit="1" customWidth="1"/>
    <col min="7946" max="8192" width="10.33203125" style="1525"/>
    <col min="8193" max="8193" width="4.5" style="1525" customWidth="1"/>
    <col min="8194" max="8194" width="64" style="1525" customWidth="1"/>
    <col min="8195" max="8195" width="1.33203125" style="1525" customWidth="1"/>
    <col min="8196" max="8198" width="18.1640625" style="1525" bestFit="1" customWidth="1"/>
    <col min="8199" max="8199" width="16" style="1525" customWidth="1"/>
    <col min="8200" max="8200" width="14.5" style="1525" customWidth="1"/>
    <col min="8201" max="8201" width="17.33203125" style="1525" bestFit="1" customWidth="1"/>
    <col min="8202" max="8448" width="10.33203125" style="1525"/>
    <col min="8449" max="8449" width="4.5" style="1525" customWidth="1"/>
    <col min="8450" max="8450" width="64" style="1525" customWidth="1"/>
    <col min="8451" max="8451" width="1.33203125" style="1525" customWidth="1"/>
    <col min="8452" max="8454" width="18.1640625" style="1525" bestFit="1" customWidth="1"/>
    <col min="8455" max="8455" width="16" style="1525" customWidth="1"/>
    <col min="8456" max="8456" width="14.5" style="1525" customWidth="1"/>
    <col min="8457" max="8457" width="17.33203125" style="1525" bestFit="1" customWidth="1"/>
    <col min="8458" max="8704" width="10.33203125" style="1525"/>
    <col min="8705" max="8705" width="4.5" style="1525" customWidth="1"/>
    <col min="8706" max="8706" width="64" style="1525" customWidth="1"/>
    <col min="8707" max="8707" width="1.33203125" style="1525" customWidth="1"/>
    <col min="8708" max="8710" width="18.1640625" style="1525" bestFit="1" customWidth="1"/>
    <col min="8711" max="8711" width="16" style="1525" customWidth="1"/>
    <col min="8712" max="8712" width="14.5" style="1525" customWidth="1"/>
    <col min="8713" max="8713" width="17.33203125" style="1525" bestFit="1" customWidth="1"/>
    <col min="8714" max="8960" width="10.33203125" style="1525"/>
    <col min="8961" max="8961" width="4.5" style="1525" customWidth="1"/>
    <col min="8962" max="8962" width="64" style="1525" customWidth="1"/>
    <col min="8963" max="8963" width="1.33203125" style="1525" customWidth="1"/>
    <col min="8964" max="8966" width="18.1640625" style="1525" bestFit="1" customWidth="1"/>
    <col min="8967" max="8967" width="16" style="1525" customWidth="1"/>
    <col min="8968" max="8968" width="14.5" style="1525" customWidth="1"/>
    <col min="8969" max="8969" width="17.33203125" style="1525" bestFit="1" customWidth="1"/>
    <col min="8970" max="9216" width="10.33203125" style="1525"/>
    <col min="9217" max="9217" width="4.5" style="1525" customWidth="1"/>
    <col min="9218" max="9218" width="64" style="1525" customWidth="1"/>
    <col min="9219" max="9219" width="1.33203125" style="1525" customWidth="1"/>
    <col min="9220" max="9222" width="18.1640625" style="1525" bestFit="1" customWidth="1"/>
    <col min="9223" max="9223" width="16" style="1525" customWidth="1"/>
    <col min="9224" max="9224" width="14.5" style="1525" customWidth="1"/>
    <col min="9225" max="9225" width="17.33203125" style="1525" bestFit="1" customWidth="1"/>
    <col min="9226" max="9472" width="10.33203125" style="1525"/>
    <col min="9473" max="9473" width="4.5" style="1525" customWidth="1"/>
    <col min="9474" max="9474" width="64" style="1525" customWidth="1"/>
    <col min="9475" max="9475" width="1.33203125" style="1525" customWidth="1"/>
    <col min="9476" max="9478" width="18.1640625" style="1525" bestFit="1" customWidth="1"/>
    <col min="9479" max="9479" width="16" style="1525" customWidth="1"/>
    <col min="9480" max="9480" width="14.5" style="1525" customWidth="1"/>
    <col min="9481" max="9481" width="17.33203125" style="1525" bestFit="1" customWidth="1"/>
    <col min="9482" max="9728" width="10.33203125" style="1525"/>
    <col min="9729" max="9729" width="4.5" style="1525" customWidth="1"/>
    <col min="9730" max="9730" width="64" style="1525" customWidth="1"/>
    <col min="9731" max="9731" width="1.33203125" style="1525" customWidth="1"/>
    <col min="9732" max="9734" width="18.1640625" style="1525" bestFit="1" customWidth="1"/>
    <col min="9735" max="9735" width="16" style="1525" customWidth="1"/>
    <col min="9736" max="9736" width="14.5" style="1525" customWidth="1"/>
    <col min="9737" max="9737" width="17.33203125" style="1525" bestFit="1" customWidth="1"/>
    <col min="9738" max="9984" width="10.33203125" style="1525"/>
    <col min="9985" max="9985" width="4.5" style="1525" customWidth="1"/>
    <col min="9986" max="9986" width="64" style="1525" customWidth="1"/>
    <col min="9987" max="9987" width="1.33203125" style="1525" customWidth="1"/>
    <col min="9988" max="9990" width="18.1640625" style="1525" bestFit="1" customWidth="1"/>
    <col min="9991" max="9991" width="16" style="1525" customWidth="1"/>
    <col min="9992" max="9992" width="14.5" style="1525" customWidth="1"/>
    <col min="9993" max="9993" width="17.33203125" style="1525" bestFit="1" customWidth="1"/>
    <col min="9994" max="10240" width="10.33203125" style="1525"/>
    <col min="10241" max="10241" width="4.5" style="1525" customWidth="1"/>
    <col min="10242" max="10242" width="64" style="1525" customWidth="1"/>
    <col min="10243" max="10243" width="1.33203125" style="1525" customWidth="1"/>
    <col min="10244" max="10246" width="18.1640625" style="1525" bestFit="1" customWidth="1"/>
    <col min="10247" max="10247" width="16" style="1525" customWidth="1"/>
    <col min="10248" max="10248" width="14.5" style="1525" customWidth="1"/>
    <col min="10249" max="10249" width="17.33203125" style="1525" bestFit="1" customWidth="1"/>
    <col min="10250" max="10496" width="10.33203125" style="1525"/>
    <col min="10497" max="10497" width="4.5" style="1525" customWidth="1"/>
    <col min="10498" max="10498" width="64" style="1525" customWidth="1"/>
    <col min="10499" max="10499" width="1.33203125" style="1525" customWidth="1"/>
    <col min="10500" max="10502" width="18.1640625" style="1525" bestFit="1" customWidth="1"/>
    <col min="10503" max="10503" width="16" style="1525" customWidth="1"/>
    <col min="10504" max="10504" width="14.5" style="1525" customWidth="1"/>
    <col min="10505" max="10505" width="17.33203125" style="1525" bestFit="1" customWidth="1"/>
    <col min="10506" max="10752" width="10.33203125" style="1525"/>
    <col min="10753" max="10753" width="4.5" style="1525" customWidth="1"/>
    <col min="10754" max="10754" width="64" style="1525" customWidth="1"/>
    <col min="10755" max="10755" width="1.33203125" style="1525" customWidth="1"/>
    <col min="10756" max="10758" width="18.1640625" style="1525" bestFit="1" customWidth="1"/>
    <col min="10759" max="10759" width="16" style="1525" customWidth="1"/>
    <col min="10760" max="10760" width="14.5" style="1525" customWidth="1"/>
    <col min="10761" max="10761" width="17.33203125" style="1525" bestFit="1" customWidth="1"/>
    <col min="10762" max="11008" width="10.33203125" style="1525"/>
    <col min="11009" max="11009" width="4.5" style="1525" customWidth="1"/>
    <col min="11010" max="11010" width="64" style="1525" customWidth="1"/>
    <col min="11011" max="11011" width="1.33203125" style="1525" customWidth="1"/>
    <col min="11012" max="11014" width="18.1640625" style="1525" bestFit="1" customWidth="1"/>
    <col min="11015" max="11015" width="16" style="1525" customWidth="1"/>
    <col min="11016" max="11016" width="14.5" style="1525" customWidth="1"/>
    <col min="11017" max="11017" width="17.33203125" style="1525" bestFit="1" customWidth="1"/>
    <col min="11018" max="11264" width="10.33203125" style="1525"/>
    <col min="11265" max="11265" width="4.5" style="1525" customWidth="1"/>
    <col min="11266" max="11266" width="64" style="1525" customWidth="1"/>
    <col min="11267" max="11267" width="1.33203125" style="1525" customWidth="1"/>
    <col min="11268" max="11270" width="18.1640625" style="1525" bestFit="1" customWidth="1"/>
    <col min="11271" max="11271" width="16" style="1525" customWidth="1"/>
    <col min="11272" max="11272" width="14.5" style="1525" customWidth="1"/>
    <col min="11273" max="11273" width="17.33203125" style="1525" bestFit="1" customWidth="1"/>
    <col min="11274" max="11520" width="10.33203125" style="1525"/>
    <col min="11521" max="11521" width="4.5" style="1525" customWidth="1"/>
    <col min="11522" max="11522" width="64" style="1525" customWidth="1"/>
    <col min="11523" max="11523" width="1.33203125" style="1525" customWidth="1"/>
    <col min="11524" max="11526" width="18.1640625" style="1525" bestFit="1" customWidth="1"/>
    <col min="11527" max="11527" width="16" style="1525" customWidth="1"/>
    <col min="11528" max="11528" width="14.5" style="1525" customWidth="1"/>
    <col min="11529" max="11529" width="17.33203125" style="1525" bestFit="1" customWidth="1"/>
    <col min="11530" max="11776" width="10.33203125" style="1525"/>
    <col min="11777" max="11777" width="4.5" style="1525" customWidth="1"/>
    <col min="11778" max="11778" width="64" style="1525" customWidth="1"/>
    <col min="11779" max="11779" width="1.33203125" style="1525" customWidth="1"/>
    <col min="11780" max="11782" width="18.1640625" style="1525" bestFit="1" customWidth="1"/>
    <col min="11783" max="11783" width="16" style="1525" customWidth="1"/>
    <col min="11784" max="11784" width="14.5" style="1525" customWidth="1"/>
    <col min="11785" max="11785" width="17.33203125" style="1525" bestFit="1" customWidth="1"/>
    <col min="11786" max="12032" width="10.33203125" style="1525"/>
    <col min="12033" max="12033" width="4.5" style="1525" customWidth="1"/>
    <col min="12034" max="12034" width="64" style="1525" customWidth="1"/>
    <col min="12035" max="12035" width="1.33203125" style="1525" customWidth="1"/>
    <col min="12036" max="12038" width="18.1640625" style="1525" bestFit="1" customWidth="1"/>
    <col min="12039" max="12039" width="16" style="1525" customWidth="1"/>
    <col min="12040" max="12040" width="14.5" style="1525" customWidth="1"/>
    <col min="12041" max="12041" width="17.33203125" style="1525" bestFit="1" customWidth="1"/>
    <col min="12042" max="12288" width="10.33203125" style="1525"/>
    <col min="12289" max="12289" width="4.5" style="1525" customWidth="1"/>
    <col min="12290" max="12290" width="64" style="1525" customWidth="1"/>
    <col min="12291" max="12291" width="1.33203125" style="1525" customWidth="1"/>
    <col min="12292" max="12294" width="18.1640625" style="1525" bestFit="1" customWidth="1"/>
    <col min="12295" max="12295" width="16" style="1525" customWidth="1"/>
    <col min="12296" max="12296" width="14.5" style="1525" customWidth="1"/>
    <col min="12297" max="12297" width="17.33203125" style="1525" bestFit="1" customWidth="1"/>
    <col min="12298" max="12544" width="10.33203125" style="1525"/>
    <col min="12545" max="12545" width="4.5" style="1525" customWidth="1"/>
    <col min="12546" max="12546" width="64" style="1525" customWidth="1"/>
    <col min="12547" max="12547" width="1.33203125" style="1525" customWidth="1"/>
    <col min="12548" max="12550" width="18.1640625" style="1525" bestFit="1" customWidth="1"/>
    <col min="12551" max="12551" width="16" style="1525" customWidth="1"/>
    <col min="12552" max="12552" width="14.5" style="1525" customWidth="1"/>
    <col min="12553" max="12553" width="17.33203125" style="1525" bestFit="1" customWidth="1"/>
    <col min="12554" max="12800" width="10.33203125" style="1525"/>
    <col min="12801" max="12801" width="4.5" style="1525" customWidth="1"/>
    <col min="12802" max="12802" width="64" style="1525" customWidth="1"/>
    <col min="12803" max="12803" width="1.33203125" style="1525" customWidth="1"/>
    <col min="12804" max="12806" width="18.1640625" style="1525" bestFit="1" customWidth="1"/>
    <col min="12807" max="12807" width="16" style="1525" customWidth="1"/>
    <col min="12808" max="12808" width="14.5" style="1525" customWidth="1"/>
    <col min="12809" max="12809" width="17.33203125" style="1525" bestFit="1" customWidth="1"/>
    <col min="12810" max="13056" width="10.33203125" style="1525"/>
    <col min="13057" max="13057" width="4.5" style="1525" customWidth="1"/>
    <col min="13058" max="13058" width="64" style="1525" customWidth="1"/>
    <col min="13059" max="13059" width="1.33203125" style="1525" customWidth="1"/>
    <col min="13060" max="13062" width="18.1640625" style="1525" bestFit="1" customWidth="1"/>
    <col min="13063" max="13063" width="16" style="1525" customWidth="1"/>
    <col min="13064" max="13064" width="14.5" style="1525" customWidth="1"/>
    <col min="13065" max="13065" width="17.33203125" style="1525" bestFit="1" customWidth="1"/>
    <col min="13066" max="13312" width="10.33203125" style="1525"/>
    <col min="13313" max="13313" width="4.5" style="1525" customWidth="1"/>
    <col min="13314" max="13314" width="64" style="1525" customWidth="1"/>
    <col min="13315" max="13315" width="1.33203125" style="1525" customWidth="1"/>
    <col min="13316" max="13318" width="18.1640625" style="1525" bestFit="1" customWidth="1"/>
    <col min="13319" max="13319" width="16" style="1525" customWidth="1"/>
    <col min="13320" max="13320" width="14.5" style="1525" customWidth="1"/>
    <col min="13321" max="13321" width="17.33203125" style="1525" bestFit="1" customWidth="1"/>
    <col min="13322" max="13568" width="10.33203125" style="1525"/>
    <col min="13569" max="13569" width="4.5" style="1525" customWidth="1"/>
    <col min="13570" max="13570" width="64" style="1525" customWidth="1"/>
    <col min="13571" max="13571" width="1.33203125" style="1525" customWidth="1"/>
    <col min="13572" max="13574" width="18.1640625" style="1525" bestFit="1" customWidth="1"/>
    <col min="13575" max="13575" width="16" style="1525" customWidth="1"/>
    <col min="13576" max="13576" width="14.5" style="1525" customWidth="1"/>
    <col min="13577" max="13577" width="17.33203125" style="1525" bestFit="1" customWidth="1"/>
    <col min="13578" max="13824" width="10.33203125" style="1525"/>
    <col min="13825" max="13825" width="4.5" style="1525" customWidth="1"/>
    <col min="13826" max="13826" width="64" style="1525" customWidth="1"/>
    <col min="13827" max="13827" width="1.33203125" style="1525" customWidth="1"/>
    <col min="13828" max="13830" width="18.1640625" style="1525" bestFit="1" customWidth="1"/>
    <col min="13831" max="13831" width="16" style="1525" customWidth="1"/>
    <col min="13832" max="13832" width="14.5" style="1525" customWidth="1"/>
    <col min="13833" max="13833" width="17.33203125" style="1525" bestFit="1" customWidth="1"/>
    <col min="13834" max="14080" width="10.33203125" style="1525"/>
    <col min="14081" max="14081" width="4.5" style="1525" customWidth="1"/>
    <col min="14082" max="14082" width="64" style="1525" customWidth="1"/>
    <col min="14083" max="14083" width="1.33203125" style="1525" customWidth="1"/>
    <col min="14084" max="14086" width="18.1640625" style="1525" bestFit="1" customWidth="1"/>
    <col min="14087" max="14087" width="16" style="1525" customWidth="1"/>
    <col min="14088" max="14088" width="14.5" style="1525" customWidth="1"/>
    <col min="14089" max="14089" width="17.33203125" style="1525" bestFit="1" customWidth="1"/>
    <col min="14090" max="14336" width="10.33203125" style="1525"/>
    <col min="14337" max="14337" width="4.5" style="1525" customWidth="1"/>
    <col min="14338" max="14338" width="64" style="1525" customWidth="1"/>
    <col min="14339" max="14339" width="1.33203125" style="1525" customWidth="1"/>
    <col min="14340" max="14342" width="18.1640625" style="1525" bestFit="1" customWidth="1"/>
    <col min="14343" max="14343" width="16" style="1525" customWidth="1"/>
    <col min="14344" max="14344" width="14.5" style="1525" customWidth="1"/>
    <col min="14345" max="14345" width="17.33203125" style="1525" bestFit="1" customWidth="1"/>
    <col min="14346" max="14592" width="10.33203125" style="1525"/>
    <col min="14593" max="14593" width="4.5" style="1525" customWidth="1"/>
    <col min="14594" max="14594" width="64" style="1525" customWidth="1"/>
    <col min="14595" max="14595" width="1.33203125" style="1525" customWidth="1"/>
    <col min="14596" max="14598" width="18.1640625" style="1525" bestFit="1" customWidth="1"/>
    <col min="14599" max="14599" width="16" style="1525" customWidth="1"/>
    <col min="14600" max="14600" width="14.5" style="1525" customWidth="1"/>
    <col min="14601" max="14601" width="17.33203125" style="1525" bestFit="1" customWidth="1"/>
    <col min="14602" max="14848" width="10.33203125" style="1525"/>
    <col min="14849" max="14849" width="4.5" style="1525" customWidth="1"/>
    <col min="14850" max="14850" width="64" style="1525" customWidth="1"/>
    <col min="14851" max="14851" width="1.33203125" style="1525" customWidth="1"/>
    <col min="14852" max="14854" width="18.1640625" style="1525" bestFit="1" customWidth="1"/>
    <col min="14855" max="14855" width="16" style="1525" customWidth="1"/>
    <col min="14856" max="14856" width="14.5" style="1525" customWidth="1"/>
    <col min="14857" max="14857" width="17.33203125" style="1525" bestFit="1" customWidth="1"/>
    <col min="14858" max="15104" width="10.33203125" style="1525"/>
    <col min="15105" max="15105" width="4.5" style="1525" customWidth="1"/>
    <col min="15106" max="15106" width="64" style="1525" customWidth="1"/>
    <col min="15107" max="15107" width="1.33203125" style="1525" customWidth="1"/>
    <col min="15108" max="15110" width="18.1640625" style="1525" bestFit="1" customWidth="1"/>
    <col min="15111" max="15111" width="16" style="1525" customWidth="1"/>
    <col min="15112" max="15112" width="14.5" style="1525" customWidth="1"/>
    <col min="15113" max="15113" width="17.33203125" style="1525" bestFit="1" customWidth="1"/>
    <col min="15114" max="15360" width="10.33203125" style="1525"/>
    <col min="15361" max="15361" width="4.5" style="1525" customWidth="1"/>
    <col min="15362" max="15362" width="64" style="1525" customWidth="1"/>
    <col min="15363" max="15363" width="1.33203125" style="1525" customWidth="1"/>
    <col min="15364" max="15366" width="18.1640625" style="1525" bestFit="1" customWidth="1"/>
    <col min="15367" max="15367" width="16" style="1525" customWidth="1"/>
    <col min="15368" max="15368" width="14.5" style="1525" customWidth="1"/>
    <col min="15369" max="15369" width="17.33203125" style="1525" bestFit="1" customWidth="1"/>
    <col min="15370" max="15616" width="10.33203125" style="1525"/>
    <col min="15617" max="15617" width="4.5" style="1525" customWidth="1"/>
    <col min="15618" max="15618" width="64" style="1525" customWidth="1"/>
    <col min="15619" max="15619" width="1.33203125" style="1525" customWidth="1"/>
    <col min="15620" max="15622" width="18.1640625" style="1525" bestFit="1" customWidth="1"/>
    <col min="15623" max="15623" width="16" style="1525" customWidth="1"/>
    <col min="15624" max="15624" width="14.5" style="1525" customWidth="1"/>
    <col min="15625" max="15625" width="17.33203125" style="1525" bestFit="1" customWidth="1"/>
    <col min="15626" max="15872" width="10.33203125" style="1525"/>
    <col min="15873" max="15873" width="4.5" style="1525" customWidth="1"/>
    <col min="15874" max="15874" width="64" style="1525" customWidth="1"/>
    <col min="15875" max="15875" width="1.33203125" style="1525" customWidth="1"/>
    <col min="15876" max="15878" width="18.1640625" style="1525" bestFit="1" customWidth="1"/>
    <col min="15879" max="15879" width="16" style="1525" customWidth="1"/>
    <col min="15880" max="15880" width="14.5" style="1525" customWidth="1"/>
    <col min="15881" max="15881" width="17.33203125" style="1525" bestFit="1" customWidth="1"/>
    <col min="15882" max="16128" width="10.33203125" style="1525"/>
    <col min="16129" max="16129" width="4.5" style="1525" customWidth="1"/>
    <col min="16130" max="16130" width="64" style="1525" customWidth="1"/>
    <col min="16131" max="16131" width="1.33203125" style="1525" customWidth="1"/>
    <col min="16132" max="16134" width="18.1640625" style="1525" bestFit="1" customWidth="1"/>
    <col min="16135" max="16135" width="16" style="1525" customWidth="1"/>
    <col min="16136" max="16136" width="14.5" style="1525" customWidth="1"/>
    <col min="16137" max="16137" width="17.33203125" style="1525" bestFit="1" customWidth="1"/>
    <col min="16138" max="16384" width="10.33203125" style="1525"/>
  </cols>
  <sheetData>
    <row r="1" spans="2:9">
      <c r="B1" s="1522"/>
      <c r="C1" s="1522"/>
      <c r="D1" s="1523"/>
      <c r="F1" s="1524"/>
      <c r="G1" s="1524"/>
    </row>
    <row r="2" spans="2:9">
      <c r="B2" s="2911" t="s">
        <v>2290</v>
      </c>
      <c r="C2" s="2911"/>
      <c r="D2" s="2911"/>
      <c r="E2" s="2911"/>
      <c r="F2" s="2911"/>
      <c r="G2" s="2911"/>
      <c r="H2" s="2911"/>
      <c r="I2" s="1527"/>
    </row>
    <row r="3" spans="2:9">
      <c r="B3" s="2911" t="s">
        <v>2291</v>
      </c>
      <c r="C3" s="2911"/>
      <c r="D3" s="2911"/>
      <c r="E3" s="2911"/>
      <c r="F3" s="2911"/>
      <c r="G3" s="2911"/>
      <c r="H3" s="2911"/>
    </row>
    <row r="4" spans="2:9">
      <c r="B4" s="2912">
        <v>40543</v>
      </c>
      <c r="C4" s="2912"/>
      <c r="D4" s="2912"/>
      <c r="E4" s="2912"/>
      <c r="F4" s="2912"/>
      <c r="G4" s="2912"/>
      <c r="H4" s="2912"/>
    </row>
    <row r="5" spans="2:9">
      <c r="B5" s="1528"/>
      <c r="C5" s="1528"/>
      <c r="D5" s="1529"/>
      <c r="E5" s="1530"/>
      <c r="F5" s="1529"/>
      <c r="G5" s="1529"/>
      <c r="H5" s="1531"/>
    </row>
    <row r="6" spans="2:9">
      <c r="B6" s="2913" t="s">
        <v>991</v>
      </c>
      <c r="C6" s="2913"/>
      <c r="D6" s="2913"/>
      <c r="E6" s="2913"/>
      <c r="F6" s="2913"/>
      <c r="G6" s="2913"/>
      <c r="H6" s="2913"/>
    </row>
    <row r="7" spans="2:9">
      <c r="H7" s="1531"/>
    </row>
    <row r="8" spans="2:9" s="1533" customFormat="1">
      <c r="B8" s="2914" t="s">
        <v>2292</v>
      </c>
      <c r="C8" s="2914"/>
      <c r="D8" s="2914"/>
      <c r="E8" s="2914"/>
      <c r="F8" s="2914"/>
      <c r="G8" s="2914"/>
      <c r="H8" s="2914"/>
      <c r="I8" s="1532"/>
    </row>
    <row r="9" spans="2:9" s="1533" customFormat="1">
      <c r="B9" s="1534"/>
      <c r="C9" s="1534" t="s">
        <v>1228</v>
      </c>
      <c r="D9" s="1534"/>
      <c r="E9" s="2910" t="s">
        <v>2293</v>
      </c>
      <c r="F9" s="2910"/>
      <c r="G9" s="2910"/>
      <c r="I9" s="1535"/>
    </row>
    <row r="10" spans="2:9" s="1533" customFormat="1">
      <c r="B10" s="1536" t="s">
        <v>2294</v>
      </c>
      <c r="C10" s="1537"/>
      <c r="D10" s="1537" t="s">
        <v>2295</v>
      </c>
      <c r="E10" s="1538" t="s">
        <v>2296</v>
      </c>
      <c r="F10" s="1537" t="s">
        <v>2297</v>
      </c>
      <c r="G10" s="1537" t="s">
        <v>1179</v>
      </c>
      <c r="H10" s="1537"/>
      <c r="I10" s="1539"/>
    </row>
    <row r="11" spans="2:9">
      <c r="B11" s="1531" t="s">
        <v>2298</v>
      </c>
      <c r="C11" s="1540"/>
      <c r="D11" s="1541">
        <v>954898</v>
      </c>
      <c r="E11" s="1542">
        <v>949889</v>
      </c>
      <c r="F11" s="1541">
        <v>5009</v>
      </c>
      <c r="G11" s="1543">
        <v>5.2732477163121164E-3</v>
      </c>
      <c r="I11" s="1544"/>
    </row>
    <row r="12" spans="2:9">
      <c r="B12" s="1531" t="s">
        <v>2299</v>
      </c>
      <c r="C12" s="1540"/>
      <c r="D12" s="1541">
        <v>118530</v>
      </c>
      <c r="E12" s="1542">
        <v>118245</v>
      </c>
      <c r="F12" s="1541">
        <v>285</v>
      </c>
      <c r="G12" s="1543">
        <v>2.4102499048585563E-3</v>
      </c>
      <c r="I12" s="1544"/>
    </row>
    <row r="13" spans="2:9">
      <c r="B13" s="1531" t="s">
        <v>2300</v>
      </c>
      <c r="C13" s="1540"/>
      <c r="D13" s="1542">
        <v>176</v>
      </c>
      <c r="E13" s="1542">
        <v>177</v>
      </c>
      <c r="F13" s="1541">
        <v>-1</v>
      </c>
      <c r="G13" s="1543">
        <v>-5.6497175141242938E-3</v>
      </c>
      <c r="I13" s="1545"/>
    </row>
    <row r="14" spans="2:9">
      <c r="B14" s="1531" t="s">
        <v>2301</v>
      </c>
      <c r="C14" s="1540"/>
      <c r="D14" s="1542">
        <v>3633</v>
      </c>
      <c r="E14" s="1542">
        <v>3675</v>
      </c>
      <c r="F14" s="1541">
        <v>-42</v>
      </c>
      <c r="G14" s="1543">
        <v>-1.1428571428571429E-2</v>
      </c>
      <c r="I14" s="1545"/>
    </row>
    <row r="15" spans="2:9">
      <c r="B15" s="1531" t="s">
        <v>2302</v>
      </c>
      <c r="C15" s="1540"/>
      <c r="D15" s="1542">
        <v>4</v>
      </c>
      <c r="E15" s="1542">
        <v>4</v>
      </c>
      <c r="F15" s="1541">
        <v>0</v>
      </c>
      <c r="G15" s="1543">
        <v>0</v>
      </c>
      <c r="I15" s="1545"/>
    </row>
    <row r="16" spans="2:9" ht="20.25">
      <c r="B16" s="1531" t="s">
        <v>2303</v>
      </c>
      <c r="C16" s="1540"/>
      <c r="D16" s="1542">
        <v>3426</v>
      </c>
      <c r="E16" s="1542">
        <v>3404</v>
      </c>
      <c r="F16" s="1541">
        <v>22</v>
      </c>
      <c r="G16" s="1543">
        <v>6.4629847238542888E-3</v>
      </c>
      <c r="H16" s="1546"/>
      <c r="I16" s="1545"/>
    </row>
    <row r="17" spans="2:9">
      <c r="B17" s="1531" t="s">
        <v>2304</v>
      </c>
      <c r="C17" s="1547"/>
      <c r="D17" s="1542">
        <v>8</v>
      </c>
      <c r="E17" s="1542">
        <v>9</v>
      </c>
      <c r="F17" s="1541">
        <v>-1</v>
      </c>
      <c r="G17" s="1543">
        <v>-0.1111111111111111</v>
      </c>
      <c r="H17" s="1548"/>
      <c r="I17" s="1545"/>
    </row>
    <row r="18" spans="2:9">
      <c r="B18" s="1531" t="s">
        <v>2305</v>
      </c>
      <c r="C18" s="1547"/>
      <c r="D18" s="1549">
        <v>17</v>
      </c>
      <c r="E18" s="1549">
        <v>17</v>
      </c>
      <c r="F18" s="1550">
        <v>0</v>
      </c>
      <c r="G18" s="1551">
        <v>0</v>
      </c>
      <c r="I18" s="1545"/>
    </row>
    <row r="19" spans="2:9">
      <c r="B19" s="1531" t="s">
        <v>2306</v>
      </c>
      <c r="C19" s="1540"/>
      <c r="D19" s="1548">
        <v>1080692</v>
      </c>
      <c r="E19" s="1552">
        <v>1075420</v>
      </c>
      <c r="F19" s="1548">
        <v>5272</v>
      </c>
      <c r="G19" s="1543">
        <v>4.902270740733853E-3</v>
      </c>
      <c r="H19" s="1548"/>
      <c r="I19" s="1553"/>
    </row>
    <row r="20" spans="2:9">
      <c r="B20" s="1554"/>
      <c r="C20" s="1554"/>
      <c r="D20" s="1554" t="s">
        <v>97</v>
      </c>
      <c r="E20" s="1555"/>
      <c r="F20" s="1554"/>
      <c r="G20" s="1554"/>
      <c r="I20" s="1556"/>
    </row>
    <row r="21" spans="2:9">
      <c r="B21" s="1557" t="s">
        <v>1228</v>
      </c>
      <c r="C21" s="1557"/>
      <c r="D21" s="1557"/>
      <c r="E21" s="1558"/>
      <c r="F21" s="1557"/>
      <c r="G21" s="1557"/>
    </row>
    <row r="22" spans="2:9">
      <c r="B22" s="2915" t="s">
        <v>2307</v>
      </c>
      <c r="C22" s="2915"/>
      <c r="D22" s="2915"/>
      <c r="E22" s="2915"/>
      <c r="F22" s="2915"/>
      <c r="G22" s="2915"/>
    </row>
    <row r="23" spans="2:9">
      <c r="B23" s="1557"/>
      <c r="C23" s="1557"/>
      <c r="D23" s="1534"/>
      <c r="E23" s="2910" t="s">
        <v>2293</v>
      </c>
      <c r="F23" s="2910"/>
      <c r="G23" s="2910"/>
      <c r="I23" s="1535"/>
    </row>
    <row r="24" spans="2:9">
      <c r="B24" s="1536" t="s">
        <v>2294</v>
      </c>
      <c r="C24" s="1557"/>
      <c r="D24" s="1537" t="s">
        <v>2295</v>
      </c>
      <c r="E24" s="1538" t="s">
        <v>2296</v>
      </c>
      <c r="F24" s="1537" t="s">
        <v>2297</v>
      </c>
      <c r="G24" s="1537" t="s">
        <v>1179</v>
      </c>
      <c r="I24" s="1539"/>
    </row>
    <row r="25" spans="2:9">
      <c r="B25" s="1531" t="s">
        <v>2298</v>
      </c>
      <c r="C25" s="1557"/>
      <c r="D25" s="1541">
        <v>954451</v>
      </c>
      <c r="E25" s="1542">
        <v>949109</v>
      </c>
      <c r="F25" s="1541">
        <v>5342</v>
      </c>
      <c r="G25" s="1543">
        <v>5.628436775965669E-3</v>
      </c>
      <c r="I25" s="1544"/>
    </row>
    <row r="26" spans="2:9">
      <c r="B26" s="1531" t="s">
        <v>2299</v>
      </c>
      <c r="C26" s="1557"/>
      <c r="D26" s="1541">
        <v>118491</v>
      </c>
      <c r="E26" s="1542">
        <v>118187</v>
      </c>
      <c r="F26" s="1541">
        <v>304</v>
      </c>
      <c r="G26" s="1543">
        <v>2.5721949114538823E-3</v>
      </c>
      <c r="I26" s="1544"/>
    </row>
    <row r="27" spans="2:9">
      <c r="B27" s="1531" t="s">
        <v>2300</v>
      </c>
      <c r="C27" s="1557"/>
      <c r="D27" s="1541">
        <v>176</v>
      </c>
      <c r="E27" s="1542">
        <v>177</v>
      </c>
      <c r="F27" s="1541">
        <v>-1</v>
      </c>
      <c r="G27" s="1543">
        <v>-5.6497175141242938E-3</v>
      </c>
      <c r="I27" s="1544"/>
    </row>
    <row r="28" spans="2:9">
      <c r="B28" s="1531" t="s">
        <v>2301</v>
      </c>
      <c r="C28" s="1557"/>
      <c r="D28" s="1541">
        <v>3637</v>
      </c>
      <c r="E28" s="1542">
        <v>3673</v>
      </c>
      <c r="F28" s="1541">
        <v>-36</v>
      </c>
      <c r="G28" s="1543">
        <v>-9.8012523822488436E-3</v>
      </c>
      <c r="I28" s="1544"/>
    </row>
    <row r="29" spans="2:9">
      <c r="B29" s="1531" t="s">
        <v>2302</v>
      </c>
      <c r="C29" s="1557"/>
      <c r="D29" s="1541">
        <v>4</v>
      </c>
      <c r="E29" s="1542">
        <v>4</v>
      </c>
      <c r="F29" s="1541">
        <v>0</v>
      </c>
      <c r="G29" s="1543">
        <v>0</v>
      </c>
      <c r="I29" s="1544"/>
    </row>
    <row r="30" spans="2:9">
      <c r="B30" s="1531" t="s">
        <v>2303</v>
      </c>
      <c r="C30" s="1557"/>
      <c r="D30" s="1541">
        <v>3423</v>
      </c>
      <c r="E30" s="1542">
        <v>3404</v>
      </c>
      <c r="F30" s="1541">
        <v>19</v>
      </c>
      <c r="G30" s="1543">
        <v>5.5816686251468862E-3</v>
      </c>
      <c r="I30" s="1544"/>
    </row>
    <row r="31" spans="2:9">
      <c r="B31" s="1531" t="s">
        <v>2304</v>
      </c>
      <c r="C31" s="1557"/>
      <c r="D31" s="1541">
        <v>8</v>
      </c>
      <c r="E31" s="1542">
        <v>9</v>
      </c>
      <c r="F31" s="1541">
        <v>-1</v>
      </c>
      <c r="G31" s="1543">
        <v>-0.1111111111111111</v>
      </c>
      <c r="I31" s="1544"/>
    </row>
    <row r="32" spans="2:9">
      <c r="B32" s="1531" t="s">
        <v>2305</v>
      </c>
      <c r="C32" s="1557"/>
      <c r="D32" s="1550">
        <v>17</v>
      </c>
      <c r="E32" s="1549">
        <v>17</v>
      </c>
      <c r="F32" s="1550">
        <v>0</v>
      </c>
      <c r="G32" s="1551">
        <v>0</v>
      </c>
      <c r="I32" s="1544"/>
    </row>
    <row r="33" spans="2:9">
      <c r="B33" s="1531" t="s">
        <v>2306</v>
      </c>
      <c r="C33" s="1557"/>
      <c r="D33" s="1559">
        <v>1080207</v>
      </c>
      <c r="E33" s="1560">
        <v>1074580</v>
      </c>
      <c r="F33" s="1560">
        <v>5627</v>
      </c>
      <c r="G33" s="1543">
        <v>5.2364644791453403E-3</v>
      </c>
      <c r="I33" s="1561"/>
    </row>
    <row r="34" spans="2:9">
      <c r="B34" s="1554"/>
      <c r="C34" s="1554"/>
      <c r="D34" s="1554"/>
      <c r="E34" s="1555"/>
      <c r="F34" s="1554"/>
      <c r="G34" s="1554"/>
      <c r="I34" s="1556"/>
    </row>
    <row r="35" spans="2:9">
      <c r="B35" s="1531"/>
      <c r="C35" s="1531"/>
      <c r="D35" s="1531"/>
      <c r="E35" s="1562"/>
      <c r="F35" s="1531"/>
      <c r="G35" s="1531"/>
    </row>
    <row r="36" spans="2:9">
      <c r="B36" s="2916" t="s">
        <v>2308</v>
      </c>
      <c r="C36" s="2916"/>
      <c r="D36" s="2916"/>
      <c r="E36" s="2916"/>
      <c r="F36" s="2916"/>
      <c r="G36" s="2916"/>
      <c r="H36" s="2916"/>
    </row>
    <row r="37" spans="2:9" s="1533" customFormat="1">
      <c r="B37" s="1534"/>
      <c r="C37" s="1534"/>
      <c r="D37" s="1534"/>
      <c r="E37" s="2910" t="s">
        <v>2293</v>
      </c>
      <c r="F37" s="2910"/>
      <c r="G37" s="2910"/>
      <c r="I37" s="1535"/>
    </row>
    <row r="38" spans="2:9" s="1533" customFormat="1">
      <c r="B38" s="1536" t="s">
        <v>2294</v>
      </c>
      <c r="C38" s="1537"/>
      <c r="D38" s="1537" t="s">
        <v>2295</v>
      </c>
      <c r="E38" s="1538" t="s">
        <v>2296</v>
      </c>
      <c r="F38" s="1537" t="s">
        <v>2297</v>
      </c>
      <c r="G38" s="1537" t="s">
        <v>1179</v>
      </c>
      <c r="H38" s="1525"/>
      <c r="I38" s="1539"/>
    </row>
    <row r="39" spans="2:9">
      <c r="B39" s="1531" t="s">
        <v>2298</v>
      </c>
      <c r="C39" s="1540"/>
      <c r="D39" s="1541">
        <v>952803</v>
      </c>
      <c r="E39" s="1542">
        <v>947299</v>
      </c>
      <c r="F39" s="1541">
        <v>5504</v>
      </c>
      <c r="G39" s="1543">
        <v>5.8102035365813747E-3</v>
      </c>
      <c r="I39" s="1544"/>
    </row>
    <row r="40" spans="2:9">
      <c r="B40" s="1531" t="s">
        <v>2299</v>
      </c>
      <c r="C40" s="1540"/>
      <c r="D40" s="1541">
        <v>118419</v>
      </c>
      <c r="E40" s="1542">
        <v>118246</v>
      </c>
      <c r="F40" s="1541">
        <v>173</v>
      </c>
      <c r="G40" s="1543">
        <v>1.4630516042825972E-3</v>
      </c>
      <c r="I40" s="1544"/>
    </row>
    <row r="41" spans="2:9">
      <c r="B41" s="1531" t="s">
        <v>2300</v>
      </c>
      <c r="C41" s="1540"/>
      <c r="D41" s="1541">
        <v>176</v>
      </c>
      <c r="E41" s="1542">
        <v>177</v>
      </c>
      <c r="F41" s="1541">
        <v>-1</v>
      </c>
      <c r="G41" s="1543">
        <v>-5.6497175141242938E-3</v>
      </c>
      <c r="I41" s="1544"/>
    </row>
    <row r="42" spans="2:9">
      <c r="B42" s="1531" t="s">
        <v>2301</v>
      </c>
      <c r="C42" s="1540"/>
      <c r="D42" s="1541">
        <v>3656</v>
      </c>
      <c r="E42" s="1542">
        <v>3692</v>
      </c>
      <c r="F42" s="1541">
        <v>-36</v>
      </c>
      <c r="G42" s="1543">
        <v>-9.7508125677139759E-3</v>
      </c>
      <c r="I42" s="1544"/>
    </row>
    <row r="43" spans="2:9">
      <c r="B43" s="1531" t="s">
        <v>2302</v>
      </c>
      <c r="C43" s="1540"/>
      <c r="D43" s="1541">
        <v>4</v>
      </c>
      <c r="E43" s="1542">
        <v>3</v>
      </c>
      <c r="F43" s="1541">
        <v>1</v>
      </c>
      <c r="G43" s="1543">
        <v>0.33333333333333331</v>
      </c>
      <c r="I43" s="1544"/>
    </row>
    <row r="44" spans="2:9">
      <c r="B44" s="1531" t="s">
        <v>2303</v>
      </c>
      <c r="C44" s="1540"/>
      <c r="D44" s="1541">
        <v>3418</v>
      </c>
      <c r="E44" s="1542">
        <v>3394</v>
      </c>
      <c r="F44" s="1541">
        <v>24</v>
      </c>
      <c r="G44" s="1543">
        <v>7.0713022981732472E-3</v>
      </c>
      <c r="H44" s="1548"/>
      <c r="I44" s="1544"/>
    </row>
    <row r="45" spans="2:9">
      <c r="B45" s="1531" t="s">
        <v>2304</v>
      </c>
      <c r="C45" s="1547"/>
      <c r="D45" s="1541">
        <v>8</v>
      </c>
      <c r="E45" s="1542">
        <v>9</v>
      </c>
      <c r="F45" s="1541">
        <v>-1</v>
      </c>
      <c r="G45" s="1543">
        <v>-0.1111111111111111</v>
      </c>
      <c r="I45" s="1544"/>
    </row>
    <row r="46" spans="2:9">
      <c r="B46" s="1531" t="s">
        <v>2305</v>
      </c>
      <c r="C46" s="1547"/>
      <c r="D46" s="1550">
        <v>17</v>
      </c>
      <c r="E46" s="1549">
        <v>17</v>
      </c>
      <c r="F46" s="1550">
        <v>0</v>
      </c>
      <c r="G46" s="1551">
        <v>0</v>
      </c>
      <c r="I46" s="1544"/>
    </row>
    <row r="47" spans="2:9">
      <c r="B47" s="1531" t="s">
        <v>2306</v>
      </c>
      <c r="C47" s="1540"/>
      <c r="D47" s="1541">
        <v>1078501</v>
      </c>
      <c r="E47" s="1552">
        <v>1072837</v>
      </c>
      <c r="F47" s="1548">
        <v>5664</v>
      </c>
      <c r="G47" s="1543">
        <v>5.2794599738823327E-3</v>
      </c>
      <c r="H47" s="1548"/>
      <c r="I47" s="1544"/>
    </row>
    <row r="48" spans="2:9">
      <c r="B48" s="1554"/>
      <c r="C48" s="1554"/>
      <c r="D48" s="1554"/>
      <c r="E48" s="1555"/>
      <c r="F48" s="1554"/>
      <c r="G48" s="1554"/>
      <c r="H48" s="1533"/>
    </row>
    <row r="49" spans="2:9">
      <c r="B49" s="1531"/>
      <c r="C49" s="1531"/>
      <c r="D49" s="1531"/>
      <c r="E49" s="1562"/>
      <c r="F49" s="1531"/>
      <c r="G49" s="1531"/>
      <c r="H49" s="1533"/>
    </row>
    <row r="50" spans="2:9">
      <c r="B50" s="2916" t="s">
        <v>2309</v>
      </c>
      <c r="C50" s="2916"/>
      <c r="D50" s="2916"/>
      <c r="E50" s="2916"/>
      <c r="F50" s="2916"/>
      <c r="G50" s="2916"/>
      <c r="H50" s="2916"/>
    </row>
    <row r="51" spans="2:9" s="1533" customFormat="1">
      <c r="B51" s="1534"/>
      <c r="C51" s="1534"/>
      <c r="D51" s="1534"/>
      <c r="E51" s="2910" t="s">
        <v>2293</v>
      </c>
      <c r="F51" s="2910"/>
      <c r="G51" s="2910"/>
      <c r="H51" s="1525"/>
      <c r="I51" s="1535"/>
    </row>
    <row r="52" spans="2:9" s="1533" customFormat="1">
      <c r="B52" s="1536" t="s">
        <v>2294</v>
      </c>
      <c r="C52" s="1537"/>
      <c r="D52" s="1537" t="s">
        <v>2295</v>
      </c>
      <c r="E52" s="1538" t="s">
        <v>2296</v>
      </c>
      <c r="F52" s="1537" t="s">
        <v>2297</v>
      </c>
      <c r="G52" s="1537" t="s">
        <v>1179</v>
      </c>
      <c r="H52" s="1525"/>
      <c r="I52" s="1539"/>
    </row>
    <row r="53" spans="2:9">
      <c r="B53" s="1531" t="s">
        <v>2298</v>
      </c>
      <c r="C53" s="1540"/>
      <c r="D53" s="1541">
        <v>952803</v>
      </c>
      <c r="E53" s="1542">
        <v>947299</v>
      </c>
      <c r="F53" s="1541">
        <v>5504</v>
      </c>
      <c r="G53" s="1543">
        <v>5.8102035365813747E-3</v>
      </c>
      <c r="I53" s="1544"/>
    </row>
    <row r="54" spans="2:9">
      <c r="B54" s="1531" t="s">
        <v>2299</v>
      </c>
      <c r="C54" s="1540"/>
      <c r="D54" s="1541">
        <v>118419</v>
      </c>
      <c r="E54" s="1542">
        <v>118246</v>
      </c>
      <c r="F54" s="1541">
        <v>173</v>
      </c>
      <c r="G54" s="1543">
        <v>1.4630516042825972E-3</v>
      </c>
      <c r="I54" s="1544"/>
    </row>
    <row r="55" spans="2:9">
      <c r="B55" s="1531" t="s">
        <v>2300</v>
      </c>
      <c r="C55" s="1540"/>
      <c r="D55" s="1541">
        <v>176</v>
      </c>
      <c r="E55" s="1542">
        <v>177</v>
      </c>
      <c r="F55" s="1541">
        <v>-1</v>
      </c>
      <c r="G55" s="1543">
        <v>-5.6497175141242938E-3</v>
      </c>
      <c r="I55" s="1544"/>
    </row>
    <row r="56" spans="2:9">
      <c r="B56" s="1531" t="s">
        <v>2301</v>
      </c>
      <c r="C56" s="1540"/>
      <c r="D56" s="1541">
        <v>3656</v>
      </c>
      <c r="E56" s="1542">
        <v>3692</v>
      </c>
      <c r="F56" s="1541">
        <v>-36</v>
      </c>
      <c r="G56" s="1543">
        <v>-9.7508125677139759E-3</v>
      </c>
      <c r="I56" s="1544"/>
    </row>
    <row r="57" spans="2:9">
      <c r="B57" s="1531" t="s">
        <v>2302</v>
      </c>
      <c r="C57" s="1540"/>
      <c r="D57" s="1541">
        <v>4</v>
      </c>
      <c r="E57" s="1542">
        <v>3</v>
      </c>
      <c r="F57" s="1541">
        <v>1</v>
      </c>
      <c r="G57" s="1543">
        <v>0.33333333333333331</v>
      </c>
      <c r="I57" s="1544"/>
    </row>
    <row r="58" spans="2:9">
      <c r="B58" s="1531" t="s">
        <v>2303</v>
      </c>
      <c r="C58" s="1540"/>
      <c r="D58" s="1541">
        <v>3418</v>
      </c>
      <c r="E58" s="1542">
        <v>3394</v>
      </c>
      <c r="F58" s="1541">
        <v>24</v>
      </c>
      <c r="G58" s="1543">
        <v>7.0713022981732472E-3</v>
      </c>
      <c r="I58" s="1544"/>
    </row>
    <row r="59" spans="2:9">
      <c r="B59" s="1531" t="s">
        <v>2304</v>
      </c>
      <c r="C59" s="1547"/>
      <c r="D59" s="1541">
        <v>8</v>
      </c>
      <c r="E59" s="1542">
        <v>9</v>
      </c>
      <c r="F59" s="1541">
        <v>-1</v>
      </c>
      <c r="G59" s="1543">
        <v>-0.1111111111111111</v>
      </c>
      <c r="H59" s="1548"/>
      <c r="I59" s="1544"/>
    </row>
    <row r="60" spans="2:9">
      <c r="B60" s="1531" t="s">
        <v>2305</v>
      </c>
      <c r="C60" s="1547"/>
      <c r="D60" s="1550">
        <v>17</v>
      </c>
      <c r="E60" s="1549">
        <v>17</v>
      </c>
      <c r="F60" s="1550">
        <v>0</v>
      </c>
      <c r="G60" s="1551">
        <v>0</v>
      </c>
      <c r="I60" s="1544"/>
    </row>
    <row r="61" spans="2:9">
      <c r="B61" s="1531" t="s">
        <v>2306</v>
      </c>
      <c r="C61" s="1540"/>
      <c r="D61" s="1541">
        <v>1078501</v>
      </c>
      <c r="E61" s="1552">
        <v>1072837</v>
      </c>
      <c r="F61" s="1548">
        <v>5664</v>
      </c>
      <c r="G61" s="1543">
        <v>5.2794599738823327E-3</v>
      </c>
      <c r="H61" s="1548"/>
      <c r="I61" s="1544"/>
    </row>
    <row r="63" spans="2:9">
      <c r="B63" s="1534"/>
      <c r="C63" s="1531"/>
      <c r="D63" s="1531"/>
    </row>
    <row r="64" spans="2:9">
      <c r="B64" s="1534"/>
      <c r="C64" s="1531"/>
      <c r="D64" s="1563"/>
    </row>
    <row r="70" spans="2:2">
      <c r="B70" s="1531"/>
    </row>
  </sheetData>
  <mergeCells count="12">
    <mergeCell ref="E51:G51"/>
    <mergeCell ref="B2:H2"/>
    <mergeCell ref="B3:H3"/>
    <mergeCell ref="B4:H4"/>
    <mergeCell ref="B6:H6"/>
    <mergeCell ref="B8:H8"/>
    <mergeCell ref="E9:G9"/>
    <mergeCell ref="B22:G22"/>
    <mergeCell ref="E23:G23"/>
    <mergeCell ref="B36:H36"/>
    <mergeCell ref="E37:G37"/>
    <mergeCell ref="B50:H50"/>
  </mergeCells>
  <pageMargins left="0.96" right="0.75" top="0.71" bottom="1.19" header="0.37" footer="0.73"/>
  <pageSetup scale="55" orientation="portrait" r:id="rId1"/>
  <headerFooter alignWithMargins="0">
    <oddFooter xml:space="preserve">&amp;C&amp;14 6a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R54"/>
  <sheetViews>
    <sheetView topLeftCell="A2" zoomScale="90" zoomScaleNormal="90" workbookViewId="0">
      <selection activeCell="M2" sqref="M2"/>
    </sheetView>
  </sheetViews>
  <sheetFormatPr defaultColWidth="10.6640625" defaultRowHeight="15.75"/>
  <cols>
    <col min="1" max="1" width="3.33203125" style="2158" customWidth="1"/>
    <col min="2" max="2" width="10.33203125" style="2158" customWidth="1"/>
    <col min="3" max="3" width="39" style="2158" bestFit="1" customWidth="1"/>
    <col min="4" max="4" width="19.6640625" style="2158" bestFit="1" customWidth="1"/>
    <col min="5" max="5" width="19.5" style="2158" bestFit="1" customWidth="1"/>
    <col min="6" max="6" width="16.83203125" style="2158" bestFit="1" customWidth="1"/>
    <col min="7" max="7" width="13.1640625" style="2158" bestFit="1" customWidth="1"/>
    <col min="8" max="8" width="2" style="2158" customWidth="1"/>
    <col min="9" max="9" width="19.6640625" style="2158" bestFit="1" customWidth="1"/>
    <col min="10" max="10" width="19.5" style="2158" bestFit="1" customWidth="1"/>
    <col min="11" max="11" width="16.83203125" style="2158" bestFit="1" customWidth="1"/>
    <col min="12" max="12" width="13.1640625" style="2158" bestFit="1" customWidth="1"/>
    <col min="13" max="13" width="19.1640625" style="2158" bestFit="1" customWidth="1"/>
    <col min="14" max="14" width="17.83203125" style="2158" hidden="1" customWidth="1"/>
    <col min="15" max="15" width="0" style="2158" hidden="1" customWidth="1"/>
    <col min="16" max="16384" width="10.6640625" style="2158"/>
  </cols>
  <sheetData>
    <row r="1" spans="1:17" hidden="1">
      <c r="M1" s="2227">
        <v>1</v>
      </c>
    </row>
    <row r="2" spans="1:17">
      <c r="M2" s="2222" t="s">
        <v>3014</v>
      </c>
    </row>
    <row r="3" spans="1:17" ht="16.5" thickBot="1">
      <c r="M3" s="2223" t="s">
        <v>2889</v>
      </c>
    </row>
    <row r="4" spans="1:17" ht="17.25" thickTop="1" thickBot="1">
      <c r="M4" s="2224" t="str">
        <f>"Page "&amp;M1&amp;" of "&amp;'Exhibit No._(CTM-2), Pg. 32-34'!$N$1</f>
        <v>Page 1 of 34</v>
      </c>
    </row>
    <row r="5" spans="1:17" ht="16.5" thickTop="1">
      <c r="A5" s="2885" t="str">
        <f>'Compare GRCs'!A4:H4</f>
        <v>Puget Sound Energy - Gas</v>
      </c>
      <c r="B5" s="2885"/>
      <c r="C5" s="2885"/>
      <c r="D5" s="2885"/>
      <c r="E5" s="2885"/>
      <c r="F5" s="2885"/>
      <c r="G5" s="2885"/>
      <c r="H5" s="2885"/>
      <c r="I5" s="2885"/>
      <c r="J5" s="2885"/>
      <c r="K5" s="2885"/>
      <c r="L5" s="2885"/>
      <c r="M5" s="2885"/>
    </row>
    <row r="6" spans="1:17">
      <c r="A6" s="2885" t="str">
        <f>'Compare GRCs'!A5:H5</f>
        <v>RESULTS OF OPERATIONS</v>
      </c>
      <c r="B6" s="2885"/>
      <c r="C6" s="2885"/>
      <c r="D6" s="2885"/>
      <c r="E6" s="2885"/>
      <c r="F6" s="2885"/>
      <c r="G6" s="2885"/>
      <c r="H6" s="2885"/>
      <c r="I6" s="2885"/>
      <c r="J6" s="2885"/>
      <c r="K6" s="2885"/>
      <c r="L6" s="2885"/>
      <c r="M6" s="2885"/>
      <c r="N6" s="2225"/>
    </row>
    <row r="7" spans="1:17">
      <c r="A7" s="2885" t="str">
        <f>'Compare GRCs'!A6:H6</f>
        <v>For the Twelve Months Ended December 31, 2010</v>
      </c>
      <c r="B7" s="2885"/>
      <c r="C7" s="2885"/>
      <c r="D7" s="2885"/>
      <c r="E7" s="2885"/>
      <c r="F7" s="2885"/>
      <c r="G7" s="2885"/>
      <c r="H7" s="2885"/>
      <c r="I7" s="2885"/>
      <c r="J7" s="2885"/>
      <c r="K7" s="2885"/>
      <c r="L7" s="2885"/>
      <c r="M7" s="2885"/>
    </row>
    <row r="8" spans="1:17">
      <c r="A8" s="2885" t="str">
        <f>'Exhibit No._(CTM-2), Pg. 2-6'!A8</f>
        <v>General Rate Case</v>
      </c>
      <c r="B8" s="2885"/>
      <c r="C8" s="2885"/>
      <c r="D8" s="2885"/>
      <c r="E8" s="2885"/>
      <c r="F8" s="2885"/>
      <c r="G8" s="2885"/>
      <c r="H8" s="2885"/>
      <c r="I8" s="2885"/>
      <c r="J8" s="2885"/>
      <c r="K8" s="2885"/>
      <c r="L8" s="2885"/>
      <c r="M8" s="2885"/>
    </row>
    <row r="10" spans="1:17">
      <c r="D10" s="2886" t="s">
        <v>2522</v>
      </c>
      <c r="E10" s="2887"/>
      <c r="F10" s="2887"/>
      <c r="G10" s="2887"/>
      <c r="H10" s="2226"/>
      <c r="I10" s="2888" t="s">
        <v>984</v>
      </c>
      <c r="J10" s="2887"/>
      <c r="K10" s="2887"/>
      <c r="L10" s="2889"/>
    </row>
    <row r="11" spans="1:17">
      <c r="B11" s="2159" t="s">
        <v>2591</v>
      </c>
      <c r="C11" s="2159"/>
      <c r="D11" s="2159" t="s">
        <v>2523</v>
      </c>
      <c r="E11" s="2159"/>
      <c r="F11" s="2160" t="s">
        <v>2593</v>
      </c>
      <c r="G11" s="2161" t="s">
        <v>2524</v>
      </c>
      <c r="H11" s="2162"/>
      <c r="I11" s="2163" t="s">
        <v>2523</v>
      </c>
      <c r="J11" s="2159"/>
      <c r="K11" s="2160" t="s">
        <v>2593</v>
      </c>
      <c r="L11" s="2164" t="s">
        <v>2524</v>
      </c>
      <c r="M11" s="2165"/>
    </row>
    <row r="12" spans="1:17">
      <c r="B12" s="2166" t="s">
        <v>2549</v>
      </c>
      <c r="C12" s="2166" t="s">
        <v>523</v>
      </c>
      <c r="D12" s="2166" t="s">
        <v>268</v>
      </c>
      <c r="E12" s="2166" t="s">
        <v>2525</v>
      </c>
      <c r="F12" s="2167">
        <v>8.4199999999999997E-2</v>
      </c>
      <c r="G12" s="2168" t="s">
        <v>2525</v>
      </c>
      <c r="H12" s="2162"/>
      <c r="I12" s="2169" t="s">
        <v>268</v>
      </c>
      <c r="J12" s="2166" t="s">
        <v>2525</v>
      </c>
      <c r="K12" s="2167">
        <f>'Exhibit No._(CTM-2), Pg. 32-34'!J18</f>
        <v>7.5899999999999995E-2</v>
      </c>
      <c r="L12" s="2170" t="s">
        <v>2525</v>
      </c>
      <c r="M12" s="2171" t="s">
        <v>2344</v>
      </c>
    </row>
    <row r="13" spans="1:17" ht="16.5" thickBot="1">
      <c r="B13" s="2172" t="s">
        <v>1112</v>
      </c>
      <c r="C13" s="2172" t="s">
        <v>1113</v>
      </c>
      <c r="D13" s="2172" t="s">
        <v>2526</v>
      </c>
      <c r="E13" s="2172" t="s">
        <v>1657</v>
      </c>
      <c r="F13" s="2173" t="s">
        <v>2527</v>
      </c>
      <c r="G13" s="2174" t="s">
        <v>2528</v>
      </c>
      <c r="H13" s="2175"/>
      <c r="I13" s="2176" t="s">
        <v>2526</v>
      </c>
      <c r="J13" s="2172" t="s">
        <v>1657</v>
      </c>
      <c r="K13" s="2173" t="s">
        <v>2527</v>
      </c>
      <c r="L13" s="2177" t="s">
        <v>2528</v>
      </c>
      <c r="M13" s="2178" t="s">
        <v>2529</v>
      </c>
    </row>
    <row r="14" spans="1:17">
      <c r="B14" s="2179"/>
      <c r="C14" s="2179" t="s">
        <v>2530</v>
      </c>
      <c r="D14" s="2180">
        <v>102661459.51950526</v>
      </c>
      <c r="E14" s="2181">
        <v>1660735111.2888539</v>
      </c>
      <c r="F14" s="2182">
        <f>ROUND((-+D14+(E14*$F$12))/'Exhibit No._(CTM-2), Pg. 32-34'!$N$22,2)</f>
        <v>59811802.039999999</v>
      </c>
      <c r="G14" s="2183">
        <f>+D14/E14</f>
        <v>6.1816877852261663E-2</v>
      </c>
      <c r="H14" s="2175"/>
      <c r="I14" s="2184">
        <f>'Exhibit No._(CTM-2), Pg. 2-6'!D47</f>
        <v>102661459.51950526</v>
      </c>
      <c r="J14" s="2181">
        <f>'Exhibit No._(CTM-2), Pg. 2-6'!D60</f>
        <v>1660735111.0538375</v>
      </c>
      <c r="K14" s="2182">
        <f>ROUND((-+I14+(J14*$K$12))/'Exhibit No._(CTM-2), Pg. 32-34'!$N$22,2)</f>
        <v>37632681.799999997</v>
      </c>
      <c r="L14" s="2183">
        <f>+I14/J14</f>
        <v>6.1816877861009582E-2</v>
      </c>
      <c r="M14" s="2185">
        <f>+K14-F14</f>
        <v>-22179120.240000002</v>
      </c>
      <c r="Q14" s="2186"/>
    </row>
    <row r="15" spans="1:17">
      <c r="B15" s="2187">
        <v>5.01</v>
      </c>
      <c r="C15" s="2188" t="s">
        <v>556</v>
      </c>
      <c r="D15" s="2189">
        <v>4071209.3688660329</v>
      </c>
      <c r="E15" s="2189">
        <v>-2218846.4496661704</v>
      </c>
      <c r="F15" s="2182">
        <f>ROUND((-+D15+(E15*$F$12))/'Exhibit No._(CTM-2), Pg. 32-34'!$N$22,2)</f>
        <v>-6851335.0800000001</v>
      </c>
      <c r="G15" s="2190">
        <f>((+D15+D$14)/+(E15+E$14))-G$14</f>
        <v>2.5374315694311408E-3</v>
      </c>
      <c r="H15" s="2175"/>
      <c r="I15" s="2191">
        <f>'Exhibit No._(CTM-2), Pg. 2-6'!N47</f>
        <v>4071209.3688660329</v>
      </c>
      <c r="J15" s="2189">
        <f>'Exhibit No._(CTM-2), Pg. 2-6'!N49</f>
        <v>-2218846.4496661704</v>
      </c>
      <c r="K15" s="2182">
        <f>ROUND((-+I15+(J15*$K$12))/'Exhibit No._(CTM-2), Pg. 32-34'!$N$22,2)</f>
        <v>-6821702.3799999999</v>
      </c>
      <c r="L15" s="2190">
        <f>((+I15+I$14)/+(J15+J$14))-L$14</f>
        <v>2.5374315698023994E-3</v>
      </c>
      <c r="M15" s="2192">
        <f t="shared" ref="M15:M39" si="0">+K15-F15</f>
        <v>29632.700000000186</v>
      </c>
      <c r="Q15" s="2186"/>
    </row>
    <row r="16" spans="1:17">
      <c r="B16" s="2187">
        <v>5.0199999999999996</v>
      </c>
      <c r="C16" s="2188" t="s">
        <v>2531</v>
      </c>
      <c r="D16" s="2189">
        <v>-195346.91595120012</v>
      </c>
      <c r="E16" s="2189">
        <v>-97673.45797560006</v>
      </c>
      <c r="F16" s="2182">
        <f>ROUND((-+D16+(E16*$F$12))/'Exhibit No._(CTM-2), Pg. 32-34'!$N$22,2)</f>
        <v>301087.40000000002</v>
      </c>
      <c r="G16" s="2190">
        <f t="shared" ref="G16:G39" si="1">((+D16+D$14)/+(E16+E$14))-G$14</f>
        <v>-1.1399782000422187E-4</v>
      </c>
      <c r="H16" s="2175"/>
      <c r="I16" s="2191">
        <f>'Exhibit No._(CTM-2), Pg. 2-6'!O47</f>
        <v>-195346.91595120012</v>
      </c>
      <c r="J16" s="2189">
        <f>'Exhibit No._(CTM-2), Pg. 2-6'!O49</f>
        <v>-97673.45797560006</v>
      </c>
      <c r="K16" s="2182">
        <f>ROUND((-+I16+(J16*$K$12))/'Exhibit No._(CTM-2), Pg. 32-34'!$N$22,2)</f>
        <v>302391.83</v>
      </c>
      <c r="L16" s="2190">
        <f t="shared" ref="L16:L39" si="2">((+I16+I$14)/+(J16+J$14))-L$14</f>
        <v>-1.1399782001984132E-4</v>
      </c>
      <c r="M16" s="2192">
        <f t="shared" si="0"/>
        <v>1304.429999999993</v>
      </c>
      <c r="Q16" s="2186"/>
    </row>
    <row r="17" spans="2:17">
      <c r="B17" s="2187">
        <v>5.03</v>
      </c>
      <c r="C17" s="2188" t="s">
        <v>2532</v>
      </c>
      <c r="D17" s="2189">
        <v>640160.54360740329</v>
      </c>
      <c r="E17" s="2189">
        <v>0</v>
      </c>
      <c r="F17" s="2182">
        <f>ROUND((-+D17+(E17*$F$12))/'Exhibit No._(CTM-2), Pg. 32-34'!$N$22,2)</f>
        <v>-1030041.58</v>
      </c>
      <c r="G17" s="2190">
        <f t="shared" si="1"/>
        <v>3.8546818168406355E-4</v>
      </c>
      <c r="H17" s="2175"/>
      <c r="I17" s="2191">
        <f>'Exhibit No._(CTM-2), Pg. 2-6'!P47</f>
        <v>640159.71843290189</v>
      </c>
      <c r="J17" s="2189">
        <f>'Exhibit No._(CTM-2), Pg. 2-6'!P49</f>
        <v>0</v>
      </c>
      <c r="K17" s="2182">
        <f>ROUND((-+I17+(J17*$K$12))/'Exhibit No._(CTM-2), Pg. 32-34'!$N$22,2)</f>
        <v>-1030040.26</v>
      </c>
      <c r="L17" s="2190">
        <f t="shared" si="2"/>
        <v>3.8546768486558136E-4</v>
      </c>
      <c r="M17" s="2192">
        <f t="shared" si="0"/>
        <v>1.3199999999487773</v>
      </c>
      <c r="Q17" s="2186"/>
    </row>
    <row r="18" spans="2:17">
      <c r="B18" s="2187">
        <v>6.01</v>
      </c>
      <c r="C18" s="2188" t="s">
        <v>562</v>
      </c>
      <c r="D18" s="2189">
        <v>6651267.3144632801</v>
      </c>
      <c r="E18" s="2189">
        <v>0</v>
      </c>
      <c r="F18" s="2182">
        <f>ROUND((-+D18+(E18*$F$12))/'Exhibit No._(CTM-2), Pg. 32-34'!$N$22,2)</f>
        <v>-10702130.869999999</v>
      </c>
      <c r="G18" s="2190">
        <f t="shared" si="1"/>
        <v>4.0050139659547554E-3</v>
      </c>
      <c r="H18" s="2175"/>
      <c r="I18" s="2191">
        <f>'Exhibit No._(CTM-2), Pg. 2-6'!Q47</f>
        <v>6651267.3144632801</v>
      </c>
      <c r="J18" s="2189">
        <f>'Exhibit No._(CTM-2), Pg. 2-6'!Q49</f>
        <v>0</v>
      </c>
      <c r="K18" s="2182">
        <f>ROUND((-+I18+(J18*$K$12))/'Exhibit No._(CTM-2), Pg. 32-34'!$N$22,2)</f>
        <v>-10702130.869999999</v>
      </c>
      <c r="L18" s="2190">
        <f t="shared" si="2"/>
        <v>4.0050139665215242E-3</v>
      </c>
      <c r="M18" s="2192">
        <f t="shared" si="0"/>
        <v>0</v>
      </c>
      <c r="Q18" s="2186"/>
    </row>
    <row r="19" spans="2:17">
      <c r="B19" s="2187">
        <v>6.02</v>
      </c>
      <c r="C19" s="2188" t="s">
        <v>2533</v>
      </c>
      <c r="D19" s="2189">
        <v>17299412.350739326</v>
      </c>
      <c r="E19" s="2189">
        <v>0</v>
      </c>
      <c r="F19" s="2182">
        <f>ROUND((-+D19+(E19*$F$12))/'Exhibit No._(CTM-2), Pg. 32-34'!$N$22,2)</f>
        <v>-27835383.27</v>
      </c>
      <c r="G19" s="2190">
        <f t="shared" si="1"/>
        <v>1.0416719820726679E-2</v>
      </c>
      <c r="H19" s="2175"/>
      <c r="I19" s="2191">
        <f>'Exhibit No._(CTM-2), Pg. 2-6'!R47</f>
        <v>16913082.850892801</v>
      </c>
      <c r="J19" s="2189">
        <f>'Exhibit No._(CTM-2), Pg. 2-6'!R49</f>
        <v>0</v>
      </c>
      <c r="K19" s="2182">
        <f>ROUND((-+I19+(J19*$K$12))/'Exhibit No._(CTM-2), Pg. 32-34'!$N$22,2)</f>
        <v>-27213765.07</v>
      </c>
      <c r="L19" s="2190">
        <f t="shared" si="2"/>
        <v>1.0184094223286706E-2</v>
      </c>
      <c r="M19" s="2192">
        <f t="shared" si="0"/>
        <v>621618.19999999925</v>
      </c>
      <c r="Q19" s="2186"/>
    </row>
    <row r="20" spans="2:17">
      <c r="B20" s="2187">
        <v>6.03</v>
      </c>
      <c r="C20" s="2188" t="s">
        <v>2534</v>
      </c>
      <c r="D20" s="2189">
        <v>154724.02390249819</v>
      </c>
      <c r="E20" s="2189">
        <v>0</v>
      </c>
      <c r="F20" s="2182">
        <f>ROUND((-+D20+(E20*$F$12))/'Exhibit No._(CTM-2), Pg. 32-34'!$N$22,2)</f>
        <v>-248956.58</v>
      </c>
      <c r="G20" s="2190">
        <f t="shared" si="1"/>
        <v>9.3165985864195056E-5</v>
      </c>
      <c r="H20" s="2175"/>
      <c r="I20" s="2191">
        <f>'Exhibit No._(CTM-2), Pg. 2-6'!S47</f>
        <v>154723.67058743304</v>
      </c>
      <c r="J20" s="2189">
        <f>'Exhibit No._(CTM-2), Pg. 2-6'!S49</f>
        <v>0</v>
      </c>
      <c r="K20" s="2182">
        <f>ROUND((-+I20+(J20*$K$12))/'Exhibit No._(CTM-2), Pg. 32-34'!$N$22,2)</f>
        <v>-248956.01</v>
      </c>
      <c r="L20" s="2190">
        <f t="shared" si="2"/>
        <v>9.3165773131183294E-5</v>
      </c>
      <c r="M20" s="2192">
        <f t="shared" si="0"/>
        <v>0.56999999997788109</v>
      </c>
      <c r="Q20" s="2186"/>
    </row>
    <row r="21" spans="2:17">
      <c r="B21" s="2187">
        <v>6.04</v>
      </c>
      <c r="C21" s="2188" t="s">
        <v>568</v>
      </c>
      <c r="D21" s="2189">
        <v>-28834101.259000003</v>
      </c>
      <c r="E21" s="2189">
        <v>0</v>
      </c>
      <c r="F21" s="2182">
        <f>ROUND((-+D21+(E21*$F$12))/'Exhibit No._(CTM-2), Pg. 32-34'!$N$22,2)</f>
        <v>46395116.990000002</v>
      </c>
      <c r="G21" s="2190">
        <f t="shared" si="1"/>
        <v>-1.7362251850400509E-2</v>
      </c>
      <c r="H21" s="2175"/>
      <c r="I21" s="2191">
        <f>'Exhibit No._(CTM-2), Pg. 2-6'!T47</f>
        <v>-28834101.259000003</v>
      </c>
      <c r="J21" s="2189">
        <f>'Exhibit No._(CTM-2), Pg. 2-6'!T49</f>
        <v>-24564298</v>
      </c>
      <c r="K21" s="2182">
        <f>ROUND((-+I21+(J21*$K$12))/'Exhibit No._(CTM-2), Pg. 32-34'!$N$22,2)</f>
        <v>43395181</v>
      </c>
      <c r="L21" s="2190">
        <f t="shared" si="2"/>
        <v>-1.6694841902728498E-2</v>
      </c>
      <c r="M21" s="2192">
        <f t="shared" si="0"/>
        <v>-2999935.9900000021</v>
      </c>
      <c r="Q21" s="2186"/>
    </row>
    <row r="22" spans="2:17">
      <c r="B22" s="2187">
        <v>6.05</v>
      </c>
      <c r="C22" s="2193" t="s">
        <v>570</v>
      </c>
      <c r="D22" s="2189">
        <v>18805184.64740086</v>
      </c>
      <c r="E22" s="2189">
        <v>0</v>
      </c>
      <c r="F22" s="2182">
        <f>ROUND((-+D22+(E22*$F$12))/'Exhibit No._(CTM-2), Pg. 32-34'!$N$22,2)</f>
        <v>-30258225.629999999</v>
      </c>
      <c r="G22" s="2190">
        <f t="shared" si="1"/>
        <v>1.132341004870225E-2</v>
      </c>
      <c r="H22" s="2175"/>
      <c r="I22" s="2191">
        <f>'Exhibit No._(CTM-2), Pg. 2-6'!U47</f>
        <v>18265629.636268079</v>
      </c>
      <c r="J22" s="2189">
        <f>'Exhibit No._(CTM-2), Pg. 2-6'!U49</f>
        <v>0</v>
      </c>
      <c r="K22" s="2182">
        <f>ROUND((-+I22+(J22*$K$12))/'Exhibit No._(CTM-2), Pg. 32-34'!$N$22,2)</f>
        <v>-29390062.010000002</v>
      </c>
      <c r="L22" s="2190">
        <f t="shared" si="2"/>
        <v>1.099852078437568E-2</v>
      </c>
      <c r="M22" s="2192">
        <f t="shared" si="0"/>
        <v>868163.61999999732</v>
      </c>
      <c r="Q22" s="2186"/>
    </row>
    <row r="23" spans="2:17">
      <c r="B23" s="2187">
        <v>6.06</v>
      </c>
      <c r="C23" s="2193" t="s">
        <v>572</v>
      </c>
      <c r="D23" s="2189">
        <v>260363.24022962234</v>
      </c>
      <c r="E23" s="2189">
        <v>0</v>
      </c>
      <c r="F23" s="2182">
        <f>ROUND((-+D23+(E23*$F$12))/'Exhibit No._(CTM-2), Pg. 32-34'!$N$22,2)</f>
        <v>-418933.92</v>
      </c>
      <c r="G23" s="2190">
        <f t="shared" si="1"/>
        <v>1.5677589909420669E-4</v>
      </c>
      <c r="H23" s="2175"/>
      <c r="I23" s="2191">
        <f>'Exhibit No._(CTM-2), Pg. 2-6'!V47</f>
        <v>306609.78536743083</v>
      </c>
      <c r="J23" s="2189">
        <f>'Exhibit No._(CTM-2), Pg. 2-6'!V49</f>
        <v>0</v>
      </c>
      <c r="K23" s="2182">
        <f>ROUND((-+I23+(J23*$K$12))/'Exhibit No._(CTM-2), Pg. 32-34'!$N$22,2)</f>
        <v>-493346.29</v>
      </c>
      <c r="L23" s="2190">
        <f t="shared" si="2"/>
        <v>1.8462293193335921E-4</v>
      </c>
      <c r="M23" s="2192">
        <f t="shared" si="0"/>
        <v>-74412.37</v>
      </c>
      <c r="Q23" s="2186"/>
    </row>
    <row r="24" spans="2:17">
      <c r="B24" s="2187">
        <v>6.07</v>
      </c>
      <c r="C24" s="2193" t="s">
        <v>574</v>
      </c>
      <c r="D24" s="2189">
        <v>384999.03957129712</v>
      </c>
      <c r="E24" s="2189">
        <v>-113066.91905510958</v>
      </c>
      <c r="F24" s="2182">
        <f>ROUND((-+D24+(E24*$F$12))/'Exhibit No._(CTM-2), Pg. 32-34'!$N$22,2)</f>
        <v>-634795.85</v>
      </c>
      <c r="G24" s="2190">
        <f t="shared" si="1"/>
        <v>2.3604918700476096E-4</v>
      </c>
      <c r="H24" s="2175"/>
      <c r="I24" s="2191">
        <f>'Exhibit No._(CTM-2), Pg. 2-6'!W47</f>
        <v>384999.03957129712</v>
      </c>
      <c r="J24" s="2189">
        <f>'Exhibit No._(CTM-2), Pg. 2-6'!W49</f>
        <v>-113066.91905510958</v>
      </c>
      <c r="K24" s="2182">
        <f>ROUND((-+I24+(J24*$K$12))/'Exhibit No._(CTM-2), Pg. 32-34'!$N$22,2)</f>
        <v>-633285.84</v>
      </c>
      <c r="L24" s="2190">
        <f t="shared" si="2"/>
        <v>2.3604918703876154E-4</v>
      </c>
      <c r="M24" s="2192">
        <f t="shared" si="0"/>
        <v>1510.0100000000093</v>
      </c>
      <c r="Q24" s="2186"/>
    </row>
    <row r="25" spans="2:17">
      <c r="B25" s="2187">
        <v>6.08</v>
      </c>
      <c r="C25" s="2193" t="s">
        <v>2535</v>
      </c>
      <c r="D25" s="2189">
        <v>-54309.818279334067</v>
      </c>
      <c r="E25" s="2189">
        <v>0</v>
      </c>
      <c r="F25" s="2182">
        <f>ROUND((-+D25+(E25*$F$12))/'Exhibit No._(CTM-2), Pg. 32-34'!$N$22,2)</f>
        <v>87386.47</v>
      </c>
      <c r="G25" s="2190">
        <f t="shared" si="1"/>
        <v>-3.2702276184903845E-5</v>
      </c>
      <c r="H25" s="2175"/>
      <c r="I25" s="2191">
        <f>'Exhibit No._(CTM-2), Pg. 2-6'!X47</f>
        <v>-54309.818279334067</v>
      </c>
      <c r="J25" s="2189">
        <f>'Exhibit No._(CTM-2), Pg. 2-6'!X49</f>
        <v>0</v>
      </c>
      <c r="K25" s="2182">
        <f>ROUND((-+I25+(J25*$K$12))/'Exhibit No._(CTM-2), Pg. 32-34'!$N$22,2)</f>
        <v>87386.47</v>
      </c>
      <c r="L25" s="2190">
        <f t="shared" si="2"/>
        <v>-3.2702276189532087E-5</v>
      </c>
      <c r="M25" s="2192">
        <f t="shared" si="0"/>
        <v>0</v>
      </c>
      <c r="Q25" s="2186"/>
    </row>
    <row r="26" spans="2:17">
      <c r="B26" s="2187">
        <v>6.09</v>
      </c>
      <c r="C26" s="2193" t="s">
        <v>2536</v>
      </c>
      <c r="D26" s="2189">
        <v>1574431</v>
      </c>
      <c r="E26" s="2189">
        <v>0</v>
      </c>
      <c r="F26" s="2182">
        <f>ROUND((-+D26+(E26*$F$12))/'Exhibit No._(CTM-2), Pg. 32-34'!$N$22,2)</f>
        <v>-2533316.71</v>
      </c>
      <c r="G26" s="2190">
        <f t="shared" si="1"/>
        <v>9.4803258466554657E-4</v>
      </c>
      <c r="H26" s="2175"/>
      <c r="I26" s="2191">
        <f>'Exhibit No._(CTM-2), Pg. 2-6'!Y47</f>
        <v>1574431</v>
      </c>
      <c r="J26" s="2189">
        <f>'Exhibit No._(CTM-2), Pg. 2-6'!Y49</f>
        <v>0</v>
      </c>
      <c r="K26" s="2182">
        <f>ROUND((-+I26+(J26*$K$12))/'Exhibit No._(CTM-2), Pg. 32-34'!$N$22,2)</f>
        <v>-2533316.71</v>
      </c>
      <c r="L26" s="2190">
        <f t="shared" si="2"/>
        <v>9.4803258479970315E-4</v>
      </c>
      <c r="M26" s="2192">
        <f t="shared" si="0"/>
        <v>0</v>
      </c>
      <c r="Q26" s="2186"/>
    </row>
    <row r="27" spans="2:17">
      <c r="B27" s="2187">
        <v>6.1</v>
      </c>
      <c r="C27" s="2193" t="s">
        <v>580</v>
      </c>
      <c r="D27" s="2189">
        <v>246620.65198427474</v>
      </c>
      <c r="E27" s="2189">
        <v>0</v>
      </c>
      <c r="F27" s="2182">
        <f>ROUND((-+D27+(E27*$F$12))/'Exhibit No._(CTM-2), Pg. 32-34'!$N$22,2)</f>
        <v>-396821.59</v>
      </c>
      <c r="G27" s="2190">
        <f t="shared" si="1"/>
        <v>1.4850089596340349E-4</v>
      </c>
      <c r="H27" s="2175"/>
      <c r="I27" s="2191">
        <f>'Exhibit No._(CTM-2), Pg. 2-6'!Z47</f>
        <v>1117331.1629876194</v>
      </c>
      <c r="J27" s="2189">
        <f>'Exhibit No._(CTM-2), Pg. 2-6'!Z49</f>
        <v>0</v>
      </c>
      <c r="K27" s="2182">
        <f>ROUND((-+I27+(J27*$K$12))/'Exhibit No._(CTM-2), Pg. 32-34'!$N$22,2)</f>
        <v>-1797826.45</v>
      </c>
      <c r="L27" s="2190">
        <f t="shared" si="2"/>
        <v>6.7279312369002836E-4</v>
      </c>
      <c r="M27" s="2192">
        <f t="shared" si="0"/>
        <v>-1401004.8599999999</v>
      </c>
      <c r="Q27" s="2186"/>
    </row>
    <row r="28" spans="2:17">
      <c r="B28" s="2187">
        <v>6.11</v>
      </c>
      <c r="C28" s="2193" t="s">
        <v>582</v>
      </c>
      <c r="D28" s="2189">
        <v>-1668295.6939999999</v>
      </c>
      <c r="E28" s="2189">
        <v>0</v>
      </c>
      <c r="F28" s="2182">
        <f>ROUND((-+D28+(E28*$F$12))/'Exhibit No._(CTM-2), Pg. 32-34'!$N$22,2)</f>
        <v>2684348.41</v>
      </c>
      <c r="G28" s="2190">
        <f t="shared" si="1"/>
        <v>-1.0045525518547552E-3</v>
      </c>
      <c r="H28" s="2175"/>
      <c r="I28" s="2191">
        <f>'Exhibit No._(CTM-2), Pg. 2-6'!AA47</f>
        <v>-545997.2374999976</v>
      </c>
      <c r="J28" s="2189">
        <f>'Exhibit No._(CTM-2), Pg. 2-6'!AA49</f>
        <v>0</v>
      </c>
      <c r="K28" s="2182">
        <f>ROUND((-+I28+(J28*$K$12))/'Exhibit No._(CTM-2), Pg. 32-34'!$N$22,2)</f>
        <v>878529.4</v>
      </c>
      <c r="L28" s="2190">
        <f t="shared" si="2"/>
        <v>-3.2876840735517748E-4</v>
      </c>
      <c r="M28" s="2192">
        <f t="shared" si="0"/>
        <v>-1805819.0100000002</v>
      </c>
      <c r="Q28" s="2186"/>
    </row>
    <row r="29" spans="2:17">
      <c r="B29" s="2187">
        <v>6.12</v>
      </c>
      <c r="C29" s="2193" t="s">
        <v>584</v>
      </c>
      <c r="D29" s="2189">
        <v>-49255.869715005392</v>
      </c>
      <c r="E29" s="2189">
        <v>0</v>
      </c>
      <c r="F29" s="2182">
        <f>ROUND((-+D29+(E29*$F$12))/'Exhibit No._(CTM-2), Pg. 32-34'!$N$22,2)</f>
        <v>79254.48</v>
      </c>
      <c r="G29" s="2190">
        <f t="shared" si="1"/>
        <v>-2.965907650183397E-5</v>
      </c>
      <c r="H29" s="2175"/>
      <c r="I29" s="2191">
        <f>'Exhibit No._(CTM-2), Pg. 2-6'!AB47</f>
        <v>-49255.614861004287</v>
      </c>
      <c r="J29" s="2189">
        <f>'Exhibit No._(CTM-2), Pg. 2-6'!AB49</f>
        <v>0</v>
      </c>
      <c r="K29" s="2182">
        <f>ROUND((-+I29+(J29*$K$12))/'Exhibit No._(CTM-2), Pg. 32-34'!$N$22,2)</f>
        <v>79254.070000000007</v>
      </c>
      <c r="L29" s="2190">
        <f t="shared" si="2"/>
        <v>-2.9658923047487518E-5</v>
      </c>
      <c r="M29" s="2192">
        <f t="shared" si="0"/>
        <v>-0.40999999998894054</v>
      </c>
      <c r="Q29" s="2186"/>
    </row>
    <row r="30" spans="2:17">
      <c r="B30" s="2187">
        <v>6.13</v>
      </c>
      <c r="C30" s="2193" t="s">
        <v>586</v>
      </c>
      <c r="D30" s="2189">
        <v>23376.49571431028</v>
      </c>
      <c r="E30" s="2189">
        <v>0</v>
      </c>
      <c r="F30" s="2182">
        <f>ROUND((-+D30+(E30*$F$12))/'Exhibit No._(CTM-2), Pg. 32-34'!$N$22,2)</f>
        <v>-37613.629999999997</v>
      </c>
      <c r="G30" s="2190">
        <f t="shared" si="1"/>
        <v>1.4075992947587546E-5</v>
      </c>
      <c r="H30" s="2175"/>
      <c r="I30" s="2191">
        <f>'Exhibit No._(CTM-2), Pg. 2-6'!AC47</f>
        <v>54008.693913882089</v>
      </c>
      <c r="J30" s="2189">
        <f>'Exhibit No._(CTM-2), Pg. 2-6'!AC49</f>
        <v>0</v>
      </c>
      <c r="K30" s="2182">
        <f>ROUND((-+I30+(J30*$K$12))/'Exhibit No._(CTM-2), Pg. 32-34'!$N$22,2)</f>
        <v>-86901.95</v>
      </c>
      <c r="L30" s="2190">
        <f t="shared" si="2"/>
        <v>3.2520956264728285E-5</v>
      </c>
      <c r="M30" s="2192">
        <f t="shared" si="0"/>
        <v>-49288.32</v>
      </c>
      <c r="Q30" s="2186"/>
    </row>
    <row r="31" spans="2:17">
      <c r="B31" s="2187">
        <v>6.14</v>
      </c>
      <c r="C31" s="2193" t="s">
        <v>588</v>
      </c>
      <c r="D31" s="2189">
        <v>-21705.010131999999</v>
      </c>
      <c r="E31" s="2189">
        <v>0</v>
      </c>
      <c r="F31" s="2182">
        <f>ROUND((-+D31+(E31*$F$12))/'Exhibit No._(CTM-2), Pg. 32-34'!$N$22,2)</f>
        <v>34924.15</v>
      </c>
      <c r="G31" s="2190">
        <f t="shared" si="1"/>
        <v>-1.3069519626852932E-5</v>
      </c>
      <c r="H31" s="2175"/>
      <c r="I31" s="2191">
        <f>'Exhibit No._(CTM-2), Pg. 2-6'!AD47</f>
        <v>-21705.010131999999</v>
      </c>
      <c r="J31" s="2189">
        <f>'Exhibit No._(CTM-2), Pg. 2-6'!AD49</f>
        <v>0</v>
      </c>
      <c r="K31" s="2182">
        <f>ROUND((-+I31+(J31*$K$12))/'Exhibit No._(CTM-2), Pg. 32-34'!$N$22,2)</f>
        <v>34924.15</v>
      </c>
      <c r="L31" s="2190">
        <f t="shared" si="2"/>
        <v>-1.3069519628705617E-5</v>
      </c>
      <c r="M31" s="2192">
        <f t="shared" si="0"/>
        <v>0</v>
      </c>
      <c r="Q31" s="2186"/>
    </row>
    <row r="32" spans="2:17">
      <c r="B32" s="2187">
        <v>6.15</v>
      </c>
      <c r="C32" s="2193" t="s">
        <v>2537</v>
      </c>
      <c r="D32" s="2189">
        <v>-142723.75</v>
      </c>
      <c r="E32" s="2189">
        <v>0</v>
      </c>
      <c r="F32" s="2182">
        <f>ROUND((-+D32+(E32*$F$12))/'Exhibit No._(CTM-2), Pg. 32-34'!$N$22,2)</f>
        <v>229647.7</v>
      </c>
      <c r="G32" s="2190">
        <f t="shared" si="1"/>
        <v>-8.5940105095529129E-5</v>
      </c>
      <c r="H32" s="2175"/>
      <c r="I32" s="2191">
        <f>'Exhibit No._(CTM-2), Pg. 2-6'!AE47</f>
        <v>0</v>
      </c>
      <c r="J32" s="2189">
        <f>'Exhibit No._(CTM-2), Pg. 2-6'!AE49</f>
        <v>0</v>
      </c>
      <c r="K32" s="2182">
        <f>ROUND((-+I32+(J32*$K$12))/'Exhibit No._(CTM-2), Pg. 32-34'!$N$22,2)</f>
        <v>0</v>
      </c>
      <c r="L32" s="2190">
        <f t="shared" si="2"/>
        <v>0</v>
      </c>
      <c r="M32" s="2192">
        <f t="shared" si="0"/>
        <v>-229647.7</v>
      </c>
      <c r="Q32" s="2186"/>
    </row>
    <row r="33" spans="2:18">
      <c r="B33" s="2187">
        <v>6.16</v>
      </c>
      <c r="C33" s="2193" t="s">
        <v>2538</v>
      </c>
      <c r="D33" s="2189">
        <v>-92594.597333333455</v>
      </c>
      <c r="E33" s="2189">
        <v>0</v>
      </c>
      <c r="F33" s="2182">
        <f>ROUND((-+D33+(E33*$F$12))/'Exhibit No._(CTM-2), Pg. 32-34'!$N$22,2)</f>
        <v>148988.07</v>
      </c>
      <c r="G33" s="2190">
        <f t="shared" si="1"/>
        <v>-5.5755187388956129E-5</v>
      </c>
      <c r="H33" s="2175"/>
      <c r="I33" s="2191">
        <f>'Exhibit No._(CTM-2), Pg. 2-6'!AF47</f>
        <v>-92594.597333333455</v>
      </c>
      <c r="J33" s="2189">
        <f>'Exhibit No._(CTM-2), Pg. 2-6'!AF49</f>
        <v>0</v>
      </c>
      <c r="K33" s="2182">
        <f>ROUND((-+I33+(J33*$K$12))/'Exhibit No._(CTM-2), Pg. 32-34'!$N$22,2)</f>
        <v>148988.07</v>
      </c>
      <c r="L33" s="2190">
        <f t="shared" si="2"/>
        <v>-5.5755187396845651E-5</v>
      </c>
      <c r="M33" s="2192">
        <f t="shared" si="0"/>
        <v>0</v>
      </c>
      <c r="Q33" s="2186"/>
    </row>
    <row r="34" spans="2:18">
      <c r="B34" s="2187">
        <v>6.17</v>
      </c>
      <c r="C34" s="2193" t="s">
        <v>2539</v>
      </c>
      <c r="D34" s="2189">
        <v>35751.772271491849</v>
      </c>
      <c r="E34" s="2189">
        <v>0</v>
      </c>
      <c r="F34" s="2182">
        <f>ROUND((-+D34+(E34*$F$12))/'Exhibit No._(CTM-2), Pg. 32-34'!$N$22,2)</f>
        <v>-57525.9</v>
      </c>
      <c r="G34" s="2190">
        <f t="shared" si="1"/>
        <v>2.1527678934755989E-5</v>
      </c>
      <c r="H34" s="2175"/>
      <c r="I34" s="2191">
        <f>'Exhibit No._(CTM-2), Pg. 2-6'!AG47</f>
        <v>35751.772271491849</v>
      </c>
      <c r="J34" s="2189">
        <f>'Exhibit No._(CTM-2), Pg. 2-6'!AG49</f>
        <v>0</v>
      </c>
      <c r="K34" s="2182">
        <f>ROUND((-+I34+(J34*$K$12))/'Exhibit No._(CTM-2), Pg. 32-34'!$N$22,2)</f>
        <v>-57525.9</v>
      </c>
      <c r="L34" s="2190">
        <f t="shared" si="2"/>
        <v>2.1527678937802164E-5</v>
      </c>
      <c r="M34" s="2192">
        <f t="shared" si="0"/>
        <v>0</v>
      </c>
      <c r="Q34" s="2186"/>
    </row>
    <row r="35" spans="2:18">
      <c r="B35" s="2187">
        <v>6.18</v>
      </c>
      <c r="C35" s="2193" t="s">
        <v>596</v>
      </c>
      <c r="D35" s="2189">
        <v>-582788.19274736056</v>
      </c>
      <c r="E35" s="2189">
        <v>0</v>
      </c>
      <c r="F35" s="2182">
        <f>ROUND((-+D35+(E35*$F$12))/'Exhibit No._(CTM-2), Pg. 32-34'!$N$22,2)</f>
        <v>937727.39</v>
      </c>
      <c r="G35" s="2190">
        <f t="shared" si="1"/>
        <v>-3.5092182298419872E-4</v>
      </c>
      <c r="H35" s="2175"/>
      <c r="I35" s="2191">
        <f>'Exhibit No._(CTM-2), Pg. 2-6'!AH47</f>
        <v>-582788.19274736056</v>
      </c>
      <c r="J35" s="2189">
        <f>'Exhibit No._(CTM-2), Pg. 2-6'!AH49</f>
        <v>0</v>
      </c>
      <c r="K35" s="2182">
        <f>ROUND((-+I35+(J35*$K$12))/'Exhibit No._(CTM-2), Pg. 32-34'!$N$22,2)</f>
        <v>937727.39</v>
      </c>
      <c r="L35" s="2190">
        <f t="shared" si="2"/>
        <v>-3.5092182303386038E-4</v>
      </c>
      <c r="M35" s="2192">
        <f t="shared" si="0"/>
        <v>0</v>
      </c>
      <c r="Q35" s="2186"/>
    </row>
    <row r="36" spans="2:18">
      <c r="B36" s="2187">
        <v>6.19</v>
      </c>
      <c r="C36" s="2193" t="s">
        <v>598</v>
      </c>
      <c r="D36" s="2189">
        <v>-1250164.3374321728</v>
      </c>
      <c r="E36" s="2189">
        <v>0</v>
      </c>
      <c r="F36" s="2182">
        <f>ROUND((-+D36+(E36*$F$12))/'Exhibit No._(CTM-2), Pg. 32-34'!$N$22,2)</f>
        <v>2011559.86</v>
      </c>
      <c r="G36" s="2190">
        <f t="shared" si="1"/>
        <v>-7.5277768798538702E-4</v>
      </c>
      <c r="H36" s="2175"/>
      <c r="I36" s="2191">
        <f>'Exhibit No._(CTM-2), Pg. 2-6'!AI47</f>
        <v>-769422.55089827743</v>
      </c>
      <c r="J36" s="2189">
        <f>'Exhibit No._(CTM-2), Pg. 2-6'!AI49</f>
        <v>0</v>
      </c>
      <c r="K36" s="2182">
        <f>ROUND((-+I36+(J36*$K$12))/'Exhibit No._(CTM-2), Pg. 32-34'!$N$22,2)</f>
        <v>1238028.8500000001</v>
      </c>
      <c r="L36" s="2190">
        <f t="shared" si="2"/>
        <v>-4.6330239288434188E-4</v>
      </c>
      <c r="M36" s="2192">
        <f t="shared" si="0"/>
        <v>-773531.01</v>
      </c>
      <c r="Q36" s="2186"/>
    </row>
    <row r="37" spans="2:18">
      <c r="B37" s="2187">
        <v>6.2</v>
      </c>
      <c r="C37" s="2193" t="s">
        <v>600</v>
      </c>
      <c r="D37" s="2189">
        <v>-52353.525858575478</v>
      </c>
      <c r="E37" s="2189">
        <v>0</v>
      </c>
      <c r="F37" s="2182">
        <f>ROUND((-+D37+(E37*$F$12))/'Exhibit No._(CTM-2), Pg. 32-34'!$N$22,2)</f>
        <v>84238.73</v>
      </c>
      <c r="G37" s="2190">
        <f t="shared" si="1"/>
        <v>-3.1524308423847014E-5</v>
      </c>
      <c r="H37" s="2175"/>
      <c r="I37" s="2191">
        <f>'Exhibit No._(CTM-2), Pg. 2-6'!AJ47</f>
        <v>-40613.402413379867</v>
      </c>
      <c r="J37" s="2189">
        <f>'Exhibit No._(CTM-2), Pg. 2-6'!AJ49</f>
        <v>0</v>
      </c>
      <c r="K37" s="2182">
        <f>ROUND((-+I37+(J37*$K$12))/'Exhibit No._(CTM-2), Pg. 32-34'!$N$22,2)</f>
        <v>65348.44</v>
      </c>
      <c r="L37" s="2190">
        <f t="shared" si="2"/>
        <v>-2.44550754319936E-5</v>
      </c>
      <c r="M37" s="2192">
        <f t="shared" si="0"/>
        <v>-18890.289999999994</v>
      </c>
      <c r="Q37" s="2186"/>
      <c r="R37" s="2194"/>
    </row>
    <row r="38" spans="2:18">
      <c r="B38" s="2187">
        <v>6.21</v>
      </c>
      <c r="C38" s="2193" t="s">
        <v>602</v>
      </c>
      <c r="D38" s="2189">
        <v>-39702.738675912609</v>
      </c>
      <c r="E38" s="2189">
        <v>0</v>
      </c>
      <c r="F38" s="2182">
        <f>ROUND((-+D38+(E38*$F$12))/'Exhibit No._(CTM-2), Pg. 32-34'!$N$22,2)</f>
        <v>63883.15</v>
      </c>
      <c r="G38" s="2190">
        <f t="shared" ref="G38" si="3">((+D38+D$14)/+(E38+E$14))-G$14</f>
        <v>-2.3906725645783666E-5</v>
      </c>
      <c r="H38" s="2175"/>
      <c r="I38" s="2191">
        <f>'Exhibit No._(CTM-2), Pg. 2-6'!AK47</f>
        <v>-5476.4460000643503</v>
      </c>
      <c r="J38" s="2189">
        <f>'Exhibit No._(CTM-2), Pg. 2-6'!AK49</f>
        <v>0</v>
      </c>
      <c r="K38" s="2182">
        <f>ROUND((-+I38+(J38*$K$12))/'Exhibit No._(CTM-2), Pg. 32-34'!$N$22,2)</f>
        <v>8811.7999999999993</v>
      </c>
      <c r="L38" s="2190">
        <f t="shared" ref="L38" si="4">((+I38+I$14)/+(J38+J$14))-L$14</f>
        <v>-3.2976035513540558E-6</v>
      </c>
      <c r="M38" s="2192">
        <f t="shared" ref="M38" si="5">+K38-F38</f>
        <v>-55071.350000000006</v>
      </c>
      <c r="Q38" s="2186"/>
      <c r="R38" s="2194"/>
    </row>
    <row r="39" spans="2:18" ht="16.5" thickBot="1">
      <c r="B39" s="2195">
        <v>6.22</v>
      </c>
      <c r="C39" s="2196" t="s">
        <v>2904</v>
      </c>
      <c r="D39" s="2197">
        <v>0</v>
      </c>
      <c r="E39" s="2197">
        <v>0</v>
      </c>
      <c r="F39" s="2197">
        <f>ROUND((-+D39+(E39*$F$12))/'Exhibit No._(CTM-2), Pg. 32-34'!$N$22,2)</f>
        <v>0</v>
      </c>
      <c r="G39" s="2198">
        <f t="shared" si="1"/>
        <v>0</v>
      </c>
      <c r="H39" s="2175"/>
      <c r="I39" s="2199">
        <f>'Exhibit No._(CTM-2), Pg. 2-6'!AL47</f>
        <v>0</v>
      </c>
      <c r="J39" s="2199">
        <f>'Exhibit No._(CTM-2), Pg. 2-6'!AL49</f>
        <v>-13011001.181170687</v>
      </c>
      <c r="K39" s="2199">
        <f>ROUND((-+I39+(J39*$K$12))/'Exhibit No._(CTM-2), Pg. 32-34'!$N$22,2)</f>
        <v>-1588979.69</v>
      </c>
      <c r="L39" s="2198">
        <f t="shared" si="2"/>
        <v>4.8812751239528385E-4</v>
      </c>
      <c r="M39" s="2200">
        <f t="shared" si="0"/>
        <v>-1588979.69</v>
      </c>
      <c r="Q39" s="2186"/>
      <c r="R39" s="2194"/>
    </row>
    <row r="40" spans="2:18">
      <c r="B40" s="2201"/>
      <c r="C40" s="2202" t="s">
        <v>2540</v>
      </c>
      <c r="D40" s="2203">
        <f>SUM(D15:D39)</f>
        <v>17164158.739625502</v>
      </c>
      <c r="E40" s="2203">
        <f>SUM(E15:E39)</f>
        <v>-2429586.8266968797</v>
      </c>
      <c r="F40" s="2203">
        <f>SUM(F15:F39)</f>
        <v>-27946917.809999999</v>
      </c>
      <c r="G40" s="2204">
        <f t="shared" ref="G40:L40" si="6">SUM(G15:G39)</f>
        <v>1.0429112878876566E-2</v>
      </c>
      <c r="H40" s="2205"/>
      <c r="I40" s="2206">
        <f t="shared" si="6"/>
        <v>18977592.968506288</v>
      </c>
      <c r="J40" s="2203">
        <f>SUM(J15:J39)</f>
        <v>-40004886.00786756</v>
      </c>
      <c r="K40" s="2203">
        <f>SUM(K15:K39)</f>
        <v>-35421267.960000008</v>
      </c>
      <c r="L40" s="2207">
        <f t="shared" si="6"/>
        <v>1.2676597045775104E-2</v>
      </c>
      <c r="M40" s="2208">
        <f>SUM(M15:M39)</f>
        <v>-7474350.150000006</v>
      </c>
      <c r="N40" s="2209">
        <f>K40-F40</f>
        <v>-7474350.1500000097</v>
      </c>
      <c r="O40" s="2158" t="s">
        <v>2592</v>
      </c>
      <c r="Q40" s="2186"/>
    </row>
    <row r="41" spans="2:18" ht="16.5" thickBot="1">
      <c r="B41" s="2201"/>
      <c r="C41" s="2210" t="s">
        <v>2541</v>
      </c>
      <c r="D41" s="2211">
        <f>+D40+D14</f>
        <v>119825618.25913076</v>
      </c>
      <c r="E41" s="2211">
        <f>+E40+E14</f>
        <v>1658305524.462157</v>
      </c>
      <c r="F41" s="2212">
        <f>+F40+F14</f>
        <v>31864884.23</v>
      </c>
      <c r="G41" s="2213">
        <f>+D41/E41</f>
        <v>7.2257865930944271E-2</v>
      </c>
      <c r="H41" s="2214"/>
      <c r="I41" s="2215">
        <f>+I40+I14</f>
        <v>121639052.48801155</v>
      </c>
      <c r="J41" s="2211">
        <f>+J40+J14</f>
        <v>1620730225.04597</v>
      </c>
      <c r="K41" s="2216">
        <f>K14+K40</f>
        <v>2211413.8399999887</v>
      </c>
      <c r="L41" s="2217">
        <f>+I41/J41</f>
        <v>7.5052004712605036E-2</v>
      </c>
      <c r="M41" s="2218">
        <f>M14+M40</f>
        <v>-29653470.390000008</v>
      </c>
      <c r="N41" s="2209">
        <f>K41-F41</f>
        <v>-29653470.390000012</v>
      </c>
      <c r="O41" s="2158" t="s">
        <v>2592</v>
      </c>
      <c r="Q41" s="2186"/>
    </row>
    <row r="42" spans="2:18" ht="16.5" thickTop="1">
      <c r="D42" s="2219"/>
      <c r="E42" s="2219"/>
      <c r="F42" s="2219"/>
      <c r="G42" s="2220"/>
      <c r="H42" s="2220"/>
    </row>
    <row r="43" spans="2:18">
      <c r="D43" s="2219"/>
      <c r="E43" s="2219"/>
      <c r="F43" s="2219"/>
      <c r="G43" s="2220"/>
      <c r="H43" s="2220"/>
      <c r="I43" s="2209"/>
    </row>
    <row r="44" spans="2:18">
      <c r="D44" s="2219"/>
      <c r="E44" s="2219"/>
      <c r="F44" s="2219"/>
      <c r="G44" s="2220"/>
      <c r="H44" s="2220"/>
    </row>
    <row r="45" spans="2:18">
      <c r="D45" s="2219"/>
      <c r="E45" s="2219"/>
      <c r="F45" s="2219"/>
      <c r="G45" s="2220"/>
      <c r="H45" s="2220"/>
    </row>
    <row r="46" spans="2:18">
      <c r="G46" s="2220"/>
      <c r="H46" s="2220"/>
    </row>
    <row r="47" spans="2:18">
      <c r="G47" s="2220"/>
      <c r="H47" s="2220"/>
    </row>
    <row r="48" spans="2:18">
      <c r="G48" s="2220"/>
      <c r="H48" s="2220"/>
    </row>
    <row r="49" spans="7:8">
      <c r="G49" s="2220"/>
      <c r="H49" s="2220"/>
    </row>
    <row r="50" spans="7:8">
      <c r="G50" s="2220"/>
      <c r="H50" s="2220"/>
    </row>
    <row r="51" spans="7:8">
      <c r="G51" s="2220"/>
      <c r="H51" s="2220"/>
    </row>
    <row r="52" spans="7:8">
      <c r="G52" s="2220"/>
      <c r="H52" s="2220"/>
    </row>
    <row r="53" spans="7:8">
      <c r="G53" s="2221"/>
      <c r="H53" s="2221"/>
    </row>
    <row r="54" spans="7:8">
      <c r="G54" s="2220"/>
      <c r="H54" s="2220"/>
    </row>
  </sheetData>
  <mergeCells count="6">
    <mergeCell ref="D10:G10"/>
    <mergeCell ref="I10:L10"/>
    <mergeCell ref="A5:M5"/>
    <mergeCell ref="A6:M6"/>
    <mergeCell ref="A7:M7"/>
    <mergeCell ref="A8:M8"/>
  </mergeCells>
  <conditionalFormatting sqref="M1">
    <cfRule type="cellIs" dxfId="12" priority="1" stopIfTrue="1" operator="notEqual">
      <formula>0</formula>
    </cfRule>
  </conditionalFormatting>
  <printOptions horizontalCentered="1"/>
  <pageMargins left="0.25" right="0.25" top="0.25" bottom="0.25" header="0.5" footer="0.5"/>
  <pageSetup scale="8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8" tint="0.39997558519241921"/>
  </sheetPr>
  <dimension ref="A1:J67"/>
  <sheetViews>
    <sheetView zoomScale="70" zoomScaleNormal="85" workbookViewId="0">
      <selection activeCell="O32" sqref="O32"/>
    </sheetView>
  </sheetViews>
  <sheetFormatPr defaultColWidth="10.33203125" defaultRowHeight="16.5"/>
  <cols>
    <col min="1" max="1" width="4.6640625" style="1564" customWidth="1"/>
    <col min="2" max="2" width="42.83203125" style="1564" customWidth="1"/>
    <col min="3" max="3" width="1.33203125" style="1564" customWidth="1"/>
    <col min="4" max="4" width="17.83203125" style="1564" customWidth="1"/>
    <col min="5" max="5" width="18.33203125" style="1564" customWidth="1"/>
    <col min="6" max="6" width="18.1640625" style="1564" customWidth="1"/>
    <col min="7" max="7" width="20.6640625" style="1564" customWidth="1"/>
    <col min="8" max="8" width="17.33203125" style="1567" bestFit="1" customWidth="1"/>
    <col min="9" max="256" width="10.33203125" style="1564"/>
    <col min="257" max="257" width="4.6640625" style="1564" customWidth="1"/>
    <col min="258" max="258" width="42.83203125" style="1564" customWidth="1"/>
    <col min="259" max="259" width="1.33203125" style="1564" customWidth="1"/>
    <col min="260" max="260" width="17.83203125" style="1564" customWidth="1"/>
    <col min="261" max="261" width="18.33203125" style="1564" customWidth="1"/>
    <col min="262" max="262" width="18.1640625" style="1564" customWidth="1"/>
    <col min="263" max="263" width="20.6640625" style="1564" customWidth="1"/>
    <col min="264" max="264" width="17.33203125" style="1564" bestFit="1" customWidth="1"/>
    <col min="265" max="512" width="10.33203125" style="1564"/>
    <col min="513" max="513" width="4.6640625" style="1564" customWidth="1"/>
    <col min="514" max="514" width="42.83203125" style="1564" customWidth="1"/>
    <col min="515" max="515" width="1.33203125" style="1564" customWidth="1"/>
    <col min="516" max="516" width="17.83203125" style="1564" customWidth="1"/>
    <col min="517" max="517" width="18.33203125" style="1564" customWidth="1"/>
    <col min="518" max="518" width="18.1640625" style="1564" customWidth="1"/>
    <col min="519" max="519" width="20.6640625" style="1564" customWidth="1"/>
    <col min="520" max="520" width="17.33203125" style="1564" bestFit="1" customWidth="1"/>
    <col min="521" max="768" width="10.33203125" style="1564"/>
    <col min="769" max="769" width="4.6640625" style="1564" customWidth="1"/>
    <col min="770" max="770" width="42.83203125" style="1564" customWidth="1"/>
    <col min="771" max="771" width="1.33203125" style="1564" customWidth="1"/>
    <col min="772" max="772" width="17.83203125" style="1564" customWidth="1"/>
    <col min="773" max="773" width="18.33203125" style="1564" customWidth="1"/>
    <col min="774" max="774" width="18.1640625" style="1564" customWidth="1"/>
    <col min="775" max="775" width="20.6640625" style="1564" customWidth="1"/>
    <col min="776" max="776" width="17.33203125" style="1564" bestFit="1" customWidth="1"/>
    <col min="777" max="1024" width="10.33203125" style="1564"/>
    <col min="1025" max="1025" width="4.6640625" style="1564" customWidth="1"/>
    <col min="1026" max="1026" width="42.83203125" style="1564" customWidth="1"/>
    <col min="1027" max="1027" width="1.33203125" style="1564" customWidth="1"/>
    <col min="1028" max="1028" width="17.83203125" style="1564" customWidth="1"/>
    <col min="1029" max="1029" width="18.33203125" style="1564" customWidth="1"/>
    <col min="1030" max="1030" width="18.1640625" style="1564" customWidth="1"/>
    <col min="1031" max="1031" width="20.6640625" style="1564" customWidth="1"/>
    <col min="1032" max="1032" width="17.33203125" style="1564" bestFit="1" customWidth="1"/>
    <col min="1033" max="1280" width="10.33203125" style="1564"/>
    <col min="1281" max="1281" width="4.6640625" style="1564" customWidth="1"/>
    <col min="1282" max="1282" width="42.83203125" style="1564" customWidth="1"/>
    <col min="1283" max="1283" width="1.33203125" style="1564" customWidth="1"/>
    <col min="1284" max="1284" width="17.83203125" style="1564" customWidth="1"/>
    <col min="1285" max="1285" width="18.33203125" style="1564" customWidth="1"/>
    <col min="1286" max="1286" width="18.1640625" style="1564" customWidth="1"/>
    <col min="1287" max="1287" width="20.6640625" style="1564" customWidth="1"/>
    <col min="1288" max="1288" width="17.33203125" style="1564" bestFit="1" customWidth="1"/>
    <col min="1289" max="1536" width="10.33203125" style="1564"/>
    <col min="1537" max="1537" width="4.6640625" style="1564" customWidth="1"/>
    <col min="1538" max="1538" width="42.83203125" style="1564" customWidth="1"/>
    <col min="1539" max="1539" width="1.33203125" style="1564" customWidth="1"/>
    <col min="1540" max="1540" width="17.83203125" style="1564" customWidth="1"/>
    <col min="1541" max="1541" width="18.33203125" style="1564" customWidth="1"/>
    <col min="1542" max="1542" width="18.1640625" style="1564" customWidth="1"/>
    <col min="1543" max="1543" width="20.6640625" style="1564" customWidth="1"/>
    <col min="1544" max="1544" width="17.33203125" style="1564" bestFit="1" customWidth="1"/>
    <col min="1545" max="1792" width="10.33203125" style="1564"/>
    <col min="1793" max="1793" width="4.6640625" style="1564" customWidth="1"/>
    <col min="1794" max="1794" width="42.83203125" style="1564" customWidth="1"/>
    <col min="1795" max="1795" width="1.33203125" style="1564" customWidth="1"/>
    <col min="1796" max="1796" width="17.83203125" style="1564" customWidth="1"/>
    <col min="1797" max="1797" width="18.33203125" style="1564" customWidth="1"/>
    <col min="1798" max="1798" width="18.1640625" style="1564" customWidth="1"/>
    <col min="1799" max="1799" width="20.6640625" style="1564" customWidth="1"/>
    <col min="1800" max="1800" width="17.33203125" style="1564" bestFit="1" customWidth="1"/>
    <col min="1801" max="2048" width="10.33203125" style="1564"/>
    <col min="2049" max="2049" width="4.6640625" style="1564" customWidth="1"/>
    <col min="2050" max="2050" width="42.83203125" style="1564" customWidth="1"/>
    <col min="2051" max="2051" width="1.33203125" style="1564" customWidth="1"/>
    <col min="2052" max="2052" width="17.83203125" style="1564" customWidth="1"/>
    <col min="2053" max="2053" width="18.33203125" style="1564" customWidth="1"/>
    <col min="2054" max="2054" width="18.1640625" style="1564" customWidth="1"/>
    <col min="2055" max="2055" width="20.6640625" style="1564" customWidth="1"/>
    <col min="2056" max="2056" width="17.33203125" style="1564" bestFit="1" customWidth="1"/>
    <col min="2057" max="2304" width="10.33203125" style="1564"/>
    <col min="2305" max="2305" width="4.6640625" style="1564" customWidth="1"/>
    <col min="2306" max="2306" width="42.83203125" style="1564" customWidth="1"/>
    <col min="2307" max="2307" width="1.33203125" style="1564" customWidth="1"/>
    <col min="2308" max="2308" width="17.83203125" style="1564" customWidth="1"/>
    <col min="2309" max="2309" width="18.33203125" style="1564" customWidth="1"/>
    <col min="2310" max="2310" width="18.1640625" style="1564" customWidth="1"/>
    <col min="2311" max="2311" width="20.6640625" style="1564" customWidth="1"/>
    <col min="2312" max="2312" width="17.33203125" style="1564" bestFit="1" customWidth="1"/>
    <col min="2313" max="2560" width="10.33203125" style="1564"/>
    <col min="2561" max="2561" width="4.6640625" style="1564" customWidth="1"/>
    <col min="2562" max="2562" width="42.83203125" style="1564" customWidth="1"/>
    <col min="2563" max="2563" width="1.33203125" style="1564" customWidth="1"/>
    <col min="2564" max="2564" width="17.83203125" style="1564" customWidth="1"/>
    <col min="2565" max="2565" width="18.33203125" style="1564" customWidth="1"/>
    <col min="2566" max="2566" width="18.1640625" style="1564" customWidth="1"/>
    <col min="2567" max="2567" width="20.6640625" style="1564" customWidth="1"/>
    <col min="2568" max="2568" width="17.33203125" style="1564" bestFit="1" customWidth="1"/>
    <col min="2569" max="2816" width="10.33203125" style="1564"/>
    <col min="2817" max="2817" width="4.6640625" style="1564" customWidth="1"/>
    <col min="2818" max="2818" width="42.83203125" style="1564" customWidth="1"/>
    <col min="2819" max="2819" width="1.33203125" style="1564" customWidth="1"/>
    <col min="2820" max="2820" width="17.83203125" style="1564" customWidth="1"/>
    <col min="2821" max="2821" width="18.33203125" style="1564" customWidth="1"/>
    <col min="2822" max="2822" width="18.1640625" style="1564" customWidth="1"/>
    <col min="2823" max="2823" width="20.6640625" style="1564" customWidth="1"/>
    <col min="2824" max="2824" width="17.33203125" style="1564" bestFit="1" customWidth="1"/>
    <col min="2825" max="3072" width="10.33203125" style="1564"/>
    <col min="3073" max="3073" width="4.6640625" style="1564" customWidth="1"/>
    <col min="3074" max="3074" width="42.83203125" style="1564" customWidth="1"/>
    <col min="3075" max="3075" width="1.33203125" style="1564" customWidth="1"/>
    <col min="3076" max="3076" width="17.83203125" style="1564" customWidth="1"/>
    <col min="3077" max="3077" width="18.33203125" style="1564" customWidth="1"/>
    <col min="3078" max="3078" width="18.1640625" style="1564" customWidth="1"/>
    <col min="3079" max="3079" width="20.6640625" style="1564" customWidth="1"/>
    <col min="3080" max="3080" width="17.33203125" style="1564" bestFit="1" customWidth="1"/>
    <col min="3081" max="3328" width="10.33203125" style="1564"/>
    <col min="3329" max="3329" width="4.6640625" style="1564" customWidth="1"/>
    <col min="3330" max="3330" width="42.83203125" style="1564" customWidth="1"/>
    <col min="3331" max="3331" width="1.33203125" style="1564" customWidth="1"/>
    <col min="3332" max="3332" width="17.83203125" style="1564" customWidth="1"/>
    <col min="3333" max="3333" width="18.33203125" style="1564" customWidth="1"/>
    <col min="3334" max="3334" width="18.1640625" style="1564" customWidth="1"/>
    <col min="3335" max="3335" width="20.6640625" style="1564" customWidth="1"/>
    <col min="3336" max="3336" width="17.33203125" style="1564" bestFit="1" customWidth="1"/>
    <col min="3337" max="3584" width="10.33203125" style="1564"/>
    <col min="3585" max="3585" width="4.6640625" style="1564" customWidth="1"/>
    <col min="3586" max="3586" width="42.83203125" style="1564" customWidth="1"/>
    <col min="3587" max="3587" width="1.33203125" style="1564" customWidth="1"/>
    <col min="3588" max="3588" width="17.83203125" style="1564" customWidth="1"/>
    <col min="3589" max="3589" width="18.33203125" style="1564" customWidth="1"/>
    <col min="3590" max="3590" width="18.1640625" style="1564" customWidth="1"/>
    <col min="3591" max="3591" width="20.6640625" style="1564" customWidth="1"/>
    <col min="3592" max="3592" width="17.33203125" style="1564" bestFit="1" customWidth="1"/>
    <col min="3593" max="3840" width="10.33203125" style="1564"/>
    <col min="3841" max="3841" width="4.6640625" style="1564" customWidth="1"/>
    <col min="3842" max="3842" width="42.83203125" style="1564" customWidth="1"/>
    <col min="3843" max="3843" width="1.33203125" style="1564" customWidth="1"/>
    <col min="3844" max="3844" width="17.83203125" style="1564" customWidth="1"/>
    <col min="3845" max="3845" width="18.33203125" style="1564" customWidth="1"/>
    <col min="3846" max="3846" width="18.1640625" style="1564" customWidth="1"/>
    <col min="3847" max="3847" width="20.6640625" style="1564" customWidth="1"/>
    <col min="3848" max="3848" width="17.33203125" style="1564" bestFit="1" customWidth="1"/>
    <col min="3849" max="4096" width="10.33203125" style="1564"/>
    <col min="4097" max="4097" width="4.6640625" style="1564" customWidth="1"/>
    <col min="4098" max="4098" width="42.83203125" style="1564" customWidth="1"/>
    <col min="4099" max="4099" width="1.33203125" style="1564" customWidth="1"/>
    <col min="4100" max="4100" width="17.83203125" style="1564" customWidth="1"/>
    <col min="4101" max="4101" width="18.33203125" style="1564" customWidth="1"/>
    <col min="4102" max="4102" width="18.1640625" style="1564" customWidth="1"/>
    <col min="4103" max="4103" width="20.6640625" style="1564" customWidth="1"/>
    <col min="4104" max="4104" width="17.33203125" style="1564" bestFit="1" customWidth="1"/>
    <col min="4105" max="4352" width="10.33203125" style="1564"/>
    <col min="4353" max="4353" width="4.6640625" style="1564" customWidth="1"/>
    <col min="4354" max="4354" width="42.83203125" style="1564" customWidth="1"/>
    <col min="4355" max="4355" width="1.33203125" style="1564" customWidth="1"/>
    <col min="4356" max="4356" width="17.83203125" style="1564" customWidth="1"/>
    <col min="4357" max="4357" width="18.33203125" style="1564" customWidth="1"/>
    <col min="4358" max="4358" width="18.1640625" style="1564" customWidth="1"/>
    <col min="4359" max="4359" width="20.6640625" style="1564" customWidth="1"/>
    <col min="4360" max="4360" width="17.33203125" style="1564" bestFit="1" customWidth="1"/>
    <col min="4361" max="4608" width="10.33203125" style="1564"/>
    <col min="4609" max="4609" width="4.6640625" style="1564" customWidth="1"/>
    <col min="4610" max="4610" width="42.83203125" style="1564" customWidth="1"/>
    <col min="4611" max="4611" width="1.33203125" style="1564" customWidth="1"/>
    <col min="4612" max="4612" width="17.83203125" style="1564" customWidth="1"/>
    <col min="4613" max="4613" width="18.33203125" style="1564" customWidth="1"/>
    <col min="4614" max="4614" width="18.1640625" style="1564" customWidth="1"/>
    <col min="4615" max="4615" width="20.6640625" style="1564" customWidth="1"/>
    <col min="4616" max="4616" width="17.33203125" style="1564" bestFit="1" customWidth="1"/>
    <col min="4617" max="4864" width="10.33203125" style="1564"/>
    <col min="4865" max="4865" width="4.6640625" style="1564" customWidth="1"/>
    <col min="4866" max="4866" width="42.83203125" style="1564" customWidth="1"/>
    <col min="4867" max="4867" width="1.33203125" style="1564" customWidth="1"/>
    <col min="4868" max="4868" width="17.83203125" style="1564" customWidth="1"/>
    <col min="4869" max="4869" width="18.33203125" style="1564" customWidth="1"/>
    <col min="4870" max="4870" width="18.1640625" style="1564" customWidth="1"/>
    <col min="4871" max="4871" width="20.6640625" style="1564" customWidth="1"/>
    <col min="4872" max="4872" width="17.33203125" style="1564" bestFit="1" customWidth="1"/>
    <col min="4873" max="5120" width="10.33203125" style="1564"/>
    <col min="5121" max="5121" width="4.6640625" style="1564" customWidth="1"/>
    <col min="5122" max="5122" width="42.83203125" style="1564" customWidth="1"/>
    <col min="5123" max="5123" width="1.33203125" style="1564" customWidth="1"/>
    <col min="5124" max="5124" width="17.83203125" style="1564" customWidth="1"/>
    <col min="5125" max="5125" width="18.33203125" style="1564" customWidth="1"/>
    <col min="5126" max="5126" width="18.1640625" style="1564" customWidth="1"/>
    <col min="5127" max="5127" width="20.6640625" style="1564" customWidth="1"/>
    <col min="5128" max="5128" width="17.33203125" style="1564" bestFit="1" customWidth="1"/>
    <col min="5129" max="5376" width="10.33203125" style="1564"/>
    <col min="5377" max="5377" width="4.6640625" style="1564" customWidth="1"/>
    <col min="5378" max="5378" width="42.83203125" style="1564" customWidth="1"/>
    <col min="5379" max="5379" width="1.33203125" style="1564" customWidth="1"/>
    <col min="5380" max="5380" width="17.83203125" style="1564" customWidth="1"/>
    <col min="5381" max="5381" width="18.33203125" style="1564" customWidth="1"/>
    <col min="5382" max="5382" width="18.1640625" style="1564" customWidth="1"/>
    <col min="5383" max="5383" width="20.6640625" style="1564" customWidth="1"/>
    <col min="5384" max="5384" width="17.33203125" style="1564" bestFit="1" customWidth="1"/>
    <col min="5385" max="5632" width="10.33203125" style="1564"/>
    <col min="5633" max="5633" width="4.6640625" style="1564" customWidth="1"/>
    <col min="5634" max="5634" width="42.83203125" style="1564" customWidth="1"/>
    <col min="5635" max="5635" width="1.33203125" style="1564" customWidth="1"/>
    <col min="5636" max="5636" width="17.83203125" style="1564" customWidth="1"/>
    <col min="5637" max="5637" width="18.33203125" style="1564" customWidth="1"/>
    <col min="5638" max="5638" width="18.1640625" style="1564" customWidth="1"/>
    <col min="5639" max="5639" width="20.6640625" style="1564" customWidth="1"/>
    <col min="5640" max="5640" width="17.33203125" style="1564" bestFit="1" customWidth="1"/>
    <col min="5641" max="5888" width="10.33203125" style="1564"/>
    <col min="5889" max="5889" width="4.6640625" style="1564" customWidth="1"/>
    <col min="5890" max="5890" width="42.83203125" style="1564" customWidth="1"/>
    <col min="5891" max="5891" width="1.33203125" style="1564" customWidth="1"/>
    <col min="5892" max="5892" width="17.83203125" style="1564" customWidth="1"/>
    <col min="5893" max="5893" width="18.33203125" style="1564" customWidth="1"/>
    <col min="5894" max="5894" width="18.1640625" style="1564" customWidth="1"/>
    <col min="5895" max="5895" width="20.6640625" style="1564" customWidth="1"/>
    <col min="5896" max="5896" width="17.33203125" style="1564" bestFit="1" customWidth="1"/>
    <col min="5897" max="6144" width="10.33203125" style="1564"/>
    <col min="6145" max="6145" width="4.6640625" style="1564" customWidth="1"/>
    <col min="6146" max="6146" width="42.83203125" style="1564" customWidth="1"/>
    <col min="6147" max="6147" width="1.33203125" style="1564" customWidth="1"/>
    <col min="6148" max="6148" width="17.83203125" style="1564" customWidth="1"/>
    <col min="6149" max="6149" width="18.33203125" style="1564" customWidth="1"/>
    <col min="6150" max="6150" width="18.1640625" style="1564" customWidth="1"/>
    <col min="6151" max="6151" width="20.6640625" style="1564" customWidth="1"/>
    <col min="6152" max="6152" width="17.33203125" style="1564" bestFit="1" customWidth="1"/>
    <col min="6153" max="6400" width="10.33203125" style="1564"/>
    <col min="6401" max="6401" width="4.6640625" style="1564" customWidth="1"/>
    <col min="6402" max="6402" width="42.83203125" style="1564" customWidth="1"/>
    <col min="6403" max="6403" width="1.33203125" style="1564" customWidth="1"/>
    <col min="6404" max="6404" width="17.83203125" style="1564" customWidth="1"/>
    <col min="6405" max="6405" width="18.33203125" style="1564" customWidth="1"/>
    <col min="6406" max="6406" width="18.1640625" style="1564" customWidth="1"/>
    <col min="6407" max="6407" width="20.6640625" style="1564" customWidth="1"/>
    <col min="6408" max="6408" width="17.33203125" style="1564" bestFit="1" customWidth="1"/>
    <col min="6409" max="6656" width="10.33203125" style="1564"/>
    <col min="6657" max="6657" width="4.6640625" style="1564" customWidth="1"/>
    <col min="6658" max="6658" width="42.83203125" style="1564" customWidth="1"/>
    <col min="6659" max="6659" width="1.33203125" style="1564" customWidth="1"/>
    <col min="6660" max="6660" width="17.83203125" style="1564" customWidth="1"/>
    <col min="6661" max="6661" width="18.33203125" style="1564" customWidth="1"/>
    <col min="6662" max="6662" width="18.1640625" style="1564" customWidth="1"/>
    <col min="6663" max="6663" width="20.6640625" style="1564" customWidth="1"/>
    <col min="6664" max="6664" width="17.33203125" style="1564" bestFit="1" customWidth="1"/>
    <col min="6665" max="6912" width="10.33203125" style="1564"/>
    <col min="6913" max="6913" width="4.6640625" style="1564" customWidth="1"/>
    <col min="6914" max="6914" width="42.83203125" style="1564" customWidth="1"/>
    <col min="6915" max="6915" width="1.33203125" style="1564" customWidth="1"/>
    <col min="6916" max="6916" width="17.83203125" style="1564" customWidth="1"/>
    <col min="6917" max="6917" width="18.33203125" style="1564" customWidth="1"/>
    <col min="6918" max="6918" width="18.1640625" style="1564" customWidth="1"/>
    <col min="6919" max="6919" width="20.6640625" style="1564" customWidth="1"/>
    <col min="6920" max="6920" width="17.33203125" style="1564" bestFit="1" customWidth="1"/>
    <col min="6921" max="7168" width="10.33203125" style="1564"/>
    <col min="7169" max="7169" width="4.6640625" style="1564" customWidth="1"/>
    <col min="7170" max="7170" width="42.83203125" style="1564" customWidth="1"/>
    <col min="7171" max="7171" width="1.33203125" style="1564" customWidth="1"/>
    <col min="7172" max="7172" width="17.83203125" style="1564" customWidth="1"/>
    <col min="7173" max="7173" width="18.33203125" style="1564" customWidth="1"/>
    <col min="7174" max="7174" width="18.1640625" style="1564" customWidth="1"/>
    <col min="7175" max="7175" width="20.6640625" style="1564" customWidth="1"/>
    <col min="7176" max="7176" width="17.33203125" style="1564" bestFit="1" customWidth="1"/>
    <col min="7177" max="7424" width="10.33203125" style="1564"/>
    <col min="7425" max="7425" width="4.6640625" style="1564" customWidth="1"/>
    <col min="7426" max="7426" width="42.83203125" style="1564" customWidth="1"/>
    <col min="7427" max="7427" width="1.33203125" style="1564" customWidth="1"/>
    <col min="7428" max="7428" width="17.83203125" style="1564" customWidth="1"/>
    <col min="7429" max="7429" width="18.33203125" style="1564" customWidth="1"/>
    <col min="7430" max="7430" width="18.1640625" style="1564" customWidth="1"/>
    <col min="7431" max="7431" width="20.6640625" style="1564" customWidth="1"/>
    <col min="7432" max="7432" width="17.33203125" style="1564" bestFit="1" customWidth="1"/>
    <col min="7433" max="7680" width="10.33203125" style="1564"/>
    <col min="7681" max="7681" width="4.6640625" style="1564" customWidth="1"/>
    <col min="7682" max="7682" width="42.83203125" style="1564" customWidth="1"/>
    <col min="7683" max="7683" width="1.33203125" style="1564" customWidth="1"/>
    <col min="7684" max="7684" width="17.83203125" style="1564" customWidth="1"/>
    <col min="7685" max="7685" width="18.33203125" style="1564" customWidth="1"/>
    <col min="7686" max="7686" width="18.1640625" style="1564" customWidth="1"/>
    <col min="7687" max="7687" width="20.6640625" style="1564" customWidth="1"/>
    <col min="7688" max="7688" width="17.33203125" style="1564" bestFit="1" customWidth="1"/>
    <col min="7689" max="7936" width="10.33203125" style="1564"/>
    <col min="7937" max="7937" width="4.6640625" style="1564" customWidth="1"/>
    <col min="7938" max="7938" width="42.83203125" style="1564" customWidth="1"/>
    <col min="7939" max="7939" width="1.33203125" style="1564" customWidth="1"/>
    <col min="7940" max="7940" width="17.83203125" style="1564" customWidth="1"/>
    <col min="7941" max="7941" width="18.33203125" style="1564" customWidth="1"/>
    <col min="7942" max="7942" width="18.1640625" style="1564" customWidth="1"/>
    <col min="7943" max="7943" width="20.6640625" style="1564" customWidth="1"/>
    <col min="7944" max="7944" width="17.33203125" style="1564" bestFit="1" customWidth="1"/>
    <col min="7945" max="8192" width="10.33203125" style="1564"/>
    <col min="8193" max="8193" width="4.6640625" style="1564" customWidth="1"/>
    <col min="8194" max="8194" width="42.83203125" style="1564" customWidth="1"/>
    <col min="8195" max="8195" width="1.33203125" style="1564" customWidth="1"/>
    <col min="8196" max="8196" width="17.83203125" style="1564" customWidth="1"/>
    <col min="8197" max="8197" width="18.33203125" style="1564" customWidth="1"/>
    <col min="8198" max="8198" width="18.1640625" style="1564" customWidth="1"/>
    <col min="8199" max="8199" width="20.6640625" style="1564" customWidth="1"/>
    <col min="8200" max="8200" width="17.33203125" style="1564" bestFit="1" customWidth="1"/>
    <col min="8201" max="8448" width="10.33203125" style="1564"/>
    <col min="8449" max="8449" width="4.6640625" style="1564" customWidth="1"/>
    <col min="8450" max="8450" width="42.83203125" style="1564" customWidth="1"/>
    <col min="8451" max="8451" width="1.33203125" style="1564" customWidth="1"/>
    <col min="8452" max="8452" width="17.83203125" style="1564" customWidth="1"/>
    <col min="8453" max="8453" width="18.33203125" style="1564" customWidth="1"/>
    <col min="8454" max="8454" width="18.1640625" style="1564" customWidth="1"/>
    <col min="8455" max="8455" width="20.6640625" style="1564" customWidth="1"/>
    <col min="8456" max="8456" width="17.33203125" style="1564" bestFit="1" customWidth="1"/>
    <col min="8457" max="8704" width="10.33203125" style="1564"/>
    <col min="8705" max="8705" width="4.6640625" style="1564" customWidth="1"/>
    <col min="8706" max="8706" width="42.83203125" style="1564" customWidth="1"/>
    <col min="8707" max="8707" width="1.33203125" style="1564" customWidth="1"/>
    <col min="8708" max="8708" width="17.83203125" style="1564" customWidth="1"/>
    <col min="8709" max="8709" width="18.33203125" style="1564" customWidth="1"/>
    <col min="8710" max="8710" width="18.1640625" style="1564" customWidth="1"/>
    <col min="8711" max="8711" width="20.6640625" style="1564" customWidth="1"/>
    <col min="8712" max="8712" width="17.33203125" style="1564" bestFit="1" customWidth="1"/>
    <col min="8713" max="8960" width="10.33203125" style="1564"/>
    <col min="8961" max="8961" width="4.6640625" style="1564" customWidth="1"/>
    <col min="8962" max="8962" width="42.83203125" style="1564" customWidth="1"/>
    <col min="8963" max="8963" width="1.33203125" style="1564" customWidth="1"/>
    <col min="8964" max="8964" width="17.83203125" style="1564" customWidth="1"/>
    <col min="8965" max="8965" width="18.33203125" style="1564" customWidth="1"/>
    <col min="8966" max="8966" width="18.1640625" style="1564" customWidth="1"/>
    <col min="8967" max="8967" width="20.6640625" style="1564" customWidth="1"/>
    <col min="8968" max="8968" width="17.33203125" style="1564" bestFit="1" customWidth="1"/>
    <col min="8969" max="9216" width="10.33203125" style="1564"/>
    <col min="9217" max="9217" width="4.6640625" style="1564" customWidth="1"/>
    <col min="9218" max="9218" width="42.83203125" style="1564" customWidth="1"/>
    <col min="9219" max="9219" width="1.33203125" style="1564" customWidth="1"/>
    <col min="9220" max="9220" width="17.83203125" style="1564" customWidth="1"/>
    <col min="9221" max="9221" width="18.33203125" style="1564" customWidth="1"/>
    <col min="9222" max="9222" width="18.1640625" style="1564" customWidth="1"/>
    <col min="9223" max="9223" width="20.6640625" style="1564" customWidth="1"/>
    <col min="9224" max="9224" width="17.33203125" style="1564" bestFit="1" customWidth="1"/>
    <col min="9225" max="9472" width="10.33203125" style="1564"/>
    <col min="9473" max="9473" width="4.6640625" style="1564" customWidth="1"/>
    <col min="9474" max="9474" width="42.83203125" style="1564" customWidth="1"/>
    <col min="9475" max="9475" width="1.33203125" style="1564" customWidth="1"/>
    <col min="9476" max="9476" width="17.83203125" style="1564" customWidth="1"/>
    <col min="9477" max="9477" width="18.33203125" style="1564" customWidth="1"/>
    <col min="9478" max="9478" width="18.1640625" style="1564" customWidth="1"/>
    <col min="9479" max="9479" width="20.6640625" style="1564" customWidth="1"/>
    <col min="9480" max="9480" width="17.33203125" style="1564" bestFit="1" customWidth="1"/>
    <col min="9481" max="9728" width="10.33203125" style="1564"/>
    <col min="9729" max="9729" width="4.6640625" style="1564" customWidth="1"/>
    <col min="9730" max="9730" width="42.83203125" style="1564" customWidth="1"/>
    <col min="9731" max="9731" width="1.33203125" style="1564" customWidth="1"/>
    <col min="9732" max="9732" width="17.83203125" style="1564" customWidth="1"/>
    <col min="9733" max="9733" width="18.33203125" style="1564" customWidth="1"/>
    <col min="9734" max="9734" width="18.1640625" style="1564" customWidth="1"/>
    <col min="9735" max="9735" width="20.6640625" style="1564" customWidth="1"/>
    <col min="9736" max="9736" width="17.33203125" style="1564" bestFit="1" customWidth="1"/>
    <col min="9737" max="9984" width="10.33203125" style="1564"/>
    <col min="9985" max="9985" width="4.6640625" style="1564" customWidth="1"/>
    <col min="9986" max="9986" width="42.83203125" style="1564" customWidth="1"/>
    <col min="9987" max="9987" width="1.33203125" style="1564" customWidth="1"/>
    <col min="9988" max="9988" width="17.83203125" style="1564" customWidth="1"/>
    <col min="9989" max="9989" width="18.33203125" style="1564" customWidth="1"/>
    <col min="9990" max="9990" width="18.1640625" style="1564" customWidth="1"/>
    <col min="9991" max="9991" width="20.6640625" style="1564" customWidth="1"/>
    <col min="9992" max="9992" width="17.33203125" style="1564" bestFit="1" customWidth="1"/>
    <col min="9993" max="10240" width="10.33203125" style="1564"/>
    <col min="10241" max="10241" width="4.6640625" style="1564" customWidth="1"/>
    <col min="10242" max="10242" width="42.83203125" style="1564" customWidth="1"/>
    <col min="10243" max="10243" width="1.33203125" style="1564" customWidth="1"/>
    <col min="10244" max="10244" width="17.83203125" style="1564" customWidth="1"/>
    <col min="10245" max="10245" width="18.33203125" style="1564" customWidth="1"/>
    <col min="10246" max="10246" width="18.1640625" style="1564" customWidth="1"/>
    <col min="10247" max="10247" width="20.6640625" style="1564" customWidth="1"/>
    <col min="10248" max="10248" width="17.33203125" style="1564" bestFit="1" customWidth="1"/>
    <col min="10249" max="10496" width="10.33203125" style="1564"/>
    <col min="10497" max="10497" width="4.6640625" style="1564" customWidth="1"/>
    <col min="10498" max="10498" width="42.83203125" style="1564" customWidth="1"/>
    <col min="10499" max="10499" width="1.33203125" style="1564" customWidth="1"/>
    <col min="10500" max="10500" width="17.83203125" style="1564" customWidth="1"/>
    <col min="10501" max="10501" width="18.33203125" style="1564" customWidth="1"/>
    <col min="10502" max="10502" width="18.1640625" style="1564" customWidth="1"/>
    <col min="10503" max="10503" width="20.6640625" style="1564" customWidth="1"/>
    <col min="10504" max="10504" width="17.33203125" style="1564" bestFit="1" customWidth="1"/>
    <col min="10505" max="10752" width="10.33203125" style="1564"/>
    <col min="10753" max="10753" width="4.6640625" style="1564" customWidth="1"/>
    <col min="10754" max="10754" width="42.83203125" style="1564" customWidth="1"/>
    <col min="10755" max="10755" width="1.33203125" style="1564" customWidth="1"/>
    <col min="10756" max="10756" width="17.83203125" style="1564" customWidth="1"/>
    <col min="10757" max="10757" width="18.33203125" style="1564" customWidth="1"/>
    <col min="10758" max="10758" width="18.1640625" style="1564" customWidth="1"/>
    <col min="10759" max="10759" width="20.6640625" style="1564" customWidth="1"/>
    <col min="10760" max="10760" width="17.33203125" style="1564" bestFit="1" customWidth="1"/>
    <col min="10761" max="11008" width="10.33203125" style="1564"/>
    <col min="11009" max="11009" width="4.6640625" style="1564" customWidth="1"/>
    <col min="11010" max="11010" width="42.83203125" style="1564" customWidth="1"/>
    <col min="11011" max="11011" width="1.33203125" style="1564" customWidth="1"/>
    <col min="11012" max="11012" width="17.83203125" style="1564" customWidth="1"/>
    <col min="11013" max="11013" width="18.33203125" style="1564" customWidth="1"/>
    <col min="11014" max="11014" width="18.1640625" style="1564" customWidth="1"/>
    <col min="11015" max="11015" width="20.6640625" style="1564" customWidth="1"/>
    <col min="11016" max="11016" width="17.33203125" style="1564" bestFit="1" customWidth="1"/>
    <col min="11017" max="11264" width="10.33203125" style="1564"/>
    <col min="11265" max="11265" width="4.6640625" style="1564" customWidth="1"/>
    <col min="11266" max="11266" width="42.83203125" style="1564" customWidth="1"/>
    <col min="11267" max="11267" width="1.33203125" style="1564" customWidth="1"/>
    <col min="11268" max="11268" width="17.83203125" style="1564" customWidth="1"/>
    <col min="11269" max="11269" width="18.33203125" style="1564" customWidth="1"/>
    <col min="11270" max="11270" width="18.1640625" style="1564" customWidth="1"/>
    <col min="11271" max="11271" width="20.6640625" style="1564" customWidth="1"/>
    <col min="11272" max="11272" width="17.33203125" style="1564" bestFit="1" customWidth="1"/>
    <col min="11273" max="11520" width="10.33203125" style="1564"/>
    <col min="11521" max="11521" width="4.6640625" style="1564" customWidth="1"/>
    <col min="11522" max="11522" width="42.83203125" style="1564" customWidth="1"/>
    <col min="11523" max="11523" width="1.33203125" style="1564" customWidth="1"/>
    <col min="11524" max="11524" width="17.83203125" style="1564" customWidth="1"/>
    <col min="11525" max="11525" width="18.33203125" style="1564" customWidth="1"/>
    <col min="11526" max="11526" width="18.1640625" style="1564" customWidth="1"/>
    <col min="11527" max="11527" width="20.6640625" style="1564" customWidth="1"/>
    <col min="11528" max="11528" width="17.33203125" style="1564" bestFit="1" customWidth="1"/>
    <col min="11529" max="11776" width="10.33203125" style="1564"/>
    <col min="11777" max="11777" width="4.6640625" style="1564" customWidth="1"/>
    <col min="11778" max="11778" width="42.83203125" style="1564" customWidth="1"/>
    <col min="11779" max="11779" width="1.33203125" style="1564" customWidth="1"/>
    <col min="11780" max="11780" width="17.83203125" style="1564" customWidth="1"/>
    <col min="11781" max="11781" width="18.33203125" style="1564" customWidth="1"/>
    <col min="11782" max="11782" width="18.1640625" style="1564" customWidth="1"/>
    <col min="11783" max="11783" width="20.6640625" style="1564" customWidth="1"/>
    <col min="11784" max="11784" width="17.33203125" style="1564" bestFit="1" customWidth="1"/>
    <col min="11785" max="12032" width="10.33203125" style="1564"/>
    <col min="12033" max="12033" width="4.6640625" style="1564" customWidth="1"/>
    <col min="12034" max="12034" width="42.83203125" style="1564" customWidth="1"/>
    <col min="12035" max="12035" width="1.33203125" style="1564" customWidth="1"/>
    <col min="12036" max="12036" width="17.83203125" style="1564" customWidth="1"/>
    <col min="12037" max="12037" width="18.33203125" style="1564" customWidth="1"/>
    <col min="12038" max="12038" width="18.1640625" style="1564" customWidth="1"/>
    <col min="12039" max="12039" width="20.6640625" style="1564" customWidth="1"/>
    <col min="12040" max="12040" width="17.33203125" style="1564" bestFit="1" customWidth="1"/>
    <col min="12041" max="12288" width="10.33203125" style="1564"/>
    <col min="12289" max="12289" width="4.6640625" style="1564" customWidth="1"/>
    <col min="12290" max="12290" width="42.83203125" style="1564" customWidth="1"/>
    <col min="12291" max="12291" width="1.33203125" style="1564" customWidth="1"/>
    <col min="12292" max="12292" width="17.83203125" style="1564" customWidth="1"/>
    <col min="12293" max="12293" width="18.33203125" style="1564" customWidth="1"/>
    <col min="12294" max="12294" width="18.1640625" style="1564" customWidth="1"/>
    <col min="12295" max="12295" width="20.6640625" style="1564" customWidth="1"/>
    <col min="12296" max="12296" width="17.33203125" style="1564" bestFit="1" customWidth="1"/>
    <col min="12297" max="12544" width="10.33203125" style="1564"/>
    <col min="12545" max="12545" width="4.6640625" style="1564" customWidth="1"/>
    <col min="12546" max="12546" width="42.83203125" style="1564" customWidth="1"/>
    <col min="12547" max="12547" width="1.33203125" style="1564" customWidth="1"/>
    <col min="12548" max="12548" width="17.83203125" style="1564" customWidth="1"/>
    <col min="12549" max="12549" width="18.33203125" style="1564" customWidth="1"/>
    <col min="12550" max="12550" width="18.1640625" style="1564" customWidth="1"/>
    <col min="12551" max="12551" width="20.6640625" style="1564" customWidth="1"/>
    <col min="12552" max="12552" width="17.33203125" style="1564" bestFit="1" customWidth="1"/>
    <col min="12553" max="12800" width="10.33203125" style="1564"/>
    <col min="12801" max="12801" width="4.6640625" style="1564" customWidth="1"/>
    <col min="12802" max="12802" width="42.83203125" style="1564" customWidth="1"/>
    <col min="12803" max="12803" width="1.33203125" style="1564" customWidth="1"/>
    <col min="12804" max="12804" width="17.83203125" style="1564" customWidth="1"/>
    <col min="12805" max="12805" width="18.33203125" style="1564" customWidth="1"/>
    <col min="12806" max="12806" width="18.1640625" style="1564" customWidth="1"/>
    <col min="12807" max="12807" width="20.6640625" style="1564" customWidth="1"/>
    <col min="12808" max="12808" width="17.33203125" style="1564" bestFit="1" customWidth="1"/>
    <col min="12809" max="13056" width="10.33203125" style="1564"/>
    <col min="13057" max="13057" width="4.6640625" style="1564" customWidth="1"/>
    <col min="13058" max="13058" width="42.83203125" style="1564" customWidth="1"/>
    <col min="13059" max="13059" width="1.33203125" style="1564" customWidth="1"/>
    <col min="13060" max="13060" width="17.83203125" style="1564" customWidth="1"/>
    <col min="13061" max="13061" width="18.33203125" style="1564" customWidth="1"/>
    <col min="13062" max="13062" width="18.1640625" style="1564" customWidth="1"/>
    <col min="13063" max="13063" width="20.6640625" style="1564" customWidth="1"/>
    <col min="13064" max="13064" width="17.33203125" style="1564" bestFit="1" customWidth="1"/>
    <col min="13065" max="13312" width="10.33203125" style="1564"/>
    <col min="13313" max="13313" width="4.6640625" style="1564" customWidth="1"/>
    <col min="13314" max="13314" width="42.83203125" style="1564" customWidth="1"/>
    <col min="13315" max="13315" width="1.33203125" style="1564" customWidth="1"/>
    <col min="13316" max="13316" width="17.83203125" style="1564" customWidth="1"/>
    <col min="13317" max="13317" width="18.33203125" style="1564" customWidth="1"/>
    <col min="13318" max="13318" width="18.1640625" style="1564" customWidth="1"/>
    <col min="13319" max="13319" width="20.6640625" style="1564" customWidth="1"/>
    <col min="13320" max="13320" width="17.33203125" style="1564" bestFit="1" customWidth="1"/>
    <col min="13321" max="13568" width="10.33203125" style="1564"/>
    <col min="13569" max="13569" width="4.6640625" style="1564" customWidth="1"/>
    <col min="13570" max="13570" width="42.83203125" style="1564" customWidth="1"/>
    <col min="13571" max="13571" width="1.33203125" style="1564" customWidth="1"/>
    <col min="13572" max="13572" width="17.83203125" style="1564" customWidth="1"/>
    <col min="13573" max="13573" width="18.33203125" style="1564" customWidth="1"/>
    <col min="13574" max="13574" width="18.1640625" style="1564" customWidth="1"/>
    <col min="13575" max="13575" width="20.6640625" style="1564" customWidth="1"/>
    <col min="13576" max="13576" width="17.33203125" style="1564" bestFit="1" customWidth="1"/>
    <col min="13577" max="13824" width="10.33203125" style="1564"/>
    <col min="13825" max="13825" width="4.6640625" style="1564" customWidth="1"/>
    <col min="13826" max="13826" width="42.83203125" style="1564" customWidth="1"/>
    <col min="13827" max="13827" width="1.33203125" style="1564" customWidth="1"/>
    <col min="13828" max="13828" width="17.83203125" style="1564" customWidth="1"/>
    <col min="13829" max="13829" width="18.33203125" style="1564" customWidth="1"/>
    <col min="13830" max="13830" width="18.1640625" style="1564" customWidth="1"/>
    <col min="13831" max="13831" width="20.6640625" style="1564" customWidth="1"/>
    <col min="13832" max="13832" width="17.33203125" style="1564" bestFit="1" customWidth="1"/>
    <col min="13833" max="14080" width="10.33203125" style="1564"/>
    <col min="14081" max="14081" width="4.6640625" style="1564" customWidth="1"/>
    <col min="14082" max="14082" width="42.83203125" style="1564" customWidth="1"/>
    <col min="14083" max="14083" width="1.33203125" style="1564" customWidth="1"/>
    <col min="14084" max="14084" width="17.83203125" style="1564" customWidth="1"/>
    <col min="14085" max="14085" width="18.33203125" style="1564" customWidth="1"/>
    <col min="14086" max="14086" width="18.1640625" style="1564" customWidth="1"/>
    <col min="14087" max="14087" width="20.6640625" style="1564" customWidth="1"/>
    <col min="14088" max="14088" width="17.33203125" style="1564" bestFit="1" customWidth="1"/>
    <col min="14089" max="14336" width="10.33203125" style="1564"/>
    <col min="14337" max="14337" width="4.6640625" style="1564" customWidth="1"/>
    <col min="14338" max="14338" width="42.83203125" style="1564" customWidth="1"/>
    <col min="14339" max="14339" width="1.33203125" style="1564" customWidth="1"/>
    <col min="14340" max="14340" width="17.83203125" style="1564" customWidth="1"/>
    <col min="14341" max="14341" width="18.33203125" style="1564" customWidth="1"/>
    <col min="14342" max="14342" width="18.1640625" style="1564" customWidth="1"/>
    <col min="14343" max="14343" width="20.6640625" style="1564" customWidth="1"/>
    <col min="14344" max="14344" width="17.33203125" style="1564" bestFit="1" customWidth="1"/>
    <col min="14345" max="14592" width="10.33203125" style="1564"/>
    <col min="14593" max="14593" width="4.6640625" style="1564" customWidth="1"/>
    <col min="14594" max="14594" width="42.83203125" style="1564" customWidth="1"/>
    <col min="14595" max="14595" width="1.33203125" style="1564" customWidth="1"/>
    <col min="14596" max="14596" width="17.83203125" style="1564" customWidth="1"/>
    <col min="14597" max="14597" width="18.33203125" style="1564" customWidth="1"/>
    <col min="14598" max="14598" width="18.1640625" style="1564" customWidth="1"/>
    <col min="14599" max="14599" width="20.6640625" style="1564" customWidth="1"/>
    <col min="14600" max="14600" width="17.33203125" style="1564" bestFit="1" customWidth="1"/>
    <col min="14601" max="14848" width="10.33203125" style="1564"/>
    <col min="14849" max="14849" width="4.6640625" style="1564" customWidth="1"/>
    <col min="14850" max="14850" width="42.83203125" style="1564" customWidth="1"/>
    <col min="14851" max="14851" width="1.33203125" style="1564" customWidth="1"/>
    <col min="14852" max="14852" width="17.83203125" style="1564" customWidth="1"/>
    <col min="14853" max="14853" width="18.33203125" style="1564" customWidth="1"/>
    <col min="14854" max="14854" width="18.1640625" style="1564" customWidth="1"/>
    <col min="14855" max="14855" width="20.6640625" style="1564" customWidth="1"/>
    <col min="14856" max="14856" width="17.33203125" style="1564" bestFit="1" customWidth="1"/>
    <col min="14857" max="15104" width="10.33203125" style="1564"/>
    <col min="15105" max="15105" width="4.6640625" style="1564" customWidth="1"/>
    <col min="15106" max="15106" width="42.83203125" style="1564" customWidth="1"/>
    <col min="15107" max="15107" width="1.33203125" style="1564" customWidth="1"/>
    <col min="15108" max="15108" width="17.83203125" style="1564" customWidth="1"/>
    <col min="15109" max="15109" width="18.33203125" style="1564" customWidth="1"/>
    <col min="15110" max="15110" width="18.1640625" style="1564" customWidth="1"/>
    <col min="15111" max="15111" width="20.6640625" style="1564" customWidth="1"/>
    <col min="15112" max="15112" width="17.33203125" style="1564" bestFit="1" customWidth="1"/>
    <col min="15113" max="15360" width="10.33203125" style="1564"/>
    <col min="15361" max="15361" width="4.6640625" style="1564" customWidth="1"/>
    <col min="15362" max="15362" width="42.83203125" style="1564" customWidth="1"/>
    <col min="15363" max="15363" width="1.33203125" style="1564" customWidth="1"/>
    <col min="15364" max="15364" width="17.83203125" style="1564" customWidth="1"/>
    <col min="15365" max="15365" width="18.33203125" style="1564" customWidth="1"/>
    <col min="15366" max="15366" width="18.1640625" style="1564" customWidth="1"/>
    <col min="15367" max="15367" width="20.6640625" style="1564" customWidth="1"/>
    <col min="15368" max="15368" width="17.33203125" style="1564" bestFit="1" customWidth="1"/>
    <col min="15369" max="15616" width="10.33203125" style="1564"/>
    <col min="15617" max="15617" width="4.6640625" style="1564" customWidth="1"/>
    <col min="15618" max="15618" width="42.83203125" style="1564" customWidth="1"/>
    <col min="15619" max="15619" width="1.33203125" style="1564" customWidth="1"/>
    <col min="15620" max="15620" width="17.83203125" style="1564" customWidth="1"/>
    <col min="15621" max="15621" width="18.33203125" style="1564" customWidth="1"/>
    <col min="15622" max="15622" width="18.1640625" style="1564" customWidth="1"/>
    <col min="15623" max="15623" width="20.6640625" style="1564" customWidth="1"/>
    <col min="15624" max="15624" width="17.33203125" style="1564" bestFit="1" customWidth="1"/>
    <col min="15625" max="15872" width="10.33203125" style="1564"/>
    <col min="15873" max="15873" width="4.6640625" style="1564" customWidth="1"/>
    <col min="15874" max="15874" width="42.83203125" style="1564" customWidth="1"/>
    <col min="15875" max="15875" width="1.33203125" style="1564" customWidth="1"/>
    <col min="15876" max="15876" width="17.83203125" style="1564" customWidth="1"/>
    <col min="15877" max="15877" width="18.33203125" style="1564" customWidth="1"/>
    <col min="15878" max="15878" width="18.1640625" style="1564" customWidth="1"/>
    <col min="15879" max="15879" width="20.6640625" style="1564" customWidth="1"/>
    <col min="15880" max="15880" width="17.33203125" style="1564" bestFit="1" customWidth="1"/>
    <col min="15881" max="16128" width="10.33203125" style="1564"/>
    <col min="16129" max="16129" width="4.6640625" style="1564" customWidth="1"/>
    <col min="16130" max="16130" width="42.83203125" style="1564" customWidth="1"/>
    <col min="16131" max="16131" width="1.33203125" style="1564" customWidth="1"/>
    <col min="16132" max="16132" width="17.83203125" style="1564" customWidth="1"/>
    <col min="16133" max="16133" width="18.33203125" style="1564" customWidth="1"/>
    <col min="16134" max="16134" width="18.1640625" style="1564" customWidth="1"/>
    <col min="16135" max="16135" width="20.6640625" style="1564" customWidth="1"/>
    <col min="16136" max="16136" width="17.33203125" style="1564" bestFit="1" customWidth="1"/>
    <col min="16137" max="16384" width="10.33203125" style="1564"/>
  </cols>
  <sheetData>
    <row r="1" spans="1:8">
      <c r="B1" s="1565"/>
      <c r="C1" s="1565"/>
      <c r="D1" s="1566"/>
      <c r="E1" s="1566"/>
      <c r="F1" s="1566"/>
      <c r="G1" s="1566"/>
    </row>
    <row r="2" spans="1:8" ht="20.25">
      <c r="B2" s="2918" t="s">
        <v>2290</v>
      </c>
      <c r="C2" s="2918"/>
      <c r="D2" s="2918"/>
      <c r="E2" s="2918"/>
      <c r="F2" s="2918"/>
      <c r="G2" s="2918"/>
      <c r="H2" s="2918"/>
    </row>
    <row r="3" spans="1:8" ht="20.25">
      <c r="B3" s="2918" t="s">
        <v>2291</v>
      </c>
      <c r="C3" s="2918"/>
      <c r="D3" s="2918"/>
      <c r="E3" s="2918"/>
      <c r="F3" s="2918"/>
      <c r="G3" s="2918"/>
      <c r="H3" s="2918"/>
    </row>
    <row r="4" spans="1:8" ht="20.25">
      <c r="B4" s="2919">
        <v>40543</v>
      </c>
      <c r="C4" s="2919"/>
      <c r="D4" s="2919"/>
      <c r="E4" s="2919"/>
      <c r="F4" s="2919"/>
      <c r="G4" s="2919"/>
      <c r="H4" s="2919"/>
    </row>
    <row r="5" spans="1:8">
      <c r="B5" s="1568"/>
      <c r="C5" s="1568"/>
      <c r="D5" s="1569"/>
      <c r="E5" s="1569"/>
      <c r="F5" s="1569"/>
      <c r="G5" s="1569"/>
      <c r="H5" s="1570"/>
    </row>
    <row r="6" spans="1:8" ht="18.75">
      <c r="B6" s="2920" t="s">
        <v>940</v>
      </c>
      <c r="C6" s="2920"/>
      <c r="D6" s="2920"/>
      <c r="E6" s="2920"/>
      <c r="F6" s="2920"/>
      <c r="G6" s="2920"/>
      <c r="H6" s="2920"/>
    </row>
    <row r="8" spans="1:8" s="1572" customFormat="1" ht="18.75">
      <c r="A8" s="1571"/>
      <c r="B8" s="2921" t="s">
        <v>2292</v>
      </c>
      <c r="C8" s="2921"/>
      <c r="D8" s="2921"/>
      <c r="E8" s="2921"/>
      <c r="F8" s="2921"/>
      <c r="G8" s="2921"/>
      <c r="H8" s="2921"/>
    </row>
    <row r="9" spans="1:8" s="1572" customFormat="1" ht="18.75">
      <c r="A9" s="1571"/>
      <c r="B9" s="1573"/>
      <c r="C9" s="1573"/>
      <c r="D9" s="1573"/>
      <c r="E9" s="2917" t="s">
        <v>2293</v>
      </c>
      <c r="F9" s="2917"/>
      <c r="G9" s="2917"/>
      <c r="H9" s="1571"/>
    </row>
    <row r="10" spans="1:8" s="1572" customFormat="1" ht="18.75">
      <c r="A10" s="1571"/>
      <c r="B10" s="1574" t="s">
        <v>2294</v>
      </c>
      <c r="C10" s="1574"/>
      <c r="D10" s="1575" t="s">
        <v>2295</v>
      </c>
      <c r="E10" s="1576" t="s">
        <v>2296</v>
      </c>
      <c r="F10" s="1575" t="s">
        <v>2297</v>
      </c>
      <c r="G10" s="1575" t="s">
        <v>1179</v>
      </c>
      <c r="H10" s="1571"/>
    </row>
    <row r="11" spans="1:8" ht="18.75">
      <c r="A11" s="1577"/>
      <c r="B11" s="1578" t="s">
        <v>2298</v>
      </c>
      <c r="C11" s="1578"/>
      <c r="D11" s="1541">
        <v>696988</v>
      </c>
      <c r="E11" s="1542">
        <v>691850</v>
      </c>
      <c r="F11" s="1541">
        <v>5138</v>
      </c>
      <c r="G11" s="1579">
        <v>7.4264652742646528E-3</v>
      </c>
      <c r="H11" s="1580"/>
    </row>
    <row r="12" spans="1:8" ht="18.75">
      <c r="A12" s="1577"/>
      <c r="B12" s="1578" t="s">
        <v>2299</v>
      </c>
      <c r="C12" s="1578"/>
      <c r="D12" s="1541">
        <v>53628</v>
      </c>
      <c r="E12" s="1542">
        <v>53950</v>
      </c>
      <c r="F12" s="1541">
        <v>-322</v>
      </c>
      <c r="G12" s="1579">
        <v>-5.968489341983318E-3</v>
      </c>
      <c r="H12" s="1580"/>
    </row>
    <row r="13" spans="1:8" ht="18.75">
      <c r="A13" s="1577"/>
      <c r="B13" s="1578" t="s">
        <v>2300</v>
      </c>
      <c r="C13" s="1578"/>
      <c r="D13" s="1541">
        <v>353</v>
      </c>
      <c r="E13" s="1542">
        <v>370</v>
      </c>
      <c r="F13" s="1541">
        <v>-17</v>
      </c>
      <c r="G13" s="1579">
        <v>-4.5945945945945948E-2</v>
      </c>
      <c r="H13" s="1580"/>
    </row>
    <row r="14" spans="1:8" ht="18.75">
      <c r="A14" s="1577"/>
      <c r="B14" s="1578" t="s">
        <v>2301</v>
      </c>
      <c r="C14" s="1578"/>
      <c r="D14" s="1541">
        <v>2480</v>
      </c>
      <c r="E14" s="1542">
        <v>2514</v>
      </c>
      <c r="F14" s="1541">
        <v>-34</v>
      </c>
      <c r="G14" s="1579">
        <v>-1.3524264120922832E-2</v>
      </c>
      <c r="H14" s="1580"/>
    </row>
    <row r="15" spans="1:8" ht="18.75">
      <c r="A15" s="1577"/>
      <c r="B15" s="1578" t="s">
        <v>2302</v>
      </c>
      <c r="C15" s="1578"/>
      <c r="D15" s="1541">
        <v>18</v>
      </c>
      <c r="E15" s="1542">
        <v>19</v>
      </c>
      <c r="F15" s="1541">
        <v>-1</v>
      </c>
      <c r="G15" s="1579">
        <v>-5.2631578947368418E-2</v>
      </c>
      <c r="H15" s="1580"/>
    </row>
    <row r="16" spans="1:8" ht="18.75">
      <c r="A16" s="1577"/>
      <c r="B16" s="1578" t="s">
        <v>2310</v>
      </c>
      <c r="C16" s="1578"/>
      <c r="D16" s="1550">
        <v>169</v>
      </c>
      <c r="E16" s="1549">
        <v>150</v>
      </c>
      <c r="F16" s="1550">
        <v>19</v>
      </c>
      <c r="G16" s="1581">
        <v>0.12666666666666668</v>
      </c>
      <c r="H16" s="1580"/>
    </row>
    <row r="17" spans="1:8" ht="18.75">
      <c r="A17" s="1577"/>
      <c r="B17" s="1578" t="s">
        <v>2306</v>
      </c>
      <c r="C17" s="1578"/>
      <c r="D17" s="1582">
        <v>753636</v>
      </c>
      <c r="E17" s="1583">
        <v>748853</v>
      </c>
      <c r="F17" s="1582">
        <v>4783</v>
      </c>
      <c r="G17" s="1579">
        <v>6.3871013403164574E-3</v>
      </c>
      <c r="H17" s="1580"/>
    </row>
    <row r="18" spans="1:8" ht="18.75">
      <c r="A18" s="1577"/>
      <c r="B18" s="1584"/>
      <c r="C18" s="1584"/>
      <c r="D18" s="1584"/>
      <c r="E18" s="1585"/>
      <c r="F18" s="1584"/>
      <c r="G18" s="1586"/>
      <c r="H18" s="1587"/>
    </row>
    <row r="19" spans="1:8" ht="18.75">
      <c r="A19" s="1577"/>
      <c r="B19" s="1588"/>
      <c r="C19" s="1588"/>
      <c r="D19" s="1588"/>
      <c r="E19" s="1587"/>
      <c r="F19" s="1588"/>
      <c r="G19" s="1589"/>
      <c r="H19" s="1587"/>
    </row>
    <row r="20" spans="1:8" ht="17.25" customHeight="1">
      <c r="A20" s="1577"/>
      <c r="B20" s="2922" t="s">
        <v>2307</v>
      </c>
      <c r="C20" s="2922"/>
      <c r="D20" s="2922"/>
      <c r="E20" s="2922"/>
      <c r="F20" s="2922"/>
      <c r="G20" s="2922"/>
      <c r="H20" s="2922"/>
    </row>
    <row r="21" spans="1:8" ht="17.25" customHeight="1">
      <c r="A21" s="1577"/>
      <c r="B21" s="1590"/>
      <c r="C21" s="1590"/>
      <c r="D21" s="1590"/>
      <c r="E21" s="1591"/>
      <c r="F21" s="2917" t="s">
        <v>2293</v>
      </c>
      <c r="G21" s="2917"/>
    </row>
    <row r="22" spans="1:8" ht="17.25" customHeight="1">
      <c r="A22" s="1577"/>
      <c r="B22" s="1574" t="s">
        <v>2294</v>
      </c>
      <c r="C22" s="1574"/>
      <c r="D22" s="1575" t="s">
        <v>2295</v>
      </c>
      <c r="E22" s="1576" t="s">
        <v>2296</v>
      </c>
      <c r="F22" s="1575" t="s">
        <v>2297</v>
      </c>
      <c r="G22" s="1575" t="s">
        <v>1179</v>
      </c>
    </row>
    <row r="23" spans="1:8" ht="17.25" customHeight="1">
      <c r="A23" s="1577"/>
      <c r="B23" s="1578" t="s">
        <v>2298</v>
      </c>
      <c r="C23" s="1588"/>
      <c r="D23" s="1541">
        <v>695594</v>
      </c>
      <c r="E23" s="1542">
        <v>690702</v>
      </c>
      <c r="F23" s="1541">
        <v>4892</v>
      </c>
      <c r="G23" s="1579">
        <v>7.0826492467084209E-3</v>
      </c>
    </row>
    <row r="24" spans="1:8" ht="17.25" customHeight="1">
      <c r="A24" s="1577"/>
      <c r="B24" s="1578" t="s">
        <v>2299</v>
      </c>
      <c r="C24" s="1588"/>
      <c r="D24" s="1541">
        <v>53472</v>
      </c>
      <c r="E24" s="1542">
        <v>53853</v>
      </c>
      <c r="F24" s="1541">
        <v>-381</v>
      </c>
      <c r="G24" s="1579">
        <v>-7.07481477355022E-3</v>
      </c>
    </row>
    <row r="25" spans="1:8" ht="17.25" customHeight="1">
      <c r="A25" s="1577"/>
      <c r="B25" s="1578" t="s">
        <v>2300</v>
      </c>
      <c r="C25" s="1588"/>
      <c r="D25" s="1541">
        <v>354</v>
      </c>
      <c r="E25" s="1542">
        <v>372</v>
      </c>
      <c r="F25" s="1541">
        <v>-18</v>
      </c>
      <c r="G25" s="1579">
        <v>-4.8387096774193547E-2</v>
      </c>
    </row>
    <row r="26" spans="1:8" ht="17.25" customHeight="1">
      <c r="A26" s="1577"/>
      <c r="B26" s="1578" t="s">
        <v>2301</v>
      </c>
      <c r="C26" s="1588"/>
      <c r="D26" s="1541">
        <v>2473</v>
      </c>
      <c r="E26" s="1542">
        <v>2507</v>
      </c>
      <c r="F26" s="1541">
        <v>-34</v>
      </c>
      <c r="G26" s="1579">
        <v>-1.3562026326286399E-2</v>
      </c>
    </row>
    <row r="27" spans="1:8" ht="17.25" customHeight="1">
      <c r="A27" s="1577"/>
      <c r="B27" s="1578" t="s">
        <v>2302</v>
      </c>
      <c r="C27" s="1588"/>
      <c r="D27" s="1541">
        <v>18</v>
      </c>
      <c r="E27" s="1542">
        <v>18</v>
      </c>
      <c r="F27" s="1541">
        <v>0</v>
      </c>
      <c r="G27" s="1579">
        <v>0</v>
      </c>
    </row>
    <row r="28" spans="1:8" ht="17.25" customHeight="1">
      <c r="A28" s="1577"/>
      <c r="B28" s="1578" t="s">
        <v>2310</v>
      </c>
      <c r="C28" s="1588"/>
      <c r="D28" s="1550">
        <v>160</v>
      </c>
      <c r="E28" s="1549">
        <v>151</v>
      </c>
      <c r="F28" s="1550">
        <v>9</v>
      </c>
      <c r="G28" s="1581">
        <v>5.9602649006622516E-2</v>
      </c>
    </row>
    <row r="29" spans="1:8" ht="17.25" customHeight="1">
      <c r="A29" s="1577"/>
      <c r="B29" s="1578" t="s">
        <v>2306</v>
      </c>
      <c r="C29" s="1588"/>
      <c r="D29" s="1592">
        <v>752071</v>
      </c>
      <c r="E29" s="1583">
        <v>747603</v>
      </c>
      <c r="F29" s="1593">
        <v>4468</v>
      </c>
      <c r="G29" s="1579">
        <v>5.9764340164499075E-3</v>
      </c>
    </row>
    <row r="30" spans="1:8" ht="17.25" customHeight="1">
      <c r="A30" s="1577"/>
      <c r="B30" s="1584"/>
      <c r="C30" s="1584"/>
      <c r="D30" s="1594"/>
      <c r="E30" s="1595"/>
      <c r="F30" s="1594"/>
      <c r="G30" s="1594"/>
      <c r="H30" s="1596"/>
    </row>
    <row r="31" spans="1:8" ht="17.25" customHeight="1">
      <c r="A31" s="1577"/>
      <c r="B31" s="1577"/>
      <c r="C31" s="1578"/>
      <c r="D31" s="1578"/>
      <c r="E31" s="1597"/>
      <c r="F31" s="1578"/>
      <c r="G31" s="1578"/>
      <c r="H31" s="1597"/>
    </row>
    <row r="32" spans="1:8" ht="17.25" customHeight="1">
      <c r="A32" s="1577"/>
      <c r="B32" s="2923" t="s">
        <v>2308</v>
      </c>
      <c r="C32" s="2923"/>
      <c r="D32" s="2923"/>
      <c r="E32" s="2923"/>
      <c r="F32" s="2923"/>
      <c r="G32" s="2923"/>
      <c r="H32" s="2923"/>
    </row>
    <row r="33" spans="1:10" s="1572" customFormat="1" ht="18.75">
      <c r="A33" s="1571"/>
      <c r="B33" s="1590"/>
      <c r="C33" s="1590"/>
      <c r="D33" s="1590"/>
      <c r="E33" s="1598"/>
      <c r="F33" s="2917" t="s">
        <v>2293</v>
      </c>
      <c r="G33" s="2917"/>
      <c r="H33" s="1571"/>
      <c r="I33" s="1599"/>
      <c r="J33" s="1599"/>
    </row>
    <row r="34" spans="1:10" s="1572" customFormat="1" ht="18.75">
      <c r="A34" s="1571"/>
      <c r="B34" s="1574" t="s">
        <v>2294</v>
      </c>
      <c r="C34" s="1574"/>
      <c r="D34" s="1575" t="s">
        <v>2295</v>
      </c>
      <c r="E34" s="1576" t="s">
        <v>2296</v>
      </c>
      <c r="F34" s="1575" t="s">
        <v>2297</v>
      </c>
      <c r="G34" s="1575" t="s">
        <v>1179</v>
      </c>
      <c r="H34" s="1571"/>
    </row>
    <row r="35" spans="1:10" ht="18.75">
      <c r="A35" s="1577"/>
      <c r="B35" s="1578" t="s">
        <v>2298</v>
      </c>
      <c r="C35" s="1578"/>
      <c r="D35" s="1541">
        <v>694086</v>
      </c>
      <c r="E35" s="1542">
        <v>689438</v>
      </c>
      <c r="F35" s="1541">
        <v>4648</v>
      </c>
      <c r="G35" s="1579">
        <v>6.7417229685628006E-3</v>
      </c>
      <c r="H35" s="1580"/>
    </row>
    <row r="36" spans="1:10" ht="18.75">
      <c r="A36" s="1577"/>
      <c r="B36" s="1578" t="s">
        <v>2299</v>
      </c>
      <c r="C36" s="1578"/>
      <c r="D36" s="1541">
        <v>53703</v>
      </c>
      <c r="E36" s="1542">
        <v>54022</v>
      </c>
      <c r="F36" s="1541">
        <v>-319</v>
      </c>
      <c r="G36" s="1579">
        <v>-5.9050016659879306E-3</v>
      </c>
      <c r="H36" s="1580"/>
    </row>
    <row r="37" spans="1:10" ht="18.75">
      <c r="A37" s="1577"/>
      <c r="B37" s="1578" t="s">
        <v>2300</v>
      </c>
      <c r="C37" s="1578"/>
      <c r="D37" s="1541">
        <v>363</v>
      </c>
      <c r="E37" s="1542">
        <v>379</v>
      </c>
      <c r="F37" s="1541">
        <v>-16</v>
      </c>
      <c r="G37" s="1579">
        <v>-4.221635883905013E-2</v>
      </c>
      <c r="H37" s="1580"/>
    </row>
    <row r="38" spans="1:10" ht="18.75">
      <c r="A38" s="1577"/>
      <c r="B38" s="1578" t="s">
        <v>2301</v>
      </c>
      <c r="C38" s="1578"/>
      <c r="D38" s="1541">
        <v>2489</v>
      </c>
      <c r="E38" s="1542">
        <v>2534</v>
      </c>
      <c r="F38" s="1541">
        <v>-45</v>
      </c>
      <c r="G38" s="1579">
        <v>-1.7758484609313337E-2</v>
      </c>
      <c r="H38" s="1580"/>
    </row>
    <row r="39" spans="1:10" ht="18.75">
      <c r="A39" s="1577"/>
      <c r="B39" s="1578" t="s">
        <v>2302</v>
      </c>
      <c r="C39" s="1578"/>
      <c r="D39" s="1541">
        <v>18</v>
      </c>
      <c r="E39" s="1542">
        <v>19</v>
      </c>
      <c r="F39" s="1541">
        <v>-1</v>
      </c>
      <c r="G39" s="1579">
        <v>-5.2631578947368418E-2</v>
      </c>
      <c r="H39" s="1580"/>
    </row>
    <row r="40" spans="1:10" ht="18.75">
      <c r="A40" s="1577"/>
      <c r="B40" s="1578" t="s">
        <v>2310</v>
      </c>
      <c r="C40" s="1578"/>
      <c r="D40" s="1550">
        <v>152</v>
      </c>
      <c r="E40" s="1549">
        <v>140</v>
      </c>
      <c r="F40" s="1550">
        <v>12</v>
      </c>
      <c r="G40" s="1581">
        <v>8.5714285714285715E-2</v>
      </c>
      <c r="H40" s="1580"/>
    </row>
    <row r="41" spans="1:10" ht="18.75">
      <c r="A41" s="1577"/>
      <c r="B41" s="1578" t="s">
        <v>2306</v>
      </c>
      <c r="C41" s="1578"/>
      <c r="D41" s="1582">
        <v>750811</v>
      </c>
      <c r="E41" s="1583">
        <v>746532</v>
      </c>
      <c r="F41" s="1582">
        <v>4279</v>
      </c>
      <c r="G41" s="1579">
        <v>5.7318373492362016E-3</v>
      </c>
      <c r="H41" s="1580"/>
    </row>
    <row r="42" spans="1:10" ht="18.75">
      <c r="A42" s="1577"/>
      <c r="B42" s="1584"/>
      <c r="C42" s="1584"/>
      <c r="D42" s="1584"/>
      <c r="E42" s="1585"/>
      <c r="F42" s="1584"/>
      <c r="G42" s="1584"/>
      <c r="H42" s="1587"/>
    </row>
    <row r="43" spans="1:10" ht="18.75">
      <c r="A43" s="1577"/>
      <c r="B43" s="1578"/>
      <c r="C43" s="1578"/>
      <c r="D43" s="1577"/>
      <c r="E43" s="1580"/>
      <c r="F43" s="1577"/>
      <c r="G43" s="1577"/>
      <c r="H43" s="1580"/>
    </row>
    <row r="44" spans="1:10" ht="18.75">
      <c r="A44" s="1577"/>
      <c r="B44" s="2923" t="s">
        <v>2309</v>
      </c>
      <c r="C44" s="2923"/>
      <c r="D44" s="2923"/>
      <c r="E44" s="2923"/>
      <c r="F44" s="2923"/>
      <c r="G44" s="2923"/>
      <c r="H44" s="2923"/>
    </row>
    <row r="45" spans="1:10" s="1572" customFormat="1" ht="18.75">
      <c r="A45" s="1571"/>
      <c r="B45" s="1590"/>
      <c r="C45" s="1590"/>
      <c r="D45" s="1590"/>
      <c r="E45" s="1598"/>
      <c r="F45" s="2917" t="s">
        <v>2293</v>
      </c>
      <c r="G45" s="2917"/>
      <c r="H45" s="1571"/>
    </row>
    <row r="46" spans="1:10" s="1572" customFormat="1" ht="18.75">
      <c r="A46" s="1571"/>
      <c r="B46" s="1574" t="s">
        <v>2294</v>
      </c>
      <c r="C46" s="1574"/>
      <c r="D46" s="1575" t="s">
        <v>2295</v>
      </c>
      <c r="E46" s="1576" t="s">
        <v>2296</v>
      </c>
      <c r="F46" s="1575" t="s">
        <v>2297</v>
      </c>
      <c r="G46" s="1575" t="s">
        <v>1179</v>
      </c>
      <c r="H46" s="1571"/>
    </row>
    <row r="47" spans="1:10" ht="18.75">
      <c r="A47" s="1577"/>
      <c r="B47" s="1578" t="s">
        <v>2298</v>
      </c>
      <c r="C47" s="1578"/>
      <c r="D47" s="1541">
        <v>694086</v>
      </c>
      <c r="E47" s="1542">
        <v>689438</v>
      </c>
      <c r="F47" s="1541">
        <v>4648</v>
      </c>
      <c r="G47" s="1579">
        <v>6.7417229685628006E-3</v>
      </c>
      <c r="H47" s="1580"/>
    </row>
    <row r="48" spans="1:10" ht="18.75">
      <c r="A48" s="1577"/>
      <c r="B48" s="1578" t="s">
        <v>2299</v>
      </c>
      <c r="C48" s="1578"/>
      <c r="D48" s="1541">
        <v>53703</v>
      </c>
      <c r="E48" s="1542">
        <v>54022</v>
      </c>
      <c r="F48" s="1541">
        <v>-319</v>
      </c>
      <c r="G48" s="1579">
        <v>-5.9050016659879306E-3</v>
      </c>
      <c r="H48" s="1580"/>
    </row>
    <row r="49" spans="1:8" ht="18.75">
      <c r="A49" s="1577"/>
      <c r="B49" s="1578" t="s">
        <v>2300</v>
      </c>
      <c r="C49" s="1578"/>
      <c r="D49" s="1541">
        <v>363</v>
      </c>
      <c r="E49" s="1542">
        <v>379</v>
      </c>
      <c r="F49" s="1541">
        <v>-16</v>
      </c>
      <c r="G49" s="1579">
        <v>-4.221635883905013E-2</v>
      </c>
      <c r="H49" s="1580"/>
    </row>
    <row r="50" spans="1:8" ht="18.75">
      <c r="A50" s="1577"/>
      <c r="B50" s="1578" t="s">
        <v>2301</v>
      </c>
      <c r="C50" s="1578"/>
      <c r="D50" s="1541">
        <v>2489</v>
      </c>
      <c r="E50" s="1542">
        <v>2534</v>
      </c>
      <c r="F50" s="1541">
        <v>-45</v>
      </c>
      <c r="G50" s="1579">
        <v>-1.7758484609313337E-2</v>
      </c>
      <c r="H50" s="1580"/>
    </row>
    <row r="51" spans="1:8" ht="18.75">
      <c r="A51" s="1577"/>
      <c r="B51" s="1578" t="s">
        <v>2302</v>
      </c>
      <c r="C51" s="1578"/>
      <c r="D51" s="1541">
        <v>18</v>
      </c>
      <c r="E51" s="1542">
        <v>19</v>
      </c>
      <c r="F51" s="1541">
        <v>-1</v>
      </c>
      <c r="G51" s="1579">
        <v>-5.2631578947368418E-2</v>
      </c>
      <c r="H51" s="1580"/>
    </row>
    <row r="52" spans="1:8" ht="18.75">
      <c r="A52" s="1577"/>
      <c r="B52" s="1578" t="s">
        <v>2310</v>
      </c>
      <c r="C52" s="1578"/>
      <c r="D52" s="1550">
        <v>152</v>
      </c>
      <c r="E52" s="1549">
        <v>140</v>
      </c>
      <c r="F52" s="1550">
        <v>12</v>
      </c>
      <c r="G52" s="1581">
        <v>8.5714285714285715E-2</v>
      </c>
      <c r="H52" s="1580"/>
    </row>
    <row r="53" spans="1:8" ht="18.75">
      <c r="A53" s="1577"/>
      <c r="B53" s="1578" t="s">
        <v>2306</v>
      </c>
      <c r="C53" s="1578"/>
      <c r="D53" s="1582">
        <v>750811</v>
      </c>
      <c r="E53" s="1583">
        <v>746532</v>
      </c>
      <c r="F53" s="1582">
        <v>4279</v>
      </c>
      <c r="G53" s="1579">
        <v>5.7318373492362016E-3</v>
      </c>
      <c r="H53" s="1580"/>
    </row>
    <row r="54" spans="1:8">
      <c r="E54" s="1567"/>
    </row>
    <row r="55" spans="1:8">
      <c r="E55" s="1567"/>
    </row>
    <row r="56" spans="1:8">
      <c r="E56" s="1567"/>
    </row>
    <row r="57" spans="1:8">
      <c r="E57" s="1567"/>
    </row>
    <row r="58" spans="1:8">
      <c r="E58" s="1567"/>
    </row>
    <row r="59" spans="1:8">
      <c r="E59" s="1567"/>
    </row>
    <row r="62" spans="1:8">
      <c r="B62" s="1600"/>
      <c r="D62" s="1601"/>
    </row>
    <row r="63" spans="1:8">
      <c r="B63" s="1600"/>
      <c r="D63" s="1602"/>
    </row>
    <row r="64" spans="1:8">
      <c r="C64" s="1603"/>
    </row>
    <row r="67" spans="2:2">
      <c r="B67" s="1604"/>
    </row>
  </sheetData>
  <mergeCells count="12">
    <mergeCell ref="F45:G45"/>
    <mergeCell ref="B2:H2"/>
    <mergeCell ref="B3:H3"/>
    <mergeCell ref="B4:H4"/>
    <mergeCell ref="B6:H6"/>
    <mergeCell ref="B8:H8"/>
    <mergeCell ref="E9:G9"/>
    <mergeCell ref="B20:H20"/>
    <mergeCell ref="F21:G21"/>
    <mergeCell ref="B32:H32"/>
    <mergeCell ref="F33:G33"/>
    <mergeCell ref="B44:H44"/>
  </mergeCells>
  <pageMargins left="0.96" right="0.75" top="1" bottom="1" header="0.5" footer="0.5"/>
  <pageSetup scale="60" orientation="portrait" r:id="rId1"/>
  <headerFooter alignWithMargins="0">
    <oddFooter xml:space="preserve">&amp;C&amp;14 6b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25"/>
  <sheetViews>
    <sheetView zoomScaleNormal="100" workbookViewId="0">
      <selection activeCell="E25" sqref="E25"/>
    </sheetView>
  </sheetViews>
  <sheetFormatPr defaultRowHeight="12.75"/>
  <cols>
    <col min="1" max="1" width="5.83203125" style="722" bestFit="1" customWidth="1"/>
    <col min="2" max="2" width="70.83203125" style="722" customWidth="1"/>
    <col min="3" max="3" width="20" style="722" customWidth="1"/>
    <col min="4" max="4" width="17.6640625" style="722" customWidth="1"/>
    <col min="5" max="5" width="17.83203125" style="722" customWidth="1"/>
    <col min="6" max="256" width="9.33203125" style="722"/>
    <col min="257" max="257" width="5.83203125" style="722" bestFit="1" customWidth="1"/>
    <col min="258" max="258" width="70.83203125" style="722" customWidth="1"/>
    <col min="259" max="259" width="20" style="722" customWidth="1"/>
    <col min="260" max="260" width="17.6640625" style="722" customWidth="1"/>
    <col min="261" max="261" width="17.83203125" style="722" customWidth="1"/>
    <col min="262" max="512" width="9.33203125" style="722"/>
    <col min="513" max="513" width="5.83203125" style="722" bestFit="1" customWidth="1"/>
    <col min="514" max="514" width="70.83203125" style="722" customWidth="1"/>
    <col min="515" max="515" width="20" style="722" customWidth="1"/>
    <col min="516" max="516" width="17.6640625" style="722" customWidth="1"/>
    <col min="517" max="517" width="17.83203125" style="722" customWidth="1"/>
    <col min="518" max="768" width="9.33203125" style="722"/>
    <col min="769" max="769" width="5.83203125" style="722" bestFit="1" customWidth="1"/>
    <col min="770" max="770" width="70.83203125" style="722" customWidth="1"/>
    <col min="771" max="771" width="20" style="722" customWidth="1"/>
    <col min="772" max="772" width="17.6640625" style="722" customWidth="1"/>
    <col min="773" max="773" width="17.83203125" style="722" customWidth="1"/>
    <col min="774" max="1024" width="9.33203125" style="722"/>
    <col min="1025" max="1025" width="5.83203125" style="722" bestFit="1" customWidth="1"/>
    <col min="1026" max="1026" width="70.83203125" style="722" customWidth="1"/>
    <col min="1027" max="1027" width="20" style="722" customWidth="1"/>
    <col min="1028" max="1028" width="17.6640625" style="722" customWidth="1"/>
    <col min="1029" max="1029" width="17.83203125" style="722" customWidth="1"/>
    <col min="1030" max="1280" width="9.33203125" style="722"/>
    <col min="1281" max="1281" width="5.83203125" style="722" bestFit="1" customWidth="1"/>
    <col min="1282" max="1282" width="70.83203125" style="722" customWidth="1"/>
    <col min="1283" max="1283" width="20" style="722" customWidth="1"/>
    <col min="1284" max="1284" width="17.6640625" style="722" customWidth="1"/>
    <col min="1285" max="1285" width="17.83203125" style="722" customWidth="1"/>
    <col min="1286" max="1536" width="9.33203125" style="722"/>
    <col min="1537" max="1537" width="5.83203125" style="722" bestFit="1" customWidth="1"/>
    <col min="1538" max="1538" width="70.83203125" style="722" customWidth="1"/>
    <col min="1539" max="1539" width="20" style="722" customWidth="1"/>
    <col min="1540" max="1540" width="17.6640625" style="722" customWidth="1"/>
    <col min="1541" max="1541" width="17.83203125" style="722" customWidth="1"/>
    <col min="1542" max="1792" width="9.33203125" style="722"/>
    <col min="1793" max="1793" width="5.83203125" style="722" bestFit="1" customWidth="1"/>
    <col min="1794" max="1794" width="70.83203125" style="722" customWidth="1"/>
    <col min="1795" max="1795" width="20" style="722" customWidth="1"/>
    <col min="1796" max="1796" width="17.6640625" style="722" customWidth="1"/>
    <col min="1797" max="1797" width="17.83203125" style="722" customWidth="1"/>
    <col min="1798" max="2048" width="9.33203125" style="722"/>
    <col min="2049" max="2049" width="5.83203125" style="722" bestFit="1" customWidth="1"/>
    <col min="2050" max="2050" width="70.83203125" style="722" customWidth="1"/>
    <col min="2051" max="2051" width="20" style="722" customWidth="1"/>
    <col min="2052" max="2052" width="17.6640625" style="722" customWidth="1"/>
    <col min="2053" max="2053" width="17.83203125" style="722" customWidth="1"/>
    <col min="2054" max="2304" width="9.33203125" style="722"/>
    <col min="2305" max="2305" width="5.83203125" style="722" bestFit="1" customWidth="1"/>
    <col min="2306" max="2306" width="70.83203125" style="722" customWidth="1"/>
    <col min="2307" max="2307" width="20" style="722" customWidth="1"/>
    <col min="2308" max="2308" width="17.6640625" style="722" customWidth="1"/>
    <col min="2309" max="2309" width="17.83203125" style="722" customWidth="1"/>
    <col min="2310" max="2560" width="9.33203125" style="722"/>
    <col min="2561" max="2561" width="5.83203125" style="722" bestFit="1" customWidth="1"/>
    <col min="2562" max="2562" width="70.83203125" style="722" customWidth="1"/>
    <col min="2563" max="2563" width="20" style="722" customWidth="1"/>
    <col min="2564" max="2564" width="17.6640625" style="722" customWidth="1"/>
    <col min="2565" max="2565" width="17.83203125" style="722" customWidth="1"/>
    <col min="2566" max="2816" width="9.33203125" style="722"/>
    <col min="2817" max="2817" width="5.83203125" style="722" bestFit="1" customWidth="1"/>
    <col min="2818" max="2818" width="70.83203125" style="722" customWidth="1"/>
    <col min="2819" max="2819" width="20" style="722" customWidth="1"/>
    <col min="2820" max="2820" width="17.6640625" style="722" customWidth="1"/>
    <col min="2821" max="2821" width="17.83203125" style="722" customWidth="1"/>
    <col min="2822" max="3072" width="9.33203125" style="722"/>
    <col min="3073" max="3073" width="5.83203125" style="722" bestFit="1" customWidth="1"/>
    <col min="3074" max="3074" width="70.83203125" style="722" customWidth="1"/>
    <col min="3075" max="3075" width="20" style="722" customWidth="1"/>
    <col min="3076" max="3076" width="17.6640625" style="722" customWidth="1"/>
    <col min="3077" max="3077" width="17.83203125" style="722" customWidth="1"/>
    <col min="3078" max="3328" width="9.33203125" style="722"/>
    <col min="3329" max="3329" width="5.83203125" style="722" bestFit="1" customWidth="1"/>
    <col min="3330" max="3330" width="70.83203125" style="722" customWidth="1"/>
    <col min="3331" max="3331" width="20" style="722" customWidth="1"/>
    <col min="3332" max="3332" width="17.6640625" style="722" customWidth="1"/>
    <col min="3333" max="3333" width="17.83203125" style="722" customWidth="1"/>
    <col min="3334" max="3584" width="9.33203125" style="722"/>
    <col min="3585" max="3585" width="5.83203125" style="722" bestFit="1" customWidth="1"/>
    <col min="3586" max="3586" width="70.83203125" style="722" customWidth="1"/>
    <col min="3587" max="3587" width="20" style="722" customWidth="1"/>
    <col min="3588" max="3588" width="17.6640625" style="722" customWidth="1"/>
    <col min="3589" max="3589" width="17.83203125" style="722" customWidth="1"/>
    <col min="3590" max="3840" width="9.33203125" style="722"/>
    <col min="3841" max="3841" width="5.83203125" style="722" bestFit="1" customWidth="1"/>
    <col min="3842" max="3842" width="70.83203125" style="722" customWidth="1"/>
    <col min="3843" max="3843" width="20" style="722" customWidth="1"/>
    <col min="3844" max="3844" width="17.6640625" style="722" customWidth="1"/>
    <col min="3845" max="3845" width="17.83203125" style="722" customWidth="1"/>
    <col min="3846" max="4096" width="9.33203125" style="722"/>
    <col min="4097" max="4097" width="5.83203125" style="722" bestFit="1" customWidth="1"/>
    <col min="4098" max="4098" width="70.83203125" style="722" customWidth="1"/>
    <col min="4099" max="4099" width="20" style="722" customWidth="1"/>
    <col min="4100" max="4100" width="17.6640625" style="722" customWidth="1"/>
    <col min="4101" max="4101" width="17.83203125" style="722" customWidth="1"/>
    <col min="4102" max="4352" width="9.33203125" style="722"/>
    <col min="4353" max="4353" width="5.83203125" style="722" bestFit="1" customWidth="1"/>
    <col min="4354" max="4354" width="70.83203125" style="722" customWidth="1"/>
    <col min="4355" max="4355" width="20" style="722" customWidth="1"/>
    <col min="4356" max="4356" width="17.6640625" style="722" customWidth="1"/>
    <col min="4357" max="4357" width="17.83203125" style="722" customWidth="1"/>
    <col min="4358" max="4608" width="9.33203125" style="722"/>
    <col min="4609" max="4609" width="5.83203125" style="722" bestFit="1" customWidth="1"/>
    <col min="4610" max="4610" width="70.83203125" style="722" customWidth="1"/>
    <col min="4611" max="4611" width="20" style="722" customWidth="1"/>
    <col min="4612" max="4612" width="17.6640625" style="722" customWidth="1"/>
    <col min="4613" max="4613" width="17.83203125" style="722" customWidth="1"/>
    <col min="4614" max="4864" width="9.33203125" style="722"/>
    <col min="4865" max="4865" width="5.83203125" style="722" bestFit="1" customWidth="1"/>
    <col min="4866" max="4866" width="70.83203125" style="722" customWidth="1"/>
    <col min="4867" max="4867" width="20" style="722" customWidth="1"/>
    <col min="4868" max="4868" width="17.6640625" style="722" customWidth="1"/>
    <col min="4869" max="4869" width="17.83203125" style="722" customWidth="1"/>
    <col min="4870" max="5120" width="9.33203125" style="722"/>
    <col min="5121" max="5121" width="5.83203125" style="722" bestFit="1" customWidth="1"/>
    <col min="5122" max="5122" width="70.83203125" style="722" customWidth="1"/>
    <col min="5123" max="5123" width="20" style="722" customWidth="1"/>
    <col min="5124" max="5124" width="17.6640625" style="722" customWidth="1"/>
    <col min="5125" max="5125" width="17.83203125" style="722" customWidth="1"/>
    <col min="5126" max="5376" width="9.33203125" style="722"/>
    <col min="5377" max="5377" width="5.83203125" style="722" bestFit="1" customWidth="1"/>
    <col min="5378" max="5378" width="70.83203125" style="722" customWidth="1"/>
    <col min="5379" max="5379" width="20" style="722" customWidth="1"/>
    <col min="5380" max="5380" width="17.6640625" style="722" customWidth="1"/>
    <col min="5381" max="5381" width="17.83203125" style="722" customWidth="1"/>
    <col min="5382" max="5632" width="9.33203125" style="722"/>
    <col min="5633" max="5633" width="5.83203125" style="722" bestFit="1" customWidth="1"/>
    <col min="5634" max="5634" width="70.83203125" style="722" customWidth="1"/>
    <col min="5635" max="5635" width="20" style="722" customWidth="1"/>
    <col min="5636" max="5636" width="17.6640625" style="722" customWidth="1"/>
    <col min="5637" max="5637" width="17.83203125" style="722" customWidth="1"/>
    <col min="5638" max="5888" width="9.33203125" style="722"/>
    <col min="5889" max="5889" width="5.83203125" style="722" bestFit="1" customWidth="1"/>
    <col min="5890" max="5890" width="70.83203125" style="722" customWidth="1"/>
    <col min="5891" max="5891" width="20" style="722" customWidth="1"/>
    <col min="5892" max="5892" width="17.6640625" style="722" customWidth="1"/>
    <col min="5893" max="5893" width="17.83203125" style="722" customWidth="1"/>
    <col min="5894" max="6144" width="9.33203125" style="722"/>
    <col min="6145" max="6145" width="5.83203125" style="722" bestFit="1" customWidth="1"/>
    <col min="6146" max="6146" width="70.83203125" style="722" customWidth="1"/>
    <col min="6147" max="6147" width="20" style="722" customWidth="1"/>
    <col min="6148" max="6148" width="17.6640625" style="722" customWidth="1"/>
    <col min="6149" max="6149" width="17.83203125" style="722" customWidth="1"/>
    <col min="6150" max="6400" width="9.33203125" style="722"/>
    <col min="6401" max="6401" width="5.83203125" style="722" bestFit="1" customWidth="1"/>
    <col min="6402" max="6402" width="70.83203125" style="722" customWidth="1"/>
    <col min="6403" max="6403" width="20" style="722" customWidth="1"/>
    <col min="6404" max="6404" width="17.6640625" style="722" customWidth="1"/>
    <col min="6405" max="6405" width="17.83203125" style="722" customWidth="1"/>
    <col min="6406" max="6656" width="9.33203125" style="722"/>
    <col min="6657" max="6657" width="5.83203125" style="722" bestFit="1" customWidth="1"/>
    <col min="6658" max="6658" width="70.83203125" style="722" customWidth="1"/>
    <col min="6659" max="6659" width="20" style="722" customWidth="1"/>
    <col min="6660" max="6660" width="17.6640625" style="722" customWidth="1"/>
    <col min="6661" max="6661" width="17.83203125" style="722" customWidth="1"/>
    <col min="6662" max="6912" width="9.33203125" style="722"/>
    <col min="6913" max="6913" width="5.83203125" style="722" bestFit="1" customWidth="1"/>
    <col min="6914" max="6914" width="70.83203125" style="722" customWidth="1"/>
    <col min="6915" max="6915" width="20" style="722" customWidth="1"/>
    <col min="6916" max="6916" width="17.6640625" style="722" customWidth="1"/>
    <col min="6917" max="6917" width="17.83203125" style="722" customWidth="1"/>
    <col min="6918" max="7168" width="9.33203125" style="722"/>
    <col min="7169" max="7169" width="5.83203125" style="722" bestFit="1" customWidth="1"/>
    <col min="7170" max="7170" width="70.83203125" style="722" customWidth="1"/>
    <col min="7171" max="7171" width="20" style="722" customWidth="1"/>
    <col min="7172" max="7172" width="17.6640625" style="722" customWidth="1"/>
    <col min="7173" max="7173" width="17.83203125" style="722" customWidth="1"/>
    <col min="7174" max="7424" width="9.33203125" style="722"/>
    <col min="7425" max="7425" width="5.83203125" style="722" bestFit="1" customWidth="1"/>
    <col min="7426" max="7426" width="70.83203125" style="722" customWidth="1"/>
    <col min="7427" max="7427" width="20" style="722" customWidth="1"/>
    <col min="7428" max="7428" width="17.6640625" style="722" customWidth="1"/>
    <col min="7429" max="7429" width="17.83203125" style="722" customWidth="1"/>
    <col min="7430" max="7680" width="9.33203125" style="722"/>
    <col min="7681" max="7681" width="5.83203125" style="722" bestFit="1" customWidth="1"/>
    <col min="7682" max="7682" width="70.83203125" style="722" customWidth="1"/>
    <col min="7683" max="7683" width="20" style="722" customWidth="1"/>
    <col min="7684" max="7684" width="17.6640625" style="722" customWidth="1"/>
    <col min="7685" max="7685" width="17.83203125" style="722" customWidth="1"/>
    <col min="7686" max="7936" width="9.33203125" style="722"/>
    <col min="7937" max="7937" width="5.83203125" style="722" bestFit="1" customWidth="1"/>
    <col min="7938" max="7938" width="70.83203125" style="722" customWidth="1"/>
    <col min="7939" max="7939" width="20" style="722" customWidth="1"/>
    <col min="7940" max="7940" width="17.6640625" style="722" customWidth="1"/>
    <col min="7941" max="7941" width="17.83203125" style="722" customWidth="1"/>
    <col min="7942" max="8192" width="9.33203125" style="722"/>
    <col min="8193" max="8193" width="5.83203125" style="722" bestFit="1" customWidth="1"/>
    <col min="8194" max="8194" width="70.83203125" style="722" customWidth="1"/>
    <col min="8195" max="8195" width="20" style="722" customWidth="1"/>
    <col min="8196" max="8196" width="17.6640625" style="722" customWidth="1"/>
    <col min="8197" max="8197" width="17.83203125" style="722" customWidth="1"/>
    <col min="8198" max="8448" width="9.33203125" style="722"/>
    <col min="8449" max="8449" width="5.83203125" style="722" bestFit="1" customWidth="1"/>
    <col min="8450" max="8450" width="70.83203125" style="722" customWidth="1"/>
    <col min="8451" max="8451" width="20" style="722" customWidth="1"/>
    <col min="8452" max="8452" width="17.6640625" style="722" customWidth="1"/>
    <col min="8453" max="8453" width="17.83203125" style="722" customWidth="1"/>
    <col min="8454" max="8704" width="9.33203125" style="722"/>
    <col min="8705" max="8705" width="5.83203125" style="722" bestFit="1" customWidth="1"/>
    <col min="8706" max="8706" width="70.83203125" style="722" customWidth="1"/>
    <col min="8707" max="8707" width="20" style="722" customWidth="1"/>
    <col min="8708" max="8708" width="17.6640625" style="722" customWidth="1"/>
    <col min="8709" max="8709" width="17.83203125" style="722" customWidth="1"/>
    <col min="8710" max="8960" width="9.33203125" style="722"/>
    <col min="8961" max="8961" width="5.83203125" style="722" bestFit="1" customWidth="1"/>
    <col min="8962" max="8962" width="70.83203125" style="722" customWidth="1"/>
    <col min="8963" max="8963" width="20" style="722" customWidth="1"/>
    <col min="8964" max="8964" width="17.6640625" style="722" customWidth="1"/>
    <col min="8965" max="8965" width="17.83203125" style="722" customWidth="1"/>
    <col min="8966" max="9216" width="9.33203125" style="722"/>
    <col min="9217" max="9217" width="5.83203125" style="722" bestFit="1" customWidth="1"/>
    <col min="9218" max="9218" width="70.83203125" style="722" customWidth="1"/>
    <col min="9219" max="9219" width="20" style="722" customWidth="1"/>
    <col min="9220" max="9220" width="17.6640625" style="722" customWidth="1"/>
    <col min="9221" max="9221" width="17.83203125" style="722" customWidth="1"/>
    <col min="9222" max="9472" width="9.33203125" style="722"/>
    <col min="9473" max="9473" width="5.83203125" style="722" bestFit="1" customWidth="1"/>
    <col min="9474" max="9474" width="70.83203125" style="722" customWidth="1"/>
    <col min="9475" max="9475" width="20" style="722" customWidth="1"/>
    <col min="9476" max="9476" width="17.6640625" style="722" customWidth="1"/>
    <col min="9477" max="9477" width="17.83203125" style="722" customWidth="1"/>
    <col min="9478" max="9728" width="9.33203125" style="722"/>
    <col min="9729" max="9729" width="5.83203125" style="722" bestFit="1" customWidth="1"/>
    <col min="9730" max="9730" width="70.83203125" style="722" customWidth="1"/>
    <col min="9731" max="9731" width="20" style="722" customWidth="1"/>
    <col min="9732" max="9732" width="17.6640625" style="722" customWidth="1"/>
    <col min="9733" max="9733" width="17.83203125" style="722" customWidth="1"/>
    <col min="9734" max="9984" width="9.33203125" style="722"/>
    <col min="9985" max="9985" width="5.83203125" style="722" bestFit="1" customWidth="1"/>
    <col min="9986" max="9986" width="70.83203125" style="722" customWidth="1"/>
    <col min="9987" max="9987" width="20" style="722" customWidth="1"/>
    <col min="9988" max="9988" width="17.6640625" style="722" customWidth="1"/>
    <col min="9989" max="9989" width="17.83203125" style="722" customWidth="1"/>
    <col min="9990" max="10240" width="9.33203125" style="722"/>
    <col min="10241" max="10241" width="5.83203125" style="722" bestFit="1" customWidth="1"/>
    <col min="10242" max="10242" width="70.83203125" style="722" customWidth="1"/>
    <col min="10243" max="10243" width="20" style="722" customWidth="1"/>
    <col min="10244" max="10244" width="17.6640625" style="722" customWidth="1"/>
    <col min="10245" max="10245" width="17.83203125" style="722" customWidth="1"/>
    <col min="10246" max="10496" width="9.33203125" style="722"/>
    <col min="10497" max="10497" width="5.83203125" style="722" bestFit="1" customWidth="1"/>
    <col min="10498" max="10498" width="70.83203125" style="722" customWidth="1"/>
    <col min="10499" max="10499" width="20" style="722" customWidth="1"/>
    <col min="10500" max="10500" width="17.6640625" style="722" customWidth="1"/>
    <col min="10501" max="10501" width="17.83203125" style="722" customWidth="1"/>
    <col min="10502" max="10752" width="9.33203125" style="722"/>
    <col min="10753" max="10753" width="5.83203125" style="722" bestFit="1" customWidth="1"/>
    <col min="10754" max="10754" width="70.83203125" style="722" customWidth="1"/>
    <col min="10755" max="10755" width="20" style="722" customWidth="1"/>
    <col min="10756" max="10756" width="17.6640625" style="722" customWidth="1"/>
    <col min="10757" max="10757" width="17.83203125" style="722" customWidth="1"/>
    <col min="10758" max="11008" width="9.33203125" style="722"/>
    <col min="11009" max="11009" width="5.83203125" style="722" bestFit="1" customWidth="1"/>
    <col min="11010" max="11010" width="70.83203125" style="722" customWidth="1"/>
    <col min="11011" max="11011" width="20" style="722" customWidth="1"/>
    <col min="11012" max="11012" width="17.6640625" style="722" customWidth="1"/>
    <col min="11013" max="11013" width="17.83203125" style="722" customWidth="1"/>
    <col min="11014" max="11264" width="9.33203125" style="722"/>
    <col min="11265" max="11265" width="5.83203125" style="722" bestFit="1" customWidth="1"/>
    <col min="11266" max="11266" width="70.83203125" style="722" customWidth="1"/>
    <col min="11267" max="11267" width="20" style="722" customWidth="1"/>
    <col min="11268" max="11268" width="17.6640625" style="722" customWidth="1"/>
    <col min="11269" max="11269" width="17.83203125" style="722" customWidth="1"/>
    <col min="11270" max="11520" width="9.33203125" style="722"/>
    <col min="11521" max="11521" width="5.83203125" style="722" bestFit="1" customWidth="1"/>
    <col min="11522" max="11522" width="70.83203125" style="722" customWidth="1"/>
    <col min="11523" max="11523" width="20" style="722" customWidth="1"/>
    <col min="11524" max="11524" width="17.6640625" style="722" customWidth="1"/>
    <col min="11525" max="11525" width="17.83203125" style="722" customWidth="1"/>
    <col min="11526" max="11776" width="9.33203125" style="722"/>
    <col min="11777" max="11777" width="5.83203125" style="722" bestFit="1" customWidth="1"/>
    <col min="11778" max="11778" width="70.83203125" style="722" customWidth="1"/>
    <col min="11779" max="11779" width="20" style="722" customWidth="1"/>
    <col min="11780" max="11780" width="17.6640625" style="722" customWidth="1"/>
    <col min="11781" max="11781" width="17.83203125" style="722" customWidth="1"/>
    <col min="11782" max="12032" width="9.33203125" style="722"/>
    <col min="12033" max="12033" width="5.83203125" style="722" bestFit="1" customWidth="1"/>
    <col min="12034" max="12034" width="70.83203125" style="722" customWidth="1"/>
    <col min="12035" max="12035" width="20" style="722" customWidth="1"/>
    <col min="12036" max="12036" width="17.6640625" style="722" customWidth="1"/>
    <col min="12037" max="12037" width="17.83203125" style="722" customWidth="1"/>
    <col min="12038" max="12288" width="9.33203125" style="722"/>
    <col min="12289" max="12289" width="5.83203125" style="722" bestFit="1" customWidth="1"/>
    <col min="12290" max="12290" width="70.83203125" style="722" customWidth="1"/>
    <col min="12291" max="12291" width="20" style="722" customWidth="1"/>
    <col min="12292" max="12292" width="17.6640625" style="722" customWidth="1"/>
    <col min="12293" max="12293" width="17.83203125" style="722" customWidth="1"/>
    <col min="12294" max="12544" width="9.33203125" style="722"/>
    <col min="12545" max="12545" width="5.83203125" style="722" bestFit="1" customWidth="1"/>
    <col min="12546" max="12546" width="70.83203125" style="722" customWidth="1"/>
    <col min="12547" max="12547" width="20" style="722" customWidth="1"/>
    <col min="12548" max="12548" width="17.6640625" style="722" customWidth="1"/>
    <col min="12549" max="12549" width="17.83203125" style="722" customWidth="1"/>
    <col min="12550" max="12800" width="9.33203125" style="722"/>
    <col min="12801" max="12801" width="5.83203125" style="722" bestFit="1" customWidth="1"/>
    <col min="12802" max="12802" width="70.83203125" style="722" customWidth="1"/>
    <col min="12803" max="12803" width="20" style="722" customWidth="1"/>
    <col min="12804" max="12804" width="17.6640625" style="722" customWidth="1"/>
    <col min="12805" max="12805" width="17.83203125" style="722" customWidth="1"/>
    <col min="12806" max="13056" width="9.33203125" style="722"/>
    <col min="13057" max="13057" width="5.83203125" style="722" bestFit="1" customWidth="1"/>
    <col min="13058" max="13058" width="70.83203125" style="722" customWidth="1"/>
    <col min="13059" max="13059" width="20" style="722" customWidth="1"/>
    <col min="13060" max="13060" width="17.6640625" style="722" customWidth="1"/>
    <col min="13061" max="13061" width="17.83203125" style="722" customWidth="1"/>
    <col min="13062" max="13312" width="9.33203125" style="722"/>
    <col min="13313" max="13313" width="5.83203125" style="722" bestFit="1" customWidth="1"/>
    <col min="13314" max="13314" width="70.83203125" style="722" customWidth="1"/>
    <col min="13315" max="13315" width="20" style="722" customWidth="1"/>
    <col min="13316" max="13316" width="17.6640625" style="722" customWidth="1"/>
    <col min="13317" max="13317" width="17.83203125" style="722" customWidth="1"/>
    <col min="13318" max="13568" width="9.33203125" style="722"/>
    <col min="13569" max="13569" width="5.83203125" style="722" bestFit="1" customWidth="1"/>
    <col min="13570" max="13570" width="70.83203125" style="722" customWidth="1"/>
    <col min="13571" max="13571" width="20" style="722" customWidth="1"/>
    <col min="13572" max="13572" width="17.6640625" style="722" customWidth="1"/>
    <col min="13573" max="13573" width="17.83203125" style="722" customWidth="1"/>
    <col min="13574" max="13824" width="9.33203125" style="722"/>
    <col min="13825" max="13825" width="5.83203125" style="722" bestFit="1" customWidth="1"/>
    <col min="13826" max="13826" width="70.83203125" style="722" customWidth="1"/>
    <col min="13827" max="13827" width="20" style="722" customWidth="1"/>
    <col min="13828" max="13828" width="17.6640625" style="722" customWidth="1"/>
    <col min="13829" max="13829" width="17.83203125" style="722" customWidth="1"/>
    <col min="13830" max="14080" width="9.33203125" style="722"/>
    <col min="14081" max="14081" width="5.83203125" style="722" bestFit="1" customWidth="1"/>
    <col min="14082" max="14082" width="70.83203125" style="722" customWidth="1"/>
    <col min="14083" max="14083" width="20" style="722" customWidth="1"/>
    <col min="14084" max="14084" width="17.6640625" style="722" customWidth="1"/>
    <col min="14085" max="14085" width="17.83203125" style="722" customWidth="1"/>
    <col min="14086" max="14336" width="9.33203125" style="722"/>
    <col min="14337" max="14337" width="5.83203125" style="722" bestFit="1" customWidth="1"/>
    <col min="14338" max="14338" width="70.83203125" style="722" customWidth="1"/>
    <col min="14339" max="14339" width="20" style="722" customWidth="1"/>
    <col min="14340" max="14340" width="17.6640625" style="722" customWidth="1"/>
    <col min="14341" max="14341" width="17.83203125" style="722" customWidth="1"/>
    <col min="14342" max="14592" width="9.33203125" style="722"/>
    <col min="14593" max="14593" width="5.83203125" style="722" bestFit="1" customWidth="1"/>
    <col min="14594" max="14594" width="70.83203125" style="722" customWidth="1"/>
    <col min="14595" max="14595" width="20" style="722" customWidth="1"/>
    <col min="14596" max="14596" width="17.6640625" style="722" customWidth="1"/>
    <col min="14597" max="14597" width="17.83203125" style="722" customWidth="1"/>
    <col min="14598" max="14848" width="9.33203125" style="722"/>
    <col min="14849" max="14849" width="5.83203125" style="722" bestFit="1" customWidth="1"/>
    <col min="14850" max="14850" width="70.83203125" style="722" customWidth="1"/>
    <col min="14851" max="14851" width="20" style="722" customWidth="1"/>
    <col min="14852" max="14852" width="17.6640625" style="722" customWidth="1"/>
    <col min="14853" max="14853" width="17.83203125" style="722" customWidth="1"/>
    <col min="14854" max="15104" width="9.33203125" style="722"/>
    <col min="15105" max="15105" width="5.83203125" style="722" bestFit="1" customWidth="1"/>
    <col min="15106" max="15106" width="70.83203125" style="722" customWidth="1"/>
    <col min="15107" max="15107" width="20" style="722" customWidth="1"/>
    <col min="15108" max="15108" width="17.6640625" style="722" customWidth="1"/>
    <col min="15109" max="15109" width="17.83203125" style="722" customWidth="1"/>
    <col min="15110" max="15360" width="9.33203125" style="722"/>
    <col min="15361" max="15361" width="5.83203125" style="722" bestFit="1" customWidth="1"/>
    <col min="15362" max="15362" width="70.83203125" style="722" customWidth="1"/>
    <col min="15363" max="15363" width="20" style="722" customWidth="1"/>
    <col min="15364" max="15364" width="17.6640625" style="722" customWidth="1"/>
    <col min="15365" max="15365" width="17.83203125" style="722" customWidth="1"/>
    <col min="15366" max="15616" width="9.33203125" style="722"/>
    <col min="15617" max="15617" width="5.83203125" style="722" bestFit="1" customWidth="1"/>
    <col min="15618" max="15618" width="70.83203125" style="722" customWidth="1"/>
    <col min="15619" max="15619" width="20" style="722" customWidth="1"/>
    <col min="15620" max="15620" width="17.6640625" style="722" customWidth="1"/>
    <col min="15621" max="15621" width="17.83203125" style="722" customWidth="1"/>
    <col min="15622" max="15872" width="9.33203125" style="722"/>
    <col min="15873" max="15873" width="5.83203125" style="722" bestFit="1" customWidth="1"/>
    <col min="15874" max="15874" width="70.83203125" style="722" customWidth="1"/>
    <col min="15875" max="15875" width="20" style="722" customWidth="1"/>
    <col min="15876" max="15876" width="17.6640625" style="722" customWidth="1"/>
    <col min="15877" max="15877" width="17.83203125" style="722" customWidth="1"/>
    <col min="15878" max="16128" width="9.33203125" style="722"/>
    <col min="16129" max="16129" width="5.83203125" style="722" bestFit="1" customWidth="1"/>
    <col min="16130" max="16130" width="70.83203125" style="722" customWidth="1"/>
    <col min="16131" max="16131" width="20" style="722" customWidth="1"/>
    <col min="16132" max="16132" width="17.6640625" style="722" customWidth="1"/>
    <col min="16133" max="16133" width="17.83203125" style="722" customWidth="1"/>
    <col min="16134" max="16384" width="9.33203125" style="722"/>
  </cols>
  <sheetData>
    <row r="1" spans="1:6" ht="15">
      <c r="A1" s="207"/>
      <c r="B1" s="207"/>
      <c r="C1" s="207"/>
      <c r="D1" s="207"/>
      <c r="E1" s="1683" t="s">
        <v>2338</v>
      </c>
      <c r="F1" s="1684"/>
    </row>
    <row r="2" spans="1:6" ht="15.75" thickBot="1">
      <c r="A2" s="207"/>
      <c r="B2" s="207"/>
      <c r="C2" s="207"/>
      <c r="D2" s="207"/>
      <c r="E2" s="1683" t="s">
        <v>2339</v>
      </c>
      <c r="F2" s="1684"/>
    </row>
    <row r="3" spans="1:6" ht="15.75" thickTop="1" thickBot="1">
      <c r="A3" s="1685"/>
      <c r="B3" s="1685"/>
      <c r="C3" s="1685"/>
      <c r="D3" s="1685"/>
      <c r="E3" s="1686" t="s">
        <v>2311</v>
      </c>
      <c r="F3" s="1684"/>
    </row>
    <row r="4" spans="1:6" ht="15" thickTop="1">
      <c r="A4" s="1687" t="s">
        <v>1109</v>
      </c>
      <c r="B4" s="1688"/>
      <c r="C4" s="1689"/>
      <c r="D4" s="1689"/>
      <c r="E4" s="1689"/>
      <c r="F4" s="1684"/>
    </row>
    <row r="5" spans="1:6" ht="14.25">
      <c r="A5" s="1687"/>
      <c r="B5" s="1690" t="s">
        <v>2340</v>
      </c>
      <c r="C5" s="1690"/>
      <c r="D5" s="1690"/>
      <c r="E5" s="1690"/>
      <c r="F5" s="1684"/>
    </row>
    <row r="6" spans="1:6" ht="14.25">
      <c r="A6" s="1689" t="s">
        <v>447</v>
      </c>
      <c r="B6" s="1691"/>
      <c r="C6" s="1692"/>
      <c r="D6" s="1692"/>
      <c r="E6" s="1692"/>
      <c r="F6" s="1684"/>
    </row>
    <row r="7" spans="1:6" ht="14.25">
      <c r="A7" s="1687" t="s">
        <v>2341</v>
      </c>
      <c r="B7" s="1688"/>
      <c r="C7" s="1689"/>
      <c r="D7" s="1689"/>
      <c r="E7" s="1689"/>
      <c r="F7" s="1684"/>
    </row>
    <row r="8" spans="1:6" ht="14.25">
      <c r="A8" s="1693"/>
      <c r="B8" s="1693"/>
      <c r="C8" s="1693"/>
      <c r="D8" s="1693"/>
      <c r="E8" s="1693"/>
      <c r="F8" s="1684"/>
    </row>
    <row r="9" spans="1:6" ht="14.25">
      <c r="A9" s="1694" t="s">
        <v>24</v>
      </c>
      <c r="B9" s="1693"/>
      <c r="C9" s="1693"/>
      <c r="D9" s="1693"/>
      <c r="E9" s="1693"/>
      <c r="F9" s="1684"/>
    </row>
    <row r="10" spans="1:6" ht="14.25">
      <c r="A10" s="1695" t="s">
        <v>38</v>
      </c>
      <c r="B10" s="1696" t="s">
        <v>39</v>
      </c>
      <c r="C10" s="1697" t="s">
        <v>36</v>
      </c>
      <c r="D10" s="1697" t="s">
        <v>40</v>
      </c>
      <c r="E10" s="1697" t="s">
        <v>42</v>
      </c>
      <c r="F10" s="1684"/>
    </row>
    <row r="11" spans="1:6" ht="15">
      <c r="A11" s="207"/>
      <c r="B11" s="207"/>
      <c r="C11" s="207"/>
      <c r="D11" s="207"/>
      <c r="E11" s="207"/>
      <c r="F11" s="1684"/>
    </row>
    <row r="12" spans="1:6" ht="15">
      <c r="A12" s="1698">
        <v>1</v>
      </c>
      <c r="B12" s="1699" t="s">
        <v>391</v>
      </c>
      <c r="C12" s="207"/>
      <c r="D12" s="207"/>
      <c r="E12" s="207"/>
      <c r="F12" s="1684"/>
    </row>
    <row r="13" spans="1:6" ht="15">
      <c r="A13" s="1698">
        <f t="shared" ref="A13:A23" si="0">A12+1</f>
        <v>2</v>
      </c>
      <c r="B13" s="207" t="s">
        <v>485</v>
      </c>
      <c r="C13" s="208">
        <f>'5.02G - DEPN Transfers'!B36</f>
        <v>1062621.399639</v>
      </c>
      <c r="D13" s="208">
        <f>'5.02G - DEPN Transfers'!C36</f>
        <v>1363155.1164870001</v>
      </c>
      <c r="E13" s="208">
        <f>+D13-C13</f>
        <v>300533.71684800019</v>
      </c>
      <c r="F13" s="1684"/>
    </row>
    <row r="14" spans="1:6" ht="15">
      <c r="A14" s="1698">
        <f t="shared" si="0"/>
        <v>3</v>
      </c>
      <c r="B14" s="207" t="s">
        <v>2342</v>
      </c>
      <c r="C14" s="1700">
        <f>C13</f>
        <v>1062621.399639</v>
      </c>
      <c r="D14" s="1700">
        <f>D13</f>
        <v>1363155.1164870001</v>
      </c>
      <c r="E14" s="209">
        <f>+D14-C14</f>
        <v>300533.71684800019</v>
      </c>
      <c r="F14" s="1684"/>
    </row>
    <row r="15" spans="1:6" ht="15">
      <c r="A15" s="1698">
        <f t="shared" si="0"/>
        <v>4</v>
      </c>
      <c r="B15" s="207"/>
      <c r="C15" s="1701"/>
      <c r="D15" s="1701"/>
      <c r="E15" s="1701"/>
      <c r="F15" s="1684"/>
    </row>
    <row r="16" spans="1:6" ht="15">
      <c r="A16" s="1698">
        <f t="shared" si="0"/>
        <v>5</v>
      </c>
      <c r="B16" s="219" t="s">
        <v>490</v>
      </c>
      <c r="C16" s="209"/>
      <c r="D16" s="1702">
        <v>0.35</v>
      </c>
      <c r="E16" s="209">
        <f>-E14*D16</f>
        <v>-105186.80089680006</v>
      </c>
      <c r="F16" s="1684"/>
    </row>
    <row r="17" spans="1:6" ht="15">
      <c r="A17" s="1698">
        <f t="shared" si="0"/>
        <v>6</v>
      </c>
      <c r="B17" s="207"/>
      <c r="C17" s="209"/>
      <c r="D17" s="209"/>
      <c r="E17" s="209"/>
      <c r="F17" s="1684"/>
    </row>
    <row r="18" spans="1:6" ht="15.75" thickBot="1">
      <c r="A18" s="1698">
        <f t="shared" si="0"/>
        <v>7</v>
      </c>
      <c r="B18" s="210" t="s">
        <v>72</v>
      </c>
      <c r="C18" s="211"/>
      <c r="D18" s="211"/>
      <c r="E18" s="212">
        <f>-E14-E16</f>
        <v>-195346.91595120012</v>
      </c>
      <c r="F18" s="1684"/>
    </row>
    <row r="19" spans="1:6" ht="15.75" thickTop="1">
      <c r="A19" s="1698">
        <f t="shared" si="0"/>
        <v>8</v>
      </c>
      <c r="B19" s="213"/>
      <c r="C19" s="211"/>
      <c r="D19" s="211"/>
      <c r="E19" s="211"/>
      <c r="F19" s="1684"/>
    </row>
    <row r="20" spans="1:6" ht="15">
      <c r="A20" s="1698">
        <f t="shared" si="0"/>
        <v>9</v>
      </c>
      <c r="B20" s="1699" t="s">
        <v>393</v>
      </c>
      <c r="C20" s="211"/>
      <c r="D20" s="211"/>
      <c r="E20" s="211"/>
      <c r="F20" s="1684"/>
    </row>
    <row r="21" spans="1:6" ht="15">
      <c r="A21" s="1698">
        <f t="shared" si="0"/>
        <v>10</v>
      </c>
      <c r="B21" s="213" t="s">
        <v>486</v>
      </c>
      <c r="C21" s="214"/>
      <c r="D21" s="207"/>
      <c r="E21" s="215">
        <f>-E14/2</f>
        <v>-150266.85842400009</v>
      </c>
      <c r="F21" s="1684"/>
    </row>
    <row r="22" spans="1:6" ht="15">
      <c r="A22" s="1698">
        <f t="shared" si="0"/>
        <v>11</v>
      </c>
      <c r="B22" s="213" t="s">
        <v>493</v>
      </c>
      <c r="C22" s="214"/>
      <c r="D22" s="207"/>
      <c r="E22" s="215">
        <f>-E21*0.35</f>
        <v>52593.400448400032</v>
      </c>
      <c r="F22" s="1684"/>
    </row>
    <row r="23" spans="1:6" ht="15.75" thickBot="1">
      <c r="A23" s="1698">
        <f t="shared" si="0"/>
        <v>12</v>
      </c>
      <c r="B23" s="213" t="s">
        <v>394</v>
      </c>
      <c r="C23" s="216"/>
      <c r="D23" s="216"/>
      <c r="E23" s="217">
        <f>SUM(E21:E22)</f>
        <v>-97673.45797560006</v>
      </c>
      <c r="F23" s="1684"/>
    </row>
    <row r="24" spans="1:6" ht="15.75" thickTop="1">
      <c r="A24" s="1698"/>
      <c r="B24" s="207"/>
      <c r="C24" s="1684"/>
      <c r="D24" s="1684"/>
      <c r="E24" s="1684"/>
      <c r="F24" s="1684"/>
    </row>
    <row r="25" spans="1:6">
      <c r="A25" s="1703"/>
      <c r="B25" s="158"/>
    </row>
  </sheetData>
  <pageMargins left="0.75" right="0.75" top="1" bottom="1" header="0.5" footer="0.5"/>
  <pageSetup scale="74"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37"/>
  <sheetViews>
    <sheetView workbookViewId="0">
      <selection activeCell="F36" sqref="F36"/>
    </sheetView>
  </sheetViews>
  <sheetFormatPr defaultRowHeight="15"/>
  <cols>
    <col min="1" max="1" width="61.83203125" style="1704" customWidth="1"/>
    <col min="2" max="2" width="16.6640625" style="1704" bestFit="1" customWidth="1"/>
    <col min="3" max="4" width="14.33203125" style="1704" bestFit="1" customWidth="1"/>
    <col min="5" max="256" width="9.33203125" style="1704"/>
    <col min="257" max="257" width="61.83203125" style="1704" customWidth="1"/>
    <col min="258" max="258" width="16.6640625" style="1704" bestFit="1" customWidth="1"/>
    <col min="259" max="260" width="14.33203125" style="1704" bestFit="1" customWidth="1"/>
    <col min="261" max="512" width="9.33203125" style="1704"/>
    <col min="513" max="513" width="61.83203125" style="1704" customWidth="1"/>
    <col min="514" max="514" width="16.6640625" style="1704" bestFit="1" customWidth="1"/>
    <col min="515" max="516" width="14.33203125" style="1704" bestFit="1" customWidth="1"/>
    <col min="517" max="768" width="9.33203125" style="1704"/>
    <col min="769" max="769" width="61.83203125" style="1704" customWidth="1"/>
    <col min="770" max="770" width="16.6640625" style="1704" bestFit="1" customWidth="1"/>
    <col min="771" max="772" width="14.33203125" style="1704" bestFit="1" customWidth="1"/>
    <col min="773" max="1024" width="9.33203125" style="1704"/>
    <col min="1025" max="1025" width="61.83203125" style="1704" customWidth="1"/>
    <col min="1026" max="1026" width="16.6640625" style="1704" bestFit="1" customWidth="1"/>
    <col min="1027" max="1028" width="14.33203125" style="1704" bestFit="1" customWidth="1"/>
    <col min="1029" max="1280" width="9.33203125" style="1704"/>
    <col min="1281" max="1281" width="61.83203125" style="1704" customWidth="1"/>
    <col min="1282" max="1282" width="16.6640625" style="1704" bestFit="1" customWidth="1"/>
    <col min="1283" max="1284" width="14.33203125" style="1704" bestFit="1" customWidth="1"/>
    <col min="1285" max="1536" width="9.33203125" style="1704"/>
    <col min="1537" max="1537" width="61.83203125" style="1704" customWidth="1"/>
    <col min="1538" max="1538" width="16.6640625" style="1704" bestFit="1" customWidth="1"/>
    <col min="1539" max="1540" width="14.33203125" style="1704" bestFit="1" customWidth="1"/>
    <col min="1541" max="1792" width="9.33203125" style="1704"/>
    <col min="1793" max="1793" width="61.83203125" style="1704" customWidth="1"/>
    <col min="1794" max="1794" width="16.6640625" style="1704" bestFit="1" customWidth="1"/>
    <col min="1795" max="1796" width="14.33203125" style="1704" bestFit="1" customWidth="1"/>
    <col min="1797" max="2048" width="9.33203125" style="1704"/>
    <col min="2049" max="2049" width="61.83203125" style="1704" customWidth="1"/>
    <col min="2050" max="2050" width="16.6640625" style="1704" bestFit="1" customWidth="1"/>
    <col min="2051" max="2052" width="14.33203125" style="1704" bestFit="1" customWidth="1"/>
    <col min="2053" max="2304" width="9.33203125" style="1704"/>
    <col min="2305" max="2305" width="61.83203125" style="1704" customWidth="1"/>
    <col min="2306" max="2306" width="16.6640625" style="1704" bestFit="1" customWidth="1"/>
    <col min="2307" max="2308" width="14.33203125" style="1704" bestFit="1" customWidth="1"/>
    <col min="2309" max="2560" width="9.33203125" style="1704"/>
    <col min="2561" max="2561" width="61.83203125" style="1704" customWidth="1"/>
    <col min="2562" max="2562" width="16.6640625" style="1704" bestFit="1" customWidth="1"/>
    <col min="2563" max="2564" width="14.33203125" style="1704" bestFit="1" customWidth="1"/>
    <col min="2565" max="2816" width="9.33203125" style="1704"/>
    <col min="2817" max="2817" width="61.83203125" style="1704" customWidth="1"/>
    <col min="2818" max="2818" width="16.6640625" style="1704" bestFit="1" customWidth="1"/>
    <col min="2819" max="2820" width="14.33203125" style="1704" bestFit="1" customWidth="1"/>
    <col min="2821" max="3072" width="9.33203125" style="1704"/>
    <col min="3073" max="3073" width="61.83203125" style="1704" customWidth="1"/>
    <col min="3074" max="3074" width="16.6640625" style="1704" bestFit="1" customWidth="1"/>
    <col min="3075" max="3076" width="14.33203125" style="1704" bestFit="1" customWidth="1"/>
    <col min="3077" max="3328" width="9.33203125" style="1704"/>
    <col min="3329" max="3329" width="61.83203125" style="1704" customWidth="1"/>
    <col min="3330" max="3330" width="16.6640625" style="1704" bestFit="1" customWidth="1"/>
    <col min="3331" max="3332" width="14.33203125" style="1704" bestFit="1" customWidth="1"/>
    <col min="3333" max="3584" width="9.33203125" style="1704"/>
    <col min="3585" max="3585" width="61.83203125" style="1704" customWidth="1"/>
    <col min="3586" max="3586" width="16.6640625" style="1704" bestFit="1" customWidth="1"/>
    <col min="3587" max="3588" width="14.33203125" style="1704" bestFit="1" customWidth="1"/>
    <col min="3589" max="3840" width="9.33203125" style="1704"/>
    <col min="3841" max="3841" width="61.83203125" style="1704" customWidth="1"/>
    <col min="3842" max="3842" width="16.6640625" style="1704" bestFit="1" customWidth="1"/>
    <col min="3843" max="3844" width="14.33203125" style="1704" bestFit="1" customWidth="1"/>
    <col min="3845" max="4096" width="9.33203125" style="1704"/>
    <col min="4097" max="4097" width="61.83203125" style="1704" customWidth="1"/>
    <col min="4098" max="4098" width="16.6640625" style="1704" bestFit="1" customWidth="1"/>
    <col min="4099" max="4100" width="14.33203125" style="1704" bestFit="1" customWidth="1"/>
    <col min="4101" max="4352" width="9.33203125" style="1704"/>
    <col min="4353" max="4353" width="61.83203125" style="1704" customWidth="1"/>
    <col min="4354" max="4354" width="16.6640625" style="1704" bestFit="1" customWidth="1"/>
    <col min="4355" max="4356" width="14.33203125" style="1704" bestFit="1" customWidth="1"/>
    <col min="4357" max="4608" width="9.33203125" style="1704"/>
    <col min="4609" max="4609" width="61.83203125" style="1704" customWidth="1"/>
    <col min="4610" max="4610" width="16.6640625" style="1704" bestFit="1" customWidth="1"/>
    <col min="4611" max="4612" width="14.33203125" style="1704" bestFit="1" customWidth="1"/>
    <col min="4613" max="4864" width="9.33203125" style="1704"/>
    <col min="4865" max="4865" width="61.83203125" style="1704" customWidth="1"/>
    <col min="4866" max="4866" width="16.6640625" style="1704" bestFit="1" customWidth="1"/>
    <col min="4867" max="4868" width="14.33203125" style="1704" bestFit="1" customWidth="1"/>
    <col min="4869" max="5120" width="9.33203125" style="1704"/>
    <col min="5121" max="5121" width="61.83203125" style="1704" customWidth="1"/>
    <col min="5122" max="5122" width="16.6640625" style="1704" bestFit="1" customWidth="1"/>
    <col min="5123" max="5124" width="14.33203125" style="1704" bestFit="1" customWidth="1"/>
    <col min="5125" max="5376" width="9.33203125" style="1704"/>
    <col min="5377" max="5377" width="61.83203125" style="1704" customWidth="1"/>
    <col min="5378" max="5378" width="16.6640625" style="1704" bestFit="1" customWidth="1"/>
    <col min="5379" max="5380" width="14.33203125" style="1704" bestFit="1" customWidth="1"/>
    <col min="5381" max="5632" width="9.33203125" style="1704"/>
    <col min="5633" max="5633" width="61.83203125" style="1704" customWidth="1"/>
    <col min="5634" max="5634" width="16.6640625" style="1704" bestFit="1" customWidth="1"/>
    <col min="5635" max="5636" width="14.33203125" style="1704" bestFit="1" customWidth="1"/>
    <col min="5637" max="5888" width="9.33203125" style="1704"/>
    <col min="5889" max="5889" width="61.83203125" style="1704" customWidth="1"/>
    <col min="5890" max="5890" width="16.6640625" style="1704" bestFit="1" customWidth="1"/>
    <col min="5891" max="5892" width="14.33203125" style="1704" bestFit="1" customWidth="1"/>
    <col min="5893" max="6144" width="9.33203125" style="1704"/>
    <col min="6145" max="6145" width="61.83203125" style="1704" customWidth="1"/>
    <col min="6146" max="6146" width="16.6640625" style="1704" bestFit="1" customWidth="1"/>
    <col min="6147" max="6148" width="14.33203125" style="1704" bestFit="1" customWidth="1"/>
    <col min="6149" max="6400" width="9.33203125" style="1704"/>
    <col min="6401" max="6401" width="61.83203125" style="1704" customWidth="1"/>
    <col min="6402" max="6402" width="16.6640625" style="1704" bestFit="1" customWidth="1"/>
    <col min="6403" max="6404" width="14.33203125" style="1704" bestFit="1" customWidth="1"/>
    <col min="6405" max="6656" width="9.33203125" style="1704"/>
    <col min="6657" max="6657" width="61.83203125" style="1704" customWidth="1"/>
    <col min="6658" max="6658" width="16.6640625" style="1704" bestFit="1" customWidth="1"/>
    <col min="6659" max="6660" width="14.33203125" style="1704" bestFit="1" customWidth="1"/>
    <col min="6661" max="6912" width="9.33203125" style="1704"/>
    <col min="6913" max="6913" width="61.83203125" style="1704" customWidth="1"/>
    <col min="6914" max="6914" width="16.6640625" style="1704" bestFit="1" customWidth="1"/>
    <col min="6915" max="6916" width="14.33203125" style="1704" bestFit="1" customWidth="1"/>
    <col min="6917" max="7168" width="9.33203125" style="1704"/>
    <col min="7169" max="7169" width="61.83203125" style="1704" customWidth="1"/>
    <col min="7170" max="7170" width="16.6640625" style="1704" bestFit="1" customWidth="1"/>
    <col min="7171" max="7172" width="14.33203125" style="1704" bestFit="1" customWidth="1"/>
    <col min="7173" max="7424" width="9.33203125" style="1704"/>
    <col min="7425" max="7425" width="61.83203125" style="1704" customWidth="1"/>
    <col min="7426" max="7426" width="16.6640625" style="1704" bestFit="1" customWidth="1"/>
    <col min="7427" max="7428" width="14.33203125" style="1704" bestFit="1" customWidth="1"/>
    <col min="7429" max="7680" width="9.33203125" style="1704"/>
    <col min="7681" max="7681" width="61.83203125" style="1704" customWidth="1"/>
    <col min="7682" max="7682" width="16.6640625" style="1704" bestFit="1" customWidth="1"/>
    <col min="7683" max="7684" width="14.33203125" style="1704" bestFit="1" customWidth="1"/>
    <col min="7685" max="7936" width="9.33203125" style="1704"/>
    <col min="7937" max="7937" width="61.83203125" style="1704" customWidth="1"/>
    <col min="7938" max="7938" width="16.6640625" style="1704" bestFit="1" customWidth="1"/>
    <col min="7939" max="7940" width="14.33203125" style="1704" bestFit="1" customWidth="1"/>
    <col min="7941" max="8192" width="9.33203125" style="1704"/>
    <col min="8193" max="8193" width="61.83203125" style="1704" customWidth="1"/>
    <col min="8194" max="8194" width="16.6640625" style="1704" bestFit="1" customWidth="1"/>
    <col min="8195" max="8196" width="14.33203125" style="1704" bestFit="1" customWidth="1"/>
    <col min="8197" max="8448" width="9.33203125" style="1704"/>
    <col min="8449" max="8449" width="61.83203125" style="1704" customWidth="1"/>
    <col min="8450" max="8450" width="16.6640625" style="1704" bestFit="1" customWidth="1"/>
    <col min="8451" max="8452" width="14.33203125" style="1704" bestFit="1" customWidth="1"/>
    <col min="8453" max="8704" width="9.33203125" style="1704"/>
    <col min="8705" max="8705" width="61.83203125" style="1704" customWidth="1"/>
    <col min="8706" max="8706" width="16.6640625" style="1704" bestFit="1" customWidth="1"/>
    <col min="8707" max="8708" width="14.33203125" style="1704" bestFit="1" customWidth="1"/>
    <col min="8709" max="8960" width="9.33203125" style="1704"/>
    <col min="8961" max="8961" width="61.83203125" style="1704" customWidth="1"/>
    <col min="8962" max="8962" width="16.6640625" style="1704" bestFit="1" customWidth="1"/>
    <col min="8963" max="8964" width="14.33203125" style="1704" bestFit="1" customWidth="1"/>
    <col min="8965" max="9216" width="9.33203125" style="1704"/>
    <col min="9217" max="9217" width="61.83203125" style="1704" customWidth="1"/>
    <col min="9218" max="9218" width="16.6640625" style="1704" bestFit="1" customWidth="1"/>
    <col min="9219" max="9220" width="14.33203125" style="1704" bestFit="1" customWidth="1"/>
    <col min="9221" max="9472" width="9.33203125" style="1704"/>
    <col min="9473" max="9473" width="61.83203125" style="1704" customWidth="1"/>
    <col min="9474" max="9474" width="16.6640625" style="1704" bestFit="1" customWidth="1"/>
    <col min="9475" max="9476" width="14.33203125" style="1704" bestFit="1" customWidth="1"/>
    <col min="9477" max="9728" width="9.33203125" style="1704"/>
    <col min="9729" max="9729" width="61.83203125" style="1704" customWidth="1"/>
    <col min="9730" max="9730" width="16.6640625" style="1704" bestFit="1" customWidth="1"/>
    <col min="9731" max="9732" width="14.33203125" style="1704" bestFit="1" customWidth="1"/>
    <col min="9733" max="9984" width="9.33203125" style="1704"/>
    <col min="9985" max="9985" width="61.83203125" style="1704" customWidth="1"/>
    <col min="9986" max="9986" width="16.6640625" style="1704" bestFit="1" customWidth="1"/>
    <col min="9987" max="9988" width="14.33203125" style="1704" bestFit="1" customWidth="1"/>
    <col min="9989" max="10240" width="9.33203125" style="1704"/>
    <col min="10241" max="10241" width="61.83203125" style="1704" customWidth="1"/>
    <col min="10242" max="10242" width="16.6640625" style="1704" bestFit="1" customWidth="1"/>
    <col min="10243" max="10244" width="14.33203125" style="1704" bestFit="1" customWidth="1"/>
    <col min="10245" max="10496" width="9.33203125" style="1704"/>
    <col min="10497" max="10497" width="61.83203125" style="1704" customWidth="1"/>
    <col min="10498" max="10498" width="16.6640625" style="1704" bestFit="1" customWidth="1"/>
    <col min="10499" max="10500" width="14.33203125" style="1704" bestFit="1" customWidth="1"/>
    <col min="10501" max="10752" width="9.33203125" style="1704"/>
    <col min="10753" max="10753" width="61.83203125" style="1704" customWidth="1"/>
    <col min="10754" max="10754" width="16.6640625" style="1704" bestFit="1" customWidth="1"/>
    <col min="10755" max="10756" width="14.33203125" style="1704" bestFit="1" customWidth="1"/>
    <col min="10757" max="11008" width="9.33203125" style="1704"/>
    <col min="11009" max="11009" width="61.83203125" style="1704" customWidth="1"/>
    <col min="11010" max="11010" width="16.6640625" style="1704" bestFit="1" customWidth="1"/>
    <col min="11011" max="11012" width="14.33203125" style="1704" bestFit="1" customWidth="1"/>
    <col min="11013" max="11264" width="9.33203125" style="1704"/>
    <col min="11265" max="11265" width="61.83203125" style="1704" customWidth="1"/>
    <col min="11266" max="11266" width="16.6640625" style="1704" bestFit="1" customWidth="1"/>
    <col min="11267" max="11268" width="14.33203125" style="1704" bestFit="1" customWidth="1"/>
    <col min="11269" max="11520" width="9.33203125" style="1704"/>
    <col min="11521" max="11521" width="61.83203125" style="1704" customWidth="1"/>
    <col min="11522" max="11522" width="16.6640625" style="1704" bestFit="1" customWidth="1"/>
    <col min="11523" max="11524" width="14.33203125" style="1704" bestFit="1" customWidth="1"/>
    <col min="11525" max="11776" width="9.33203125" style="1704"/>
    <col min="11777" max="11777" width="61.83203125" style="1704" customWidth="1"/>
    <col min="11778" max="11778" width="16.6640625" style="1704" bestFit="1" customWidth="1"/>
    <col min="11779" max="11780" width="14.33203125" style="1704" bestFit="1" customWidth="1"/>
    <col min="11781" max="12032" width="9.33203125" style="1704"/>
    <col min="12033" max="12033" width="61.83203125" style="1704" customWidth="1"/>
    <col min="12034" max="12034" width="16.6640625" style="1704" bestFit="1" customWidth="1"/>
    <col min="12035" max="12036" width="14.33203125" style="1704" bestFit="1" customWidth="1"/>
    <col min="12037" max="12288" width="9.33203125" style="1704"/>
    <col min="12289" max="12289" width="61.83203125" style="1704" customWidth="1"/>
    <col min="12290" max="12290" width="16.6640625" style="1704" bestFit="1" customWidth="1"/>
    <col min="12291" max="12292" width="14.33203125" style="1704" bestFit="1" customWidth="1"/>
    <col min="12293" max="12544" width="9.33203125" style="1704"/>
    <col min="12545" max="12545" width="61.83203125" style="1704" customWidth="1"/>
    <col min="12546" max="12546" width="16.6640625" style="1704" bestFit="1" customWidth="1"/>
    <col min="12547" max="12548" width="14.33203125" style="1704" bestFit="1" customWidth="1"/>
    <col min="12549" max="12800" width="9.33203125" style="1704"/>
    <col min="12801" max="12801" width="61.83203125" style="1704" customWidth="1"/>
    <col min="12802" max="12802" width="16.6640625" style="1704" bestFit="1" customWidth="1"/>
    <col min="12803" max="12804" width="14.33203125" style="1704" bestFit="1" customWidth="1"/>
    <col min="12805" max="13056" width="9.33203125" style="1704"/>
    <col min="13057" max="13057" width="61.83203125" style="1704" customWidth="1"/>
    <col min="13058" max="13058" width="16.6640625" style="1704" bestFit="1" customWidth="1"/>
    <col min="13059" max="13060" width="14.33203125" style="1704" bestFit="1" customWidth="1"/>
    <col min="13061" max="13312" width="9.33203125" style="1704"/>
    <col min="13313" max="13313" width="61.83203125" style="1704" customWidth="1"/>
    <col min="13314" max="13314" width="16.6640625" style="1704" bestFit="1" customWidth="1"/>
    <col min="13315" max="13316" width="14.33203125" style="1704" bestFit="1" customWidth="1"/>
    <col min="13317" max="13568" width="9.33203125" style="1704"/>
    <col min="13569" max="13569" width="61.83203125" style="1704" customWidth="1"/>
    <col min="13570" max="13570" width="16.6640625" style="1704" bestFit="1" customWidth="1"/>
    <col min="13571" max="13572" width="14.33203125" style="1704" bestFit="1" customWidth="1"/>
    <col min="13573" max="13824" width="9.33203125" style="1704"/>
    <col min="13825" max="13825" width="61.83203125" style="1704" customWidth="1"/>
    <col min="13826" max="13826" width="16.6640625" style="1704" bestFit="1" customWidth="1"/>
    <col min="13827" max="13828" width="14.33203125" style="1704" bestFit="1" customWidth="1"/>
    <col min="13829" max="14080" width="9.33203125" style="1704"/>
    <col min="14081" max="14081" width="61.83203125" style="1704" customWidth="1"/>
    <col min="14082" max="14082" width="16.6640625" style="1704" bestFit="1" customWidth="1"/>
    <col min="14083" max="14084" width="14.33203125" style="1704" bestFit="1" customWidth="1"/>
    <col min="14085" max="14336" width="9.33203125" style="1704"/>
    <col min="14337" max="14337" width="61.83203125" style="1704" customWidth="1"/>
    <col min="14338" max="14338" width="16.6640625" style="1704" bestFit="1" customWidth="1"/>
    <col min="14339" max="14340" width="14.33203125" style="1704" bestFit="1" customWidth="1"/>
    <col min="14341" max="14592" width="9.33203125" style="1704"/>
    <col min="14593" max="14593" width="61.83203125" style="1704" customWidth="1"/>
    <col min="14594" max="14594" width="16.6640625" style="1704" bestFit="1" customWidth="1"/>
    <col min="14595" max="14596" width="14.33203125" style="1704" bestFit="1" customWidth="1"/>
    <col min="14597" max="14848" width="9.33203125" style="1704"/>
    <col min="14849" max="14849" width="61.83203125" style="1704" customWidth="1"/>
    <col min="14850" max="14850" width="16.6640625" style="1704" bestFit="1" customWidth="1"/>
    <col min="14851" max="14852" width="14.33203125" style="1704" bestFit="1" customWidth="1"/>
    <col min="14853" max="15104" width="9.33203125" style="1704"/>
    <col min="15105" max="15105" width="61.83203125" style="1704" customWidth="1"/>
    <col min="15106" max="15106" width="16.6640625" style="1704" bestFit="1" customWidth="1"/>
    <col min="15107" max="15108" width="14.33203125" style="1704" bestFit="1" customWidth="1"/>
    <col min="15109" max="15360" width="9.33203125" style="1704"/>
    <col min="15361" max="15361" width="61.83203125" style="1704" customWidth="1"/>
    <col min="15362" max="15362" width="16.6640625" style="1704" bestFit="1" customWidth="1"/>
    <col min="15363" max="15364" width="14.33203125" style="1704" bestFit="1" customWidth="1"/>
    <col min="15365" max="15616" width="9.33203125" style="1704"/>
    <col min="15617" max="15617" width="61.83203125" style="1704" customWidth="1"/>
    <col min="15618" max="15618" width="16.6640625" style="1704" bestFit="1" customWidth="1"/>
    <col min="15619" max="15620" width="14.33203125" style="1704" bestFit="1" customWidth="1"/>
    <col min="15621" max="15872" width="9.33203125" style="1704"/>
    <col min="15873" max="15873" width="61.83203125" style="1704" customWidth="1"/>
    <col min="15874" max="15874" width="16.6640625" style="1704" bestFit="1" customWidth="1"/>
    <col min="15875" max="15876" width="14.33203125" style="1704" bestFit="1" customWidth="1"/>
    <col min="15877" max="16128" width="9.33203125" style="1704"/>
    <col min="16129" max="16129" width="61.83203125" style="1704" customWidth="1"/>
    <col min="16130" max="16130" width="16.6640625" style="1704" bestFit="1" customWidth="1"/>
    <col min="16131" max="16132" width="14.33203125" style="1704" bestFit="1" customWidth="1"/>
    <col min="16133" max="16384" width="9.33203125" style="1704"/>
  </cols>
  <sheetData>
    <row r="1" spans="1:4">
      <c r="A1" s="2924" t="s">
        <v>2343</v>
      </c>
      <c r="B1" s="2924"/>
      <c r="C1" s="2924"/>
      <c r="D1" s="2924"/>
    </row>
    <row r="4" spans="1:4">
      <c r="B4" s="1705" t="s">
        <v>716</v>
      </c>
      <c r="C4" s="1706" t="s">
        <v>711</v>
      </c>
      <c r="D4" s="1704" t="s">
        <v>2344</v>
      </c>
    </row>
    <row r="6" spans="1:4">
      <c r="A6" s="1707" t="s">
        <v>2345</v>
      </c>
    </row>
    <row r="7" spans="1:4">
      <c r="A7" s="1704" t="s">
        <v>2346</v>
      </c>
      <c r="B7" s="1708">
        <v>23612984.829999998</v>
      </c>
      <c r="C7" s="1708">
        <v>0</v>
      </c>
      <c r="D7" s="1708">
        <f>C7-B7</f>
        <v>-23612984.829999998</v>
      </c>
    </row>
    <row r="8" spans="1:4">
      <c r="A8" s="1704" t="s">
        <v>2347</v>
      </c>
      <c r="B8" s="1708">
        <v>5067144.76</v>
      </c>
      <c r="C8" s="1708">
        <v>0</v>
      </c>
      <c r="D8" s="1708">
        <f>C8-B8</f>
        <v>-5067144.76</v>
      </c>
    </row>
    <row r="9" spans="1:4">
      <c r="A9" s="1704" t="s">
        <v>279</v>
      </c>
      <c r="B9" s="1709">
        <f>SUM(B7:B8)</f>
        <v>28680129.589999996</v>
      </c>
      <c r="C9" s="1709">
        <f>SUM(C7:C8)</f>
        <v>0</v>
      </c>
      <c r="D9" s="1709">
        <f>SUM(D7:D8)</f>
        <v>-28680129.589999996</v>
      </c>
    </row>
    <row r="10" spans="1:4">
      <c r="A10" s="1704" t="s">
        <v>2348</v>
      </c>
      <c r="B10" s="1710">
        <v>0.5</v>
      </c>
      <c r="C10" s="1711">
        <v>1</v>
      </c>
      <c r="D10" s="1711"/>
    </row>
    <row r="11" spans="1:4">
      <c r="A11" s="1704" t="s">
        <v>2349</v>
      </c>
      <c r="B11" s="2011">
        <f>B9*B10</f>
        <v>14340064.794999998</v>
      </c>
      <c r="C11" s="1708">
        <f>C9*C10</f>
        <v>0</v>
      </c>
      <c r="D11" s="1708"/>
    </row>
    <row r="12" spans="1:4">
      <c r="A12" s="1704" t="s">
        <v>2350</v>
      </c>
      <c r="B12" s="1712">
        <v>1.6299999999999999E-2</v>
      </c>
      <c r="C12" s="1712">
        <v>1.6299999999999999E-2</v>
      </c>
      <c r="D12" s="1712"/>
    </row>
    <row r="13" spans="1:4" ht="15.75" thickBot="1">
      <c r="A13" s="1704" t="s">
        <v>2351</v>
      </c>
      <c r="B13" s="1713">
        <f>B11*B12</f>
        <v>233743.05615849994</v>
      </c>
      <c r="C13" s="1713">
        <f>C11*C12</f>
        <v>0</v>
      </c>
      <c r="D13" s="1713">
        <f>C13-B13</f>
        <v>-233743.05615849994</v>
      </c>
    </row>
    <row r="14" spans="1:4" ht="15.75" thickTop="1"/>
    <row r="15" spans="1:4">
      <c r="A15" s="1707" t="s">
        <v>2352</v>
      </c>
    </row>
    <row r="16" spans="1:4">
      <c r="A16" s="1704" t="s">
        <v>2346</v>
      </c>
      <c r="B16" s="1708">
        <v>18073715.98</v>
      </c>
      <c r="C16" s="1708">
        <v>0</v>
      </c>
      <c r="D16" s="1708">
        <f>C16-B16</f>
        <v>-18073715.98</v>
      </c>
    </row>
    <row r="17" spans="1:4">
      <c r="A17" s="1704" t="s">
        <v>2348</v>
      </c>
      <c r="B17" s="1710">
        <v>0.5</v>
      </c>
      <c r="C17" s="1711">
        <v>1</v>
      </c>
      <c r="D17" s="1711"/>
    </row>
    <row r="18" spans="1:4">
      <c r="A18" s="1704" t="s">
        <v>2349</v>
      </c>
      <c r="B18" s="2011">
        <f>B16*B17</f>
        <v>9036857.9900000002</v>
      </c>
      <c r="D18" s="1708">
        <f>C18-B18</f>
        <v>-9036857.9900000002</v>
      </c>
    </row>
    <row r="19" spans="1:4">
      <c r="A19" s="1704" t="s">
        <v>2350</v>
      </c>
      <c r="B19" s="1712">
        <v>1.6299999999999999E-2</v>
      </c>
      <c r="C19" s="1712">
        <v>1.6299999999999999E-2</v>
      </c>
      <c r="D19" s="1712"/>
    </row>
    <row r="20" spans="1:4" ht="15.75" thickBot="1">
      <c r="A20" s="1704" t="s">
        <v>2353</v>
      </c>
      <c r="B20" s="1713">
        <f>B16*B17*B19</f>
        <v>147300.785237</v>
      </c>
      <c r="C20" s="1713">
        <f>C16*C17*C19</f>
        <v>0</v>
      </c>
      <c r="D20" s="1713">
        <f>C20-B20</f>
        <v>-147300.785237</v>
      </c>
    </row>
    <row r="21" spans="1:4" ht="15.75" thickTop="1"/>
    <row r="22" spans="1:4">
      <c r="A22" s="1707" t="s">
        <v>2354</v>
      </c>
    </row>
    <row r="23" spans="1:4">
      <c r="A23" s="1704" t="s">
        <v>2355</v>
      </c>
      <c r="B23" s="1714">
        <f>B7</f>
        <v>23612984.829999998</v>
      </c>
      <c r="C23" s="1714">
        <f>B23</f>
        <v>23612984.829999998</v>
      </c>
      <c r="D23" s="1708">
        <f>C23-B23</f>
        <v>0</v>
      </c>
    </row>
    <row r="24" spans="1:4">
      <c r="A24" s="1704" t="s">
        <v>2348</v>
      </c>
      <c r="B24" s="1710">
        <v>0.5</v>
      </c>
      <c r="C24" s="1711">
        <v>1</v>
      </c>
      <c r="D24" s="1711"/>
    </row>
    <row r="25" spans="1:4">
      <c r="A25" s="1704" t="s">
        <v>2349</v>
      </c>
      <c r="B25" s="1708">
        <f>B23*B24</f>
        <v>11806492.414999999</v>
      </c>
      <c r="C25" s="1708">
        <f>C23*C24</f>
        <v>23612984.829999998</v>
      </c>
      <c r="D25" s="1708">
        <f>C25-B25</f>
        <v>11806492.414999999</v>
      </c>
    </row>
    <row r="26" spans="1:4">
      <c r="A26" s="1704" t="s">
        <v>2356</v>
      </c>
      <c r="B26" s="1715">
        <v>3.27E-2</v>
      </c>
      <c r="C26" s="1715">
        <v>3.27E-2</v>
      </c>
      <c r="D26" s="1712"/>
    </row>
    <row r="27" spans="1:4" ht="15.75" thickBot="1">
      <c r="A27" s="1704" t="s">
        <v>2353</v>
      </c>
      <c r="B27" s="1713">
        <f>B25*B26</f>
        <v>386072.30197049998</v>
      </c>
      <c r="C27" s="1713">
        <f>C25*C26</f>
        <v>772144.60394099995</v>
      </c>
      <c r="D27" s="1713">
        <f>C27-B27</f>
        <v>386072.30197049998</v>
      </c>
    </row>
    <row r="28" spans="1:4" ht="15.75" thickTop="1"/>
    <row r="29" spans="1:4">
      <c r="A29" s="1707" t="s">
        <v>2357</v>
      </c>
    </row>
    <row r="30" spans="1:4">
      <c r="A30" s="1704" t="s">
        <v>2355</v>
      </c>
      <c r="B30" s="1708">
        <v>18073715.98</v>
      </c>
      <c r="C30" s="1708">
        <v>18073715.98</v>
      </c>
      <c r="D30" s="1708">
        <f>C30-B30</f>
        <v>0</v>
      </c>
    </row>
    <row r="31" spans="1:4">
      <c r="A31" s="1704" t="s">
        <v>2348</v>
      </c>
      <c r="B31" s="1710">
        <v>0.5</v>
      </c>
      <c r="C31" s="1711">
        <v>1</v>
      </c>
      <c r="D31" s="1711"/>
    </row>
    <row r="32" spans="1:4">
      <c r="A32" s="1704" t="s">
        <v>2349</v>
      </c>
      <c r="B32" s="1708">
        <f>B30*B31</f>
        <v>9036857.9900000002</v>
      </c>
      <c r="C32" s="1708">
        <f>C30*C31</f>
        <v>18073715.98</v>
      </c>
      <c r="D32" s="1708">
        <f>C32-B32</f>
        <v>9036857.9900000002</v>
      </c>
    </row>
    <row r="33" spans="1:4">
      <c r="A33" s="1704" t="s">
        <v>2350</v>
      </c>
      <c r="B33" s="1712">
        <v>3.27E-2</v>
      </c>
      <c r="C33" s="1712">
        <v>3.27E-2</v>
      </c>
      <c r="D33" s="1712"/>
    </row>
    <row r="34" spans="1:4" ht="15.75" thickBot="1">
      <c r="A34" s="1704" t="s">
        <v>2353</v>
      </c>
      <c r="B34" s="1713">
        <f>B32*B33</f>
        <v>295505.25627300004</v>
      </c>
      <c r="C34" s="1713">
        <f>C32*C33</f>
        <v>591010.51254600007</v>
      </c>
      <c r="D34" s="1713">
        <f>C34-B34</f>
        <v>295505.25627300004</v>
      </c>
    </row>
    <row r="35" spans="1:4" ht="15.75" thickTop="1"/>
    <row r="36" spans="1:4" ht="15.75" thickBot="1">
      <c r="A36" s="1704" t="s">
        <v>2358</v>
      </c>
      <c r="B36" s="2012">
        <f>B13+B20+B27+B34</f>
        <v>1062621.399639</v>
      </c>
      <c r="C36" s="2012">
        <f>C13+C20+C27+C34</f>
        <v>1363155.1164870001</v>
      </c>
      <c r="D36" s="2012">
        <f>D13+D20+D27+D34</f>
        <v>300533.71684800007</v>
      </c>
    </row>
    <row r="37" spans="1:4" ht="15.75" thickTop="1"/>
  </sheetData>
  <mergeCells count="1">
    <mergeCell ref="A1:D1"/>
  </mergeCells>
  <pageMargins left="0.7" right="0.7" top="0.75" bottom="0.75" header="0.3" footer="0.3"/>
  <pageSetup scale="98"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10"/>
  <sheetViews>
    <sheetView topLeftCell="A2" workbookViewId="0">
      <selection activeCell="B13" sqref="B13"/>
    </sheetView>
  </sheetViews>
  <sheetFormatPr defaultRowHeight="15"/>
  <cols>
    <col min="1" max="1" width="15.1640625" style="1704" customWidth="1"/>
    <col min="2" max="27" width="11.6640625" style="1704" customWidth="1"/>
    <col min="28" max="35" width="13.1640625" style="1704" bestFit="1" customWidth="1"/>
    <col min="36" max="256" width="9.33203125" style="1704"/>
    <col min="257" max="257" width="15.1640625" style="1704" customWidth="1"/>
    <col min="258" max="283" width="11.6640625" style="1704" customWidth="1"/>
    <col min="284" max="291" width="13.1640625" style="1704" bestFit="1" customWidth="1"/>
    <col min="292" max="512" width="9.33203125" style="1704"/>
    <col min="513" max="513" width="15.1640625" style="1704" customWidth="1"/>
    <col min="514" max="539" width="11.6640625" style="1704" customWidth="1"/>
    <col min="540" max="547" width="13.1640625" style="1704" bestFit="1" customWidth="1"/>
    <col min="548" max="768" width="9.33203125" style="1704"/>
    <col min="769" max="769" width="15.1640625" style="1704" customWidth="1"/>
    <col min="770" max="795" width="11.6640625" style="1704" customWidth="1"/>
    <col min="796" max="803" width="13.1640625" style="1704" bestFit="1" customWidth="1"/>
    <col min="804" max="1024" width="9.33203125" style="1704"/>
    <col min="1025" max="1025" width="15.1640625" style="1704" customWidth="1"/>
    <col min="1026" max="1051" width="11.6640625" style="1704" customWidth="1"/>
    <col min="1052" max="1059" width="13.1640625" style="1704" bestFit="1" customWidth="1"/>
    <col min="1060" max="1280" width="9.33203125" style="1704"/>
    <col min="1281" max="1281" width="15.1640625" style="1704" customWidth="1"/>
    <col min="1282" max="1307" width="11.6640625" style="1704" customWidth="1"/>
    <col min="1308" max="1315" width="13.1640625" style="1704" bestFit="1" customWidth="1"/>
    <col min="1316" max="1536" width="9.33203125" style="1704"/>
    <col min="1537" max="1537" width="15.1640625" style="1704" customWidth="1"/>
    <col min="1538" max="1563" width="11.6640625" style="1704" customWidth="1"/>
    <col min="1564" max="1571" width="13.1640625" style="1704" bestFit="1" customWidth="1"/>
    <col min="1572" max="1792" width="9.33203125" style="1704"/>
    <col min="1793" max="1793" width="15.1640625" style="1704" customWidth="1"/>
    <col min="1794" max="1819" width="11.6640625" style="1704" customWidth="1"/>
    <col min="1820" max="1827" width="13.1640625" style="1704" bestFit="1" customWidth="1"/>
    <col min="1828" max="2048" width="9.33203125" style="1704"/>
    <col min="2049" max="2049" width="15.1640625" style="1704" customWidth="1"/>
    <col min="2050" max="2075" width="11.6640625" style="1704" customWidth="1"/>
    <col min="2076" max="2083" width="13.1640625" style="1704" bestFit="1" customWidth="1"/>
    <col min="2084" max="2304" width="9.33203125" style="1704"/>
    <col min="2305" max="2305" width="15.1640625" style="1704" customWidth="1"/>
    <col min="2306" max="2331" width="11.6640625" style="1704" customWidth="1"/>
    <col min="2332" max="2339" width="13.1640625" style="1704" bestFit="1" customWidth="1"/>
    <col min="2340" max="2560" width="9.33203125" style="1704"/>
    <col min="2561" max="2561" width="15.1640625" style="1704" customWidth="1"/>
    <col min="2562" max="2587" width="11.6640625" style="1704" customWidth="1"/>
    <col min="2588" max="2595" width="13.1640625" style="1704" bestFit="1" customWidth="1"/>
    <col min="2596" max="2816" width="9.33203125" style="1704"/>
    <col min="2817" max="2817" width="15.1640625" style="1704" customWidth="1"/>
    <col min="2818" max="2843" width="11.6640625" style="1704" customWidth="1"/>
    <col min="2844" max="2851" width="13.1640625" style="1704" bestFit="1" customWidth="1"/>
    <col min="2852" max="3072" width="9.33203125" style="1704"/>
    <col min="3073" max="3073" width="15.1640625" style="1704" customWidth="1"/>
    <col min="3074" max="3099" width="11.6640625" style="1704" customWidth="1"/>
    <col min="3100" max="3107" width="13.1640625" style="1704" bestFit="1" customWidth="1"/>
    <col min="3108" max="3328" width="9.33203125" style="1704"/>
    <col min="3329" max="3329" width="15.1640625" style="1704" customWidth="1"/>
    <col min="3330" max="3355" width="11.6640625" style="1704" customWidth="1"/>
    <col min="3356" max="3363" width="13.1640625" style="1704" bestFit="1" customWidth="1"/>
    <col min="3364" max="3584" width="9.33203125" style="1704"/>
    <col min="3585" max="3585" width="15.1640625" style="1704" customWidth="1"/>
    <col min="3586" max="3611" width="11.6640625" style="1704" customWidth="1"/>
    <col min="3612" max="3619" width="13.1640625" style="1704" bestFit="1" customWidth="1"/>
    <col min="3620" max="3840" width="9.33203125" style="1704"/>
    <col min="3841" max="3841" width="15.1640625" style="1704" customWidth="1"/>
    <col min="3842" max="3867" width="11.6640625" style="1704" customWidth="1"/>
    <col min="3868" max="3875" width="13.1640625" style="1704" bestFit="1" customWidth="1"/>
    <col min="3876" max="4096" width="9.33203125" style="1704"/>
    <col min="4097" max="4097" width="15.1640625" style="1704" customWidth="1"/>
    <col min="4098" max="4123" width="11.6640625" style="1704" customWidth="1"/>
    <col min="4124" max="4131" width="13.1640625" style="1704" bestFit="1" customWidth="1"/>
    <col min="4132" max="4352" width="9.33203125" style="1704"/>
    <col min="4353" max="4353" width="15.1640625" style="1704" customWidth="1"/>
    <col min="4354" max="4379" width="11.6640625" style="1704" customWidth="1"/>
    <col min="4380" max="4387" width="13.1640625" style="1704" bestFit="1" customWidth="1"/>
    <col min="4388" max="4608" width="9.33203125" style="1704"/>
    <col min="4609" max="4609" width="15.1640625" style="1704" customWidth="1"/>
    <col min="4610" max="4635" width="11.6640625" style="1704" customWidth="1"/>
    <col min="4636" max="4643" width="13.1640625" style="1704" bestFit="1" customWidth="1"/>
    <col min="4644" max="4864" width="9.33203125" style="1704"/>
    <col min="4865" max="4865" width="15.1640625" style="1704" customWidth="1"/>
    <col min="4866" max="4891" width="11.6640625" style="1704" customWidth="1"/>
    <col min="4892" max="4899" width="13.1640625" style="1704" bestFit="1" customWidth="1"/>
    <col min="4900" max="5120" width="9.33203125" style="1704"/>
    <col min="5121" max="5121" width="15.1640625" style="1704" customWidth="1"/>
    <col min="5122" max="5147" width="11.6640625" style="1704" customWidth="1"/>
    <col min="5148" max="5155" width="13.1640625" style="1704" bestFit="1" customWidth="1"/>
    <col min="5156" max="5376" width="9.33203125" style="1704"/>
    <col min="5377" max="5377" width="15.1640625" style="1704" customWidth="1"/>
    <col min="5378" max="5403" width="11.6640625" style="1704" customWidth="1"/>
    <col min="5404" max="5411" width="13.1640625" style="1704" bestFit="1" customWidth="1"/>
    <col min="5412" max="5632" width="9.33203125" style="1704"/>
    <col min="5633" max="5633" width="15.1640625" style="1704" customWidth="1"/>
    <col min="5634" max="5659" width="11.6640625" style="1704" customWidth="1"/>
    <col min="5660" max="5667" width="13.1640625" style="1704" bestFit="1" customWidth="1"/>
    <col min="5668" max="5888" width="9.33203125" style="1704"/>
    <col min="5889" max="5889" width="15.1640625" style="1704" customWidth="1"/>
    <col min="5890" max="5915" width="11.6640625" style="1704" customWidth="1"/>
    <col min="5916" max="5923" width="13.1640625" style="1704" bestFit="1" customWidth="1"/>
    <col min="5924" max="6144" width="9.33203125" style="1704"/>
    <col min="6145" max="6145" width="15.1640625" style="1704" customWidth="1"/>
    <col min="6146" max="6171" width="11.6640625" style="1704" customWidth="1"/>
    <col min="6172" max="6179" width="13.1640625" style="1704" bestFit="1" customWidth="1"/>
    <col min="6180" max="6400" width="9.33203125" style="1704"/>
    <col min="6401" max="6401" width="15.1640625" style="1704" customWidth="1"/>
    <col min="6402" max="6427" width="11.6640625" style="1704" customWidth="1"/>
    <col min="6428" max="6435" width="13.1640625" style="1704" bestFit="1" customWidth="1"/>
    <col min="6436" max="6656" width="9.33203125" style="1704"/>
    <col min="6657" max="6657" width="15.1640625" style="1704" customWidth="1"/>
    <col min="6658" max="6683" width="11.6640625" style="1704" customWidth="1"/>
    <col min="6684" max="6691" width="13.1640625" style="1704" bestFit="1" customWidth="1"/>
    <col min="6692" max="6912" width="9.33203125" style="1704"/>
    <col min="6913" max="6913" width="15.1640625" style="1704" customWidth="1"/>
    <col min="6914" max="6939" width="11.6640625" style="1704" customWidth="1"/>
    <col min="6940" max="6947" width="13.1640625" style="1704" bestFit="1" customWidth="1"/>
    <col min="6948" max="7168" width="9.33203125" style="1704"/>
    <col min="7169" max="7169" width="15.1640625" style="1704" customWidth="1"/>
    <col min="7170" max="7195" width="11.6640625" style="1704" customWidth="1"/>
    <col min="7196" max="7203" width="13.1640625" style="1704" bestFit="1" customWidth="1"/>
    <col min="7204" max="7424" width="9.33203125" style="1704"/>
    <col min="7425" max="7425" width="15.1640625" style="1704" customWidth="1"/>
    <col min="7426" max="7451" width="11.6640625" style="1704" customWidth="1"/>
    <col min="7452" max="7459" width="13.1640625" style="1704" bestFit="1" customWidth="1"/>
    <col min="7460" max="7680" width="9.33203125" style="1704"/>
    <col min="7681" max="7681" width="15.1640625" style="1704" customWidth="1"/>
    <col min="7682" max="7707" width="11.6640625" style="1704" customWidth="1"/>
    <col min="7708" max="7715" width="13.1640625" style="1704" bestFit="1" customWidth="1"/>
    <col min="7716" max="7936" width="9.33203125" style="1704"/>
    <col min="7937" max="7937" width="15.1640625" style="1704" customWidth="1"/>
    <col min="7938" max="7963" width="11.6640625" style="1704" customWidth="1"/>
    <col min="7964" max="7971" width="13.1640625" style="1704" bestFit="1" customWidth="1"/>
    <col min="7972" max="8192" width="9.33203125" style="1704"/>
    <col min="8193" max="8193" width="15.1640625" style="1704" customWidth="1"/>
    <col min="8194" max="8219" width="11.6640625" style="1704" customWidth="1"/>
    <col min="8220" max="8227" width="13.1640625" style="1704" bestFit="1" customWidth="1"/>
    <col min="8228" max="8448" width="9.33203125" style="1704"/>
    <col min="8449" max="8449" width="15.1640625" style="1704" customWidth="1"/>
    <col min="8450" max="8475" width="11.6640625" style="1704" customWidth="1"/>
    <col min="8476" max="8483" width="13.1640625" style="1704" bestFit="1" customWidth="1"/>
    <col min="8484" max="8704" width="9.33203125" style="1704"/>
    <col min="8705" max="8705" width="15.1640625" style="1704" customWidth="1"/>
    <col min="8706" max="8731" width="11.6640625" style="1704" customWidth="1"/>
    <col min="8732" max="8739" width="13.1640625" style="1704" bestFit="1" customWidth="1"/>
    <col min="8740" max="8960" width="9.33203125" style="1704"/>
    <col min="8961" max="8961" width="15.1640625" style="1704" customWidth="1"/>
    <col min="8962" max="8987" width="11.6640625" style="1704" customWidth="1"/>
    <col min="8988" max="8995" width="13.1640625" style="1704" bestFit="1" customWidth="1"/>
    <col min="8996" max="9216" width="9.33203125" style="1704"/>
    <col min="9217" max="9217" width="15.1640625" style="1704" customWidth="1"/>
    <col min="9218" max="9243" width="11.6640625" style="1704" customWidth="1"/>
    <col min="9244" max="9251" width="13.1640625" style="1704" bestFit="1" customWidth="1"/>
    <col min="9252" max="9472" width="9.33203125" style="1704"/>
    <col min="9473" max="9473" width="15.1640625" style="1704" customWidth="1"/>
    <col min="9474" max="9499" width="11.6640625" style="1704" customWidth="1"/>
    <col min="9500" max="9507" width="13.1640625" style="1704" bestFit="1" customWidth="1"/>
    <col min="9508" max="9728" width="9.33203125" style="1704"/>
    <col min="9729" max="9729" width="15.1640625" style="1704" customWidth="1"/>
    <col min="9730" max="9755" width="11.6640625" style="1704" customWidth="1"/>
    <col min="9756" max="9763" width="13.1640625" style="1704" bestFit="1" customWidth="1"/>
    <col min="9764" max="9984" width="9.33203125" style="1704"/>
    <col min="9985" max="9985" width="15.1640625" style="1704" customWidth="1"/>
    <col min="9986" max="10011" width="11.6640625" style="1704" customWidth="1"/>
    <col min="10012" max="10019" width="13.1640625" style="1704" bestFit="1" customWidth="1"/>
    <col min="10020" max="10240" width="9.33203125" style="1704"/>
    <col min="10241" max="10241" width="15.1640625" style="1704" customWidth="1"/>
    <col min="10242" max="10267" width="11.6640625" style="1704" customWidth="1"/>
    <col min="10268" max="10275" width="13.1640625" style="1704" bestFit="1" customWidth="1"/>
    <col min="10276" max="10496" width="9.33203125" style="1704"/>
    <col min="10497" max="10497" width="15.1640625" style="1704" customWidth="1"/>
    <col min="10498" max="10523" width="11.6640625" style="1704" customWidth="1"/>
    <col min="10524" max="10531" width="13.1640625" style="1704" bestFit="1" customWidth="1"/>
    <col min="10532" max="10752" width="9.33203125" style="1704"/>
    <col min="10753" max="10753" width="15.1640625" style="1704" customWidth="1"/>
    <col min="10754" max="10779" width="11.6640625" style="1704" customWidth="1"/>
    <col min="10780" max="10787" width="13.1640625" style="1704" bestFit="1" customWidth="1"/>
    <col min="10788" max="11008" width="9.33203125" style="1704"/>
    <col min="11009" max="11009" width="15.1640625" style="1704" customWidth="1"/>
    <col min="11010" max="11035" width="11.6640625" style="1704" customWidth="1"/>
    <col min="11036" max="11043" width="13.1640625" style="1704" bestFit="1" customWidth="1"/>
    <col min="11044" max="11264" width="9.33203125" style="1704"/>
    <col min="11265" max="11265" width="15.1640625" style="1704" customWidth="1"/>
    <col min="11266" max="11291" width="11.6640625" style="1704" customWidth="1"/>
    <col min="11292" max="11299" width="13.1640625" style="1704" bestFit="1" customWidth="1"/>
    <col min="11300" max="11520" width="9.33203125" style="1704"/>
    <col min="11521" max="11521" width="15.1640625" style="1704" customWidth="1"/>
    <col min="11522" max="11547" width="11.6640625" style="1704" customWidth="1"/>
    <col min="11548" max="11555" width="13.1640625" style="1704" bestFit="1" customWidth="1"/>
    <col min="11556" max="11776" width="9.33203125" style="1704"/>
    <col min="11777" max="11777" width="15.1640625" style="1704" customWidth="1"/>
    <col min="11778" max="11803" width="11.6640625" style="1704" customWidth="1"/>
    <col min="11804" max="11811" width="13.1640625" style="1704" bestFit="1" customWidth="1"/>
    <col min="11812" max="12032" width="9.33203125" style="1704"/>
    <col min="12033" max="12033" width="15.1640625" style="1704" customWidth="1"/>
    <col min="12034" max="12059" width="11.6640625" style="1704" customWidth="1"/>
    <col min="12060" max="12067" width="13.1640625" style="1704" bestFit="1" customWidth="1"/>
    <col min="12068" max="12288" width="9.33203125" style="1704"/>
    <col min="12289" max="12289" width="15.1640625" style="1704" customWidth="1"/>
    <col min="12290" max="12315" width="11.6640625" style="1704" customWidth="1"/>
    <col min="12316" max="12323" width="13.1640625" style="1704" bestFit="1" customWidth="1"/>
    <col min="12324" max="12544" width="9.33203125" style="1704"/>
    <col min="12545" max="12545" width="15.1640625" style="1704" customWidth="1"/>
    <col min="12546" max="12571" width="11.6640625" style="1704" customWidth="1"/>
    <col min="12572" max="12579" width="13.1640625" style="1704" bestFit="1" customWidth="1"/>
    <col min="12580" max="12800" width="9.33203125" style="1704"/>
    <col min="12801" max="12801" width="15.1640625" style="1704" customWidth="1"/>
    <col min="12802" max="12827" width="11.6640625" style="1704" customWidth="1"/>
    <col min="12828" max="12835" width="13.1640625" style="1704" bestFit="1" customWidth="1"/>
    <col min="12836" max="13056" width="9.33203125" style="1704"/>
    <col min="13057" max="13057" width="15.1640625" style="1704" customWidth="1"/>
    <col min="13058" max="13083" width="11.6640625" style="1704" customWidth="1"/>
    <col min="13084" max="13091" width="13.1640625" style="1704" bestFit="1" customWidth="1"/>
    <col min="13092" max="13312" width="9.33203125" style="1704"/>
    <col min="13313" max="13313" width="15.1640625" style="1704" customWidth="1"/>
    <col min="13314" max="13339" width="11.6640625" style="1704" customWidth="1"/>
    <col min="13340" max="13347" width="13.1640625" style="1704" bestFit="1" customWidth="1"/>
    <col min="13348" max="13568" width="9.33203125" style="1704"/>
    <col min="13569" max="13569" width="15.1640625" style="1704" customWidth="1"/>
    <col min="13570" max="13595" width="11.6640625" style="1704" customWidth="1"/>
    <col min="13596" max="13603" width="13.1640625" style="1704" bestFit="1" customWidth="1"/>
    <col min="13604" max="13824" width="9.33203125" style="1704"/>
    <col min="13825" max="13825" width="15.1640625" style="1704" customWidth="1"/>
    <col min="13826" max="13851" width="11.6640625" style="1704" customWidth="1"/>
    <col min="13852" max="13859" width="13.1640625" style="1704" bestFit="1" customWidth="1"/>
    <col min="13860" max="14080" width="9.33203125" style="1704"/>
    <col min="14081" max="14081" width="15.1640625" style="1704" customWidth="1"/>
    <col min="14082" max="14107" width="11.6640625" style="1704" customWidth="1"/>
    <col min="14108" max="14115" width="13.1640625" style="1704" bestFit="1" customWidth="1"/>
    <col min="14116" max="14336" width="9.33203125" style="1704"/>
    <col min="14337" max="14337" width="15.1640625" style="1704" customWidth="1"/>
    <col min="14338" max="14363" width="11.6640625" style="1704" customWidth="1"/>
    <col min="14364" max="14371" width="13.1640625" style="1704" bestFit="1" customWidth="1"/>
    <col min="14372" max="14592" width="9.33203125" style="1704"/>
    <col min="14593" max="14593" width="15.1640625" style="1704" customWidth="1"/>
    <col min="14594" max="14619" width="11.6640625" style="1704" customWidth="1"/>
    <col min="14620" max="14627" width="13.1640625" style="1704" bestFit="1" customWidth="1"/>
    <col min="14628" max="14848" width="9.33203125" style="1704"/>
    <col min="14849" max="14849" width="15.1640625" style="1704" customWidth="1"/>
    <col min="14850" max="14875" width="11.6640625" style="1704" customWidth="1"/>
    <col min="14876" max="14883" width="13.1640625" style="1704" bestFit="1" customWidth="1"/>
    <col min="14884" max="15104" width="9.33203125" style="1704"/>
    <col min="15105" max="15105" width="15.1640625" style="1704" customWidth="1"/>
    <col min="15106" max="15131" width="11.6640625" style="1704" customWidth="1"/>
    <col min="15132" max="15139" width="13.1640625" style="1704" bestFit="1" customWidth="1"/>
    <col min="15140" max="15360" width="9.33203125" style="1704"/>
    <col min="15361" max="15361" width="15.1640625" style="1704" customWidth="1"/>
    <col min="15362" max="15387" width="11.6640625" style="1704" customWidth="1"/>
    <col min="15388" max="15395" width="13.1640625" style="1704" bestFit="1" customWidth="1"/>
    <col min="15396" max="15616" width="9.33203125" style="1704"/>
    <col min="15617" max="15617" width="15.1640625" style="1704" customWidth="1"/>
    <col min="15618" max="15643" width="11.6640625" style="1704" customWidth="1"/>
    <col min="15644" max="15651" width="13.1640625" style="1704" bestFit="1" customWidth="1"/>
    <col min="15652" max="15872" width="9.33203125" style="1704"/>
    <col min="15873" max="15873" width="15.1640625" style="1704" customWidth="1"/>
    <col min="15874" max="15899" width="11.6640625" style="1704" customWidth="1"/>
    <col min="15900" max="15907" width="13.1640625" style="1704" bestFit="1" customWidth="1"/>
    <col min="15908" max="16128" width="9.33203125" style="1704"/>
    <col min="16129" max="16129" width="15.1640625" style="1704" customWidth="1"/>
    <col min="16130" max="16155" width="11.6640625" style="1704" customWidth="1"/>
    <col min="16156" max="16163" width="13.1640625" style="1704" bestFit="1" customWidth="1"/>
    <col min="16164" max="16384" width="9.33203125" style="1704"/>
  </cols>
  <sheetData>
    <row r="1" spans="1:35">
      <c r="A1" s="1707"/>
    </row>
    <row r="4" spans="1:35">
      <c r="B4" s="1716">
        <v>40544</v>
      </c>
      <c r="C4" s="1716">
        <v>40575</v>
      </c>
      <c r="D4" s="1716">
        <v>40603</v>
      </c>
      <c r="E4" s="1716">
        <v>40634</v>
      </c>
      <c r="F4" s="1716">
        <v>40664</v>
      </c>
      <c r="G4" s="1716">
        <v>40695</v>
      </c>
      <c r="H4" s="1716">
        <v>40725</v>
      </c>
      <c r="I4" s="1716">
        <v>40756</v>
      </c>
      <c r="J4" s="1716">
        <v>40787</v>
      </c>
      <c r="K4" s="1716">
        <v>40817</v>
      </c>
      <c r="L4" s="1716">
        <v>40848</v>
      </c>
      <c r="M4" s="1716">
        <v>40878</v>
      </c>
      <c r="N4" s="1716">
        <v>40909</v>
      </c>
      <c r="O4" s="1716">
        <v>40940</v>
      </c>
      <c r="P4" s="1716">
        <v>40969</v>
      </c>
      <c r="Q4" s="1716">
        <v>41000</v>
      </c>
      <c r="R4" s="1716">
        <v>41030</v>
      </c>
      <c r="S4" s="1716">
        <v>41061</v>
      </c>
      <c r="T4" s="1716">
        <v>41091</v>
      </c>
      <c r="U4" s="1716">
        <v>41122</v>
      </c>
      <c r="V4" s="1716">
        <v>41153</v>
      </c>
      <c r="W4" s="1716">
        <v>41183</v>
      </c>
      <c r="X4" s="1716">
        <v>41214</v>
      </c>
      <c r="Y4" s="1716">
        <v>41244</v>
      </c>
      <c r="Z4" s="1716">
        <v>41275</v>
      </c>
      <c r="AA4" s="1716">
        <v>41306</v>
      </c>
      <c r="AB4" s="1716">
        <v>41334</v>
      </c>
      <c r="AC4" s="1716">
        <v>41365</v>
      </c>
      <c r="AD4" s="1716">
        <v>41395</v>
      </c>
      <c r="AE4" s="1716">
        <v>41426</v>
      </c>
      <c r="AF4" s="1716">
        <v>41456</v>
      </c>
      <c r="AG4" s="1716">
        <v>41487</v>
      </c>
      <c r="AH4" s="1716">
        <v>41518</v>
      </c>
      <c r="AI4" s="1716">
        <v>41548</v>
      </c>
    </row>
    <row r="6" spans="1:35">
      <c r="A6" s="1704" t="s">
        <v>2359</v>
      </c>
      <c r="B6" s="1708">
        <f>'5.02G - DEPN Transfers'!$D$36/12</f>
        <v>25044.476404000005</v>
      </c>
      <c r="C6" s="1708">
        <f>'5.02G - DEPN Transfers'!$D$36/12</f>
        <v>25044.476404000005</v>
      </c>
      <c r="D6" s="1708">
        <f>'5.02G - DEPN Transfers'!$D$36/12</f>
        <v>25044.476404000005</v>
      </c>
      <c r="E6" s="1708">
        <f>'5.02G - DEPN Transfers'!$D$36/12</f>
        <v>25044.476404000005</v>
      </c>
      <c r="F6" s="1708">
        <f>'5.02G - DEPN Transfers'!$D$36/12</f>
        <v>25044.476404000005</v>
      </c>
      <c r="G6" s="1708">
        <f>'5.02G - DEPN Transfers'!$D$36/12</f>
        <v>25044.476404000005</v>
      </c>
      <c r="H6" s="1708">
        <f>'5.02G - DEPN Transfers'!$D$36/12</f>
        <v>25044.476404000005</v>
      </c>
      <c r="I6" s="1708">
        <f>'5.02G - DEPN Transfers'!$D$36/12</f>
        <v>25044.476404000005</v>
      </c>
      <c r="J6" s="1708">
        <f>'5.02G - DEPN Transfers'!$D$36/12</f>
        <v>25044.476404000005</v>
      </c>
      <c r="K6" s="1708">
        <f>'5.02G - DEPN Transfers'!$D$36/12</f>
        <v>25044.476404000005</v>
      </c>
      <c r="L6" s="1708">
        <f>'5.02G - DEPN Transfers'!$D$36/12</f>
        <v>25044.476404000005</v>
      </c>
      <c r="M6" s="1708">
        <f>'5.02G - DEPN Transfers'!$D$36/12</f>
        <v>25044.476404000005</v>
      </c>
      <c r="N6" s="1708">
        <f>'5.02G - DEPN Transfers'!$D$36/12</f>
        <v>25044.476404000005</v>
      </c>
      <c r="O6" s="1708">
        <f>'5.02G - DEPN Transfers'!$D$36/12</f>
        <v>25044.476404000005</v>
      </c>
      <c r="P6" s="1708">
        <f>'5.02G - DEPN Transfers'!$D$36/12</f>
        <v>25044.476404000005</v>
      </c>
      <c r="Q6" s="1708">
        <f>'5.02G - DEPN Transfers'!$D$36/12</f>
        <v>25044.476404000005</v>
      </c>
      <c r="R6" s="1708">
        <f>'5.02G - DEPN Transfers'!$D$36/12</f>
        <v>25044.476404000005</v>
      </c>
      <c r="S6" s="1708">
        <f>'5.02G - DEPN Transfers'!$D$36/12</f>
        <v>25044.476404000005</v>
      </c>
      <c r="T6" s="1708">
        <f>'5.02G - DEPN Transfers'!$D$36/12</f>
        <v>25044.476404000005</v>
      </c>
      <c r="U6" s="1708">
        <f>'5.02G - DEPN Transfers'!$D$36/12</f>
        <v>25044.476404000005</v>
      </c>
      <c r="V6" s="1708">
        <f>'5.02G - DEPN Transfers'!$D$36/12</f>
        <v>25044.476404000005</v>
      </c>
      <c r="W6" s="1708">
        <f>'5.02G - DEPN Transfers'!$D$36/12</f>
        <v>25044.476404000005</v>
      </c>
      <c r="X6" s="1708">
        <f>'5.02G - DEPN Transfers'!$D$36/12</f>
        <v>25044.476404000005</v>
      </c>
      <c r="Y6" s="1708">
        <f>'5.02G - DEPN Transfers'!$D$36/12</f>
        <v>25044.476404000005</v>
      </c>
      <c r="Z6" s="1708">
        <f>'5.02G - DEPN Transfers'!$D$36/12</f>
        <v>25044.476404000005</v>
      </c>
      <c r="AA6" s="1708">
        <f>'5.02G - DEPN Transfers'!$D$36/12</f>
        <v>25044.476404000005</v>
      </c>
      <c r="AB6" s="1708">
        <f>'5.02G - DEPN Transfers'!$D$36/12</f>
        <v>25044.476404000005</v>
      </c>
      <c r="AC6" s="1708">
        <f>'5.02G - DEPN Transfers'!$D$36/12</f>
        <v>25044.476404000005</v>
      </c>
      <c r="AD6" s="1708">
        <f>'5.02G - DEPN Transfers'!$D$36/12</f>
        <v>25044.476404000005</v>
      </c>
      <c r="AE6" s="1708">
        <f>'5.02G - DEPN Transfers'!$D$36/12</f>
        <v>25044.476404000005</v>
      </c>
      <c r="AF6" s="1708">
        <f>'5.02G - DEPN Transfers'!$D$36/12</f>
        <v>25044.476404000005</v>
      </c>
      <c r="AG6" s="1708">
        <f>'5.02G - DEPN Transfers'!$D$36/12</f>
        <v>25044.476404000005</v>
      </c>
      <c r="AH6" s="1708">
        <f>'5.02G - DEPN Transfers'!$D$36/12</f>
        <v>25044.476404000005</v>
      </c>
      <c r="AI6" s="1708">
        <f>'5.02G - DEPN Transfers'!$D$36/12</f>
        <v>25044.476404000005</v>
      </c>
    </row>
    <row r="8" spans="1:35">
      <c r="A8" s="1704" t="s">
        <v>2360</v>
      </c>
      <c r="B8" s="1714">
        <f>SUM($B$6:B6)</f>
        <v>25044.476404000005</v>
      </c>
      <c r="C8" s="1708">
        <f>SUM($B$6:C6)</f>
        <v>50088.952808000009</v>
      </c>
      <c r="D8" s="1708">
        <f>SUM($B$6:D6)</f>
        <v>75133.429212000017</v>
      </c>
      <c r="E8" s="1708">
        <f>SUM($B$6:E6)</f>
        <v>100177.90561600002</v>
      </c>
      <c r="F8" s="1708">
        <f>SUM($B$6:F6)</f>
        <v>125222.38202000002</v>
      </c>
      <c r="G8" s="1708">
        <f>SUM($B$6:G6)</f>
        <v>150266.85842400003</v>
      </c>
      <c r="H8" s="1708">
        <f>SUM($B$6:H6)</f>
        <v>175311.33482800005</v>
      </c>
      <c r="I8" s="1708">
        <f>SUM($B$6:I6)</f>
        <v>200355.81123200007</v>
      </c>
      <c r="J8" s="1708">
        <f>SUM($B$6:J6)</f>
        <v>225400.28763600008</v>
      </c>
      <c r="K8" s="1708">
        <f>SUM($B$6:K6)</f>
        <v>250444.7640400001</v>
      </c>
      <c r="L8" s="1708">
        <f>SUM($B$6:L6)</f>
        <v>275489.24044400011</v>
      </c>
      <c r="M8" s="1708">
        <f>SUM($B$6:M6)</f>
        <v>300533.71684800013</v>
      </c>
      <c r="N8" s="1708">
        <f>SUM($B$6:N6)</f>
        <v>325578.19325200014</v>
      </c>
      <c r="O8" s="1708">
        <f>SUM($B$6:O6)</f>
        <v>350622.66965600016</v>
      </c>
      <c r="P8" s="1708">
        <f>SUM($B$6:P6)</f>
        <v>375667.14606000017</v>
      </c>
      <c r="Q8" s="1708">
        <f>SUM($B$6:Q6)</f>
        <v>400711.62246400019</v>
      </c>
      <c r="R8" s="1708">
        <f>SUM($B$6:R6)</f>
        <v>425756.0988680002</v>
      </c>
      <c r="S8" s="1708">
        <f>SUM($B$6:S6)</f>
        <v>450800.57527200022</v>
      </c>
      <c r="T8" s="1708">
        <f>SUM($B$6:T6)</f>
        <v>475845.05167600024</v>
      </c>
      <c r="U8" s="1708">
        <f>SUM($B$6:U6)</f>
        <v>500889.52808000025</v>
      </c>
      <c r="V8" s="1708">
        <f>SUM($B$6:V6)</f>
        <v>525934.00448400027</v>
      </c>
      <c r="W8" s="1708">
        <f>SUM($B$6:W6)</f>
        <v>550978.48088800022</v>
      </c>
      <c r="X8" s="1708">
        <f>SUM($B$6:X6)</f>
        <v>576022.95729200018</v>
      </c>
      <c r="Y8" s="1708">
        <f>SUM($B$6:Y6)</f>
        <v>601067.43369600014</v>
      </c>
      <c r="Z8" s="1708">
        <f>SUM($B$6:Z6)</f>
        <v>626111.9101000001</v>
      </c>
      <c r="AA8" s="1708">
        <f>SUM($B$6:AA6)</f>
        <v>651156.38650400005</v>
      </c>
      <c r="AB8" s="1708">
        <f>SUM($B$6:AB6)</f>
        <v>676200.86290800001</v>
      </c>
      <c r="AC8" s="1708">
        <f>SUM($B$6:AC6)</f>
        <v>701245.33931199997</v>
      </c>
      <c r="AD8" s="1708">
        <f>SUM($B$6:AD6)</f>
        <v>726289.81571599992</v>
      </c>
      <c r="AE8" s="1708">
        <f>SUM($B$6:AE6)</f>
        <v>751334.29211999988</v>
      </c>
      <c r="AF8" s="1708">
        <f>SUM($B$6:AF6)</f>
        <v>776378.76852399984</v>
      </c>
      <c r="AG8" s="1708">
        <f>SUM($B$6:AG6)</f>
        <v>801423.2449279998</v>
      </c>
      <c r="AH8" s="1708">
        <f>SUM($B$6:AH6)</f>
        <v>826467.72133199975</v>
      </c>
      <c r="AI8" s="1708">
        <f>SUM($B$6:AI6)</f>
        <v>851512.19773599971</v>
      </c>
    </row>
    <row r="10" spans="1:35">
      <c r="A10" s="1704" t="s">
        <v>1797</v>
      </c>
      <c r="B10" s="1708">
        <f>+B8/24</f>
        <v>1043.5198501666669</v>
      </c>
      <c r="C10" s="1708">
        <f>(SUM($B$8:B8)*2+C8)/24</f>
        <v>4174.0794006666674</v>
      </c>
      <c r="D10" s="1708">
        <f>(SUM($B$8:C8)*2+D8)/24</f>
        <v>9391.6786515000022</v>
      </c>
      <c r="E10" s="1708">
        <f>(SUM($B$8:D8)*2+E8)/24</f>
        <v>16696.31760266667</v>
      </c>
      <c r="F10" s="1708">
        <f>(SUM($B$8:E8)*2+F8)/24</f>
        <v>26087.996254166672</v>
      </c>
      <c r="G10" s="1708">
        <f>(SUM($B$8:F8)*2+G8)/24</f>
        <v>37566.714606000001</v>
      </c>
      <c r="H10" s="1708">
        <f>(SUM($B$8:G8)*2+H8)/24</f>
        <v>51132.472658166684</v>
      </c>
      <c r="I10" s="1708">
        <f>(SUM($B$8:H8)*2+I8)/24</f>
        <v>66785.270410666693</v>
      </c>
      <c r="J10" s="1708">
        <f>(SUM($B$8:I8)*2+J8)/24</f>
        <v>84525.10786350003</v>
      </c>
      <c r="K10" s="1708">
        <f>(SUM($B$8:J8)*2+K8)/24</f>
        <v>104351.98501666672</v>
      </c>
      <c r="L10" s="1708">
        <f>(SUM($B$8:K8)*2+L8)/24</f>
        <v>126265.90187016672</v>
      </c>
      <c r="M10" s="1708">
        <f>(SUM($B$8:L8)*2+M8)/24</f>
        <v>150266.85842400006</v>
      </c>
      <c r="N10" s="1708">
        <f t="shared" ref="N10:AI10" si="0">(B8+SUM(C8:M8)*2+N8)/24</f>
        <v>175311.33482800008</v>
      </c>
      <c r="O10" s="1708">
        <f t="shared" si="0"/>
        <v>200355.81123200009</v>
      </c>
      <c r="P10" s="1708">
        <f t="shared" si="0"/>
        <v>225400.28763600008</v>
      </c>
      <c r="Q10" s="1708">
        <f t="shared" si="0"/>
        <v>250444.76404000013</v>
      </c>
      <c r="R10" s="1708">
        <f t="shared" si="0"/>
        <v>275489.24044400017</v>
      </c>
      <c r="S10" s="1708">
        <f t="shared" si="0"/>
        <v>300533.71684800013</v>
      </c>
      <c r="T10" s="1708">
        <f t="shared" si="0"/>
        <v>325578.19325200014</v>
      </c>
      <c r="U10" s="1708">
        <f t="shared" si="0"/>
        <v>350622.66965600016</v>
      </c>
      <c r="V10" s="1708">
        <f t="shared" si="0"/>
        <v>375667.14606000017</v>
      </c>
      <c r="W10" s="1708">
        <f t="shared" si="0"/>
        <v>400711.62246400019</v>
      </c>
      <c r="X10" s="1708">
        <f t="shared" si="0"/>
        <v>425756.09886800026</v>
      </c>
      <c r="Y10" s="1708">
        <f t="shared" si="0"/>
        <v>450800.57527200016</v>
      </c>
      <c r="Z10" s="1708">
        <f t="shared" si="0"/>
        <v>475845.05167600018</v>
      </c>
      <c r="AA10" s="1708">
        <f t="shared" si="0"/>
        <v>500889.52808000013</v>
      </c>
      <c r="AB10" s="1708">
        <f t="shared" si="0"/>
        <v>525934.00448400027</v>
      </c>
      <c r="AC10" s="1717">
        <f t="shared" si="0"/>
        <v>550978.48088800011</v>
      </c>
      <c r="AD10" s="1708">
        <f t="shared" si="0"/>
        <v>576022.95729200018</v>
      </c>
      <c r="AE10" s="1708">
        <f t="shared" si="0"/>
        <v>601067.43369600014</v>
      </c>
      <c r="AF10" s="1708">
        <f t="shared" si="0"/>
        <v>626111.9101000001</v>
      </c>
      <c r="AG10" s="1708">
        <f t="shared" si="0"/>
        <v>651156.38650400017</v>
      </c>
      <c r="AH10" s="1708">
        <f t="shared" si="0"/>
        <v>676200.86290800001</v>
      </c>
      <c r="AI10" s="1708">
        <f t="shared" si="0"/>
        <v>701245.33931199985</v>
      </c>
    </row>
  </sheetData>
  <pageMargins left="0.45" right="0.45" top="0.75" bottom="0.75" header="0.3" footer="0.3"/>
  <pageSetup scale="65" orientation="landscape" r:id="rId1"/>
  <headerFooter>
    <oddHeader>&amp;CTransfer Bare Steel to Wrapped Steel
Accumulated Depreciation</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J27"/>
  <sheetViews>
    <sheetView workbookViewId="0">
      <selection activeCell="H14" sqref="H14"/>
    </sheetView>
  </sheetViews>
  <sheetFormatPr defaultRowHeight="12.75"/>
  <cols>
    <col min="1" max="1" width="6.83203125" style="1612" customWidth="1"/>
    <col min="2" max="2" width="80" style="1612" customWidth="1"/>
    <col min="3" max="3" width="14.6640625" style="1612" customWidth="1"/>
    <col min="4" max="4" width="13.6640625" style="1612" customWidth="1"/>
    <col min="5" max="5" width="15" style="1612" customWidth="1"/>
    <col min="6" max="6" width="18.6640625" style="1612" hidden="1" customWidth="1"/>
    <col min="7" max="7" width="12" style="1612" bestFit="1" customWidth="1"/>
    <col min="8" max="8" width="15" style="1612" bestFit="1" customWidth="1"/>
    <col min="9" max="256" width="9.33203125" style="1612"/>
    <col min="257" max="257" width="6.83203125" style="1612" customWidth="1"/>
    <col min="258" max="258" width="80" style="1612" customWidth="1"/>
    <col min="259" max="259" width="14.6640625" style="1612" customWidth="1"/>
    <col min="260" max="260" width="13.6640625" style="1612" customWidth="1"/>
    <col min="261" max="261" width="15" style="1612" customWidth="1"/>
    <col min="262" max="262" width="0" style="1612" hidden="1" customWidth="1"/>
    <col min="263" max="263" width="12" style="1612" bestFit="1" customWidth="1"/>
    <col min="264" max="264" width="15" style="1612" bestFit="1" customWidth="1"/>
    <col min="265" max="512" width="9.33203125" style="1612"/>
    <col min="513" max="513" width="6.83203125" style="1612" customWidth="1"/>
    <col min="514" max="514" width="80" style="1612" customWidth="1"/>
    <col min="515" max="515" width="14.6640625" style="1612" customWidth="1"/>
    <col min="516" max="516" width="13.6640625" style="1612" customWidth="1"/>
    <col min="517" max="517" width="15" style="1612" customWidth="1"/>
    <col min="518" max="518" width="0" style="1612" hidden="1" customWidth="1"/>
    <col min="519" max="519" width="12" style="1612" bestFit="1" customWidth="1"/>
    <col min="520" max="520" width="15" style="1612" bestFit="1" customWidth="1"/>
    <col min="521" max="768" width="9.33203125" style="1612"/>
    <col min="769" max="769" width="6.83203125" style="1612" customWidth="1"/>
    <col min="770" max="770" width="80" style="1612" customWidth="1"/>
    <col min="771" max="771" width="14.6640625" style="1612" customWidth="1"/>
    <col min="772" max="772" width="13.6640625" style="1612" customWidth="1"/>
    <col min="773" max="773" width="15" style="1612" customWidth="1"/>
    <col min="774" max="774" width="0" style="1612" hidden="1" customWidth="1"/>
    <col min="775" max="775" width="12" style="1612" bestFit="1" customWidth="1"/>
    <col min="776" max="776" width="15" style="1612" bestFit="1" customWidth="1"/>
    <col min="777" max="1024" width="9.33203125" style="1612"/>
    <col min="1025" max="1025" width="6.83203125" style="1612" customWidth="1"/>
    <col min="1026" max="1026" width="80" style="1612" customWidth="1"/>
    <col min="1027" max="1027" width="14.6640625" style="1612" customWidth="1"/>
    <col min="1028" max="1028" width="13.6640625" style="1612" customWidth="1"/>
    <col min="1029" max="1029" width="15" style="1612" customWidth="1"/>
    <col min="1030" max="1030" width="0" style="1612" hidden="1" customWidth="1"/>
    <col min="1031" max="1031" width="12" style="1612" bestFit="1" customWidth="1"/>
    <col min="1032" max="1032" width="15" style="1612" bestFit="1" customWidth="1"/>
    <col min="1033" max="1280" width="9.33203125" style="1612"/>
    <col min="1281" max="1281" width="6.83203125" style="1612" customWidth="1"/>
    <col min="1282" max="1282" width="80" style="1612" customWidth="1"/>
    <col min="1283" max="1283" width="14.6640625" style="1612" customWidth="1"/>
    <col min="1284" max="1284" width="13.6640625" style="1612" customWidth="1"/>
    <col min="1285" max="1285" width="15" style="1612" customWidth="1"/>
    <col min="1286" max="1286" width="0" style="1612" hidden="1" customWidth="1"/>
    <col min="1287" max="1287" width="12" style="1612" bestFit="1" customWidth="1"/>
    <col min="1288" max="1288" width="15" style="1612" bestFit="1" customWidth="1"/>
    <col min="1289" max="1536" width="9.33203125" style="1612"/>
    <col min="1537" max="1537" width="6.83203125" style="1612" customWidth="1"/>
    <col min="1538" max="1538" width="80" style="1612" customWidth="1"/>
    <col min="1539" max="1539" width="14.6640625" style="1612" customWidth="1"/>
    <col min="1540" max="1540" width="13.6640625" style="1612" customWidth="1"/>
    <col min="1541" max="1541" width="15" style="1612" customWidth="1"/>
    <col min="1542" max="1542" width="0" style="1612" hidden="1" customWidth="1"/>
    <col min="1543" max="1543" width="12" style="1612" bestFit="1" customWidth="1"/>
    <col min="1544" max="1544" width="15" style="1612" bestFit="1" customWidth="1"/>
    <col min="1545" max="1792" width="9.33203125" style="1612"/>
    <col min="1793" max="1793" width="6.83203125" style="1612" customWidth="1"/>
    <col min="1794" max="1794" width="80" style="1612" customWidth="1"/>
    <col min="1795" max="1795" width="14.6640625" style="1612" customWidth="1"/>
    <col min="1796" max="1796" width="13.6640625" style="1612" customWidth="1"/>
    <col min="1797" max="1797" width="15" style="1612" customWidth="1"/>
    <col min="1798" max="1798" width="0" style="1612" hidden="1" customWidth="1"/>
    <col min="1799" max="1799" width="12" style="1612" bestFit="1" customWidth="1"/>
    <col min="1800" max="1800" width="15" style="1612" bestFit="1" customWidth="1"/>
    <col min="1801" max="2048" width="9.33203125" style="1612"/>
    <col min="2049" max="2049" width="6.83203125" style="1612" customWidth="1"/>
    <col min="2050" max="2050" width="80" style="1612" customWidth="1"/>
    <col min="2051" max="2051" width="14.6640625" style="1612" customWidth="1"/>
    <col min="2052" max="2052" width="13.6640625" style="1612" customWidth="1"/>
    <col min="2053" max="2053" width="15" style="1612" customWidth="1"/>
    <col min="2054" max="2054" width="0" style="1612" hidden="1" customWidth="1"/>
    <col min="2055" max="2055" width="12" style="1612" bestFit="1" customWidth="1"/>
    <col min="2056" max="2056" width="15" style="1612" bestFit="1" customWidth="1"/>
    <col min="2057" max="2304" width="9.33203125" style="1612"/>
    <col min="2305" max="2305" width="6.83203125" style="1612" customWidth="1"/>
    <col min="2306" max="2306" width="80" style="1612" customWidth="1"/>
    <col min="2307" max="2307" width="14.6640625" style="1612" customWidth="1"/>
    <col min="2308" max="2308" width="13.6640625" style="1612" customWidth="1"/>
    <col min="2309" max="2309" width="15" style="1612" customWidth="1"/>
    <col min="2310" max="2310" width="0" style="1612" hidden="1" customWidth="1"/>
    <col min="2311" max="2311" width="12" style="1612" bestFit="1" customWidth="1"/>
    <col min="2312" max="2312" width="15" style="1612" bestFit="1" customWidth="1"/>
    <col min="2313" max="2560" width="9.33203125" style="1612"/>
    <col min="2561" max="2561" width="6.83203125" style="1612" customWidth="1"/>
    <col min="2562" max="2562" width="80" style="1612" customWidth="1"/>
    <col min="2563" max="2563" width="14.6640625" style="1612" customWidth="1"/>
    <col min="2564" max="2564" width="13.6640625" style="1612" customWidth="1"/>
    <col min="2565" max="2565" width="15" style="1612" customWidth="1"/>
    <col min="2566" max="2566" width="0" style="1612" hidden="1" customWidth="1"/>
    <col min="2567" max="2567" width="12" style="1612" bestFit="1" customWidth="1"/>
    <col min="2568" max="2568" width="15" style="1612" bestFit="1" customWidth="1"/>
    <col min="2569" max="2816" width="9.33203125" style="1612"/>
    <col min="2817" max="2817" width="6.83203125" style="1612" customWidth="1"/>
    <col min="2818" max="2818" width="80" style="1612" customWidth="1"/>
    <col min="2819" max="2819" width="14.6640625" style="1612" customWidth="1"/>
    <col min="2820" max="2820" width="13.6640625" style="1612" customWidth="1"/>
    <col min="2821" max="2821" width="15" style="1612" customWidth="1"/>
    <col min="2822" max="2822" width="0" style="1612" hidden="1" customWidth="1"/>
    <col min="2823" max="2823" width="12" style="1612" bestFit="1" customWidth="1"/>
    <col min="2824" max="2824" width="15" style="1612" bestFit="1" customWidth="1"/>
    <col min="2825" max="3072" width="9.33203125" style="1612"/>
    <col min="3073" max="3073" width="6.83203125" style="1612" customWidth="1"/>
    <col min="3074" max="3074" width="80" style="1612" customWidth="1"/>
    <col min="3075" max="3075" width="14.6640625" style="1612" customWidth="1"/>
    <col min="3076" max="3076" width="13.6640625" style="1612" customWidth="1"/>
    <col min="3077" max="3077" width="15" style="1612" customWidth="1"/>
    <col min="3078" max="3078" width="0" style="1612" hidden="1" customWidth="1"/>
    <col min="3079" max="3079" width="12" style="1612" bestFit="1" customWidth="1"/>
    <col min="3080" max="3080" width="15" style="1612" bestFit="1" customWidth="1"/>
    <col min="3081" max="3328" width="9.33203125" style="1612"/>
    <col min="3329" max="3329" width="6.83203125" style="1612" customWidth="1"/>
    <col min="3330" max="3330" width="80" style="1612" customWidth="1"/>
    <col min="3331" max="3331" width="14.6640625" style="1612" customWidth="1"/>
    <col min="3332" max="3332" width="13.6640625" style="1612" customWidth="1"/>
    <col min="3333" max="3333" width="15" style="1612" customWidth="1"/>
    <col min="3334" max="3334" width="0" style="1612" hidden="1" customWidth="1"/>
    <col min="3335" max="3335" width="12" style="1612" bestFit="1" customWidth="1"/>
    <col min="3336" max="3336" width="15" style="1612" bestFit="1" customWidth="1"/>
    <col min="3337" max="3584" width="9.33203125" style="1612"/>
    <col min="3585" max="3585" width="6.83203125" style="1612" customWidth="1"/>
    <col min="3586" max="3586" width="80" style="1612" customWidth="1"/>
    <col min="3587" max="3587" width="14.6640625" style="1612" customWidth="1"/>
    <col min="3588" max="3588" width="13.6640625" style="1612" customWidth="1"/>
    <col min="3589" max="3589" width="15" style="1612" customWidth="1"/>
    <col min="3590" max="3590" width="0" style="1612" hidden="1" customWidth="1"/>
    <col min="3591" max="3591" width="12" style="1612" bestFit="1" customWidth="1"/>
    <col min="3592" max="3592" width="15" style="1612" bestFit="1" customWidth="1"/>
    <col min="3593" max="3840" width="9.33203125" style="1612"/>
    <col min="3841" max="3841" width="6.83203125" style="1612" customWidth="1"/>
    <col min="3842" max="3842" width="80" style="1612" customWidth="1"/>
    <col min="3843" max="3843" width="14.6640625" style="1612" customWidth="1"/>
    <col min="3844" max="3844" width="13.6640625" style="1612" customWidth="1"/>
    <col min="3845" max="3845" width="15" style="1612" customWidth="1"/>
    <col min="3846" max="3846" width="0" style="1612" hidden="1" customWidth="1"/>
    <col min="3847" max="3847" width="12" style="1612" bestFit="1" customWidth="1"/>
    <col min="3848" max="3848" width="15" style="1612" bestFit="1" customWidth="1"/>
    <col min="3849" max="4096" width="9.33203125" style="1612"/>
    <col min="4097" max="4097" width="6.83203125" style="1612" customWidth="1"/>
    <col min="4098" max="4098" width="80" style="1612" customWidth="1"/>
    <col min="4099" max="4099" width="14.6640625" style="1612" customWidth="1"/>
    <col min="4100" max="4100" width="13.6640625" style="1612" customWidth="1"/>
    <col min="4101" max="4101" width="15" style="1612" customWidth="1"/>
    <col min="4102" max="4102" width="0" style="1612" hidden="1" customWidth="1"/>
    <col min="4103" max="4103" width="12" style="1612" bestFit="1" customWidth="1"/>
    <col min="4104" max="4104" width="15" style="1612" bestFit="1" customWidth="1"/>
    <col min="4105" max="4352" width="9.33203125" style="1612"/>
    <col min="4353" max="4353" width="6.83203125" style="1612" customWidth="1"/>
    <col min="4354" max="4354" width="80" style="1612" customWidth="1"/>
    <col min="4355" max="4355" width="14.6640625" style="1612" customWidth="1"/>
    <col min="4356" max="4356" width="13.6640625" style="1612" customWidth="1"/>
    <col min="4357" max="4357" width="15" style="1612" customWidth="1"/>
    <col min="4358" max="4358" width="0" style="1612" hidden="1" customWidth="1"/>
    <col min="4359" max="4359" width="12" style="1612" bestFit="1" customWidth="1"/>
    <col min="4360" max="4360" width="15" style="1612" bestFit="1" customWidth="1"/>
    <col min="4361" max="4608" width="9.33203125" style="1612"/>
    <col min="4609" max="4609" width="6.83203125" style="1612" customWidth="1"/>
    <col min="4610" max="4610" width="80" style="1612" customWidth="1"/>
    <col min="4611" max="4611" width="14.6640625" style="1612" customWidth="1"/>
    <col min="4612" max="4612" width="13.6640625" style="1612" customWidth="1"/>
    <col min="4613" max="4613" width="15" style="1612" customWidth="1"/>
    <col min="4614" max="4614" width="0" style="1612" hidden="1" customWidth="1"/>
    <col min="4615" max="4615" width="12" style="1612" bestFit="1" customWidth="1"/>
    <col min="4616" max="4616" width="15" style="1612" bestFit="1" customWidth="1"/>
    <col min="4617" max="4864" width="9.33203125" style="1612"/>
    <col min="4865" max="4865" width="6.83203125" style="1612" customWidth="1"/>
    <col min="4866" max="4866" width="80" style="1612" customWidth="1"/>
    <col min="4867" max="4867" width="14.6640625" style="1612" customWidth="1"/>
    <col min="4868" max="4868" width="13.6640625" style="1612" customWidth="1"/>
    <col min="4869" max="4869" width="15" style="1612" customWidth="1"/>
    <col min="4870" max="4870" width="0" style="1612" hidden="1" customWidth="1"/>
    <col min="4871" max="4871" width="12" style="1612" bestFit="1" customWidth="1"/>
    <col min="4872" max="4872" width="15" style="1612" bestFit="1" customWidth="1"/>
    <col min="4873" max="5120" width="9.33203125" style="1612"/>
    <col min="5121" max="5121" width="6.83203125" style="1612" customWidth="1"/>
    <col min="5122" max="5122" width="80" style="1612" customWidth="1"/>
    <col min="5123" max="5123" width="14.6640625" style="1612" customWidth="1"/>
    <col min="5124" max="5124" width="13.6640625" style="1612" customWidth="1"/>
    <col min="5125" max="5125" width="15" style="1612" customWidth="1"/>
    <col min="5126" max="5126" width="0" style="1612" hidden="1" customWidth="1"/>
    <col min="5127" max="5127" width="12" style="1612" bestFit="1" customWidth="1"/>
    <col min="5128" max="5128" width="15" style="1612" bestFit="1" customWidth="1"/>
    <col min="5129" max="5376" width="9.33203125" style="1612"/>
    <col min="5377" max="5377" width="6.83203125" style="1612" customWidth="1"/>
    <col min="5378" max="5378" width="80" style="1612" customWidth="1"/>
    <col min="5379" max="5379" width="14.6640625" style="1612" customWidth="1"/>
    <col min="5380" max="5380" width="13.6640625" style="1612" customWidth="1"/>
    <col min="5381" max="5381" width="15" style="1612" customWidth="1"/>
    <col min="5382" max="5382" width="0" style="1612" hidden="1" customWidth="1"/>
    <col min="5383" max="5383" width="12" style="1612" bestFit="1" customWidth="1"/>
    <col min="5384" max="5384" width="15" style="1612" bestFit="1" customWidth="1"/>
    <col min="5385" max="5632" width="9.33203125" style="1612"/>
    <col min="5633" max="5633" width="6.83203125" style="1612" customWidth="1"/>
    <col min="5634" max="5634" width="80" style="1612" customWidth="1"/>
    <col min="5635" max="5635" width="14.6640625" style="1612" customWidth="1"/>
    <col min="5636" max="5636" width="13.6640625" style="1612" customWidth="1"/>
    <col min="5637" max="5637" width="15" style="1612" customWidth="1"/>
    <col min="5638" max="5638" width="0" style="1612" hidden="1" customWidth="1"/>
    <col min="5639" max="5639" width="12" style="1612" bestFit="1" customWidth="1"/>
    <col min="5640" max="5640" width="15" style="1612" bestFit="1" customWidth="1"/>
    <col min="5641" max="5888" width="9.33203125" style="1612"/>
    <col min="5889" max="5889" width="6.83203125" style="1612" customWidth="1"/>
    <col min="5890" max="5890" width="80" style="1612" customWidth="1"/>
    <col min="5891" max="5891" width="14.6640625" style="1612" customWidth="1"/>
    <col min="5892" max="5892" width="13.6640625" style="1612" customWidth="1"/>
    <col min="5893" max="5893" width="15" style="1612" customWidth="1"/>
    <col min="5894" max="5894" width="0" style="1612" hidden="1" customWidth="1"/>
    <col min="5895" max="5895" width="12" style="1612" bestFit="1" customWidth="1"/>
    <col min="5896" max="5896" width="15" style="1612" bestFit="1" customWidth="1"/>
    <col min="5897" max="6144" width="9.33203125" style="1612"/>
    <col min="6145" max="6145" width="6.83203125" style="1612" customWidth="1"/>
    <col min="6146" max="6146" width="80" style="1612" customWidth="1"/>
    <col min="6147" max="6147" width="14.6640625" style="1612" customWidth="1"/>
    <col min="6148" max="6148" width="13.6640625" style="1612" customWidth="1"/>
    <col min="6149" max="6149" width="15" style="1612" customWidth="1"/>
    <col min="6150" max="6150" width="0" style="1612" hidden="1" customWidth="1"/>
    <col min="6151" max="6151" width="12" style="1612" bestFit="1" customWidth="1"/>
    <col min="6152" max="6152" width="15" style="1612" bestFit="1" customWidth="1"/>
    <col min="6153" max="6400" width="9.33203125" style="1612"/>
    <col min="6401" max="6401" width="6.83203125" style="1612" customWidth="1"/>
    <col min="6402" max="6402" width="80" style="1612" customWidth="1"/>
    <col min="6403" max="6403" width="14.6640625" style="1612" customWidth="1"/>
    <col min="6404" max="6404" width="13.6640625" style="1612" customWidth="1"/>
    <col min="6405" max="6405" width="15" style="1612" customWidth="1"/>
    <col min="6406" max="6406" width="0" style="1612" hidden="1" customWidth="1"/>
    <col min="6407" max="6407" width="12" style="1612" bestFit="1" customWidth="1"/>
    <col min="6408" max="6408" width="15" style="1612" bestFit="1" customWidth="1"/>
    <col min="6409" max="6656" width="9.33203125" style="1612"/>
    <col min="6657" max="6657" width="6.83203125" style="1612" customWidth="1"/>
    <col min="6658" max="6658" width="80" style="1612" customWidth="1"/>
    <col min="6659" max="6659" width="14.6640625" style="1612" customWidth="1"/>
    <col min="6660" max="6660" width="13.6640625" style="1612" customWidth="1"/>
    <col min="6661" max="6661" width="15" style="1612" customWidth="1"/>
    <col min="6662" max="6662" width="0" style="1612" hidden="1" customWidth="1"/>
    <col min="6663" max="6663" width="12" style="1612" bestFit="1" customWidth="1"/>
    <col min="6664" max="6664" width="15" style="1612" bestFit="1" customWidth="1"/>
    <col min="6665" max="6912" width="9.33203125" style="1612"/>
    <col min="6913" max="6913" width="6.83203125" style="1612" customWidth="1"/>
    <col min="6914" max="6914" width="80" style="1612" customWidth="1"/>
    <col min="6915" max="6915" width="14.6640625" style="1612" customWidth="1"/>
    <col min="6916" max="6916" width="13.6640625" style="1612" customWidth="1"/>
    <col min="6917" max="6917" width="15" style="1612" customWidth="1"/>
    <col min="6918" max="6918" width="0" style="1612" hidden="1" customWidth="1"/>
    <col min="6919" max="6919" width="12" style="1612" bestFit="1" customWidth="1"/>
    <col min="6920" max="6920" width="15" style="1612" bestFit="1" customWidth="1"/>
    <col min="6921" max="7168" width="9.33203125" style="1612"/>
    <col min="7169" max="7169" width="6.83203125" style="1612" customWidth="1"/>
    <col min="7170" max="7170" width="80" style="1612" customWidth="1"/>
    <col min="7171" max="7171" width="14.6640625" style="1612" customWidth="1"/>
    <col min="7172" max="7172" width="13.6640625" style="1612" customWidth="1"/>
    <col min="7173" max="7173" width="15" style="1612" customWidth="1"/>
    <col min="7174" max="7174" width="0" style="1612" hidden="1" customWidth="1"/>
    <col min="7175" max="7175" width="12" style="1612" bestFit="1" customWidth="1"/>
    <col min="7176" max="7176" width="15" style="1612" bestFit="1" customWidth="1"/>
    <col min="7177" max="7424" width="9.33203125" style="1612"/>
    <col min="7425" max="7425" width="6.83203125" style="1612" customWidth="1"/>
    <col min="7426" max="7426" width="80" style="1612" customWidth="1"/>
    <col min="7427" max="7427" width="14.6640625" style="1612" customWidth="1"/>
    <col min="7428" max="7428" width="13.6640625" style="1612" customWidth="1"/>
    <col min="7429" max="7429" width="15" style="1612" customWidth="1"/>
    <col min="7430" max="7430" width="0" style="1612" hidden="1" customWidth="1"/>
    <col min="7431" max="7431" width="12" style="1612" bestFit="1" customWidth="1"/>
    <col min="7432" max="7432" width="15" style="1612" bestFit="1" customWidth="1"/>
    <col min="7433" max="7680" width="9.33203125" style="1612"/>
    <col min="7681" max="7681" width="6.83203125" style="1612" customWidth="1"/>
    <col min="7682" max="7682" width="80" style="1612" customWidth="1"/>
    <col min="7683" max="7683" width="14.6640625" style="1612" customWidth="1"/>
    <col min="7684" max="7684" width="13.6640625" style="1612" customWidth="1"/>
    <col min="7685" max="7685" width="15" style="1612" customWidth="1"/>
    <col min="7686" max="7686" width="0" style="1612" hidden="1" customWidth="1"/>
    <col min="7687" max="7687" width="12" style="1612" bestFit="1" customWidth="1"/>
    <col min="7688" max="7688" width="15" style="1612" bestFit="1" customWidth="1"/>
    <col min="7689" max="7936" width="9.33203125" style="1612"/>
    <col min="7937" max="7937" width="6.83203125" style="1612" customWidth="1"/>
    <col min="7938" max="7938" width="80" style="1612" customWidth="1"/>
    <col min="7939" max="7939" width="14.6640625" style="1612" customWidth="1"/>
    <col min="7940" max="7940" width="13.6640625" style="1612" customWidth="1"/>
    <col min="7941" max="7941" width="15" style="1612" customWidth="1"/>
    <col min="7942" max="7942" width="0" style="1612" hidden="1" customWidth="1"/>
    <col min="7943" max="7943" width="12" style="1612" bestFit="1" customWidth="1"/>
    <col min="7944" max="7944" width="15" style="1612" bestFit="1" customWidth="1"/>
    <col min="7945" max="8192" width="9.33203125" style="1612"/>
    <col min="8193" max="8193" width="6.83203125" style="1612" customWidth="1"/>
    <col min="8194" max="8194" width="80" style="1612" customWidth="1"/>
    <col min="8195" max="8195" width="14.6640625" style="1612" customWidth="1"/>
    <col min="8196" max="8196" width="13.6640625" style="1612" customWidth="1"/>
    <col min="8197" max="8197" width="15" style="1612" customWidth="1"/>
    <col min="8198" max="8198" width="0" style="1612" hidden="1" customWidth="1"/>
    <col min="8199" max="8199" width="12" style="1612" bestFit="1" customWidth="1"/>
    <col min="8200" max="8200" width="15" style="1612" bestFit="1" customWidth="1"/>
    <col min="8201" max="8448" width="9.33203125" style="1612"/>
    <col min="8449" max="8449" width="6.83203125" style="1612" customWidth="1"/>
    <col min="8450" max="8450" width="80" style="1612" customWidth="1"/>
    <col min="8451" max="8451" width="14.6640625" style="1612" customWidth="1"/>
    <col min="8452" max="8452" width="13.6640625" style="1612" customWidth="1"/>
    <col min="8453" max="8453" width="15" style="1612" customWidth="1"/>
    <col min="8454" max="8454" width="0" style="1612" hidden="1" customWidth="1"/>
    <col min="8455" max="8455" width="12" style="1612" bestFit="1" customWidth="1"/>
    <col min="8456" max="8456" width="15" style="1612" bestFit="1" customWidth="1"/>
    <col min="8457" max="8704" width="9.33203125" style="1612"/>
    <col min="8705" max="8705" width="6.83203125" style="1612" customWidth="1"/>
    <col min="8706" max="8706" width="80" style="1612" customWidth="1"/>
    <col min="8707" max="8707" width="14.6640625" style="1612" customWidth="1"/>
    <col min="8708" max="8708" width="13.6640625" style="1612" customWidth="1"/>
    <col min="8709" max="8709" width="15" style="1612" customWidth="1"/>
    <col min="8710" max="8710" width="0" style="1612" hidden="1" customWidth="1"/>
    <col min="8711" max="8711" width="12" style="1612" bestFit="1" customWidth="1"/>
    <col min="8712" max="8712" width="15" style="1612" bestFit="1" customWidth="1"/>
    <col min="8713" max="8960" width="9.33203125" style="1612"/>
    <col min="8961" max="8961" width="6.83203125" style="1612" customWidth="1"/>
    <col min="8962" max="8962" width="80" style="1612" customWidth="1"/>
    <col min="8963" max="8963" width="14.6640625" style="1612" customWidth="1"/>
    <col min="8964" max="8964" width="13.6640625" style="1612" customWidth="1"/>
    <col min="8965" max="8965" width="15" style="1612" customWidth="1"/>
    <col min="8966" max="8966" width="0" style="1612" hidden="1" customWidth="1"/>
    <col min="8967" max="8967" width="12" style="1612" bestFit="1" customWidth="1"/>
    <col min="8968" max="8968" width="15" style="1612" bestFit="1" customWidth="1"/>
    <col min="8969" max="9216" width="9.33203125" style="1612"/>
    <col min="9217" max="9217" width="6.83203125" style="1612" customWidth="1"/>
    <col min="9218" max="9218" width="80" style="1612" customWidth="1"/>
    <col min="9219" max="9219" width="14.6640625" style="1612" customWidth="1"/>
    <col min="9220" max="9220" width="13.6640625" style="1612" customWidth="1"/>
    <col min="9221" max="9221" width="15" style="1612" customWidth="1"/>
    <col min="9222" max="9222" width="0" style="1612" hidden="1" customWidth="1"/>
    <col min="9223" max="9223" width="12" style="1612" bestFit="1" customWidth="1"/>
    <col min="9224" max="9224" width="15" style="1612" bestFit="1" customWidth="1"/>
    <col min="9225" max="9472" width="9.33203125" style="1612"/>
    <col min="9473" max="9473" width="6.83203125" style="1612" customWidth="1"/>
    <col min="9474" max="9474" width="80" style="1612" customWidth="1"/>
    <col min="9475" max="9475" width="14.6640625" style="1612" customWidth="1"/>
    <col min="9476" max="9476" width="13.6640625" style="1612" customWidth="1"/>
    <col min="9477" max="9477" width="15" style="1612" customWidth="1"/>
    <col min="9478" max="9478" width="0" style="1612" hidden="1" customWidth="1"/>
    <col min="9479" max="9479" width="12" style="1612" bestFit="1" customWidth="1"/>
    <col min="9480" max="9480" width="15" style="1612" bestFit="1" customWidth="1"/>
    <col min="9481" max="9728" width="9.33203125" style="1612"/>
    <col min="9729" max="9729" width="6.83203125" style="1612" customWidth="1"/>
    <col min="9730" max="9730" width="80" style="1612" customWidth="1"/>
    <col min="9731" max="9731" width="14.6640625" style="1612" customWidth="1"/>
    <col min="9732" max="9732" width="13.6640625" style="1612" customWidth="1"/>
    <col min="9733" max="9733" width="15" style="1612" customWidth="1"/>
    <col min="9734" max="9734" width="0" style="1612" hidden="1" customWidth="1"/>
    <col min="9735" max="9735" width="12" style="1612" bestFit="1" customWidth="1"/>
    <col min="9736" max="9736" width="15" style="1612" bestFit="1" customWidth="1"/>
    <col min="9737" max="9984" width="9.33203125" style="1612"/>
    <col min="9985" max="9985" width="6.83203125" style="1612" customWidth="1"/>
    <col min="9986" max="9986" width="80" style="1612" customWidth="1"/>
    <col min="9987" max="9987" width="14.6640625" style="1612" customWidth="1"/>
    <col min="9988" max="9988" width="13.6640625" style="1612" customWidth="1"/>
    <col min="9989" max="9989" width="15" style="1612" customWidth="1"/>
    <col min="9990" max="9990" width="0" style="1612" hidden="1" customWidth="1"/>
    <col min="9991" max="9991" width="12" style="1612" bestFit="1" customWidth="1"/>
    <col min="9992" max="9992" width="15" style="1612" bestFit="1" customWidth="1"/>
    <col min="9993" max="10240" width="9.33203125" style="1612"/>
    <col min="10241" max="10241" width="6.83203125" style="1612" customWidth="1"/>
    <col min="10242" max="10242" width="80" style="1612" customWidth="1"/>
    <col min="10243" max="10243" width="14.6640625" style="1612" customWidth="1"/>
    <col min="10244" max="10244" width="13.6640625" style="1612" customWidth="1"/>
    <col min="10245" max="10245" width="15" style="1612" customWidth="1"/>
    <col min="10246" max="10246" width="0" style="1612" hidden="1" customWidth="1"/>
    <col min="10247" max="10247" width="12" style="1612" bestFit="1" customWidth="1"/>
    <col min="10248" max="10248" width="15" style="1612" bestFit="1" customWidth="1"/>
    <col min="10249" max="10496" width="9.33203125" style="1612"/>
    <col min="10497" max="10497" width="6.83203125" style="1612" customWidth="1"/>
    <col min="10498" max="10498" width="80" style="1612" customWidth="1"/>
    <col min="10499" max="10499" width="14.6640625" style="1612" customWidth="1"/>
    <col min="10500" max="10500" width="13.6640625" style="1612" customWidth="1"/>
    <col min="10501" max="10501" width="15" style="1612" customWidth="1"/>
    <col min="10502" max="10502" width="0" style="1612" hidden="1" customWidth="1"/>
    <col min="10503" max="10503" width="12" style="1612" bestFit="1" customWidth="1"/>
    <col min="10504" max="10504" width="15" style="1612" bestFit="1" customWidth="1"/>
    <col min="10505" max="10752" width="9.33203125" style="1612"/>
    <col min="10753" max="10753" width="6.83203125" style="1612" customWidth="1"/>
    <col min="10754" max="10754" width="80" style="1612" customWidth="1"/>
    <col min="10755" max="10755" width="14.6640625" style="1612" customWidth="1"/>
    <col min="10756" max="10756" width="13.6640625" style="1612" customWidth="1"/>
    <col min="10757" max="10757" width="15" style="1612" customWidth="1"/>
    <col min="10758" max="10758" width="0" style="1612" hidden="1" customWidth="1"/>
    <col min="10759" max="10759" width="12" style="1612" bestFit="1" customWidth="1"/>
    <col min="10760" max="10760" width="15" style="1612" bestFit="1" customWidth="1"/>
    <col min="10761" max="11008" width="9.33203125" style="1612"/>
    <col min="11009" max="11009" width="6.83203125" style="1612" customWidth="1"/>
    <col min="11010" max="11010" width="80" style="1612" customWidth="1"/>
    <col min="11011" max="11011" width="14.6640625" style="1612" customWidth="1"/>
    <col min="11012" max="11012" width="13.6640625" style="1612" customWidth="1"/>
    <col min="11013" max="11013" width="15" style="1612" customWidth="1"/>
    <col min="11014" max="11014" width="0" style="1612" hidden="1" customWidth="1"/>
    <col min="11015" max="11015" width="12" style="1612" bestFit="1" customWidth="1"/>
    <col min="11016" max="11016" width="15" style="1612" bestFit="1" customWidth="1"/>
    <col min="11017" max="11264" width="9.33203125" style="1612"/>
    <col min="11265" max="11265" width="6.83203125" style="1612" customWidth="1"/>
    <col min="11266" max="11266" width="80" style="1612" customWidth="1"/>
    <col min="11267" max="11267" width="14.6640625" style="1612" customWidth="1"/>
    <col min="11268" max="11268" width="13.6640625" style="1612" customWidth="1"/>
    <col min="11269" max="11269" width="15" style="1612" customWidth="1"/>
    <col min="11270" max="11270" width="0" style="1612" hidden="1" customWidth="1"/>
    <col min="11271" max="11271" width="12" style="1612" bestFit="1" customWidth="1"/>
    <col min="11272" max="11272" width="15" style="1612" bestFit="1" customWidth="1"/>
    <col min="11273" max="11520" width="9.33203125" style="1612"/>
    <col min="11521" max="11521" width="6.83203125" style="1612" customWidth="1"/>
    <col min="11522" max="11522" width="80" style="1612" customWidth="1"/>
    <col min="11523" max="11523" width="14.6640625" style="1612" customWidth="1"/>
    <col min="11524" max="11524" width="13.6640625" style="1612" customWidth="1"/>
    <col min="11525" max="11525" width="15" style="1612" customWidth="1"/>
    <col min="11526" max="11526" width="0" style="1612" hidden="1" customWidth="1"/>
    <col min="11527" max="11527" width="12" style="1612" bestFit="1" customWidth="1"/>
    <col min="11528" max="11528" width="15" style="1612" bestFit="1" customWidth="1"/>
    <col min="11529" max="11776" width="9.33203125" style="1612"/>
    <col min="11777" max="11777" width="6.83203125" style="1612" customWidth="1"/>
    <col min="11778" max="11778" width="80" style="1612" customWidth="1"/>
    <col min="11779" max="11779" width="14.6640625" style="1612" customWidth="1"/>
    <col min="11780" max="11780" width="13.6640625" style="1612" customWidth="1"/>
    <col min="11781" max="11781" width="15" style="1612" customWidth="1"/>
    <col min="11782" max="11782" width="0" style="1612" hidden="1" customWidth="1"/>
    <col min="11783" max="11783" width="12" style="1612" bestFit="1" customWidth="1"/>
    <col min="11784" max="11784" width="15" style="1612" bestFit="1" customWidth="1"/>
    <col min="11785" max="12032" width="9.33203125" style="1612"/>
    <col min="12033" max="12033" width="6.83203125" style="1612" customWidth="1"/>
    <col min="12034" max="12034" width="80" style="1612" customWidth="1"/>
    <col min="12035" max="12035" width="14.6640625" style="1612" customWidth="1"/>
    <col min="12036" max="12036" width="13.6640625" style="1612" customWidth="1"/>
    <col min="12037" max="12037" width="15" style="1612" customWidth="1"/>
    <col min="12038" max="12038" width="0" style="1612" hidden="1" customWidth="1"/>
    <col min="12039" max="12039" width="12" style="1612" bestFit="1" customWidth="1"/>
    <col min="12040" max="12040" width="15" style="1612" bestFit="1" customWidth="1"/>
    <col min="12041" max="12288" width="9.33203125" style="1612"/>
    <col min="12289" max="12289" width="6.83203125" style="1612" customWidth="1"/>
    <col min="12290" max="12290" width="80" style="1612" customWidth="1"/>
    <col min="12291" max="12291" width="14.6640625" style="1612" customWidth="1"/>
    <col min="12292" max="12292" width="13.6640625" style="1612" customWidth="1"/>
    <col min="12293" max="12293" width="15" style="1612" customWidth="1"/>
    <col min="12294" max="12294" width="0" style="1612" hidden="1" customWidth="1"/>
    <col min="12295" max="12295" width="12" style="1612" bestFit="1" customWidth="1"/>
    <col min="12296" max="12296" width="15" style="1612" bestFit="1" customWidth="1"/>
    <col min="12297" max="12544" width="9.33203125" style="1612"/>
    <col min="12545" max="12545" width="6.83203125" style="1612" customWidth="1"/>
    <col min="12546" max="12546" width="80" style="1612" customWidth="1"/>
    <col min="12547" max="12547" width="14.6640625" style="1612" customWidth="1"/>
    <col min="12548" max="12548" width="13.6640625" style="1612" customWidth="1"/>
    <col min="12549" max="12549" width="15" style="1612" customWidth="1"/>
    <col min="12550" max="12550" width="0" style="1612" hidden="1" customWidth="1"/>
    <col min="12551" max="12551" width="12" style="1612" bestFit="1" customWidth="1"/>
    <col min="12552" max="12552" width="15" style="1612" bestFit="1" customWidth="1"/>
    <col min="12553" max="12800" width="9.33203125" style="1612"/>
    <col min="12801" max="12801" width="6.83203125" style="1612" customWidth="1"/>
    <col min="12802" max="12802" width="80" style="1612" customWidth="1"/>
    <col min="12803" max="12803" width="14.6640625" style="1612" customWidth="1"/>
    <col min="12804" max="12804" width="13.6640625" style="1612" customWidth="1"/>
    <col min="12805" max="12805" width="15" style="1612" customWidth="1"/>
    <col min="12806" max="12806" width="0" style="1612" hidden="1" customWidth="1"/>
    <col min="12807" max="12807" width="12" style="1612" bestFit="1" customWidth="1"/>
    <col min="12808" max="12808" width="15" style="1612" bestFit="1" customWidth="1"/>
    <col min="12809" max="13056" width="9.33203125" style="1612"/>
    <col min="13057" max="13057" width="6.83203125" style="1612" customWidth="1"/>
    <col min="13058" max="13058" width="80" style="1612" customWidth="1"/>
    <col min="13059" max="13059" width="14.6640625" style="1612" customWidth="1"/>
    <col min="13060" max="13060" width="13.6640625" style="1612" customWidth="1"/>
    <col min="13061" max="13061" width="15" style="1612" customWidth="1"/>
    <col min="13062" max="13062" width="0" style="1612" hidden="1" customWidth="1"/>
    <col min="13063" max="13063" width="12" style="1612" bestFit="1" customWidth="1"/>
    <col min="13064" max="13064" width="15" style="1612" bestFit="1" customWidth="1"/>
    <col min="13065" max="13312" width="9.33203125" style="1612"/>
    <col min="13313" max="13313" width="6.83203125" style="1612" customWidth="1"/>
    <col min="13314" max="13314" width="80" style="1612" customWidth="1"/>
    <col min="13315" max="13315" width="14.6640625" style="1612" customWidth="1"/>
    <col min="13316" max="13316" width="13.6640625" style="1612" customWidth="1"/>
    <col min="13317" max="13317" width="15" style="1612" customWidth="1"/>
    <col min="13318" max="13318" width="0" style="1612" hidden="1" customWidth="1"/>
    <col min="13319" max="13319" width="12" style="1612" bestFit="1" customWidth="1"/>
    <col min="13320" max="13320" width="15" style="1612" bestFit="1" customWidth="1"/>
    <col min="13321" max="13568" width="9.33203125" style="1612"/>
    <col min="13569" max="13569" width="6.83203125" style="1612" customWidth="1"/>
    <col min="13570" max="13570" width="80" style="1612" customWidth="1"/>
    <col min="13571" max="13571" width="14.6640625" style="1612" customWidth="1"/>
    <col min="13572" max="13572" width="13.6640625" style="1612" customWidth="1"/>
    <col min="13573" max="13573" width="15" style="1612" customWidth="1"/>
    <col min="13574" max="13574" width="0" style="1612" hidden="1" customWidth="1"/>
    <col min="13575" max="13575" width="12" style="1612" bestFit="1" customWidth="1"/>
    <col min="13576" max="13576" width="15" style="1612" bestFit="1" customWidth="1"/>
    <col min="13577" max="13824" width="9.33203125" style="1612"/>
    <col min="13825" max="13825" width="6.83203125" style="1612" customWidth="1"/>
    <col min="13826" max="13826" width="80" style="1612" customWidth="1"/>
    <col min="13827" max="13827" width="14.6640625" style="1612" customWidth="1"/>
    <col min="13828" max="13828" width="13.6640625" style="1612" customWidth="1"/>
    <col min="13829" max="13829" width="15" style="1612" customWidth="1"/>
    <col min="13830" max="13830" width="0" style="1612" hidden="1" customWidth="1"/>
    <col min="13831" max="13831" width="12" style="1612" bestFit="1" customWidth="1"/>
    <col min="13832" max="13832" width="15" style="1612" bestFit="1" customWidth="1"/>
    <col min="13833" max="14080" width="9.33203125" style="1612"/>
    <col min="14081" max="14081" width="6.83203125" style="1612" customWidth="1"/>
    <col min="14082" max="14082" width="80" style="1612" customWidth="1"/>
    <col min="14083" max="14083" width="14.6640625" style="1612" customWidth="1"/>
    <col min="14084" max="14084" width="13.6640625" style="1612" customWidth="1"/>
    <col min="14085" max="14085" width="15" style="1612" customWidth="1"/>
    <col min="14086" max="14086" width="0" style="1612" hidden="1" customWidth="1"/>
    <col min="14087" max="14087" width="12" style="1612" bestFit="1" customWidth="1"/>
    <col min="14088" max="14088" width="15" style="1612" bestFit="1" customWidth="1"/>
    <col min="14089" max="14336" width="9.33203125" style="1612"/>
    <col min="14337" max="14337" width="6.83203125" style="1612" customWidth="1"/>
    <col min="14338" max="14338" width="80" style="1612" customWidth="1"/>
    <col min="14339" max="14339" width="14.6640625" style="1612" customWidth="1"/>
    <col min="14340" max="14340" width="13.6640625" style="1612" customWidth="1"/>
    <col min="14341" max="14341" width="15" style="1612" customWidth="1"/>
    <col min="14342" max="14342" width="0" style="1612" hidden="1" customWidth="1"/>
    <col min="14343" max="14343" width="12" style="1612" bestFit="1" customWidth="1"/>
    <col min="14344" max="14344" width="15" style="1612" bestFit="1" customWidth="1"/>
    <col min="14345" max="14592" width="9.33203125" style="1612"/>
    <col min="14593" max="14593" width="6.83203125" style="1612" customWidth="1"/>
    <col min="14594" max="14594" width="80" style="1612" customWidth="1"/>
    <col min="14595" max="14595" width="14.6640625" style="1612" customWidth="1"/>
    <col min="14596" max="14596" width="13.6640625" style="1612" customWidth="1"/>
    <col min="14597" max="14597" width="15" style="1612" customWidth="1"/>
    <col min="14598" max="14598" width="0" style="1612" hidden="1" customWidth="1"/>
    <col min="14599" max="14599" width="12" style="1612" bestFit="1" customWidth="1"/>
    <col min="14600" max="14600" width="15" style="1612" bestFit="1" customWidth="1"/>
    <col min="14601" max="14848" width="9.33203125" style="1612"/>
    <col min="14849" max="14849" width="6.83203125" style="1612" customWidth="1"/>
    <col min="14850" max="14850" width="80" style="1612" customWidth="1"/>
    <col min="14851" max="14851" width="14.6640625" style="1612" customWidth="1"/>
    <col min="14852" max="14852" width="13.6640625" style="1612" customWidth="1"/>
    <col min="14853" max="14853" width="15" style="1612" customWidth="1"/>
    <col min="14854" max="14854" width="0" style="1612" hidden="1" customWidth="1"/>
    <col min="14855" max="14855" width="12" style="1612" bestFit="1" customWidth="1"/>
    <col min="14856" max="14856" width="15" style="1612" bestFit="1" customWidth="1"/>
    <col min="14857" max="15104" width="9.33203125" style="1612"/>
    <col min="15105" max="15105" width="6.83203125" style="1612" customWidth="1"/>
    <col min="15106" max="15106" width="80" style="1612" customWidth="1"/>
    <col min="15107" max="15107" width="14.6640625" style="1612" customWidth="1"/>
    <col min="15108" max="15108" width="13.6640625" style="1612" customWidth="1"/>
    <col min="15109" max="15109" width="15" style="1612" customWidth="1"/>
    <col min="15110" max="15110" width="0" style="1612" hidden="1" customWidth="1"/>
    <col min="15111" max="15111" width="12" style="1612" bestFit="1" customWidth="1"/>
    <col min="15112" max="15112" width="15" style="1612" bestFit="1" customWidth="1"/>
    <col min="15113" max="15360" width="9.33203125" style="1612"/>
    <col min="15361" max="15361" width="6.83203125" style="1612" customWidth="1"/>
    <col min="15362" max="15362" width="80" style="1612" customWidth="1"/>
    <col min="15363" max="15363" width="14.6640625" style="1612" customWidth="1"/>
    <col min="15364" max="15364" width="13.6640625" style="1612" customWidth="1"/>
    <col min="15365" max="15365" width="15" style="1612" customWidth="1"/>
    <col min="15366" max="15366" width="0" style="1612" hidden="1" customWidth="1"/>
    <col min="15367" max="15367" width="12" style="1612" bestFit="1" customWidth="1"/>
    <col min="15368" max="15368" width="15" style="1612" bestFit="1" customWidth="1"/>
    <col min="15369" max="15616" width="9.33203125" style="1612"/>
    <col min="15617" max="15617" width="6.83203125" style="1612" customWidth="1"/>
    <col min="15618" max="15618" width="80" style="1612" customWidth="1"/>
    <col min="15619" max="15619" width="14.6640625" style="1612" customWidth="1"/>
    <col min="15620" max="15620" width="13.6640625" style="1612" customWidth="1"/>
    <col min="15621" max="15621" width="15" style="1612" customWidth="1"/>
    <col min="15622" max="15622" width="0" style="1612" hidden="1" customWidth="1"/>
    <col min="15623" max="15623" width="12" style="1612" bestFit="1" customWidth="1"/>
    <col min="15624" max="15624" width="15" style="1612" bestFit="1" customWidth="1"/>
    <col min="15625" max="15872" width="9.33203125" style="1612"/>
    <col min="15873" max="15873" width="6.83203125" style="1612" customWidth="1"/>
    <col min="15874" max="15874" width="80" style="1612" customWidth="1"/>
    <col min="15875" max="15875" width="14.6640625" style="1612" customWidth="1"/>
    <col min="15876" max="15876" width="13.6640625" style="1612" customWidth="1"/>
    <col min="15877" max="15877" width="15" style="1612" customWidth="1"/>
    <col min="15878" max="15878" width="0" style="1612" hidden="1" customWidth="1"/>
    <col min="15879" max="15879" width="12" style="1612" bestFit="1" customWidth="1"/>
    <col min="15880" max="15880" width="15" style="1612" bestFit="1" customWidth="1"/>
    <col min="15881" max="16128" width="9.33203125" style="1612"/>
    <col min="16129" max="16129" width="6.83203125" style="1612" customWidth="1"/>
    <col min="16130" max="16130" width="80" style="1612" customWidth="1"/>
    <col min="16131" max="16131" width="14.6640625" style="1612" customWidth="1"/>
    <col min="16132" max="16132" width="13.6640625" style="1612" customWidth="1"/>
    <col min="16133" max="16133" width="15" style="1612" customWidth="1"/>
    <col min="16134" max="16134" width="0" style="1612" hidden="1" customWidth="1"/>
    <col min="16135" max="16135" width="12" style="1612" bestFit="1" customWidth="1"/>
    <col min="16136" max="16136" width="15" style="1612" bestFit="1" customWidth="1"/>
    <col min="16137" max="16384" width="9.33203125" style="1612"/>
  </cols>
  <sheetData>
    <row r="1" spans="1:10" ht="13.5" thickBot="1">
      <c r="A1" s="1609"/>
      <c r="B1" s="1610"/>
      <c r="C1" s="1610"/>
      <c r="D1" s="1610"/>
      <c r="E1" s="1611"/>
    </row>
    <row r="2" spans="1:10" ht="13.5" thickBot="1">
      <c r="A2" s="1613"/>
      <c r="B2" s="1613"/>
      <c r="C2" s="1613"/>
      <c r="D2" s="1613"/>
      <c r="E2" s="1614" t="s">
        <v>2311</v>
      </c>
    </row>
    <row r="3" spans="1:10">
      <c r="A3" s="1613"/>
      <c r="B3" s="1613"/>
      <c r="C3" s="1613"/>
      <c r="D3" s="1613"/>
      <c r="E3" s="1615"/>
    </row>
    <row r="4" spans="1:10">
      <c r="A4" s="2925" t="s">
        <v>1063</v>
      </c>
      <c r="B4" s="2925"/>
      <c r="C4" s="2925"/>
      <c r="D4" s="2925"/>
      <c r="E4" s="2925"/>
    </row>
    <row r="5" spans="1:10">
      <c r="A5" s="2926" t="s">
        <v>2312</v>
      </c>
      <c r="B5" s="2926"/>
      <c r="C5" s="2926"/>
      <c r="D5" s="2926"/>
      <c r="E5" s="2926"/>
    </row>
    <row r="6" spans="1:10">
      <c r="A6" s="2926" t="s">
        <v>2313</v>
      </c>
      <c r="B6" s="2926"/>
      <c r="C6" s="2926"/>
      <c r="D6" s="2926"/>
      <c r="E6" s="2926"/>
    </row>
    <row r="7" spans="1:10">
      <c r="A7" s="2926" t="s">
        <v>2314</v>
      </c>
      <c r="B7" s="2926"/>
      <c r="C7" s="2926"/>
      <c r="D7" s="2926"/>
      <c r="E7" s="2926"/>
    </row>
    <row r="8" spans="1:10">
      <c r="A8" s="2927" t="s">
        <v>502</v>
      </c>
      <c r="B8" s="2927"/>
      <c r="C8" s="2927"/>
      <c r="D8" s="2927"/>
      <c r="E8" s="2927"/>
    </row>
    <row r="9" spans="1:10">
      <c r="A9" s="1610"/>
      <c r="B9" s="1616"/>
      <c r="C9" s="1617"/>
      <c r="D9" s="1610"/>
      <c r="E9" s="1610"/>
    </row>
    <row r="10" spans="1:10">
      <c r="A10" s="1618" t="s">
        <v>24</v>
      </c>
      <c r="B10" s="1610"/>
      <c r="C10" s="1619"/>
      <c r="D10" s="1620"/>
      <c r="E10" s="1621"/>
    </row>
    <row r="11" spans="1:10">
      <c r="A11" s="1622" t="s">
        <v>38</v>
      </c>
      <c r="B11" s="1623" t="s">
        <v>39</v>
      </c>
      <c r="C11" s="1622" t="s">
        <v>36</v>
      </c>
      <c r="D11" s="1622" t="s">
        <v>40</v>
      </c>
      <c r="E11" s="1622" t="s">
        <v>42</v>
      </c>
    </row>
    <row r="12" spans="1:10">
      <c r="A12" s="1624"/>
      <c r="B12" s="1616"/>
      <c r="C12" s="1624"/>
      <c r="D12" s="1624"/>
      <c r="E12" s="1624"/>
    </row>
    <row r="13" spans="1:10">
      <c r="A13" s="1624">
        <v>1</v>
      </c>
      <c r="B13" s="1625" t="s">
        <v>261</v>
      </c>
      <c r="C13" s="1626"/>
      <c r="D13" s="1626"/>
      <c r="E13" s="1626"/>
    </row>
    <row r="14" spans="1:10">
      <c r="A14" s="1624">
        <f t="shared" ref="A14:A20" si="0">A13+1</f>
        <v>2</v>
      </c>
      <c r="B14" s="219" t="s">
        <v>501</v>
      </c>
      <c r="C14" s="1627">
        <f>'5.03G - Breakdown'!D10</f>
        <v>8525942.4000000022</v>
      </c>
      <c r="D14" s="1627">
        <f>'5.03G - Breakdown'!D14</f>
        <v>7541081.2947186148</v>
      </c>
      <c r="E14" s="1627">
        <f>D14-C14</f>
        <v>-984861.10528138746</v>
      </c>
      <c r="F14" s="222"/>
      <c r="G14" s="222"/>
    </row>
    <row r="15" spans="1:10">
      <c r="A15" s="1624">
        <f t="shared" si="0"/>
        <v>3</v>
      </c>
      <c r="B15" s="1628" t="s">
        <v>487</v>
      </c>
      <c r="C15" s="1629">
        <f>SUM(C14:C14)</f>
        <v>8525942.4000000022</v>
      </c>
      <c r="D15" s="1629">
        <f>SUM(D14:D14)</f>
        <v>7541081.2947186148</v>
      </c>
      <c r="E15" s="1629">
        <f>SUM(E14:E14)</f>
        <v>-984861.10528138746</v>
      </c>
    </row>
    <row r="16" spans="1:10">
      <c r="A16" s="1624">
        <f t="shared" si="0"/>
        <v>4</v>
      </c>
      <c r="C16" s="1630"/>
      <c r="D16" s="1630"/>
      <c r="E16" s="1631"/>
      <c r="G16" s="1632"/>
      <c r="J16" s="219"/>
    </row>
    <row r="17" spans="1:10">
      <c r="A17" s="1624">
        <f t="shared" si="0"/>
        <v>5</v>
      </c>
      <c r="B17" s="1633" t="s">
        <v>488</v>
      </c>
      <c r="C17" s="221"/>
      <c r="D17" s="222"/>
      <c r="E17" s="1634">
        <f>-E15</f>
        <v>984861.10528138746</v>
      </c>
      <c r="J17" s="219"/>
    </row>
    <row r="18" spans="1:10">
      <c r="A18" s="1624">
        <f t="shared" si="0"/>
        <v>6</v>
      </c>
      <c r="B18" s="1635" t="s">
        <v>489</v>
      </c>
      <c r="C18" s="1635"/>
      <c r="D18" s="223">
        <f>'Exhibit No._(CTM-2), Pg. 7-9'!D19</f>
        <v>0.35</v>
      </c>
      <c r="E18" s="1636">
        <f>E17*D18</f>
        <v>344701.38684848556</v>
      </c>
      <c r="F18" s="1637" t="s">
        <v>2315</v>
      </c>
      <c r="H18" s="1630"/>
      <c r="J18" s="1638"/>
    </row>
    <row r="19" spans="1:10">
      <c r="A19" s="1624">
        <f t="shared" si="0"/>
        <v>7</v>
      </c>
      <c r="C19" s="1630"/>
      <c r="D19" s="1630"/>
      <c r="E19" s="1639"/>
      <c r="F19" s="1637"/>
      <c r="H19" s="1630"/>
      <c r="J19" s="1638"/>
    </row>
    <row r="20" spans="1:10">
      <c r="A20" s="1624">
        <f t="shared" si="0"/>
        <v>8</v>
      </c>
      <c r="B20" s="1640" t="s">
        <v>74</v>
      </c>
      <c r="C20" s="1641"/>
      <c r="D20" s="1642"/>
      <c r="E20" s="1643">
        <f>E17-E18</f>
        <v>640159.71843290189</v>
      </c>
      <c r="F20" s="1637"/>
      <c r="G20" s="1632"/>
      <c r="H20" s="1630"/>
      <c r="J20" s="1638"/>
    </row>
    <row r="21" spans="1:10">
      <c r="A21" s="1624" t="s">
        <v>18</v>
      </c>
      <c r="E21" s="1644"/>
      <c r="H21" s="219"/>
    </row>
    <row r="22" spans="1:10">
      <c r="A22" s="1624"/>
    </row>
    <row r="23" spans="1:10">
      <c r="A23" s="1617"/>
    </row>
    <row r="24" spans="1:10">
      <c r="A24" s="1617"/>
    </row>
    <row r="27" spans="1:10">
      <c r="B27" s="1626"/>
    </row>
  </sheetData>
  <mergeCells count="5">
    <mergeCell ref="A4:E4"/>
    <mergeCell ref="A5:E5"/>
    <mergeCell ref="A6:E6"/>
    <mergeCell ref="A7:E7"/>
    <mergeCell ref="A8:E8"/>
  </mergeCells>
  <printOptions horizontalCentered="1"/>
  <pageMargins left="0.5" right="0.5" top="0.94" bottom="0.86" header="0.5" footer="0.5"/>
  <pageSetup scale="85"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C2:E14"/>
  <sheetViews>
    <sheetView zoomScaleNormal="100" workbookViewId="0">
      <selection activeCell="D16" sqref="D16"/>
    </sheetView>
  </sheetViews>
  <sheetFormatPr defaultRowHeight="12.75"/>
  <cols>
    <col min="1" max="2" width="9.33203125" style="1612"/>
    <col min="3" max="3" width="50.33203125" style="1612" bestFit="1" customWidth="1"/>
    <col min="4" max="5" width="18.1640625" style="1612" bestFit="1" customWidth="1"/>
    <col min="6" max="258" width="9.33203125" style="1612"/>
    <col min="259" max="259" width="50.33203125" style="1612" bestFit="1" customWidth="1"/>
    <col min="260" max="261" width="18.1640625" style="1612" bestFit="1" customWidth="1"/>
    <col min="262" max="514" width="9.33203125" style="1612"/>
    <col min="515" max="515" width="50.33203125" style="1612" bestFit="1" customWidth="1"/>
    <col min="516" max="517" width="18.1640625" style="1612" bestFit="1" customWidth="1"/>
    <col min="518" max="770" width="9.33203125" style="1612"/>
    <col min="771" max="771" width="50.33203125" style="1612" bestFit="1" customWidth="1"/>
    <col min="772" max="773" width="18.1640625" style="1612" bestFit="1" customWidth="1"/>
    <col min="774" max="1026" width="9.33203125" style="1612"/>
    <col min="1027" max="1027" width="50.33203125" style="1612" bestFit="1" customWidth="1"/>
    <col min="1028" max="1029" width="18.1640625" style="1612" bestFit="1" customWidth="1"/>
    <col min="1030" max="1282" width="9.33203125" style="1612"/>
    <col min="1283" max="1283" width="50.33203125" style="1612" bestFit="1" customWidth="1"/>
    <col min="1284" max="1285" width="18.1640625" style="1612" bestFit="1" customWidth="1"/>
    <col min="1286" max="1538" width="9.33203125" style="1612"/>
    <col min="1539" max="1539" width="50.33203125" style="1612" bestFit="1" customWidth="1"/>
    <col min="1540" max="1541" width="18.1640625" style="1612" bestFit="1" customWidth="1"/>
    <col min="1542" max="1794" width="9.33203125" style="1612"/>
    <col min="1795" max="1795" width="50.33203125" style="1612" bestFit="1" customWidth="1"/>
    <col min="1796" max="1797" width="18.1640625" style="1612" bestFit="1" customWidth="1"/>
    <col min="1798" max="2050" width="9.33203125" style="1612"/>
    <col min="2051" max="2051" width="50.33203125" style="1612" bestFit="1" customWidth="1"/>
    <col min="2052" max="2053" width="18.1640625" style="1612" bestFit="1" customWidth="1"/>
    <col min="2054" max="2306" width="9.33203125" style="1612"/>
    <col min="2307" max="2307" width="50.33203125" style="1612" bestFit="1" customWidth="1"/>
    <col min="2308" max="2309" width="18.1640625" style="1612" bestFit="1" customWidth="1"/>
    <col min="2310" max="2562" width="9.33203125" style="1612"/>
    <col min="2563" max="2563" width="50.33203125" style="1612" bestFit="1" customWidth="1"/>
    <col min="2564" max="2565" width="18.1640625" style="1612" bestFit="1" customWidth="1"/>
    <col min="2566" max="2818" width="9.33203125" style="1612"/>
    <col min="2819" max="2819" width="50.33203125" style="1612" bestFit="1" customWidth="1"/>
    <col min="2820" max="2821" width="18.1640625" style="1612" bestFit="1" customWidth="1"/>
    <col min="2822" max="3074" width="9.33203125" style="1612"/>
    <col min="3075" max="3075" width="50.33203125" style="1612" bestFit="1" customWidth="1"/>
    <col min="3076" max="3077" width="18.1640625" style="1612" bestFit="1" customWidth="1"/>
    <col min="3078" max="3330" width="9.33203125" style="1612"/>
    <col min="3331" max="3331" width="50.33203125" style="1612" bestFit="1" customWidth="1"/>
    <col min="3332" max="3333" width="18.1640625" style="1612" bestFit="1" customWidth="1"/>
    <col min="3334" max="3586" width="9.33203125" style="1612"/>
    <col min="3587" max="3587" width="50.33203125" style="1612" bestFit="1" customWidth="1"/>
    <col min="3588" max="3589" width="18.1640625" style="1612" bestFit="1" customWidth="1"/>
    <col min="3590" max="3842" width="9.33203125" style="1612"/>
    <col min="3843" max="3843" width="50.33203125" style="1612" bestFit="1" customWidth="1"/>
    <col min="3844" max="3845" width="18.1640625" style="1612" bestFit="1" customWidth="1"/>
    <col min="3846" max="4098" width="9.33203125" style="1612"/>
    <col min="4099" max="4099" width="50.33203125" style="1612" bestFit="1" customWidth="1"/>
    <col min="4100" max="4101" width="18.1640625" style="1612" bestFit="1" customWidth="1"/>
    <col min="4102" max="4354" width="9.33203125" style="1612"/>
    <col min="4355" max="4355" width="50.33203125" style="1612" bestFit="1" customWidth="1"/>
    <col min="4356" max="4357" width="18.1640625" style="1612" bestFit="1" customWidth="1"/>
    <col min="4358" max="4610" width="9.33203125" style="1612"/>
    <col min="4611" max="4611" width="50.33203125" style="1612" bestFit="1" customWidth="1"/>
    <col min="4612" max="4613" width="18.1640625" style="1612" bestFit="1" customWidth="1"/>
    <col min="4614" max="4866" width="9.33203125" style="1612"/>
    <col min="4867" max="4867" width="50.33203125" style="1612" bestFit="1" customWidth="1"/>
    <col min="4868" max="4869" width="18.1640625" style="1612" bestFit="1" customWidth="1"/>
    <col min="4870" max="5122" width="9.33203125" style="1612"/>
    <col min="5123" max="5123" width="50.33203125" style="1612" bestFit="1" customWidth="1"/>
    <col min="5124" max="5125" width="18.1640625" style="1612" bestFit="1" customWidth="1"/>
    <col min="5126" max="5378" width="9.33203125" style="1612"/>
    <col min="5379" max="5379" width="50.33203125" style="1612" bestFit="1" customWidth="1"/>
    <col min="5380" max="5381" width="18.1640625" style="1612" bestFit="1" customWidth="1"/>
    <col min="5382" max="5634" width="9.33203125" style="1612"/>
    <col min="5635" max="5635" width="50.33203125" style="1612" bestFit="1" customWidth="1"/>
    <col min="5636" max="5637" width="18.1640625" style="1612" bestFit="1" customWidth="1"/>
    <col min="5638" max="5890" width="9.33203125" style="1612"/>
    <col min="5891" max="5891" width="50.33203125" style="1612" bestFit="1" customWidth="1"/>
    <col min="5892" max="5893" width="18.1640625" style="1612" bestFit="1" customWidth="1"/>
    <col min="5894" max="6146" width="9.33203125" style="1612"/>
    <col min="6147" max="6147" width="50.33203125" style="1612" bestFit="1" customWidth="1"/>
    <col min="6148" max="6149" width="18.1640625" style="1612" bestFit="1" customWidth="1"/>
    <col min="6150" max="6402" width="9.33203125" style="1612"/>
    <col min="6403" max="6403" width="50.33203125" style="1612" bestFit="1" customWidth="1"/>
    <col min="6404" max="6405" width="18.1640625" style="1612" bestFit="1" customWidth="1"/>
    <col min="6406" max="6658" width="9.33203125" style="1612"/>
    <col min="6659" max="6659" width="50.33203125" style="1612" bestFit="1" customWidth="1"/>
    <col min="6660" max="6661" width="18.1640625" style="1612" bestFit="1" customWidth="1"/>
    <col min="6662" max="6914" width="9.33203125" style="1612"/>
    <col min="6915" max="6915" width="50.33203125" style="1612" bestFit="1" customWidth="1"/>
    <col min="6916" max="6917" width="18.1640625" style="1612" bestFit="1" customWidth="1"/>
    <col min="6918" max="7170" width="9.33203125" style="1612"/>
    <col min="7171" max="7171" width="50.33203125" style="1612" bestFit="1" customWidth="1"/>
    <col min="7172" max="7173" width="18.1640625" style="1612" bestFit="1" customWidth="1"/>
    <col min="7174" max="7426" width="9.33203125" style="1612"/>
    <col min="7427" max="7427" width="50.33203125" style="1612" bestFit="1" customWidth="1"/>
    <col min="7428" max="7429" width="18.1640625" style="1612" bestFit="1" customWidth="1"/>
    <col min="7430" max="7682" width="9.33203125" style="1612"/>
    <col min="7683" max="7683" width="50.33203125" style="1612" bestFit="1" customWidth="1"/>
    <col min="7684" max="7685" width="18.1640625" style="1612" bestFit="1" customWidth="1"/>
    <col min="7686" max="7938" width="9.33203125" style="1612"/>
    <col min="7939" max="7939" width="50.33203125" style="1612" bestFit="1" customWidth="1"/>
    <col min="7940" max="7941" width="18.1640625" style="1612" bestFit="1" customWidth="1"/>
    <col min="7942" max="8194" width="9.33203125" style="1612"/>
    <col min="8195" max="8195" width="50.33203125" style="1612" bestFit="1" customWidth="1"/>
    <col min="8196" max="8197" width="18.1640625" style="1612" bestFit="1" customWidth="1"/>
    <col min="8198" max="8450" width="9.33203125" style="1612"/>
    <col min="8451" max="8451" width="50.33203125" style="1612" bestFit="1" customWidth="1"/>
    <col min="8452" max="8453" width="18.1640625" style="1612" bestFit="1" customWidth="1"/>
    <col min="8454" max="8706" width="9.33203125" style="1612"/>
    <col min="8707" max="8707" width="50.33203125" style="1612" bestFit="1" customWidth="1"/>
    <col min="8708" max="8709" width="18.1640625" style="1612" bestFit="1" customWidth="1"/>
    <col min="8710" max="8962" width="9.33203125" style="1612"/>
    <col min="8963" max="8963" width="50.33203125" style="1612" bestFit="1" customWidth="1"/>
    <col min="8964" max="8965" width="18.1640625" style="1612" bestFit="1" customWidth="1"/>
    <col min="8966" max="9218" width="9.33203125" style="1612"/>
    <col min="9219" max="9219" width="50.33203125" style="1612" bestFit="1" customWidth="1"/>
    <col min="9220" max="9221" width="18.1640625" style="1612" bestFit="1" customWidth="1"/>
    <col min="9222" max="9474" width="9.33203125" style="1612"/>
    <col min="9475" max="9475" width="50.33203125" style="1612" bestFit="1" customWidth="1"/>
    <col min="9476" max="9477" width="18.1640625" style="1612" bestFit="1" customWidth="1"/>
    <col min="9478" max="9730" width="9.33203125" style="1612"/>
    <col min="9731" max="9731" width="50.33203125" style="1612" bestFit="1" customWidth="1"/>
    <col min="9732" max="9733" width="18.1640625" style="1612" bestFit="1" customWidth="1"/>
    <col min="9734" max="9986" width="9.33203125" style="1612"/>
    <col min="9987" max="9987" width="50.33203125" style="1612" bestFit="1" customWidth="1"/>
    <col min="9988" max="9989" width="18.1640625" style="1612" bestFit="1" customWidth="1"/>
    <col min="9990" max="10242" width="9.33203125" style="1612"/>
    <col min="10243" max="10243" width="50.33203125" style="1612" bestFit="1" customWidth="1"/>
    <col min="10244" max="10245" width="18.1640625" style="1612" bestFit="1" customWidth="1"/>
    <col min="10246" max="10498" width="9.33203125" style="1612"/>
    <col min="10499" max="10499" width="50.33203125" style="1612" bestFit="1" customWidth="1"/>
    <col min="10500" max="10501" width="18.1640625" style="1612" bestFit="1" customWidth="1"/>
    <col min="10502" max="10754" width="9.33203125" style="1612"/>
    <col min="10755" max="10755" width="50.33203125" style="1612" bestFit="1" customWidth="1"/>
    <col min="10756" max="10757" width="18.1640625" style="1612" bestFit="1" customWidth="1"/>
    <col min="10758" max="11010" width="9.33203125" style="1612"/>
    <col min="11011" max="11011" width="50.33203125" style="1612" bestFit="1" customWidth="1"/>
    <col min="11012" max="11013" width="18.1640625" style="1612" bestFit="1" customWidth="1"/>
    <col min="11014" max="11266" width="9.33203125" style="1612"/>
    <col min="11267" max="11267" width="50.33203125" style="1612" bestFit="1" customWidth="1"/>
    <col min="11268" max="11269" width="18.1640625" style="1612" bestFit="1" customWidth="1"/>
    <col min="11270" max="11522" width="9.33203125" style="1612"/>
    <col min="11523" max="11523" width="50.33203125" style="1612" bestFit="1" customWidth="1"/>
    <col min="11524" max="11525" width="18.1640625" style="1612" bestFit="1" customWidth="1"/>
    <col min="11526" max="11778" width="9.33203125" style="1612"/>
    <col min="11779" max="11779" width="50.33203125" style="1612" bestFit="1" customWidth="1"/>
    <col min="11780" max="11781" width="18.1640625" style="1612" bestFit="1" customWidth="1"/>
    <col min="11782" max="12034" width="9.33203125" style="1612"/>
    <col min="12035" max="12035" width="50.33203125" style="1612" bestFit="1" customWidth="1"/>
    <col min="12036" max="12037" width="18.1640625" style="1612" bestFit="1" customWidth="1"/>
    <col min="12038" max="12290" width="9.33203125" style="1612"/>
    <col min="12291" max="12291" width="50.33203125" style="1612" bestFit="1" customWidth="1"/>
    <col min="12292" max="12293" width="18.1640625" style="1612" bestFit="1" customWidth="1"/>
    <col min="12294" max="12546" width="9.33203125" style="1612"/>
    <col min="12547" max="12547" width="50.33203125" style="1612" bestFit="1" customWidth="1"/>
    <col min="12548" max="12549" width="18.1640625" style="1612" bestFit="1" customWidth="1"/>
    <col min="12550" max="12802" width="9.33203125" style="1612"/>
    <col min="12803" max="12803" width="50.33203125" style="1612" bestFit="1" customWidth="1"/>
    <col min="12804" max="12805" width="18.1640625" style="1612" bestFit="1" customWidth="1"/>
    <col min="12806" max="13058" width="9.33203125" style="1612"/>
    <col min="13059" max="13059" width="50.33203125" style="1612" bestFit="1" customWidth="1"/>
    <col min="13060" max="13061" width="18.1640625" style="1612" bestFit="1" customWidth="1"/>
    <col min="13062" max="13314" width="9.33203125" style="1612"/>
    <col min="13315" max="13315" width="50.33203125" style="1612" bestFit="1" customWidth="1"/>
    <col min="13316" max="13317" width="18.1640625" style="1612" bestFit="1" customWidth="1"/>
    <col min="13318" max="13570" width="9.33203125" style="1612"/>
    <col min="13571" max="13571" width="50.33203125" style="1612" bestFit="1" customWidth="1"/>
    <col min="13572" max="13573" width="18.1640625" style="1612" bestFit="1" customWidth="1"/>
    <col min="13574" max="13826" width="9.33203125" style="1612"/>
    <col min="13827" max="13827" width="50.33203125" style="1612" bestFit="1" customWidth="1"/>
    <col min="13828" max="13829" width="18.1640625" style="1612" bestFit="1" customWidth="1"/>
    <col min="13830" max="14082" width="9.33203125" style="1612"/>
    <col min="14083" max="14083" width="50.33203125" style="1612" bestFit="1" customWidth="1"/>
    <col min="14084" max="14085" width="18.1640625" style="1612" bestFit="1" customWidth="1"/>
    <col min="14086" max="14338" width="9.33203125" style="1612"/>
    <col min="14339" max="14339" width="50.33203125" style="1612" bestFit="1" customWidth="1"/>
    <col min="14340" max="14341" width="18.1640625" style="1612" bestFit="1" customWidth="1"/>
    <col min="14342" max="14594" width="9.33203125" style="1612"/>
    <col min="14595" max="14595" width="50.33203125" style="1612" bestFit="1" customWidth="1"/>
    <col min="14596" max="14597" width="18.1640625" style="1612" bestFit="1" customWidth="1"/>
    <col min="14598" max="14850" width="9.33203125" style="1612"/>
    <col min="14851" max="14851" width="50.33203125" style="1612" bestFit="1" customWidth="1"/>
    <col min="14852" max="14853" width="18.1640625" style="1612" bestFit="1" customWidth="1"/>
    <col min="14854" max="15106" width="9.33203125" style="1612"/>
    <col min="15107" max="15107" width="50.33203125" style="1612" bestFit="1" customWidth="1"/>
    <col min="15108" max="15109" width="18.1640625" style="1612" bestFit="1" customWidth="1"/>
    <col min="15110" max="15362" width="9.33203125" style="1612"/>
    <col min="15363" max="15363" width="50.33203125" style="1612" bestFit="1" customWidth="1"/>
    <col min="15364" max="15365" width="18.1640625" style="1612" bestFit="1" customWidth="1"/>
    <col min="15366" max="15618" width="9.33203125" style="1612"/>
    <col min="15619" max="15619" width="50.33203125" style="1612" bestFit="1" customWidth="1"/>
    <col min="15620" max="15621" width="18.1640625" style="1612" bestFit="1" customWidth="1"/>
    <col min="15622" max="15874" width="9.33203125" style="1612"/>
    <col min="15875" max="15875" width="50.33203125" style="1612" bestFit="1" customWidth="1"/>
    <col min="15876" max="15877" width="18.1640625" style="1612" bestFit="1" customWidth="1"/>
    <col min="15878" max="16130" width="9.33203125" style="1612"/>
    <col min="16131" max="16131" width="50.33203125" style="1612" bestFit="1" customWidth="1"/>
    <col min="16132" max="16133" width="18.1640625" style="1612" bestFit="1" customWidth="1"/>
    <col min="16134" max="16384" width="9.33203125" style="1612"/>
  </cols>
  <sheetData>
    <row r="2" spans="3:5">
      <c r="C2" s="2928" t="s">
        <v>1217</v>
      </c>
      <c r="D2" s="2928"/>
      <c r="E2" s="2928"/>
    </row>
    <row r="3" spans="3:5">
      <c r="C3" s="2928" t="s">
        <v>986</v>
      </c>
      <c r="D3" s="2928"/>
      <c r="E3" s="2928"/>
    </row>
    <row r="4" spans="3:5">
      <c r="C4" s="2928" t="s">
        <v>2316</v>
      </c>
      <c r="D4" s="2928"/>
      <c r="E4" s="2928"/>
    </row>
    <row r="5" spans="3:5">
      <c r="C5" s="2928" t="s">
        <v>2314</v>
      </c>
      <c r="D5" s="2928"/>
      <c r="E5" s="2928"/>
    </row>
    <row r="6" spans="3:5">
      <c r="C6" s="2928" t="s">
        <v>452</v>
      </c>
      <c r="D6" s="2928"/>
      <c r="E6" s="2928"/>
    </row>
    <row r="7" spans="3:5">
      <c r="C7" s="1645"/>
    </row>
    <row r="8" spans="3:5">
      <c r="C8" s="1645"/>
    </row>
    <row r="9" spans="3:5">
      <c r="C9" s="1646" t="s">
        <v>2317</v>
      </c>
      <c r="D9" s="1646"/>
      <c r="E9" s="1646"/>
    </row>
    <row r="10" spans="3:5">
      <c r="C10" s="1612" t="s">
        <v>2318</v>
      </c>
      <c r="D10" s="1647">
        <f>'5.03G - 2010'!F9</f>
        <v>8525942.4000000022</v>
      </c>
    </row>
    <row r="11" spans="3:5">
      <c r="C11" s="1612" t="s">
        <v>2319</v>
      </c>
      <c r="D11" s="1648">
        <f>'5.03G - Cost Savings Analysis'!E15</f>
        <v>0.11551345987059303</v>
      </c>
    </row>
    <row r="12" spans="3:5">
      <c r="C12" s="1612" t="s">
        <v>2320</v>
      </c>
      <c r="D12" s="1647">
        <f>D10*D11</f>
        <v>984861.10528138781</v>
      </c>
    </row>
    <row r="13" spans="3:5">
      <c r="D13" s="1649"/>
    </row>
    <row r="14" spans="3:5">
      <c r="C14" s="1612" t="s">
        <v>2321</v>
      </c>
      <c r="D14" s="1647">
        <f>D10*(1-D11)</f>
        <v>7541081.2947186148</v>
      </c>
      <c r="E14" s="1650">
        <f>(D10-D12)-D14</f>
        <v>0</v>
      </c>
    </row>
  </sheetData>
  <mergeCells count="5">
    <mergeCell ref="C2:E2"/>
    <mergeCell ref="C3:E3"/>
    <mergeCell ref="C4:E4"/>
    <mergeCell ref="C5:E5"/>
    <mergeCell ref="C6:E6"/>
  </mergeCells>
  <pageMargins left="0.7" right="0.7" top="0.75" bottom="0.75" header="0.3" footer="0.3"/>
  <pageSetup scale="9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B1:N256"/>
  <sheetViews>
    <sheetView view="pageLayout" zoomScaleNormal="100" workbookViewId="0">
      <selection activeCell="L255" sqref="L255"/>
    </sheetView>
  </sheetViews>
  <sheetFormatPr defaultRowHeight="12.75"/>
  <cols>
    <col min="1" max="1" width="1.6640625" style="58" customWidth="1"/>
    <col min="2" max="2" width="13.33203125" style="58" customWidth="1"/>
    <col min="3" max="3" width="14.33203125" style="58" bestFit="1" customWidth="1"/>
    <col min="4" max="4" width="10.6640625" style="58" bestFit="1" customWidth="1"/>
    <col min="5" max="5" width="17" style="58" bestFit="1" customWidth="1"/>
    <col min="6" max="6" width="13.6640625" style="58" bestFit="1" customWidth="1"/>
    <col min="7" max="7" width="2.83203125" style="58" customWidth="1"/>
    <col min="8" max="8" width="16.33203125" style="58" customWidth="1"/>
    <col min="9" max="9" width="14.33203125" style="58" bestFit="1" customWidth="1"/>
    <col min="10" max="10" width="12.1640625" style="58" customWidth="1"/>
    <col min="11" max="11" width="10.83203125" style="58" bestFit="1" customWidth="1"/>
    <col min="12" max="12" width="16.83203125" style="58" bestFit="1" customWidth="1"/>
    <col min="13" max="16384" width="9.33203125" style="58"/>
  </cols>
  <sheetData>
    <row r="1" spans="2:14" ht="6.75" customHeight="1"/>
    <row r="2" spans="2:14" ht="15.75">
      <c r="B2" s="2140" t="s">
        <v>2624</v>
      </c>
      <c r="C2" s="2140"/>
    </row>
    <row r="3" spans="2:14" ht="5.25" customHeight="1">
      <c r="N3" s="2141"/>
    </row>
    <row r="4" spans="2:14">
      <c r="B4" s="2142" t="s">
        <v>2625</v>
      </c>
      <c r="C4" s="2142"/>
      <c r="H4" s="2142" t="s">
        <v>2626</v>
      </c>
      <c r="I4" s="2142"/>
    </row>
    <row r="5" spans="2:14" ht="38.25">
      <c r="B5" s="2143" t="s">
        <v>2627</v>
      </c>
      <c r="C5" s="2143" t="s">
        <v>2628</v>
      </c>
      <c r="D5" s="2143" t="s">
        <v>2629</v>
      </c>
      <c r="E5" s="2143" t="s">
        <v>2630</v>
      </c>
      <c r="F5" s="2143" t="s">
        <v>2631</v>
      </c>
      <c r="G5" s="2144"/>
      <c r="H5" s="2143" t="s">
        <v>2632</v>
      </c>
      <c r="I5" s="2143" t="s">
        <v>2628</v>
      </c>
      <c r="J5" s="2143" t="s">
        <v>2633</v>
      </c>
      <c r="K5" s="2143" t="s">
        <v>2634</v>
      </c>
      <c r="L5" s="2143" t="s">
        <v>2631</v>
      </c>
    </row>
    <row r="6" spans="2:14">
      <c r="B6" s="2145">
        <v>1000781</v>
      </c>
      <c r="C6" s="2145" t="s">
        <v>2635</v>
      </c>
      <c r="D6" s="2146">
        <v>1638</v>
      </c>
      <c r="E6" s="2147">
        <v>1878</v>
      </c>
      <c r="F6" s="2147">
        <v>3076558</v>
      </c>
      <c r="H6" s="2145" t="s">
        <v>2636</v>
      </c>
      <c r="I6" s="58" t="s">
        <v>2637</v>
      </c>
      <c r="J6" s="2148">
        <v>105</v>
      </c>
      <c r="K6" s="2147">
        <v>3933</v>
      </c>
      <c r="L6" s="2147">
        <v>412980</v>
      </c>
    </row>
    <row r="7" spans="2:14">
      <c r="B7" s="2145">
        <v>1000782</v>
      </c>
      <c r="C7" s="2145" t="s">
        <v>2635</v>
      </c>
      <c r="D7" s="2146">
        <v>27345</v>
      </c>
      <c r="E7" s="2147">
        <v>32</v>
      </c>
      <c r="F7" s="2147">
        <v>877291</v>
      </c>
      <c r="H7" s="2145" t="s">
        <v>2638</v>
      </c>
      <c r="I7" s="58" t="s">
        <v>2637</v>
      </c>
      <c r="J7" s="2148">
        <v>276</v>
      </c>
      <c r="K7" s="2147">
        <v>14</v>
      </c>
      <c r="L7" s="2147">
        <v>3936</v>
      </c>
    </row>
    <row r="8" spans="2:14">
      <c r="B8" s="2145">
        <v>1000783</v>
      </c>
      <c r="C8" s="2145" t="s">
        <v>2635</v>
      </c>
      <c r="D8" s="2146">
        <v>5695</v>
      </c>
      <c r="E8" s="2147">
        <v>37</v>
      </c>
      <c r="F8" s="2147">
        <v>211981</v>
      </c>
      <c r="H8" s="2145" t="s">
        <v>2639</v>
      </c>
      <c r="I8" s="58" t="s">
        <v>2637</v>
      </c>
      <c r="J8" s="2148">
        <v>10</v>
      </c>
      <c r="K8" s="2147">
        <v>350</v>
      </c>
      <c r="L8" s="2147">
        <v>3501</v>
      </c>
    </row>
    <row r="9" spans="2:14">
      <c r="B9" s="2145">
        <v>1000784</v>
      </c>
      <c r="C9" s="2145" t="s">
        <v>2635</v>
      </c>
      <c r="D9" s="2148">
        <v>881</v>
      </c>
      <c r="E9" s="2147">
        <v>62</v>
      </c>
      <c r="F9" s="2147">
        <v>54875</v>
      </c>
      <c r="H9" s="2145" t="s">
        <v>2640</v>
      </c>
      <c r="I9" s="58" t="s">
        <v>2637</v>
      </c>
      <c r="J9" s="2148">
        <v>50</v>
      </c>
      <c r="K9" s="2147">
        <v>350</v>
      </c>
      <c r="L9" s="2147">
        <v>17506</v>
      </c>
    </row>
    <row r="10" spans="2:14">
      <c r="B10" s="2145">
        <v>1000785</v>
      </c>
      <c r="C10" s="2145" t="s">
        <v>2635</v>
      </c>
      <c r="D10" s="2146">
        <v>1623</v>
      </c>
      <c r="E10" s="2147">
        <v>485</v>
      </c>
      <c r="F10" s="2147">
        <v>787853</v>
      </c>
      <c r="H10" s="2145" t="s">
        <v>2641</v>
      </c>
      <c r="I10" s="58" t="s">
        <v>2637</v>
      </c>
      <c r="J10" s="2148">
        <v>44</v>
      </c>
      <c r="K10" s="2147">
        <v>328</v>
      </c>
      <c r="L10" s="2147">
        <v>14441</v>
      </c>
    </row>
    <row r="11" spans="2:14">
      <c r="B11" s="2145">
        <v>1000789</v>
      </c>
      <c r="C11" s="2145" t="s">
        <v>2635</v>
      </c>
      <c r="D11" s="2148">
        <v>609</v>
      </c>
      <c r="E11" s="2147">
        <v>278</v>
      </c>
      <c r="F11" s="2147">
        <v>169296</v>
      </c>
      <c r="H11" s="2145" t="s">
        <v>2642</v>
      </c>
      <c r="I11" s="58" t="s">
        <v>2637</v>
      </c>
      <c r="J11" s="2148">
        <v>98</v>
      </c>
      <c r="K11" s="2147">
        <v>328</v>
      </c>
      <c r="L11" s="2147">
        <v>32169</v>
      </c>
    </row>
    <row r="12" spans="2:14">
      <c r="B12" s="2145">
        <v>1000797</v>
      </c>
      <c r="C12" s="2145" t="s">
        <v>2635</v>
      </c>
      <c r="D12" s="2148">
        <v>124</v>
      </c>
      <c r="E12" s="2147">
        <v>938</v>
      </c>
      <c r="F12" s="2147">
        <v>116281</v>
      </c>
      <c r="H12" s="2145" t="s">
        <v>2643</v>
      </c>
      <c r="I12" s="58" t="s">
        <v>2637</v>
      </c>
      <c r="J12" s="2148">
        <v>109</v>
      </c>
      <c r="K12" s="2147">
        <v>690</v>
      </c>
      <c r="L12" s="2147">
        <v>75176</v>
      </c>
    </row>
    <row r="13" spans="2:14">
      <c r="B13" s="2145">
        <v>1000798</v>
      </c>
      <c r="C13" s="2145" t="s">
        <v>2635</v>
      </c>
      <c r="D13" s="2148">
        <v>131</v>
      </c>
      <c r="E13" s="2147">
        <v>1893</v>
      </c>
      <c r="F13" s="2147">
        <v>247991</v>
      </c>
      <c r="H13" s="2145" t="s">
        <v>2644</v>
      </c>
      <c r="I13" s="58" t="s">
        <v>2637</v>
      </c>
      <c r="J13" s="2148">
        <v>109</v>
      </c>
      <c r="K13" s="2147">
        <v>690</v>
      </c>
      <c r="L13" s="2147">
        <v>75176</v>
      </c>
    </row>
    <row r="14" spans="2:14">
      <c r="B14" s="2145">
        <v>1001081</v>
      </c>
      <c r="C14" s="2145" t="s">
        <v>2635</v>
      </c>
      <c r="D14" s="2146">
        <v>141538</v>
      </c>
      <c r="E14" s="2147">
        <v>1</v>
      </c>
      <c r="F14" s="2147">
        <v>141538</v>
      </c>
      <c r="H14" s="2145" t="s">
        <v>2645</v>
      </c>
      <c r="I14" s="58" t="s">
        <v>2637</v>
      </c>
      <c r="J14" s="2148">
        <v>1581</v>
      </c>
      <c r="K14" s="2147">
        <v>891</v>
      </c>
      <c r="L14" s="2147">
        <v>1408339</v>
      </c>
    </row>
    <row r="15" spans="2:14">
      <c r="B15" s="2145">
        <v>1001082</v>
      </c>
      <c r="C15" s="2145" t="s">
        <v>2635</v>
      </c>
      <c r="D15" s="2146">
        <v>201806</v>
      </c>
      <c r="E15" s="2147">
        <v>1</v>
      </c>
      <c r="F15" s="2147">
        <v>201806</v>
      </c>
      <c r="H15" s="2145" t="s">
        <v>2646</v>
      </c>
      <c r="I15" s="58" t="s">
        <v>2637</v>
      </c>
      <c r="J15" s="2148">
        <v>1</v>
      </c>
      <c r="K15" s="2147">
        <v>1157</v>
      </c>
      <c r="L15" s="2147">
        <v>1157</v>
      </c>
    </row>
    <row r="16" spans="2:14">
      <c r="B16" s="2145">
        <v>1001671</v>
      </c>
      <c r="C16" s="2145" t="s">
        <v>2635</v>
      </c>
      <c r="D16" s="2146">
        <v>975677</v>
      </c>
      <c r="E16" s="2147">
        <v>1</v>
      </c>
      <c r="F16" s="2147">
        <v>975677</v>
      </c>
      <c r="H16" s="2145" t="s">
        <v>2647</v>
      </c>
      <c r="I16" s="58" t="s">
        <v>2637</v>
      </c>
      <c r="J16" s="2148">
        <v>11</v>
      </c>
      <c r="K16" s="2147">
        <v>1550</v>
      </c>
      <c r="L16" s="2147">
        <v>17054</v>
      </c>
    </row>
    <row r="17" spans="2:12">
      <c r="B17" s="2145">
        <v>1001681</v>
      </c>
      <c r="C17" s="2145" t="s">
        <v>2635</v>
      </c>
      <c r="D17" s="2146">
        <v>1130181</v>
      </c>
      <c r="E17" s="2147">
        <v>1</v>
      </c>
      <c r="F17" s="2147">
        <v>1130181</v>
      </c>
      <c r="H17" s="2145" t="s">
        <v>2648</v>
      </c>
      <c r="I17" s="58" t="s">
        <v>2637</v>
      </c>
      <c r="J17" s="2148">
        <v>16</v>
      </c>
      <c r="K17" s="2147">
        <v>3356</v>
      </c>
      <c r="L17" s="2147">
        <v>53697</v>
      </c>
    </row>
    <row r="18" spans="2:12">
      <c r="B18" s="2145">
        <v>1001682</v>
      </c>
      <c r="C18" s="2145" t="s">
        <v>2635</v>
      </c>
      <c r="D18" s="2148">
        <v>152</v>
      </c>
      <c r="E18" s="2147">
        <v>2401</v>
      </c>
      <c r="F18" s="2147">
        <v>364955</v>
      </c>
      <c r="H18" s="2145" t="s">
        <v>2649</v>
      </c>
      <c r="I18" s="58" t="s">
        <v>2637</v>
      </c>
      <c r="J18" s="2148">
        <v>17</v>
      </c>
      <c r="K18" s="2147">
        <v>4805</v>
      </c>
      <c r="L18" s="2147">
        <v>81679</v>
      </c>
    </row>
    <row r="19" spans="2:12">
      <c r="B19" s="2145">
        <v>1001683</v>
      </c>
      <c r="C19" s="2145" t="s">
        <v>2635</v>
      </c>
      <c r="D19" s="2146">
        <v>8013</v>
      </c>
      <c r="E19" s="2147">
        <v>30</v>
      </c>
      <c r="F19" s="2147">
        <v>237383</v>
      </c>
      <c r="H19" s="2145" t="s">
        <v>2650</v>
      </c>
      <c r="I19" s="58" t="s">
        <v>2637</v>
      </c>
      <c r="J19" s="2148">
        <v>1</v>
      </c>
      <c r="K19" s="2147">
        <v>3155</v>
      </c>
      <c r="L19" s="2147">
        <v>3155</v>
      </c>
    </row>
    <row r="20" spans="2:12">
      <c r="B20" s="2145">
        <v>1001684</v>
      </c>
      <c r="C20" s="2145" t="s">
        <v>2635</v>
      </c>
      <c r="D20" s="2146">
        <v>10276</v>
      </c>
      <c r="E20" s="2147">
        <v>23</v>
      </c>
      <c r="F20" s="2147">
        <v>235731</v>
      </c>
      <c r="H20" s="2145" t="s">
        <v>2651</v>
      </c>
      <c r="I20" s="58" t="s">
        <v>2637</v>
      </c>
      <c r="J20" s="2148">
        <v>1</v>
      </c>
      <c r="K20" s="2147">
        <v>4633</v>
      </c>
      <c r="L20" s="2147">
        <v>4633</v>
      </c>
    </row>
    <row r="21" spans="2:12">
      <c r="B21" s="2145">
        <v>1001685</v>
      </c>
      <c r="C21" s="2145" t="s">
        <v>2635</v>
      </c>
      <c r="D21" s="2148">
        <v>60</v>
      </c>
      <c r="E21" s="2147">
        <v>1021</v>
      </c>
      <c r="F21" s="2147">
        <v>61271</v>
      </c>
      <c r="H21" s="2145" t="s">
        <v>2652</v>
      </c>
      <c r="I21" s="58" t="s">
        <v>2637</v>
      </c>
      <c r="J21" s="2148">
        <v>1065</v>
      </c>
      <c r="K21" s="2147">
        <v>1011</v>
      </c>
      <c r="L21" s="2147">
        <v>1076321</v>
      </c>
    </row>
    <row r="22" spans="2:12">
      <c r="B22" s="2145">
        <v>1001686</v>
      </c>
      <c r="C22" s="2145" t="s">
        <v>2635</v>
      </c>
      <c r="D22" s="2148">
        <v>33</v>
      </c>
      <c r="E22" s="2147">
        <v>1749</v>
      </c>
      <c r="F22" s="2147">
        <v>57726</v>
      </c>
      <c r="H22" s="2145" t="s">
        <v>2653</v>
      </c>
      <c r="I22" s="58" t="s">
        <v>2637</v>
      </c>
      <c r="J22" s="2148">
        <v>87</v>
      </c>
      <c r="K22" s="2147">
        <v>589</v>
      </c>
      <c r="L22" s="2147">
        <v>51231</v>
      </c>
    </row>
    <row r="23" spans="2:12">
      <c r="B23" s="2145">
        <v>1001687</v>
      </c>
      <c r="C23" s="2145" t="s">
        <v>2635</v>
      </c>
      <c r="D23" s="2148">
        <v>172</v>
      </c>
      <c r="E23" s="2147">
        <v>159</v>
      </c>
      <c r="F23" s="2147">
        <v>27333</v>
      </c>
      <c r="H23" s="2145" t="s">
        <v>2654</v>
      </c>
      <c r="I23" s="58" t="s">
        <v>2637</v>
      </c>
      <c r="J23" s="2148">
        <v>22</v>
      </c>
      <c r="K23" s="2147">
        <v>785</v>
      </c>
      <c r="L23" s="2147">
        <v>17273</v>
      </c>
    </row>
    <row r="24" spans="2:12">
      <c r="B24" s="2145">
        <v>1001688</v>
      </c>
      <c r="C24" s="2145" t="s">
        <v>2635</v>
      </c>
      <c r="D24" s="2148">
        <v>305</v>
      </c>
      <c r="E24" s="2147">
        <v>484</v>
      </c>
      <c r="F24" s="2147">
        <v>147525</v>
      </c>
      <c r="H24" s="2145" t="s">
        <v>2655</v>
      </c>
      <c r="I24" s="58" t="s">
        <v>2637</v>
      </c>
      <c r="J24" s="2148">
        <v>86</v>
      </c>
      <c r="K24" s="2147">
        <v>523</v>
      </c>
      <c r="L24" s="2147">
        <v>45016</v>
      </c>
    </row>
    <row r="25" spans="2:12">
      <c r="B25" s="2145">
        <v>1001689</v>
      </c>
      <c r="C25" s="2145" t="s">
        <v>2635</v>
      </c>
      <c r="D25" s="2148">
        <v>26</v>
      </c>
      <c r="E25" s="2147">
        <v>203</v>
      </c>
      <c r="F25" s="2147">
        <v>5282</v>
      </c>
      <c r="H25" s="2145" t="s">
        <v>2656</v>
      </c>
      <c r="I25" s="58" t="s">
        <v>2637</v>
      </c>
      <c r="J25" s="2148">
        <v>21</v>
      </c>
      <c r="K25" s="2147">
        <v>673</v>
      </c>
      <c r="L25" s="2147">
        <v>14136</v>
      </c>
    </row>
    <row r="26" spans="2:12">
      <c r="B26" s="2145">
        <v>1001690</v>
      </c>
      <c r="C26" s="2145" t="s">
        <v>2635</v>
      </c>
      <c r="D26" s="2148">
        <v>23</v>
      </c>
      <c r="E26" s="2147">
        <v>1190</v>
      </c>
      <c r="F26" s="2147">
        <v>27362</v>
      </c>
      <c r="H26" s="2145" t="s">
        <v>2657</v>
      </c>
      <c r="I26" s="58" t="s">
        <v>2637</v>
      </c>
      <c r="J26" s="2148">
        <v>335</v>
      </c>
      <c r="K26" s="2147">
        <v>271</v>
      </c>
      <c r="L26" s="2147">
        <v>90691</v>
      </c>
    </row>
    <row r="27" spans="2:12">
      <c r="B27" s="2145">
        <v>1001799</v>
      </c>
      <c r="C27" s="2145" t="s">
        <v>2635</v>
      </c>
      <c r="D27" s="2146">
        <v>5890</v>
      </c>
      <c r="E27" s="2147">
        <v>1</v>
      </c>
      <c r="F27" s="2147">
        <v>8305</v>
      </c>
      <c r="H27" s="2145" t="s">
        <v>2658</v>
      </c>
      <c r="I27" s="58" t="s">
        <v>2637</v>
      </c>
      <c r="J27" s="2148">
        <v>162</v>
      </c>
      <c r="K27" s="2147">
        <v>271</v>
      </c>
      <c r="L27" s="2147">
        <v>43860</v>
      </c>
    </row>
    <row r="28" spans="2:12">
      <c r="B28" s="2145">
        <v>1001971</v>
      </c>
      <c r="C28" s="2145" t="s">
        <v>2635</v>
      </c>
      <c r="D28" s="2148">
        <v>173</v>
      </c>
      <c r="E28" s="2147">
        <v>227</v>
      </c>
      <c r="F28" s="2147">
        <v>39309</v>
      </c>
      <c r="H28" s="2145" t="s">
        <v>2659</v>
      </c>
      <c r="I28" s="58" t="s">
        <v>2637</v>
      </c>
      <c r="J28" s="2148">
        <v>129</v>
      </c>
      <c r="K28" s="2147">
        <v>404</v>
      </c>
      <c r="L28" s="2147">
        <v>52061</v>
      </c>
    </row>
    <row r="29" spans="2:12">
      <c r="B29" s="2145">
        <v>1001972</v>
      </c>
      <c r="C29" s="2145" t="s">
        <v>2635</v>
      </c>
      <c r="D29" s="2148">
        <v>1</v>
      </c>
      <c r="E29" s="2147">
        <v>2500</v>
      </c>
      <c r="F29" s="2147">
        <v>2500</v>
      </c>
      <c r="H29" s="2145" t="s">
        <v>2660</v>
      </c>
      <c r="I29" s="58" t="s">
        <v>2637</v>
      </c>
      <c r="J29" s="2148">
        <v>31</v>
      </c>
      <c r="K29" s="2147">
        <v>1209</v>
      </c>
      <c r="L29" s="2147">
        <v>37469</v>
      </c>
    </row>
    <row r="30" spans="2:12">
      <c r="B30" s="2145">
        <v>1002693</v>
      </c>
      <c r="C30" s="2145" t="s">
        <v>2635</v>
      </c>
      <c r="D30" s="2148">
        <v>78</v>
      </c>
      <c r="E30" s="2147">
        <v>1182</v>
      </c>
      <c r="F30" s="2147">
        <v>92232</v>
      </c>
      <c r="H30" s="2145" t="s">
        <v>2661</v>
      </c>
      <c r="I30" s="58" t="s">
        <v>2637</v>
      </c>
      <c r="J30" s="2148">
        <v>4</v>
      </c>
      <c r="K30" s="2147">
        <v>1366</v>
      </c>
      <c r="L30" s="2147">
        <v>5466</v>
      </c>
    </row>
    <row r="31" spans="2:12">
      <c r="B31" s="2145">
        <v>1002694</v>
      </c>
      <c r="C31" s="2145" t="s">
        <v>2635</v>
      </c>
      <c r="D31" s="2148">
        <v>303</v>
      </c>
      <c r="E31" s="2147">
        <v>2131</v>
      </c>
      <c r="F31" s="2147">
        <v>645630</v>
      </c>
      <c r="H31" s="2145" t="s">
        <v>2662</v>
      </c>
      <c r="I31" s="58" t="s">
        <v>2637</v>
      </c>
      <c r="J31" s="2148">
        <v>180</v>
      </c>
      <c r="K31" s="2147">
        <v>101</v>
      </c>
      <c r="L31" s="2147">
        <v>18119</v>
      </c>
    </row>
    <row r="32" spans="2:12">
      <c r="B32" s="2145">
        <v>1002695</v>
      </c>
      <c r="C32" s="2145" t="s">
        <v>2635</v>
      </c>
      <c r="D32" s="2146">
        <v>47415</v>
      </c>
      <c r="E32" s="2147">
        <v>20</v>
      </c>
      <c r="F32" s="2147">
        <v>964895</v>
      </c>
      <c r="H32" s="2145" t="s">
        <v>2663</v>
      </c>
      <c r="I32" s="58" t="s">
        <v>2637</v>
      </c>
      <c r="J32" s="2148">
        <v>20</v>
      </c>
      <c r="K32" s="2147">
        <v>103</v>
      </c>
      <c r="L32" s="2147">
        <v>2054</v>
      </c>
    </row>
    <row r="33" spans="2:12">
      <c r="B33" s="2145">
        <v>1002696</v>
      </c>
      <c r="C33" s="2145" t="s">
        <v>2635</v>
      </c>
      <c r="D33" s="2146">
        <v>9888</v>
      </c>
      <c r="E33" s="2147">
        <v>33</v>
      </c>
      <c r="F33" s="2147">
        <v>330754</v>
      </c>
      <c r="H33" s="2145" t="s">
        <v>2664</v>
      </c>
      <c r="I33" s="58" t="s">
        <v>2637</v>
      </c>
      <c r="J33" s="2148">
        <v>2605</v>
      </c>
      <c r="K33" s="2147">
        <v>2122</v>
      </c>
      <c r="L33" s="2147">
        <v>5528331</v>
      </c>
    </row>
    <row r="34" spans="2:12">
      <c r="B34" s="2145">
        <v>1002697</v>
      </c>
      <c r="C34" s="2145" t="s">
        <v>2635</v>
      </c>
      <c r="D34" s="2148">
        <v>461</v>
      </c>
      <c r="E34" s="2147">
        <v>42</v>
      </c>
      <c r="F34" s="2147">
        <v>19334</v>
      </c>
      <c r="H34" s="2145" t="s">
        <v>2665</v>
      </c>
      <c r="I34" s="58" t="s">
        <v>2637</v>
      </c>
      <c r="J34" s="2148">
        <v>289</v>
      </c>
      <c r="K34" s="2147">
        <v>2425</v>
      </c>
      <c r="L34" s="2147">
        <v>700920</v>
      </c>
    </row>
    <row r="35" spans="2:12">
      <c r="B35" s="2145">
        <v>1001798</v>
      </c>
      <c r="C35" s="2145" t="s">
        <v>2635</v>
      </c>
      <c r="D35" s="2146">
        <v>7296</v>
      </c>
      <c r="E35" s="2147">
        <v>22</v>
      </c>
      <c r="F35" s="2147">
        <v>159709</v>
      </c>
      <c r="H35" s="2145" t="s">
        <v>2666</v>
      </c>
      <c r="I35" s="58" t="s">
        <v>2637</v>
      </c>
      <c r="J35" s="2148">
        <v>2951</v>
      </c>
      <c r="K35" s="2147">
        <v>1886</v>
      </c>
      <c r="L35" s="2147">
        <v>5566766</v>
      </c>
    </row>
    <row r="36" spans="2:12">
      <c r="B36" s="2145">
        <v>1000811</v>
      </c>
      <c r="C36" s="58" t="s">
        <v>2637</v>
      </c>
      <c r="D36" s="2146">
        <v>3618</v>
      </c>
      <c r="E36" s="2147">
        <v>2850</v>
      </c>
      <c r="F36" s="2147">
        <v>10310220</v>
      </c>
      <c r="H36" s="2145" t="s">
        <v>2667</v>
      </c>
      <c r="I36" s="58" t="s">
        <v>2637</v>
      </c>
      <c r="J36" s="2148">
        <v>328</v>
      </c>
      <c r="K36" s="2147">
        <v>2830</v>
      </c>
      <c r="L36" s="2147">
        <v>928096</v>
      </c>
    </row>
    <row r="37" spans="2:12">
      <c r="B37" s="2145">
        <v>1001755</v>
      </c>
      <c r="C37" s="58" t="s">
        <v>2637</v>
      </c>
      <c r="D37" s="2146">
        <v>6654</v>
      </c>
      <c r="E37" s="2147">
        <v>22</v>
      </c>
      <c r="F37" s="2147">
        <v>145656</v>
      </c>
      <c r="H37" s="2145" t="s">
        <v>2668</v>
      </c>
      <c r="I37" s="58" t="s">
        <v>2637</v>
      </c>
      <c r="J37" s="2148">
        <v>150</v>
      </c>
      <c r="K37" s="2147">
        <v>237</v>
      </c>
      <c r="L37" s="2147">
        <v>35522</v>
      </c>
    </row>
    <row r="38" spans="2:12">
      <c r="B38" s="2145">
        <v>1000820</v>
      </c>
      <c r="C38" s="58" t="s">
        <v>2637</v>
      </c>
      <c r="D38" s="2148">
        <v>426</v>
      </c>
      <c r="E38" s="2147">
        <v>473</v>
      </c>
      <c r="F38" s="2147">
        <v>201632</v>
      </c>
      <c r="H38" s="2145" t="s">
        <v>2669</v>
      </c>
      <c r="I38" s="58" t="s">
        <v>2637</v>
      </c>
      <c r="J38" s="2148">
        <v>4900</v>
      </c>
      <c r="K38" s="2147">
        <v>118</v>
      </c>
      <c r="L38" s="2147">
        <v>580258</v>
      </c>
    </row>
    <row r="39" spans="2:12">
      <c r="B39" s="2145">
        <v>1000821</v>
      </c>
      <c r="C39" s="58" t="s">
        <v>2637</v>
      </c>
      <c r="D39" s="2146">
        <v>4429</v>
      </c>
      <c r="E39" s="2147">
        <v>49</v>
      </c>
      <c r="F39" s="2147">
        <v>217875</v>
      </c>
      <c r="H39" s="2145" t="s">
        <v>2670</v>
      </c>
      <c r="I39" s="58" t="s">
        <v>2637</v>
      </c>
      <c r="J39" s="2148">
        <v>1760</v>
      </c>
      <c r="K39" s="2147">
        <v>328</v>
      </c>
      <c r="L39" s="2147">
        <v>577738</v>
      </c>
    </row>
    <row r="40" spans="2:12">
      <c r="B40" s="2145">
        <v>1000822</v>
      </c>
      <c r="C40" s="58" t="s">
        <v>2637</v>
      </c>
      <c r="D40" s="2148">
        <v>598</v>
      </c>
      <c r="E40" s="2147">
        <v>346</v>
      </c>
      <c r="F40" s="2147">
        <v>206747</v>
      </c>
      <c r="H40" s="2145" t="s">
        <v>2671</v>
      </c>
      <c r="I40" s="58" t="s">
        <v>2637</v>
      </c>
      <c r="J40" s="2148">
        <v>25</v>
      </c>
      <c r="K40" s="2147">
        <v>104</v>
      </c>
      <c r="L40" s="2147">
        <v>2591</v>
      </c>
    </row>
    <row r="41" spans="2:12">
      <c r="B41" s="2145">
        <v>1000823</v>
      </c>
      <c r="C41" s="58" t="s">
        <v>2637</v>
      </c>
      <c r="D41" s="2146">
        <v>9706</v>
      </c>
      <c r="E41" s="2147">
        <v>22</v>
      </c>
      <c r="F41" s="2147">
        <v>212336</v>
      </c>
      <c r="H41" s="2145" t="s">
        <v>2672</v>
      </c>
      <c r="I41" s="58" t="s">
        <v>2637</v>
      </c>
      <c r="J41" s="2148">
        <v>25000</v>
      </c>
      <c r="K41" s="2147">
        <v>18</v>
      </c>
      <c r="L41" s="2147">
        <v>438000</v>
      </c>
    </row>
    <row r="42" spans="2:12">
      <c r="B42" s="2145">
        <v>1000824</v>
      </c>
      <c r="C42" s="58" t="s">
        <v>2637</v>
      </c>
      <c r="D42" s="2148">
        <v>2</v>
      </c>
      <c r="E42" s="2147">
        <v>419</v>
      </c>
      <c r="F42" s="2147">
        <v>838</v>
      </c>
      <c r="H42" s="2145" t="s">
        <v>2673</v>
      </c>
      <c r="I42" s="58" t="s">
        <v>2637</v>
      </c>
      <c r="J42" s="2148">
        <v>2000</v>
      </c>
      <c r="K42" s="2147">
        <v>40</v>
      </c>
      <c r="L42" s="2147">
        <v>80140</v>
      </c>
    </row>
    <row r="43" spans="2:12">
      <c r="B43" s="2145">
        <v>1000825</v>
      </c>
      <c r="C43" s="58" t="s">
        <v>2637</v>
      </c>
      <c r="D43" s="2146">
        <v>3081</v>
      </c>
      <c r="E43" s="2147">
        <v>98</v>
      </c>
      <c r="F43" s="2147">
        <v>302431</v>
      </c>
      <c r="H43" s="2145" t="s">
        <v>2674</v>
      </c>
      <c r="I43" s="58" t="s">
        <v>2637</v>
      </c>
      <c r="J43" s="2148">
        <v>1000</v>
      </c>
      <c r="K43" s="2147">
        <v>53</v>
      </c>
      <c r="L43" s="2147">
        <v>53410</v>
      </c>
    </row>
    <row r="44" spans="2:12">
      <c r="B44" s="2145">
        <v>1000827</v>
      </c>
      <c r="C44" s="58" t="s">
        <v>2637</v>
      </c>
      <c r="D44" s="2148">
        <v>96</v>
      </c>
      <c r="E44" s="2147">
        <v>249</v>
      </c>
      <c r="F44" s="2147">
        <v>23895</v>
      </c>
      <c r="H44" s="2145" t="s">
        <v>2675</v>
      </c>
      <c r="I44" s="58" t="s">
        <v>2637</v>
      </c>
      <c r="J44" s="2148">
        <v>141</v>
      </c>
      <c r="K44" s="2147">
        <v>2493</v>
      </c>
      <c r="L44" s="2147">
        <v>351485</v>
      </c>
    </row>
    <row r="45" spans="2:12">
      <c r="B45" s="2145">
        <v>1000828</v>
      </c>
      <c r="C45" s="58" t="s">
        <v>2637</v>
      </c>
      <c r="D45" s="2148">
        <v>108</v>
      </c>
      <c r="E45" s="2147">
        <v>100</v>
      </c>
      <c r="F45" s="2147">
        <v>10784</v>
      </c>
      <c r="H45" s="2145" t="s">
        <v>2676</v>
      </c>
      <c r="I45" s="58" t="s">
        <v>2637</v>
      </c>
      <c r="J45" s="2148">
        <v>86</v>
      </c>
      <c r="K45" s="2147">
        <v>2500</v>
      </c>
      <c r="L45" s="2147">
        <v>215035</v>
      </c>
    </row>
    <row r="46" spans="2:12">
      <c r="B46" s="2145">
        <v>1000831</v>
      </c>
      <c r="C46" s="58" t="s">
        <v>2637</v>
      </c>
      <c r="D46" s="2148">
        <v>189</v>
      </c>
      <c r="E46" s="2147">
        <v>410</v>
      </c>
      <c r="F46" s="2147">
        <v>77535</v>
      </c>
      <c r="H46" s="2145" t="s">
        <v>2677</v>
      </c>
      <c r="I46" s="58" t="s">
        <v>2637</v>
      </c>
      <c r="J46" s="2148">
        <v>10</v>
      </c>
      <c r="K46" s="2147">
        <v>750</v>
      </c>
      <c r="L46" s="2147">
        <v>7502</v>
      </c>
    </row>
    <row r="47" spans="2:12">
      <c r="B47" s="2145">
        <v>1001031</v>
      </c>
      <c r="C47" s="58" t="s">
        <v>2637</v>
      </c>
      <c r="D47" s="2146">
        <v>2045</v>
      </c>
      <c r="E47" s="2147">
        <v>796</v>
      </c>
      <c r="F47" s="2147">
        <v>1628817</v>
      </c>
      <c r="H47" s="2145" t="s">
        <v>2678</v>
      </c>
      <c r="I47" s="58" t="s">
        <v>2637</v>
      </c>
      <c r="J47" s="2148">
        <v>10</v>
      </c>
      <c r="K47" s="2147">
        <v>4625</v>
      </c>
      <c r="L47" s="2147">
        <v>46251</v>
      </c>
    </row>
    <row r="48" spans="2:12">
      <c r="B48" s="2145">
        <v>1001083</v>
      </c>
      <c r="C48" s="58" t="s">
        <v>2637</v>
      </c>
      <c r="D48" s="2146">
        <v>11592</v>
      </c>
      <c r="E48" s="2147">
        <v>48</v>
      </c>
      <c r="F48" s="2147">
        <v>554360</v>
      </c>
      <c r="H48" s="2145" t="s">
        <v>2679</v>
      </c>
      <c r="I48" s="58" t="s">
        <v>2637</v>
      </c>
      <c r="J48" s="2148">
        <v>2</v>
      </c>
      <c r="K48" s="2147">
        <v>6317</v>
      </c>
      <c r="L48" s="2147">
        <v>12633</v>
      </c>
    </row>
    <row r="49" spans="2:12">
      <c r="B49" s="2145">
        <v>1001084</v>
      </c>
      <c r="C49" s="58" t="s">
        <v>2637</v>
      </c>
      <c r="D49" s="2146">
        <v>21772</v>
      </c>
      <c r="E49" s="2147">
        <v>27</v>
      </c>
      <c r="F49" s="2147">
        <v>584086</v>
      </c>
      <c r="H49" s="2145" t="s">
        <v>2680</v>
      </c>
      <c r="I49" s="58" t="s">
        <v>2637</v>
      </c>
      <c r="J49" s="2148">
        <v>45</v>
      </c>
      <c r="K49" s="2147">
        <v>3156</v>
      </c>
      <c r="L49" s="2147">
        <v>142002</v>
      </c>
    </row>
    <row r="50" spans="2:12">
      <c r="B50" s="2145">
        <v>1001087</v>
      </c>
      <c r="C50" s="58" t="s">
        <v>2637</v>
      </c>
      <c r="D50" s="2148">
        <v>56</v>
      </c>
      <c r="E50" s="2147">
        <v>600</v>
      </c>
      <c r="F50" s="2147">
        <v>33600</v>
      </c>
      <c r="H50" s="2145" t="s">
        <v>2681</v>
      </c>
      <c r="I50" s="58" t="s">
        <v>2637</v>
      </c>
      <c r="J50" s="2148">
        <v>5</v>
      </c>
      <c r="K50" s="2147">
        <v>4799</v>
      </c>
      <c r="L50" s="2147">
        <v>23996</v>
      </c>
    </row>
    <row r="51" spans="2:12">
      <c r="B51" s="2145">
        <v>1001085</v>
      </c>
      <c r="C51" s="58" t="s">
        <v>2637</v>
      </c>
      <c r="D51" s="2146">
        <v>11098</v>
      </c>
      <c r="E51" s="2147">
        <v>33</v>
      </c>
      <c r="F51" s="2147">
        <v>364246</v>
      </c>
      <c r="H51" s="2145" t="s">
        <v>2682</v>
      </c>
      <c r="I51" s="58" t="s">
        <v>2637</v>
      </c>
      <c r="J51" s="2148">
        <v>3</v>
      </c>
      <c r="K51" s="2147">
        <v>7333</v>
      </c>
      <c r="L51" s="2147">
        <v>21998</v>
      </c>
    </row>
    <row r="52" spans="2:12">
      <c r="B52" s="2145">
        <v>1001088</v>
      </c>
      <c r="C52" s="58" t="s">
        <v>2637</v>
      </c>
      <c r="D52" s="2148">
        <v>10</v>
      </c>
      <c r="E52" s="2147">
        <v>1000</v>
      </c>
      <c r="F52" s="2147">
        <v>10000</v>
      </c>
      <c r="H52" s="2145" t="s">
        <v>2683</v>
      </c>
      <c r="I52" s="58" t="s">
        <v>2637</v>
      </c>
      <c r="J52" s="2148">
        <v>7776</v>
      </c>
      <c r="K52" s="2147">
        <v>91</v>
      </c>
      <c r="L52" s="2147">
        <v>707149</v>
      </c>
    </row>
    <row r="53" spans="2:12">
      <c r="B53" s="2145">
        <v>1001086</v>
      </c>
      <c r="C53" s="58" t="s">
        <v>2637</v>
      </c>
      <c r="D53" s="2146">
        <v>77626</v>
      </c>
      <c r="E53" s="2147">
        <v>49</v>
      </c>
      <c r="F53" s="2147">
        <v>3770362</v>
      </c>
      <c r="H53" s="2145" t="s">
        <v>2684</v>
      </c>
      <c r="I53" s="58" t="s">
        <v>2637</v>
      </c>
      <c r="J53" s="2148">
        <v>7417</v>
      </c>
      <c r="K53" s="2147">
        <v>87</v>
      </c>
      <c r="L53" s="2147">
        <v>645576</v>
      </c>
    </row>
    <row r="54" spans="2:12">
      <c r="B54" s="2145">
        <v>1001089</v>
      </c>
      <c r="C54" s="58" t="s">
        <v>2637</v>
      </c>
      <c r="D54" s="2148">
        <v>169</v>
      </c>
      <c r="E54" s="2147">
        <v>600</v>
      </c>
      <c r="F54" s="2147">
        <v>101400</v>
      </c>
      <c r="H54" s="2145" t="s">
        <v>2685</v>
      </c>
      <c r="I54" s="58" t="s">
        <v>2637</v>
      </c>
      <c r="J54" s="2148">
        <v>7776</v>
      </c>
      <c r="K54" s="2147">
        <v>104</v>
      </c>
      <c r="L54" s="2147">
        <v>811581</v>
      </c>
    </row>
    <row r="55" spans="2:12">
      <c r="B55" s="2145">
        <v>1001091</v>
      </c>
      <c r="C55" s="58" t="s">
        <v>2637</v>
      </c>
      <c r="D55" s="2146">
        <v>44679</v>
      </c>
      <c r="E55" s="2147">
        <v>71</v>
      </c>
      <c r="F55" s="2147">
        <v>3150316</v>
      </c>
      <c r="H55" s="2145" t="s">
        <v>2686</v>
      </c>
      <c r="I55" s="58" t="s">
        <v>2637</v>
      </c>
      <c r="J55" s="2148">
        <v>7417</v>
      </c>
      <c r="K55" s="2147">
        <v>97</v>
      </c>
      <c r="L55" s="2147">
        <v>717001</v>
      </c>
    </row>
    <row r="56" spans="2:12">
      <c r="B56" s="2145">
        <v>1001800</v>
      </c>
      <c r="C56" s="58" t="s">
        <v>2637</v>
      </c>
      <c r="D56" s="2146">
        <v>100941</v>
      </c>
      <c r="E56" s="2147">
        <v>68</v>
      </c>
      <c r="F56" s="2147">
        <v>6872063</v>
      </c>
      <c r="H56" s="2145" t="s">
        <v>2687</v>
      </c>
      <c r="I56" s="58" t="s">
        <v>2637</v>
      </c>
      <c r="J56" s="2148">
        <v>13555</v>
      </c>
      <c r="K56" s="2147">
        <v>73</v>
      </c>
      <c r="L56" s="2147">
        <v>985177</v>
      </c>
    </row>
    <row r="57" spans="2:12">
      <c r="B57" s="2145">
        <v>1001092</v>
      </c>
      <c r="C57" s="58" t="s">
        <v>2637</v>
      </c>
      <c r="D57" s="2148">
        <v>764</v>
      </c>
      <c r="E57" s="2147">
        <v>2167</v>
      </c>
      <c r="F57" s="2147">
        <v>1655827</v>
      </c>
      <c r="H57" s="2145" t="s">
        <v>2688</v>
      </c>
      <c r="I57" s="58" t="s">
        <v>2637</v>
      </c>
      <c r="J57" s="2148">
        <v>13555</v>
      </c>
      <c r="K57" s="2147">
        <v>71</v>
      </c>
      <c r="L57" s="2147">
        <v>964032</v>
      </c>
    </row>
    <row r="58" spans="2:12">
      <c r="B58" s="2145">
        <v>1001093</v>
      </c>
      <c r="C58" s="58" t="s">
        <v>2637</v>
      </c>
      <c r="D58" s="2148">
        <v>37</v>
      </c>
      <c r="E58" s="2147">
        <v>2069</v>
      </c>
      <c r="F58" s="2147">
        <v>76563</v>
      </c>
      <c r="H58" s="2145" t="s">
        <v>2689</v>
      </c>
      <c r="I58" s="58" t="s">
        <v>2637</v>
      </c>
      <c r="J58" s="2148">
        <v>31964</v>
      </c>
      <c r="K58" s="2147">
        <v>85</v>
      </c>
      <c r="L58" s="2147">
        <v>2705753</v>
      </c>
    </row>
    <row r="59" spans="2:12">
      <c r="B59" s="2145">
        <v>1001094</v>
      </c>
      <c r="C59" s="58" t="s">
        <v>2637</v>
      </c>
      <c r="D59" s="2148">
        <v>280</v>
      </c>
      <c r="E59" s="2147">
        <v>159</v>
      </c>
      <c r="F59" s="2147">
        <v>44496</v>
      </c>
      <c r="H59" s="2145" t="s">
        <v>2690</v>
      </c>
      <c r="I59" s="58" t="s">
        <v>2637</v>
      </c>
      <c r="J59" s="2148">
        <v>31964</v>
      </c>
      <c r="K59" s="2147">
        <v>82</v>
      </c>
      <c r="L59" s="2147">
        <v>2607623</v>
      </c>
    </row>
    <row r="60" spans="2:12">
      <c r="B60" s="2145">
        <v>1001095</v>
      </c>
      <c r="C60" s="58" t="s">
        <v>2637</v>
      </c>
      <c r="D60" s="2148">
        <v>334</v>
      </c>
      <c r="E60" s="2147">
        <v>484</v>
      </c>
      <c r="F60" s="2147">
        <v>161552</v>
      </c>
      <c r="H60" s="2145" t="s">
        <v>2691</v>
      </c>
      <c r="I60" s="58" t="s">
        <v>2637</v>
      </c>
      <c r="J60" s="2148">
        <v>118</v>
      </c>
      <c r="K60" s="2147">
        <v>1087</v>
      </c>
      <c r="L60" s="2147">
        <v>128314</v>
      </c>
    </row>
    <row r="61" spans="2:12">
      <c r="B61" s="2145">
        <v>1001096</v>
      </c>
      <c r="C61" s="58" t="s">
        <v>2637</v>
      </c>
      <c r="D61" s="2148">
        <v>202</v>
      </c>
      <c r="E61" s="2147">
        <v>203</v>
      </c>
      <c r="F61" s="2147">
        <v>41034</v>
      </c>
      <c r="H61" s="2145" t="s">
        <v>2692</v>
      </c>
      <c r="I61" s="58" t="s">
        <v>2637</v>
      </c>
      <c r="J61" s="2148">
        <v>60</v>
      </c>
      <c r="K61" s="2147">
        <v>2068</v>
      </c>
      <c r="L61" s="2147">
        <v>124060</v>
      </c>
    </row>
    <row r="62" spans="2:12">
      <c r="B62" s="2145">
        <v>1001097</v>
      </c>
      <c r="C62" s="58" t="s">
        <v>2637</v>
      </c>
      <c r="D62" s="2148">
        <v>810</v>
      </c>
      <c r="E62" s="2147">
        <v>944</v>
      </c>
      <c r="F62" s="2147">
        <v>764934</v>
      </c>
      <c r="H62" s="2145" t="s">
        <v>2693</v>
      </c>
      <c r="I62" s="58" t="s">
        <v>2637</v>
      </c>
      <c r="J62" s="2148">
        <v>26</v>
      </c>
      <c r="K62" s="2147">
        <v>3273</v>
      </c>
      <c r="L62" s="2147">
        <v>85089</v>
      </c>
    </row>
    <row r="63" spans="2:12">
      <c r="B63" s="2145">
        <v>1001695</v>
      </c>
      <c r="C63" s="58" t="s">
        <v>2637</v>
      </c>
      <c r="D63" s="2148">
        <v>130</v>
      </c>
      <c r="E63" s="2147">
        <v>22</v>
      </c>
      <c r="F63" s="2147">
        <v>2867</v>
      </c>
      <c r="H63" s="2145" t="s">
        <v>2694</v>
      </c>
      <c r="I63" s="58" t="s">
        <v>2637</v>
      </c>
      <c r="J63" s="2148">
        <v>30</v>
      </c>
      <c r="K63" s="2147">
        <v>2249</v>
      </c>
      <c r="L63" s="2147">
        <v>67478</v>
      </c>
    </row>
    <row r="64" spans="2:12">
      <c r="B64" s="2145">
        <v>1001758</v>
      </c>
      <c r="C64" s="58" t="s">
        <v>2637</v>
      </c>
      <c r="D64" s="2148">
        <v>191</v>
      </c>
      <c r="E64" s="2147">
        <v>179</v>
      </c>
      <c r="F64" s="2147">
        <v>34189</v>
      </c>
      <c r="H64" s="2145" t="s">
        <v>2695</v>
      </c>
      <c r="I64" s="58" t="s">
        <v>2637</v>
      </c>
      <c r="J64" s="2148">
        <v>12</v>
      </c>
      <c r="K64" s="2147">
        <v>3591</v>
      </c>
      <c r="L64" s="2147">
        <v>43095</v>
      </c>
    </row>
    <row r="65" spans="2:12">
      <c r="B65" s="2145">
        <v>1001759</v>
      </c>
      <c r="C65" s="58" t="s">
        <v>2637</v>
      </c>
      <c r="D65" s="2148">
        <v>1</v>
      </c>
      <c r="E65" s="2147">
        <v>192</v>
      </c>
      <c r="F65" s="2147">
        <v>192</v>
      </c>
      <c r="H65" s="2145" t="s">
        <v>2696</v>
      </c>
      <c r="I65" s="58" t="s">
        <v>2637</v>
      </c>
      <c r="J65" s="2148">
        <v>1</v>
      </c>
      <c r="K65" s="2147">
        <v>2949</v>
      </c>
      <c r="L65" s="2147">
        <v>2949</v>
      </c>
    </row>
    <row r="66" spans="2:12">
      <c r="B66" s="2145">
        <v>1001099</v>
      </c>
      <c r="C66" s="58" t="s">
        <v>2637</v>
      </c>
      <c r="D66" s="2148">
        <v>140</v>
      </c>
      <c r="E66" s="2147">
        <v>2219</v>
      </c>
      <c r="F66" s="2147">
        <v>310642</v>
      </c>
      <c r="H66" s="2145" t="s">
        <v>2697</v>
      </c>
      <c r="I66" s="58" t="s">
        <v>2637</v>
      </c>
      <c r="J66" s="2148">
        <v>1</v>
      </c>
      <c r="K66" s="2147">
        <v>6053</v>
      </c>
      <c r="L66" s="2147">
        <v>6053</v>
      </c>
    </row>
    <row r="67" spans="2:12">
      <c r="B67" s="2145">
        <v>1001100</v>
      </c>
      <c r="C67" s="58" t="s">
        <v>2637</v>
      </c>
      <c r="D67" s="2148">
        <v>434</v>
      </c>
      <c r="E67" s="2147">
        <v>472</v>
      </c>
      <c r="F67" s="2147">
        <v>204950</v>
      </c>
      <c r="H67" s="2145" t="s">
        <v>2698</v>
      </c>
      <c r="I67" s="58" t="s">
        <v>2637</v>
      </c>
      <c r="J67" s="2148">
        <v>5</v>
      </c>
      <c r="K67" s="2147">
        <v>916</v>
      </c>
      <c r="L67" s="2147">
        <v>4581</v>
      </c>
    </row>
    <row r="68" spans="2:12">
      <c r="B68" s="2145">
        <v>1001110</v>
      </c>
      <c r="C68" s="58" t="s">
        <v>2637</v>
      </c>
      <c r="D68" s="2148">
        <v>241</v>
      </c>
      <c r="E68" s="2147">
        <v>252</v>
      </c>
      <c r="F68" s="2147">
        <v>60835</v>
      </c>
      <c r="H68" s="2145" t="s">
        <v>2699</v>
      </c>
      <c r="I68" s="58" t="s">
        <v>2637</v>
      </c>
      <c r="J68" s="2148">
        <v>10</v>
      </c>
      <c r="K68" s="2147">
        <v>1157</v>
      </c>
      <c r="L68" s="2147">
        <v>11566</v>
      </c>
    </row>
    <row r="69" spans="2:12">
      <c r="B69" s="2145">
        <v>1001150</v>
      </c>
      <c r="C69" s="58" t="s">
        <v>2637</v>
      </c>
      <c r="D69" s="2146">
        <v>17511</v>
      </c>
      <c r="E69" s="2147">
        <v>37</v>
      </c>
      <c r="F69" s="2147">
        <v>641078</v>
      </c>
      <c r="H69" s="2145" t="s">
        <v>2700</v>
      </c>
      <c r="I69" s="58" t="s">
        <v>2637</v>
      </c>
      <c r="J69" s="2148">
        <v>10</v>
      </c>
      <c r="K69" s="2147">
        <v>193</v>
      </c>
      <c r="L69" s="2147">
        <v>1929</v>
      </c>
    </row>
    <row r="70" spans="2:12">
      <c r="B70" s="2145">
        <v>1001756</v>
      </c>
      <c r="C70" s="58" t="s">
        <v>2637</v>
      </c>
      <c r="D70" s="2146">
        <v>5087</v>
      </c>
      <c r="E70" s="2147">
        <v>1</v>
      </c>
      <c r="F70" s="2147">
        <v>7173</v>
      </c>
      <c r="H70" s="2145" t="s">
        <v>2701</v>
      </c>
      <c r="I70" s="58" t="s">
        <v>2637</v>
      </c>
      <c r="J70" s="2148">
        <v>3000</v>
      </c>
      <c r="K70" s="2147">
        <v>15</v>
      </c>
      <c r="L70" s="2147">
        <v>46290</v>
      </c>
    </row>
    <row r="71" spans="2:12">
      <c r="B71" s="2145">
        <v>1001757</v>
      </c>
      <c r="C71" s="58" t="s">
        <v>2637</v>
      </c>
      <c r="D71" s="2148">
        <v>24</v>
      </c>
      <c r="E71" s="2147">
        <v>2500</v>
      </c>
      <c r="F71" s="2147">
        <v>60000</v>
      </c>
      <c r="H71" s="2145" t="s">
        <v>2702</v>
      </c>
      <c r="I71" s="58" t="s">
        <v>2637</v>
      </c>
      <c r="J71" s="2148">
        <v>2000</v>
      </c>
      <c r="K71" s="2147">
        <v>15</v>
      </c>
      <c r="L71" s="2147">
        <v>30860</v>
      </c>
    </row>
    <row r="72" spans="2:12">
      <c r="B72" s="2145">
        <v>1000816</v>
      </c>
      <c r="C72" s="58" t="s">
        <v>2637</v>
      </c>
      <c r="D72" s="2146">
        <v>30745</v>
      </c>
      <c r="E72" s="2147">
        <v>86</v>
      </c>
      <c r="F72" s="2147">
        <v>2643103</v>
      </c>
      <c r="H72" s="2145" t="s">
        <v>2703</v>
      </c>
      <c r="I72" s="58" t="s">
        <v>2637</v>
      </c>
      <c r="J72" s="2148">
        <v>40000</v>
      </c>
      <c r="K72" s="2147">
        <v>114</v>
      </c>
      <c r="L72" s="2147">
        <v>4574000</v>
      </c>
    </row>
    <row r="73" spans="2:12">
      <c r="B73" s="2145">
        <v>1000817</v>
      </c>
      <c r="C73" s="58" t="s">
        <v>2637</v>
      </c>
      <c r="D73" s="2146">
        <v>2355</v>
      </c>
      <c r="E73" s="2147">
        <v>850</v>
      </c>
      <c r="F73" s="2147">
        <v>2001430</v>
      </c>
      <c r="H73" s="2145" t="s">
        <v>2704</v>
      </c>
      <c r="I73" s="58" t="s">
        <v>2637</v>
      </c>
      <c r="J73" s="2148">
        <v>60000</v>
      </c>
      <c r="K73" s="2147">
        <v>77</v>
      </c>
      <c r="L73" s="2147">
        <v>4628400</v>
      </c>
    </row>
    <row r="74" spans="2:12">
      <c r="B74" s="2145">
        <v>1000818</v>
      </c>
      <c r="C74" s="58" t="s">
        <v>2637</v>
      </c>
      <c r="D74" s="2148">
        <v>18</v>
      </c>
      <c r="E74" s="2147">
        <v>1322</v>
      </c>
      <c r="F74" s="2147">
        <v>23802</v>
      </c>
      <c r="H74" s="2145" t="s">
        <v>2705</v>
      </c>
      <c r="I74" s="58" t="s">
        <v>2637</v>
      </c>
      <c r="J74" s="2148">
        <v>4200</v>
      </c>
      <c r="K74" s="2147">
        <v>29</v>
      </c>
      <c r="L74" s="2147">
        <v>120246</v>
      </c>
    </row>
    <row r="75" spans="2:12">
      <c r="B75" s="2145">
        <v>1000819</v>
      </c>
      <c r="C75" s="58" t="s">
        <v>2637</v>
      </c>
      <c r="D75" s="2148">
        <v>62</v>
      </c>
      <c r="E75" s="2147">
        <v>5633</v>
      </c>
      <c r="F75" s="2147">
        <v>349273</v>
      </c>
      <c r="H75" s="2145" t="s">
        <v>2706</v>
      </c>
      <c r="I75" s="58" t="s">
        <v>2637</v>
      </c>
      <c r="J75" s="2148">
        <v>4200</v>
      </c>
      <c r="K75" s="2147">
        <v>40</v>
      </c>
      <c r="L75" s="2147">
        <v>167790</v>
      </c>
    </row>
    <row r="76" spans="2:12">
      <c r="B76" s="2145">
        <v>1000832</v>
      </c>
      <c r="C76" s="58" t="s">
        <v>2637</v>
      </c>
      <c r="D76" s="2146">
        <v>436820</v>
      </c>
      <c r="E76" s="2147">
        <v>1</v>
      </c>
      <c r="F76" s="2147">
        <v>436820</v>
      </c>
      <c r="H76" s="2145" t="s">
        <v>2707</v>
      </c>
      <c r="I76" s="58" t="s">
        <v>2637</v>
      </c>
      <c r="J76" s="2148">
        <v>4200</v>
      </c>
      <c r="K76" s="2147">
        <v>11</v>
      </c>
      <c r="L76" s="2147">
        <v>47712</v>
      </c>
    </row>
    <row r="77" spans="2:12">
      <c r="B77" s="2145">
        <v>1000842</v>
      </c>
      <c r="C77" s="58" t="s">
        <v>2637</v>
      </c>
      <c r="D77" s="2146">
        <v>56701</v>
      </c>
      <c r="E77" s="2147">
        <v>1</v>
      </c>
      <c r="F77" s="2147">
        <v>56701</v>
      </c>
      <c r="H77" s="2145" t="s">
        <v>2708</v>
      </c>
      <c r="I77" s="58" t="s">
        <v>2637</v>
      </c>
      <c r="J77" s="2148">
        <v>4200</v>
      </c>
      <c r="K77" s="2147">
        <v>19</v>
      </c>
      <c r="L77" s="2147">
        <v>79254</v>
      </c>
    </row>
    <row r="78" spans="2:12">
      <c r="B78" s="2145">
        <v>1000843</v>
      </c>
      <c r="C78" s="58" t="s">
        <v>2637</v>
      </c>
      <c r="D78" s="2146">
        <v>1194082</v>
      </c>
      <c r="E78" s="2147">
        <v>1</v>
      </c>
      <c r="F78" s="2147">
        <v>1194082</v>
      </c>
      <c r="H78" s="2145" t="s">
        <v>2709</v>
      </c>
      <c r="I78" s="58" t="s">
        <v>2637</v>
      </c>
      <c r="J78" s="2148">
        <v>2</v>
      </c>
      <c r="K78" s="2147">
        <v>2076</v>
      </c>
      <c r="L78" s="2147">
        <v>4152</v>
      </c>
    </row>
    <row r="79" spans="2:12">
      <c r="B79" s="2145">
        <v>1000845</v>
      </c>
      <c r="C79" s="58" t="s">
        <v>2637</v>
      </c>
      <c r="D79" s="2146">
        <v>691777</v>
      </c>
      <c r="E79" s="2147">
        <v>1</v>
      </c>
      <c r="F79" s="2147">
        <v>691777</v>
      </c>
      <c r="H79" s="2145" t="s">
        <v>2710</v>
      </c>
      <c r="I79" s="58" t="s">
        <v>2637</v>
      </c>
      <c r="J79" s="2148">
        <v>3</v>
      </c>
      <c r="K79" s="2147">
        <v>2040</v>
      </c>
      <c r="L79" s="2147">
        <v>6121</v>
      </c>
    </row>
    <row r="80" spans="2:12">
      <c r="B80" s="2145">
        <v>1000846</v>
      </c>
      <c r="C80" s="58" t="s">
        <v>2637</v>
      </c>
      <c r="D80" s="2146">
        <v>153070</v>
      </c>
      <c r="E80" s="2147">
        <v>1</v>
      </c>
      <c r="F80" s="2147">
        <v>153070</v>
      </c>
      <c r="H80" s="2145" t="s">
        <v>2711</v>
      </c>
      <c r="I80" s="58" t="s">
        <v>2637</v>
      </c>
      <c r="J80" s="2148">
        <v>2</v>
      </c>
      <c r="K80" s="2147">
        <v>2771</v>
      </c>
      <c r="L80" s="2147">
        <v>5542</v>
      </c>
    </row>
    <row r="81" spans="2:12">
      <c r="B81" s="2145">
        <v>1000833</v>
      </c>
      <c r="C81" s="58" t="s">
        <v>2637</v>
      </c>
      <c r="D81" s="2146">
        <v>397624</v>
      </c>
      <c r="E81" s="2147">
        <v>1</v>
      </c>
      <c r="F81" s="2147">
        <v>397624</v>
      </c>
      <c r="H81" s="2145" t="s">
        <v>2712</v>
      </c>
      <c r="I81" s="58" t="s">
        <v>2637</v>
      </c>
      <c r="J81" s="2148">
        <v>1</v>
      </c>
      <c r="K81" s="2147">
        <v>1009</v>
      </c>
      <c r="L81" s="2147">
        <v>1009</v>
      </c>
    </row>
    <row r="82" spans="2:12">
      <c r="B82" s="2145">
        <v>1001039</v>
      </c>
      <c r="C82" s="58" t="s">
        <v>2637</v>
      </c>
      <c r="D82" s="2146">
        <v>1045</v>
      </c>
      <c r="E82" s="2147">
        <v>1</v>
      </c>
      <c r="F82" s="2147">
        <v>1045</v>
      </c>
      <c r="H82" s="2145" t="s">
        <v>2713</v>
      </c>
      <c r="I82" s="58" t="s">
        <v>2637</v>
      </c>
      <c r="J82" s="2148">
        <v>32</v>
      </c>
      <c r="K82" s="2147">
        <v>1358</v>
      </c>
      <c r="L82" s="2147">
        <v>43465</v>
      </c>
    </row>
    <row r="83" spans="2:12">
      <c r="B83" s="2145">
        <v>1001041</v>
      </c>
      <c r="C83" s="58" t="s">
        <v>2637</v>
      </c>
      <c r="D83" s="2146">
        <v>6176</v>
      </c>
      <c r="E83" s="2147">
        <v>1</v>
      </c>
      <c r="F83" s="2147">
        <v>6176</v>
      </c>
      <c r="H83" s="2145" t="s">
        <v>2714</v>
      </c>
      <c r="I83" s="58" t="s">
        <v>2637</v>
      </c>
      <c r="J83" s="2148">
        <v>2</v>
      </c>
      <c r="K83" s="2147">
        <v>5205</v>
      </c>
      <c r="L83" s="2147">
        <v>10410</v>
      </c>
    </row>
    <row r="84" spans="2:12">
      <c r="B84" s="2145">
        <v>1001071</v>
      </c>
      <c r="C84" s="58" t="s">
        <v>2637</v>
      </c>
      <c r="D84" s="2146">
        <v>1768166</v>
      </c>
      <c r="E84" s="2147">
        <v>1</v>
      </c>
      <c r="F84" s="2147">
        <v>1768166</v>
      </c>
      <c r="H84" s="2145" t="s">
        <v>2715</v>
      </c>
      <c r="I84" s="58" t="s">
        <v>2637</v>
      </c>
      <c r="J84" s="2148">
        <v>10</v>
      </c>
      <c r="K84" s="2147">
        <v>5101</v>
      </c>
      <c r="L84" s="2147">
        <v>51013</v>
      </c>
    </row>
    <row r="85" spans="2:12">
      <c r="B85" s="2145">
        <v>1001072</v>
      </c>
      <c r="C85" s="58" t="s">
        <v>2637</v>
      </c>
      <c r="D85" s="2146">
        <v>2284</v>
      </c>
      <c r="E85" s="2147">
        <v>1</v>
      </c>
      <c r="F85" s="2147">
        <v>2284</v>
      </c>
      <c r="H85" s="2145" t="s">
        <v>2716</v>
      </c>
      <c r="I85" s="58" t="s">
        <v>2637</v>
      </c>
      <c r="J85" s="2148">
        <v>10</v>
      </c>
      <c r="K85" s="2147">
        <v>7652</v>
      </c>
      <c r="L85" s="2147">
        <v>76520</v>
      </c>
    </row>
    <row r="86" spans="2:12">
      <c r="B86" s="2145">
        <v>1001076</v>
      </c>
      <c r="C86" s="58" t="s">
        <v>2637</v>
      </c>
      <c r="D86" s="2146">
        <v>2157098</v>
      </c>
      <c r="E86" s="2147">
        <v>1</v>
      </c>
      <c r="F86" s="2147">
        <v>2157098</v>
      </c>
      <c r="H86" s="2145" t="s">
        <v>2717</v>
      </c>
      <c r="I86" s="58" t="s">
        <v>2637</v>
      </c>
      <c r="J86" s="2148">
        <v>2</v>
      </c>
      <c r="K86" s="2147">
        <v>2598</v>
      </c>
      <c r="L86" s="2147">
        <v>5197</v>
      </c>
    </row>
    <row r="87" spans="2:12">
      <c r="B87" s="2145">
        <v>1000834</v>
      </c>
      <c r="C87" s="58" t="s">
        <v>2637</v>
      </c>
      <c r="D87" s="2146">
        <v>1589520</v>
      </c>
      <c r="E87" s="2147">
        <v>1</v>
      </c>
      <c r="F87" s="2147">
        <v>1589520</v>
      </c>
      <c r="H87" s="2145" t="s">
        <v>2718</v>
      </c>
      <c r="I87" s="58" t="s">
        <v>2637</v>
      </c>
      <c r="J87" s="2148">
        <v>2</v>
      </c>
      <c r="K87" s="2147">
        <v>5205</v>
      </c>
      <c r="L87" s="2147">
        <v>10410</v>
      </c>
    </row>
    <row r="88" spans="2:12">
      <c r="B88" s="2145">
        <v>1001077</v>
      </c>
      <c r="C88" s="58" t="s">
        <v>2637</v>
      </c>
      <c r="D88" s="2146">
        <v>3056476</v>
      </c>
      <c r="E88" s="2147">
        <v>1</v>
      </c>
      <c r="F88" s="2147">
        <v>3056476</v>
      </c>
      <c r="H88" s="2145" t="s">
        <v>2719</v>
      </c>
      <c r="I88" s="58" t="s">
        <v>2637</v>
      </c>
      <c r="J88" s="2148">
        <v>3</v>
      </c>
      <c r="K88" s="2147">
        <v>7672</v>
      </c>
      <c r="L88" s="2147">
        <v>23016</v>
      </c>
    </row>
    <row r="89" spans="2:12">
      <c r="B89" s="2145">
        <v>1001391</v>
      </c>
      <c r="C89" s="58" t="s">
        <v>2637</v>
      </c>
      <c r="D89" s="2146">
        <v>285819</v>
      </c>
      <c r="E89" s="2147">
        <v>1</v>
      </c>
      <c r="F89" s="2147">
        <v>285819</v>
      </c>
      <c r="H89" s="2145" t="s">
        <v>2720</v>
      </c>
      <c r="I89" s="58" t="s">
        <v>2637</v>
      </c>
      <c r="J89" s="2148">
        <v>2</v>
      </c>
      <c r="K89" s="2147">
        <v>9750</v>
      </c>
      <c r="L89" s="2147">
        <v>19501</v>
      </c>
    </row>
    <row r="90" spans="2:12">
      <c r="B90" s="2145">
        <v>1001696</v>
      </c>
      <c r="C90" s="58" t="s">
        <v>2637</v>
      </c>
      <c r="D90" s="2146">
        <v>11361</v>
      </c>
      <c r="E90" s="2147">
        <v>1</v>
      </c>
      <c r="F90" s="2147">
        <v>11361</v>
      </c>
      <c r="H90" s="2145" t="s">
        <v>2721</v>
      </c>
      <c r="I90" s="58" t="s">
        <v>2637</v>
      </c>
      <c r="J90" s="2148">
        <v>1</v>
      </c>
      <c r="K90" s="2147">
        <v>3800</v>
      </c>
      <c r="L90" s="2147">
        <v>3800</v>
      </c>
    </row>
    <row r="91" spans="2:12">
      <c r="B91" s="2145">
        <v>1001697</v>
      </c>
      <c r="C91" s="58" t="s">
        <v>2637</v>
      </c>
      <c r="D91" s="2146">
        <v>10800</v>
      </c>
      <c r="E91" s="2147">
        <v>1</v>
      </c>
      <c r="F91" s="2147">
        <v>10800</v>
      </c>
      <c r="H91" s="2145" t="s">
        <v>2722</v>
      </c>
      <c r="I91" s="58" t="s">
        <v>2637</v>
      </c>
      <c r="J91" s="2148">
        <v>2</v>
      </c>
      <c r="K91" s="2147">
        <v>7803</v>
      </c>
      <c r="L91" s="2147">
        <v>15607</v>
      </c>
    </row>
    <row r="92" spans="2:12">
      <c r="B92" s="2145">
        <v>1001698</v>
      </c>
      <c r="C92" s="58" t="s">
        <v>2637</v>
      </c>
      <c r="D92" s="2146">
        <v>1553748</v>
      </c>
      <c r="E92" s="2147">
        <v>1</v>
      </c>
      <c r="F92" s="2147">
        <v>1553748</v>
      </c>
      <c r="H92" s="2145" t="s">
        <v>2723</v>
      </c>
      <c r="I92" s="58" t="s">
        <v>2637</v>
      </c>
      <c r="J92" s="2148">
        <v>3</v>
      </c>
      <c r="K92" s="2147">
        <v>11506</v>
      </c>
      <c r="L92" s="2147">
        <v>34518</v>
      </c>
    </row>
    <row r="93" spans="2:12">
      <c r="B93" s="2145">
        <v>1000835</v>
      </c>
      <c r="C93" s="58" t="s">
        <v>2637</v>
      </c>
      <c r="D93" s="2146">
        <v>1063763</v>
      </c>
      <c r="E93" s="2147">
        <v>1</v>
      </c>
      <c r="F93" s="2147">
        <v>1063763</v>
      </c>
      <c r="H93" s="2145" t="s">
        <v>2724</v>
      </c>
      <c r="I93" s="58" t="s">
        <v>2637</v>
      </c>
      <c r="J93" s="2148">
        <v>2</v>
      </c>
      <c r="K93" s="2147">
        <v>15607</v>
      </c>
      <c r="L93" s="2147">
        <v>31214</v>
      </c>
    </row>
    <row r="94" spans="2:12">
      <c r="B94" s="2145">
        <v>1001703</v>
      </c>
      <c r="C94" s="58" t="s">
        <v>2637</v>
      </c>
      <c r="D94" s="2146">
        <v>354315</v>
      </c>
      <c r="E94" s="2147">
        <v>1</v>
      </c>
      <c r="F94" s="2147">
        <v>354315</v>
      </c>
      <c r="H94" s="2145" t="s">
        <v>2725</v>
      </c>
      <c r="I94" s="58" t="s">
        <v>2637</v>
      </c>
      <c r="J94" s="2148">
        <v>1</v>
      </c>
      <c r="K94" s="2147">
        <v>4748</v>
      </c>
      <c r="L94" s="2147">
        <v>4748</v>
      </c>
    </row>
    <row r="95" spans="2:12">
      <c r="B95" s="2145">
        <v>1001704</v>
      </c>
      <c r="C95" s="58" t="s">
        <v>2637</v>
      </c>
      <c r="D95" s="2146">
        <v>69636</v>
      </c>
      <c r="E95" s="2147">
        <v>1</v>
      </c>
      <c r="F95" s="2147">
        <v>69636</v>
      </c>
      <c r="H95" s="2145" t="s">
        <v>2726</v>
      </c>
      <c r="I95" s="58" t="s">
        <v>2637</v>
      </c>
      <c r="J95" s="2148">
        <v>4</v>
      </c>
      <c r="K95" s="2147">
        <v>6100</v>
      </c>
      <c r="L95" s="2147">
        <v>24401</v>
      </c>
    </row>
    <row r="96" spans="2:12">
      <c r="B96" s="2145">
        <v>1001705</v>
      </c>
      <c r="C96" s="58" t="s">
        <v>2637</v>
      </c>
      <c r="D96" s="2146">
        <v>28281</v>
      </c>
      <c r="E96" s="2147">
        <v>1</v>
      </c>
      <c r="F96" s="2147">
        <v>28281</v>
      </c>
      <c r="H96" s="2145" t="s">
        <v>2727</v>
      </c>
      <c r="I96" s="58" t="s">
        <v>2637</v>
      </c>
      <c r="J96" s="2148">
        <v>2</v>
      </c>
      <c r="K96" s="2147">
        <v>7803</v>
      </c>
      <c r="L96" s="2147">
        <v>15607</v>
      </c>
    </row>
    <row r="97" spans="2:12">
      <c r="B97" s="2145">
        <v>1000847</v>
      </c>
      <c r="C97" s="58" t="s">
        <v>2637</v>
      </c>
      <c r="D97" s="2146">
        <v>7223248</v>
      </c>
      <c r="E97" s="2147">
        <v>1</v>
      </c>
      <c r="F97" s="2147">
        <v>7223248</v>
      </c>
      <c r="H97" s="2145" t="s">
        <v>2728</v>
      </c>
      <c r="I97" s="58" t="s">
        <v>2637</v>
      </c>
      <c r="J97" s="2148">
        <v>1</v>
      </c>
      <c r="K97" s="2147">
        <v>9496</v>
      </c>
      <c r="L97" s="2147">
        <v>9496</v>
      </c>
    </row>
    <row r="98" spans="2:12">
      <c r="B98" s="2145">
        <v>1001706</v>
      </c>
      <c r="C98" s="58" t="s">
        <v>2637</v>
      </c>
      <c r="D98" s="2148">
        <v>3</v>
      </c>
      <c r="E98" s="2147">
        <v>5321</v>
      </c>
      <c r="F98" s="2147">
        <v>15963</v>
      </c>
      <c r="H98" s="2145" t="s">
        <v>2729</v>
      </c>
      <c r="I98" s="58" t="s">
        <v>2637</v>
      </c>
      <c r="J98" s="2148">
        <v>1</v>
      </c>
      <c r="K98" s="2147">
        <v>15199</v>
      </c>
      <c r="L98" s="2147">
        <v>15199</v>
      </c>
    </row>
    <row r="99" spans="2:12">
      <c r="B99" s="2145">
        <v>1002698</v>
      </c>
      <c r="C99" s="58" t="s">
        <v>2637</v>
      </c>
      <c r="D99" s="2146">
        <v>319335</v>
      </c>
      <c r="E99" s="2147">
        <v>1</v>
      </c>
      <c r="F99" s="2147">
        <v>319335</v>
      </c>
      <c r="H99" s="2145" t="s">
        <v>2730</v>
      </c>
      <c r="I99" s="58" t="s">
        <v>2637</v>
      </c>
      <c r="J99" s="2148">
        <v>1845</v>
      </c>
      <c r="K99" s="2147">
        <v>95</v>
      </c>
      <c r="L99" s="2147">
        <v>174998</v>
      </c>
    </row>
    <row r="100" spans="2:12">
      <c r="B100" s="2145">
        <v>1002700</v>
      </c>
      <c r="C100" s="58" t="s">
        <v>2637</v>
      </c>
      <c r="D100" s="2148">
        <v>823</v>
      </c>
      <c r="E100" s="2147">
        <v>107</v>
      </c>
      <c r="F100" s="2147">
        <v>87863</v>
      </c>
      <c r="H100" s="2145" t="s">
        <v>2731</v>
      </c>
      <c r="I100" s="58" t="s">
        <v>2637</v>
      </c>
      <c r="J100" s="2148">
        <v>2064</v>
      </c>
      <c r="K100" s="2147">
        <v>105</v>
      </c>
      <c r="L100" s="2147">
        <v>217319</v>
      </c>
    </row>
    <row r="101" spans="2:12">
      <c r="B101" s="2145">
        <v>1002701</v>
      </c>
      <c r="C101" s="58" t="s">
        <v>2637</v>
      </c>
      <c r="D101" s="2146">
        <v>1604</v>
      </c>
      <c r="E101" s="2147">
        <v>21</v>
      </c>
      <c r="F101" s="2147">
        <v>32967</v>
      </c>
      <c r="H101" s="2145" t="s">
        <v>2732</v>
      </c>
      <c r="I101" s="58" t="s">
        <v>2637</v>
      </c>
      <c r="J101" s="2148">
        <v>3995</v>
      </c>
      <c r="K101" s="2147">
        <v>120</v>
      </c>
      <c r="L101" s="2147">
        <v>478441</v>
      </c>
    </row>
    <row r="102" spans="2:12">
      <c r="B102" s="2145">
        <v>1002702</v>
      </c>
      <c r="C102" s="58" t="s">
        <v>2637</v>
      </c>
      <c r="D102" s="2146">
        <v>1671</v>
      </c>
      <c r="E102" s="2147">
        <v>21</v>
      </c>
      <c r="F102" s="2147">
        <v>34795</v>
      </c>
      <c r="H102" s="2145" t="s">
        <v>2733</v>
      </c>
      <c r="I102" s="58" t="s">
        <v>2637</v>
      </c>
      <c r="J102" s="2148">
        <v>205</v>
      </c>
      <c r="K102" s="2147">
        <v>106</v>
      </c>
      <c r="L102" s="2147">
        <v>21664</v>
      </c>
    </row>
    <row r="103" spans="2:12">
      <c r="B103" s="2145">
        <v>1002703</v>
      </c>
      <c r="C103" s="58" t="s">
        <v>2637</v>
      </c>
      <c r="D103" s="2146">
        <v>3502</v>
      </c>
      <c r="E103" s="2147">
        <v>12</v>
      </c>
      <c r="F103" s="2147">
        <v>43006</v>
      </c>
      <c r="H103" s="2145" t="s">
        <v>2734</v>
      </c>
      <c r="I103" s="58" t="s">
        <v>2637</v>
      </c>
      <c r="J103" s="2148">
        <v>200</v>
      </c>
      <c r="K103" s="2147">
        <v>115</v>
      </c>
      <c r="L103" s="2147">
        <v>22924</v>
      </c>
    </row>
    <row r="104" spans="2:12">
      <c r="B104" s="2145">
        <v>1000836</v>
      </c>
      <c r="C104" s="58" t="s">
        <v>2637</v>
      </c>
      <c r="D104" s="2146">
        <v>559545</v>
      </c>
      <c r="E104" s="2147">
        <v>1</v>
      </c>
      <c r="F104" s="2147">
        <v>559545</v>
      </c>
      <c r="H104" s="2145" t="s">
        <v>2735</v>
      </c>
      <c r="I104" s="58" t="s">
        <v>2637</v>
      </c>
      <c r="J104" s="2148">
        <v>444</v>
      </c>
      <c r="K104" s="2147">
        <v>127</v>
      </c>
      <c r="L104" s="2147">
        <v>56379</v>
      </c>
    </row>
    <row r="105" spans="2:12">
      <c r="B105" s="2145">
        <v>1002704</v>
      </c>
      <c r="C105" s="58" t="s">
        <v>2637</v>
      </c>
      <c r="D105" s="2148">
        <v>466</v>
      </c>
      <c r="E105" s="2147">
        <v>100</v>
      </c>
      <c r="F105" s="2147">
        <v>46719</v>
      </c>
      <c r="H105" s="2145" t="s">
        <v>2736</v>
      </c>
      <c r="I105" s="58" t="s">
        <v>2637</v>
      </c>
      <c r="J105" s="2148">
        <v>15</v>
      </c>
      <c r="K105" s="2147">
        <v>815</v>
      </c>
      <c r="L105" s="2147">
        <v>12223</v>
      </c>
    </row>
    <row r="106" spans="2:12">
      <c r="B106" s="2145">
        <v>1000837</v>
      </c>
      <c r="C106" s="58" t="s">
        <v>2637</v>
      </c>
      <c r="D106" s="2146">
        <v>46147</v>
      </c>
      <c r="E106" s="2147">
        <v>1</v>
      </c>
      <c r="F106" s="2147">
        <v>46147</v>
      </c>
      <c r="H106" s="2145" t="s">
        <v>2737</v>
      </c>
      <c r="I106" s="58" t="s">
        <v>2637</v>
      </c>
      <c r="J106" s="2148">
        <v>15</v>
      </c>
      <c r="K106" s="2147">
        <v>1018</v>
      </c>
      <c r="L106" s="2147">
        <v>15276</v>
      </c>
    </row>
    <row r="107" spans="2:12">
      <c r="B107" s="2145">
        <v>1000838</v>
      </c>
      <c r="C107" s="58" t="s">
        <v>2637</v>
      </c>
      <c r="D107" s="2146">
        <v>3071</v>
      </c>
      <c r="E107" s="2147">
        <v>1</v>
      </c>
      <c r="F107" s="2147">
        <v>3071</v>
      </c>
      <c r="H107" s="2145" t="s">
        <v>2738</v>
      </c>
      <c r="I107" s="58" t="s">
        <v>2637</v>
      </c>
      <c r="J107" s="2148">
        <v>15</v>
      </c>
      <c r="K107" s="2147">
        <v>2923</v>
      </c>
      <c r="L107" s="2147">
        <v>43838</v>
      </c>
    </row>
    <row r="108" spans="2:12">
      <c r="B108" s="2145">
        <v>1000839</v>
      </c>
      <c r="C108" s="58" t="s">
        <v>2637</v>
      </c>
      <c r="D108" s="2146">
        <v>647147</v>
      </c>
      <c r="E108" s="2147">
        <v>1</v>
      </c>
      <c r="F108" s="2147">
        <v>647147</v>
      </c>
      <c r="H108" s="2145" t="s">
        <v>2739</v>
      </c>
      <c r="I108" s="58" t="s">
        <v>2637</v>
      </c>
      <c r="J108" s="2148">
        <v>50</v>
      </c>
      <c r="K108" s="2147">
        <v>160</v>
      </c>
      <c r="L108" s="2147">
        <v>8014</v>
      </c>
    </row>
    <row r="109" spans="2:12">
      <c r="B109" s="2929" t="s">
        <v>2740</v>
      </c>
      <c r="C109" s="2930"/>
      <c r="D109" s="2930"/>
      <c r="E109" s="2931"/>
      <c r="F109" s="2149">
        <f>SUM(F6:F108)</f>
        <v>73230071</v>
      </c>
      <c r="H109" s="2145" t="s">
        <v>2741</v>
      </c>
      <c r="I109" s="58" t="s">
        <v>2637</v>
      </c>
      <c r="J109" s="2148">
        <v>5</v>
      </c>
      <c r="K109" s="2147">
        <v>8094</v>
      </c>
      <c r="L109" s="2147">
        <v>40472</v>
      </c>
    </row>
    <row r="110" spans="2:12">
      <c r="H110" s="2145" t="s">
        <v>2742</v>
      </c>
      <c r="I110" s="58" t="s">
        <v>2637</v>
      </c>
      <c r="J110" s="2148">
        <v>5</v>
      </c>
      <c r="K110" s="2147">
        <v>8094</v>
      </c>
      <c r="L110" s="2147">
        <v>40472</v>
      </c>
    </row>
    <row r="111" spans="2:12">
      <c r="H111" s="2145" t="s">
        <v>2743</v>
      </c>
      <c r="I111" s="58" t="s">
        <v>2637</v>
      </c>
      <c r="J111" s="2148">
        <v>100</v>
      </c>
      <c r="K111" s="2147">
        <v>126</v>
      </c>
      <c r="L111" s="2147">
        <v>12570</v>
      </c>
    </row>
    <row r="112" spans="2:12">
      <c r="H112" s="2145" t="s">
        <v>2744</v>
      </c>
      <c r="I112" s="58" t="s">
        <v>2637</v>
      </c>
      <c r="J112" s="2148">
        <v>400</v>
      </c>
      <c r="K112" s="2147">
        <v>157</v>
      </c>
      <c r="L112" s="2147">
        <v>62768</v>
      </c>
    </row>
    <row r="113" spans="8:12">
      <c r="H113" s="2145" t="s">
        <v>2745</v>
      </c>
      <c r="I113" s="58" t="s">
        <v>2637</v>
      </c>
      <c r="J113" s="2148">
        <v>100</v>
      </c>
      <c r="K113" s="2147">
        <v>208</v>
      </c>
      <c r="L113" s="2147">
        <v>20761</v>
      </c>
    </row>
    <row r="114" spans="8:12">
      <c r="H114" s="2145" t="s">
        <v>2746</v>
      </c>
      <c r="I114" s="58" t="s">
        <v>2637</v>
      </c>
      <c r="J114" s="2148">
        <v>100</v>
      </c>
      <c r="K114" s="2147">
        <v>154</v>
      </c>
      <c r="L114" s="2147">
        <v>15379</v>
      </c>
    </row>
    <row r="115" spans="8:12">
      <c r="H115" s="2145" t="s">
        <v>2747</v>
      </c>
      <c r="I115" s="58" t="s">
        <v>2637</v>
      </c>
      <c r="J115" s="2148">
        <v>400</v>
      </c>
      <c r="K115" s="2147">
        <v>189</v>
      </c>
      <c r="L115" s="2147">
        <v>75732</v>
      </c>
    </row>
    <row r="116" spans="8:12">
      <c r="H116" s="2145" t="s">
        <v>2748</v>
      </c>
      <c r="I116" s="58" t="s">
        <v>2637</v>
      </c>
      <c r="J116" s="2148">
        <v>100</v>
      </c>
      <c r="K116" s="2147">
        <v>237</v>
      </c>
      <c r="L116" s="2147">
        <v>23663</v>
      </c>
    </row>
    <row r="117" spans="8:12">
      <c r="H117" s="2145" t="s">
        <v>2749</v>
      </c>
      <c r="I117" s="58" t="s">
        <v>2637</v>
      </c>
      <c r="J117" s="2148">
        <v>9000</v>
      </c>
      <c r="K117" s="2147">
        <v>98</v>
      </c>
      <c r="L117" s="2147">
        <v>877860</v>
      </c>
    </row>
    <row r="118" spans="8:12">
      <c r="H118" s="2145" t="s">
        <v>2750</v>
      </c>
      <c r="I118" s="58" t="s">
        <v>2637</v>
      </c>
      <c r="J118" s="2148">
        <v>400</v>
      </c>
      <c r="K118" s="2147">
        <v>117</v>
      </c>
      <c r="L118" s="2147">
        <v>46820</v>
      </c>
    </row>
    <row r="119" spans="8:12">
      <c r="H119" s="2145" t="s">
        <v>2751</v>
      </c>
      <c r="I119" s="58" t="s">
        <v>2637</v>
      </c>
      <c r="J119" s="2148">
        <v>100</v>
      </c>
      <c r="K119" s="2147">
        <v>153</v>
      </c>
      <c r="L119" s="2147">
        <v>15264</v>
      </c>
    </row>
    <row r="120" spans="8:12">
      <c r="H120" s="2145" t="s">
        <v>2752</v>
      </c>
      <c r="I120" s="58" t="s">
        <v>2637</v>
      </c>
      <c r="J120" s="2148">
        <v>15</v>
      </c>
      <c r="K120" s="2147">
        <v>1596</v>
      </c>
      <c r="L120" s="2147">
        <v>23947</v>
      </c>
    </row>
    <row r="121" spans="8:12">
      <c r="H121" s="2145" t="s">
        <v>2753</v>
      </c>
      <c r="I121" s="58" t="s">
        <v>2637</v>
      </c>
      <c r="J121" s="2148">
        <v>100</v>
      </c>
      <c r="K121" s="2147">
        <v>156</v>
      </c>
      <c r="L121" s="2147">
        <v>15576</v>
      </c>
    </row>
    <row r="122" spans="8:12">
      <c r="H122" s="2145" t="s">
        <v>2754</v>
      </c>
      <c r="I122" s="58" t="s">
        <v>2637</v>
      </c>
      <c r="J122" s="2148">
        <v>500</v>
      </c>
      <c r="K122" s="2147">
        <v>84</v>
      </c>
      <c r="L122" s="2147">
        <v>41780</v>
      </c>
    </row>
    <row r="123" spans="8:12">
      <c r="H123" s="2145" t="s">
        <v>2755</v>
      </c>
      <c r="I123" s="58" t="s">
        <v>2637</v>
      </c>
      <c r="J123" s="2148">
        <v>500</v>
      </c>
      <c r="K123" s="2147">
        <v>158</v>
      </c>
      <c r="L123" s="2147">
        <v>78925</v>
      </c>
    </row>
    <row r="124" spans="8:12">
      <c r="H124" s="2145" t="s">
        <v>2756</v>
      </c>
      <c r="I124" s="58" t="s">
        <v>2637</v>
      </c>
      <c r="J124" s="2148">
        <v>25</v>
      </c>
      <c r="K124" s="2147">
        <v>317</v>
      </c>
      <c r="L124" s="2147">
        <v>7922</v>
      </c>
    </row>
    <row r="125" spans="8:12">
      <c r="H125" s="2145" t="s">
        <v>2757</v>
      </c>
      <c r="I125" s="58" t="s">
        <v>2637</v>
      </c>
      <c r="J125" s="2148">
        <v>25</v>
      </c>
      <c r="K125" s="2147">
        <v>396</v>
      </c>
      <c r="L125" s="2147">
        <v>9905</v>
      </c>
    </row>
    <row r="126" spans="8:12">
      <c r="H126" s="2145" t="s">
        <v>2758</v>
      </c>
      <c r="I126" s="58" t="s">
        <v>2637</v>
      </c>
      <c r="J126" s="2148">
        <v>25</v>
      </c>
      <c r="K126" s="2147">
        <v>1584</v>
      </c>
      <c r="L126" s="2147">
        <v>39610</v>
      </c>
    </row>
    <row r="127" spans="8:12">
      <c r="H127" s="2145" t="s">
        <v>2759</v>
      </c>
      <c r="I127" s="58" t="s">
        <v>2637</v>
      </c>
      <c r="J127" s="2148">
        <v>50</v>
      </c>
      <c r="K127" s="2147">
        <v>58</v>
      </c>
      <c r="L127" s="2147">
        <v>2918</v>
      </c>
    </row>
    <row r="128" spans="8:12">
      <c r="H128" s="2145" t="s">
        <v>2760</v>
      </c>
      <c r="I128" s="58" t="s">
        <v>2637</v>
      </c>
      <c r="J128" s="2148">
        <v>25</v>
      </c>
      <c r="K128" s="2147">
        <v>87</v>
      </c>
      <c r="L128" s="2147">
        <v>2182</v>
      </c>
    </row>
    <row r="129" spans="8:12">
      <c r="H129" s="2145" t="s">
        <v>2761</v>
      </c>
      <c r="I129" s="58" t="s">
        <v>2637</v>
      </c>
      <c r="J129" s="2148">
        <v>10</v>
      </c>
      <c r="K129" s="2147">
        <v>70</v>
      </c>
      <c r="L129" s="2147">
        <v>700</v>
      </c>
    </row>
    <row r="130" spans="8:12">
      <c r="H130" s="2145" t="s">
        <v>2762</v>
      </c>
      <c r="I130" s="58" t="s">
        <v>2637</v>
      </c>
      <c r="J130" s="2148">
        <v>10</v>
      </c>
      <c r="K130" s="2147">
        <v>117</v>
      </c>
      <c r="L130" s="2147">
        <v>1167</v>
      </c>
    </row>
    <row r="131" spans="8:12">
      <c r="H131" s="2145" t="s">
        <v>2763</v>
      </c>
      <c r="I131" s="58" t="s">
        <v>2637</v>
      </c>
      <c r="J131" s="2148">
        <v>500</v>
      </c>
      <c r="K131" s="2147">
        <v>13</v>
      </c>
      <c r="L131" s="2147">
        <v>6405</v>
      </c>
    </row>
    <row r="132" spans="8:12">
      <c r="H132" s="2145" t="s">
        <v>2764</v>
      </c>
      <c r="I132" s="58" t="s">
        <v>2637</v>
      </c>
      <c r="J132" s="2148">
        <v>17</v>
      </c>
      <c r="K132" s="2147">
        <v>986</v>
      </c>
      <c r="L132" s="2147">
        <v>16755</v>
      </c>
    </row>
    <row r="133" spans="8:12">
      <c r="H133" s="2145" t="s">
        <v>2765</v>
      </c>
      <c r="I133" s="58" t="s">
        <v>2637</v>
      </c>
      <c r="J133" s="2148">
        <v>13</v>
      </c>
      <c r="K133" s="2147">
        <v>1283</v>
      </c>
      <c r="L133" s="2147">
        <v>16682</v>
      </c>
    </row>
    <row r="134" spans="8:12">
      <c r="H134" s="2145" t="s">
        <v>2766</v>
      </c>
      <c r="I134" s="58" t="s">
        <v>2637</v>
      </c>
      <c r="J134" s="2148">
        <v>5</v>
      </c>
      <c r="K134" s="2147">
        <v>794</v>
      </c>
      <c r="L134" s="2147">
        <v>3969</v>
      </c>
    </row>
    <row r="135" spans="8:12">
      <c r="H135" s="2145" t="s">
        <v>2767</v>
      </c>
      <c r="I135" s="58" t="s">
        <v>2637</v>
      </c>
      <c r="J135" s="2148">
        <v>5</v>
      </c>
      <c r="K135" s="2147">
        <v>1167</v>
      </c>
      <c r="L135" s="2147">
        <v>5835</v>
      </c>
    </row>
    <row r="136" spans="8:12">
      <c r="H136" s="2145" t="s">
        <v>2768</v>
      </c>
      <c r="I136" s="58" t="s">
        <v>2637</v>
      </c>
      <c r="J136" s="2148">
        <v>2</v>
      </c>
      <c r="K136" s="2147">
        <v>2598</v>
      </c>
      <c r="L136" s="2147">
        <v>5196</v>
      </c>
    </row>
    <row r="137" spans="8:12">
      <c r="H137" s="2145" t="s">
        <v>2769</v>
      </c>
      <c r="I137" s="58" t="s">
        <v>2637</v>
      </c>
      <c r="J137" s="2148">
        <v>3</v>
      </c>
      <c r="K137" s="2147">
        <v>3284</v>
      </c>
      <c r="L137" s="2147">
        <v>9852</v>
      </c>
    </row>
    <row r="138" spans="8:12">
      <c r="H138" s="2145" t="s">
        <v>2770</v>
      </c>
      <c r="I138" s="58" t="s">
        <v>2637</v>
      </c>
      <c r="J138" s="2148">
        <v>3</v>
      </c>
      <c r="K138" s="2147">
        <v>5742</v>
      </c>
      <c r="L138" s="2147">
        <v>17226</v>
      </c>
    </row>
    <row r="139" spans="8:12">
      <c r="H139" s="2145" t="s">
        <v>2771</v>
      </c>
      <c r="I139" s="58" t="s">
        <v>2637</v>
      </c>
      <c r="J139" s="2148">
        <v>2</v>
      </c>
      <c r="K139" s="2147">
        <v>4221</v>
      </c>
      <c r="L139" s="2147">
        <v>8441</v>
      </c>
    </row>
    <row r="140" spans="8:12">
      <c r="H140" s="2145" t="s">
        <v>2772</v>
      </c>
      <c r="I140" s="58" t="s">
        <v>2637</v>
      </c>
      <c r="J140" s="2148">
        <v>2</v>
      </c>
      <c r="K140" s="2147">
        <v>8697</v>
      </c>
      <c r="L140" s="2147">
        <v>17393</v>
      </c>
    </row>
    <row r="141" spans="8:12">
      <c r="H141" s="2145" t="s">
        <v>2773</v>
      </c>
      <c r="I141" s="58" t="s">
        <v>2637</v>
      </c>
      <c r="J141" s="2148">
        <v>45</v>
      </c>
      <c r="K141" s="2147">
        <v>3933</v>
      </c>
      <c r="L141" s="2147">
        <v>176989</v>
      </c>
    </row>
    <row r="142" spans="8:12">
      <c r="H142" s="2145" t="s">
        <v>2774</v>
      </c>
      <c r="I142" s="58" t="s">
        <v>2637</v>
      </c>
      <c r="J142" s="2148">
        <v>118</v>
      </c>
      <c r="K142" s="2147">
        <v>14</v>
      </c>
      <c r="L142" s="2147">
        <v>1682</v>
      </c>
    </row>
    <row r="143" spans="8:12">
      <c r="H143" s="2145" t="s">
        <v>2775</v>
      </c>
      <c r="I143" s="58" t="s">
        <v>2637</v>
      </c>
      <c r="J143" s="2148">
        <v>10</v>
      </c>
      <c r="K143" s="2147">
        <v>350</v>
      </c>
      <c r="L143" s="2147">
        <v>3501</v>
      </c>
    </row>
    <row r="144" spans="8:12">
      <c r="H144" s="2145" t="s">
        <v>2776</v>
      </c>
      <c r="I144" s="58" t="s">
        <v>2637</v>
      </c>
      <c r="J144" s="2148">
        <v>20</v>
      </c>
      <c r="K144" s="2147">
        <v>350</v>
      </c>
      <c r="L144" s="2147">
        <v>7002</v>
      </c>
    </row>
    <row r="145" spans="8:12">
      <c r="H145" s="2145" t="s">
        <v>2777</v>
      </c>
      <c r="I145" s="58" t="s">
        <v>2637</v>
      </c>
      <c r="J145" s="2148">
        <v>14</v>
      </c>
      <c r="K145" s="2147">
        <v>328</v>
      </c>
      <c r="L145" s="2147">
        <v>4597</v>
      </c>
    </row>
    <row r="146" spans="8:12">
      <c r="H146" s="2145" t="s">
        <v>2778</v>
      </c>
      <c r="I146" s="58" t="s">
        <v>2637</v>
      </c>
      <c r="J146" s="2148">
        <v>32</v>
      </c>
      <c r="K146" s="2147">
        <v>328</v>
      </c>
      <c r="L146" s="2147">
        <v>10503</v>
      </c>
    </row>
    <row r="147" spans="8:12">
      <c r="H147" s="2145" t="s">
        <v>2779</v>
      </c>
      <c r="I147" s="58" t="s">
        <v>2637</v>
      </c>
      <c r="J147" s="2148">
        <v>27</v>
      </c>
      <c r="K147" s="2147">
        <v>637</v>
      </c>
      <c r="L147" s="2147">
        <v>17209</v>
      </c>
    </row>
    <row r="148" spans="8:12">
      <c r="H148" s="2145" t="s">
        <v>2780</v>
      </c>
      <c r="I148" s="58" t="s">
        <v>2637</v>
      </c>
      <c r="J148" s="2148">
        <v>27</v>
      </c>
      <c r="K148" s="2147">
        <v>637</v>
      </c>
      <c r="L148" s="2147">
        <v>17209</v>
      </c>
    </row>
    <row r="149" spans="8:12">
      <c r="H149" s="2145" t="s">
        <v>2781</v>
      </c>
      <c r="I149" s="58" t="s">
        <v>2637</v>
      </c>
      <c r="J149" s="2148">
        <v>682</v>
      </c>
      <c r="K149" s="2147">
        <v>838</v>
      </c>
      <c r="L149" s="2147">
        <v>571584</v>
      </c>
    </row>
    <row r="150" spans="8:12">
      <c r="H150" s="2145" t="s">
        <v>2782</v>
      </c>
      <c r="I150" s="58" t="s">
        <v>2637</v>
      </c>
      <c r="J150" s="2148">
        <v>1</v>
      </c>
      <c r="K150" s="2147">
        <v>1157</v>
      </c>
      <c r="L150" s="2147">
        <v>1157</v>
      </c>
    </row>
    <row r="151" spans="8:12">
      <c r="H151" s="2145" t="s">
        <v>2783</v>
      </c>
      <c r="I151" s="58" t="s">
        <v>2637</v>
      </c>
      <c r="J151" s="2148">
        <v>4</v>
      </c>
      <c r="K151" s="2147">
        <v>1528</v>
      </c>
      <c r="L151" s="2147">
        <v>6111</v>
      </c>
    </row>
    <row r="152" spans="8:12">
      <c r="H152" s="2145" t="s">
        <v>2784</v>
      </c>
      <c r="I152" s="58" t="s">
        <v>2637</v>
      </c>
      <c r="J152" s="2148">
        <v>7</v>
      </c>
      <c r="K152" s="2147">
        <v>3207</v>
      </c>
      <c r="L152" s="2147">
        <v>22450</v>
      </c>
    </row>
    <row r="153" spans="8:12">
      <c r="H153" s="2145" t="s">
        <v>2785</v>
      </c>
      <c r="I153" s="58" t="s">
        <v>2637</v>
      </c>
      <c r="J153" s="2148">
        <v>7</v>
      </c>
      <c r="K153" s="2147">
        <v>4673</v>
      </c>
      <c r="L153" s="2147">
        <v>32713</v>
      </c>
    </row>
    <row r="154" spans="8:12">
      <c r="H154" s="2145" t="s">
        <v>2786</v>
      </c>
      <c r="I154" s="58" t="s">
        <v>2637</v>
      </c>
      <c r="J154" s="2148">
        <v>1</v>
      </c>
      <c r="K154" s="2147">
        <v>3155</v>
      </c>
      <c r="L154" s="2147">
        <v>3155</v>
      </c>
    </row>
    <row r="155" spans="8:12">
      <c r="H155" s="2145" t="s">
        <v>2787</v>
      </c>
      <c r="I155" s="58" t="s">
        <v>2637</v>
      </c>
      <c r="J155" s="2148">
        <v>1</v>
      </c>
      <c r="K155" s="2147">
        <v>4633</v>
      </c>
      <c r="L155" s="2147">
        <v>4633</v>
      </c>
    </row>
    <row r="156" spans="8:12">
      <c r="H156" s="2145" t="s">
        <v>2788</v>
      </c>
      <c r="I156" s="58" t="s">
        <v>2637</v>
      </c>
      <c r="J156" s="2148">
        <v>89</v>
      </c>
      <c r="K156" s="2147">
        <v>919</v>
      </c>
      <c r="L156" s="2147">
        <v>81779</v>
      </c>
    </row>
    <row r="157" spans="8:12">
      <c r="H157" s="2145" t="s">
        <v>2789</v>
      </c>
      <c r="I157" s="58" t="s">
        <v>2637</v>
      </c>
      <c r="J157" s="2148">
        <v>29</v>
      </c>
      <c r="K157" s="2147">
        <v>544</v>
      </c>
      <c r="L157" s="2147">
        <v>15780</v>
      </c>
    </row>
    <row r="158" spans="8:12">
      <c r="H158" s="2145" t="s">
        <v>2790</v>
      </c>
      <c r="I158" s="58" t="s">
        <v>2637</v>
      </c>
      <c r="J158" s="2148">
        <v>7</v>
      </c>
      <c r="K158" s="2147">
        <v>725</v>
      </c>
      <c r="L158" s="2147">
        <v>5077</v>
      </c>
    </row>
    <row r="159" spans="8:12">
      <c r="H159" s="2145" t="s">
        <v>2791</v>
      </c>
      <c r="I159" s="58" t="s">
        <v>2637</v>
      </c>
      <c r="J159" s="2148">
        <v>29</v>
      </c>
      <c r="K159" s="2147">
        <v>484</v>
      </c>
      <c r="L159" s="2147">
        <v>14023</v>
      </c>
    </row>
    <row r="160" spans="8:12">
      <c r="H160" s="2145" t="s">
        <v>2792</v>
      </c>
      <c r="I160" s="58" t="s">
        <v>2637</v>
      </c>
      <c r="J160" s="2148">
        <v>7</v>
      </c>
      <c r="K160" s="2147">
        <v>622</v>
      </c>
      <c r="L160" s="2147">
        <v>4351</v>
      </c>
    </row>
    <row r="161" spans="8:12">
      <c r="H161" s="2145" t="s">
        <v>2793</v>
      </c>
      <c r="I161" s="58" t="s">
        <v>2637</v>
      </c>
      <c r="J161" s="2148">
        <v>144</v>
      </c>
      <c r="K161" s="2147">
        <v>271</v>
      </c>
      <c r="L161" s="2147">
        <v>38982</v>
      </c>
    </row>
    <row r="162" spans="8:12">
      <c r="H162" s="2145" t="s">
        <v>2794</v>
      </c>
      <c r="I162" s="58" t="s">
        <v>2637</v>
      </c>
      <c r="J162" s="2148">
        <v>69</v>
      </c>
      <c r="K162" s="2147">
        <v>271</v>
      </c>
      <c r="L162" s="2147">
        <v>18680</v>
      </c>
    </row>
    <row r="163" spans="8:12">
      <c r="H163" s="2145" t="s">
        <v>2795</v>
      </c>
      <c r="I163" s="58" t="s">
        <v>2637</v>
      </c>
      <c r="J163" s="2148">
        <v>43</v>
      </c>
      <c r="K163" s="2147">
        <v>404</v>
      </c>
      <c r="L163" s="2147">
        <v>17357</v>
      </c>
    </row>
    <row r="164" spans="8:12">
      <c r="H164" s="2145" t="s">
        <v>2796</v>
      </c>
      <c r="I164" s="58" t="s">
        <v>2637</v>
      </c>
      <c r="J164" s="2148">
        <v>8</v>
      </c>
      <c r="K164" s="2147">
        <v>931</v>
      </c>
      <c r="L164" s="2147">
        <v>7447</v>
      </c>
    </row>
    <row r="165" spans="8:12">
      <c r="H165" s="2145" t="s">
        <v>2797</v>
      </c>
      <c r="I165" s="58" t="s">
        <v>2637</v>
      </c>
      <c r="J165" s="2148">
        <v>12</v>
      </c>
      <c r="K165" s="2147">
        <v>1095</v>
      </c>
      <c r="L165" s="2147">
        <v>13145</v>
      </c>
    </row>
    <row r="166" spans="8:12">
      <c r="H166" s="2145" t="s">
        <v>2798</v>
      </c>
      <c r="I166" s="58" t="s">
        <v>2637</v>
      </c>
      <c r="J166" s="2148">
        <v>45</v>
      </c>
      <c r="K166" s="2147">
        <v>77</v>
      </c>
      <c r="L166" s="2147">
        <v>3470</v>
      </c>
    </row>
    <row r="167" spans="8:12">
      <c r="H167" s="2145" t="s">
        <v>2799</v>
      </c>
      <c r="I167" s="58" t="s">
        <v>2637</v>
      </c>
      <c r="J167" s="2148">
        <v>5</v>
      </c>
      <c r="K167" s="2147">
        <v>84</v>
      </c>
      <c r="L167" s="2147">
        <v>420</v>
      </c>
    </row>
    <row r="168" spans="8:12">
      <c r="H168" s="2145" t="s">
        <v>2800</v>
      </c>
      <c r="I168" s="58" t="s">
        <v>2637</v>
      </c>
      <c r="J168" s="2148">
        <v>652</v>
      </c>
      <c r="K168" s="2147">
        <v>2411</v>
      </c>
      <c r="L168" s="2147">
        <v>1572155</v>
      </c>
    </row>
    <row r="169" spans="8:12">
      <c r="H169" s="2145" t="s">
        <v>2801</v>
      </c>
      <c r="I169" s="58" t="s">
        <v>2637</v>
      </c>
      <c r="J169" s="2148">
        <v>72</v>
      </c>
      <c r="K169" s="2147">
        <v>2618</v>
      </c>
      <c r="L169" s="2147">
        <v>188500</v>
      </c>
    </row>
    <row r="170" spans="8:12">
      <c r="H170" s="2145" t="s">
        <v>2802</v>
      </c>
      <c r="I170" s="58" t="s">
        <v>2637</v>
      </c>
      <c r="J170" s="2148">
        <v>738</v>
      </c>
      <c r="K170" s="2147">
        <v>1930</v>
      </c>
      <c r="L170" s="2147">
        <v>1423971</v>
      </c>
    </row>
    <row r="171" spans="8:12">
      <c r="H171" s="2145" t="s">
        <v>2803</v>
      </c>
      <c r="I171" s="58" t="s">
        <v>2637</v>
      </c>
      <c r="J171" s="2148">
        <v>82</v>
      </c>
      <c r="K171" s="2147">
        <v>2205</v>
      </c>
      <c r="L171" s="2147">
        <v>180821</v>
      </c>
    </row>
    <row r="172" spans="8:12">
      <c r="H172" s="2145" t="s">
        <v>2804</v>
      </c>
      <c r="I172" s="58" t="s">
        <v>2637</v>
      </c>
      <c r="J172" s="2148">
        <v>50</v>
      </c>
      <c r="K172" s="2147">
        <v>237</v>
      </c>
      <c r="L172" s="2147">
        <v>11841</v>
      </c>
    </row>
    <row r="173" spans="8:12">
      <c r="H173" s="2145" t="s">
        <v>2805</v>
      </c>
      <c r="I173" s="58" t="s">
        <v>2637</v>
      </c>
      <c r="J173" s="2148">
        <v>250</v>
      </c>
      <c r="K173" s="2147">
        <v>118</v>
      </c>
      <c r="L173" s="2147">
        <v>29603</v>
      </c>
    </row>
    <row r="174" spans="8:12">
      <c r="H174" s="2145" t="s">
        <v>2806</v>
      </c>
      <c r="I174" s="58" t="s">
        <v>2637</v>
      </c>
      <c r="J174" s="2148">
        <v>1000</v>
      </c>
      <c r="K174" s="2147">
        <v>328</v>
      </c>
      <c r="L174" s="2147">
        <v>328270</v>
      </c>
    </row>
    <row r="175" spans="8:12">
      <c r="H175" s="2145" t="s">
        <v>2807</v>
      </c>
      <c r="I175" s="58" t="s">
        <v>2637</v>
      </c>
      <c r="J175" s="2148">
        <v>25</v>
      </c>
      <c r="K175" s="2147">
        <v>104</v>
      </c>
      <c r="L175" s="2147">
        <v>2591</v>
      </c>
    </row>
    <row r="176" spans="8:12">
      <c r="H176" s="2145" t="s">
        <v>2808</v>
      </c>
      <c r="I176" s="58" t="s">
        <v>2637</v>
      </c>
      <c r="J176" s="2148">
        <v>5000</v>
      </c>
      <c r="K176" s="2147">
        <v>14</v>
      </c>
      <c r="L176" s="2147">
        <v>71800</v>
      </c>
    </row>
    <row r="177" spans="8:12">
      <c r="H177" s="2145" t="s">
        <v>2809</v>
      </c>
      <c r="I177" s="58" t="s">
        <v>2637</v>
      </c>
      <c r="J177" s="2148">
        <v>1000</v>
      </c>
      <c r="K177" s="2147">
        <v>33</v>
      </c>
      <c r="L177" s="2147">
        <v>32820</v>
      </c>
    </row>
    <row r="178" spans="8:12">
      <c r="H178" s="2145" t="s">
        <v>2810</v>
      </c>
      <c r="I178" s="58" t="s">
        <v>2637</v>
      </c>
      <c r="J178" s="2148">
        <v>500</v>
      </c>
      <c r="K178" s="2147">
        <v>44</v>
      </c>
      <c r="L178" s="2147">
        <v>21890</v>
      </c>
    </row>
    <row r="179" spans="8:12">
      <c r="H179" s="2145" t="s">
        <v>2811</v>
      </c>
      <c r="I179" s="58" t="s">
        <v>2637</v>
      </c>
      <c r="J179" s="2148">
        <v>35</v>
      </c>
      <c r="K179" s="2147">
        <v>2036</v>
      </c>
      <c r="L179" s="2147">
        <v>71252</v>
      </c>
    </row>
    <row r="180" spans="8:12">
      <c r="H180" s="2145" t="s">
        <v>2812</v>
      </c>
      <c r="I180" s="58" t="s">
        <v>2637</v>
      </c>
      <c r="J180" s="2148">
        <v>22</v>
      </c>
      <c r="K180" s="2147">
        <v>2047</v>
      </c>
      <c r="L180" s="2147">
        <v>45025</v>
      </c>
    </row>
    <row r="181" spans="8:12">
      <c r="H181" s="2145" t="s">
        <v>2813</v>
      </c>
      <c r="I181" s="58" t="s">
        <v>2637</v>
      </c>
      <c r="J181" s="2148">
        <v>2</v>
      </c>
      <c r="K181" s="2147">
        <v>655</v>
      </c>
      <c r="L181" s="2147">
        <v>1310</v>
      </c>
    </row>
    <row r="182" spans="8:12">
      <c r="H182" s="2145" t="s">
        <v>2814</v>
      </c>
      <c r="I182" s="58" t="s">
        <v>2637</v>
      </c>
      <c r="J182" s="2148">
        <v>14</v>
      </c>
      <c r="K182" s="2147">
        <v>4069</v>
      </c>
      <c r="L182" s="2147">
        <v>56968</v>
      </c>
    </row>
    <row r="183" spans="8:12">
      <c r="H183" s="2145" t="s">
        <v>2815</v>
      </c>
      <c r="I183" s="58" t="s">
        <v>2637</v>
      </c>
      <c r="J183" s="2148">
        <v>4</v>
      </c>
      <c r="K183" s="2147">
        <v>5242</v>
      </c>
      <c r="L183" s="2147">
        <v>20967</v>
      </c>
    </row>
    <row r="184" spans="8:12">
      <c r="H184" s="2145" t="s">
        <v>2816</v>
      </c>
      <c r="I184" s="58" t="s">
        <v>2637</v>
      </c>
      <c r="J184" s="2148">
        <v>11</v>
      </c>
      <c r="K184" s="2147">
        <v>2705</v>
      </c>
      <c r="L184" s="2147">
        <v>29755</v>
      </c>
    </row>
    <row r="185" spans="8:12">
      <c r="H185" s="2145" t="s">
        <v>2817</v>
      </c>
      <c r="I185" s="58" t="s">
        <v>2637</v>
      </c>
      <c r="J185" s="2148">
        <v>10</v>
      </c>
      <c r="K185" s="2147">
        <v>4327</v>
      </c>
      <c r="L185" s="2147">
        <v>43269</v>
      </c>
    </row>
    <row r="186" spans="8:12">
      <c r="H186" s="2145" t="s">
        <v>2818</v>
      </c>
      <c r="I186" s="58" t="s">
        <v>2637</v>
      </c>
      <c r="J186" s="2148">
        <v>7</v>
      </c>
      <c r="K186" s="2147">
        <v>8034</v>
      </c>
      <c r="L186" s="2147">
        <v>56237</v>
      </c>
    </row>
    <row r="187" spans="8:12">
      <c r="H187" s="2145" t="s">
        <v>2819</v>
      </c>
      <c r="I187" s="58" t="s">
        <v>2637</v>
      </c>
      <c r="J187" s="2148">
        <v>864</v>
      </c>
      <c r="K187" s="2147">
        <v>55</v>
      </c>
      <c r="L187" s="2147">
        <v>47822</v>
      </c>
    </row>
    <row r="188" spans="8:12">
      <c r="H188" s="2145" t="s">
        <v>2820</v>
      </c>
      <c r="I188" s="58" t="s">
        <v>2637</v>
      </c>
      <c r="J188" s="2148">
        <v>825</v>
      </c>
      <c r="K188" s="2147">
        <v>54</v>
      </c>
      <c r="L188" s="2147">
        <v>44591</v>
      </c>
    </row>
    <row r="189" spans="8:12">
      <c r="H189" s="2145" t="s">
        <v>2821</v>
      </c>
      <c r="I189" s="58" t="s">
        <v>2637</v>
      </c>
      <c r="J189" s="2148">
        <v>864</v>
      </c>
      <c r="K189" s="2147">
        <v>65</v>
      </c>
      <c r="L189" s="2147">
        <v>56480</v>
      </c>
    </row>
    <row r="190" spans="8:12">
      <c r="H190" s="2145" t="s">
        <v>2822</v>
      </c>
      <c r="I190" s="58" t="s">
        <v>2637</v>
      </c>
      <c r="J190" s="2148">
        <v>825</v>
      </c>
      <c r="K190" s="2147">
        <v>63</v>
      </c>
      <c r="L190" s="2147">
        <v>51810</v>
      </c>
    </row>
    <row r="191" spans="8:12">
      <c r="H191" s="2145" t="s">
        <v>2823</v>
      </c>
      <c r="I191" s="58" t="s">
        <v>2637</v>
      </c>
      <c r="J191" s="2148">
        <v>29</v>
      </c>
      <c r="K191" s="2147">
        <v>919</v>
      </c>
      <c r="L191" s="2147">
        <v>26648</v>
      </c>
    </row>
    <row r="192" spans="8:12">
      <c r="H192" s="2145" t="s">
        <v>2824</v>
      </c>
      <c r="I192" s="58" t="s">
        <v>2637</v>
      </c>
      <c r="J192" s="2148">
        <v>20</v>
      </c>
      <c r="K192" s="2147">
        <v>1693</v>
      </c>
      <c r="L192" s="2147">
        <v>33858</v>
      </c>
    </row>
    <row r="193" spans="8:12">
      <c r="H193" s="2145" t="s">
        <v>2825</v>
      </c>
      <c r="I193" s="58" t="s">
        <v>2637</v>
      </c>
      <c r="J193" s="2148">
        <v>8</v>
      </c>
      <c r="K193" s="2147">
        <v>2666</v>
      </c>
      <c r="L193" s="2147">
        <v>21332</v>
      </c>
    </row>
    <row r="194" spans="8:12">
      <c r="H194" s="2145" t="s">
        <v>2826</v>
      </c>
      <c r="I194" s="58" t="s">
        <v>2637</v>
      </c>
      <c r="J194" s="2148">
        <v>10</v>
      </c>
      <c r="K194" s="2147">
        <v>1846</v>
      </c>
      <c r="L194" s="2147">
        <v>18455</v>
      </c>
    </row>
    <row r="195" spans="8:12">
      <c r="H195" s="2145" t="s">
        <v>2827</v>
      </c>
      <c r="I195" s="58" t="s">
        <v>2637</v>
      </c>
      <c r="J195" s="2148">
        <v>4</v>
      </c>
      <c r="K195" s="2147">
        <v>2962</v>
      </c>
      <c r="L195" s="2147">
        <v>11848</v>
      </c>
    </row>
    <row r="196" spans="8:12">
      <c r="H196" s="2145" t="s">
        <v>2828</v>
      </c>
      <c r="I196" s="58" t="s">
        <v>2637</v>
      </c>
      <c r="J196" s="2148">
        <v>1</v>
      </c>
      <c r="K196" s="2147">
        <v>2553</v>
      </c>
      <c r="L196" s="2147">
        <v>2553</v>
      </c>
    </row>
    <row r="197" spans="8:12">
      <c r="H197" s="2145" t="s">
        <v>2829</v>
      </c>
      <c r="I197" s="58" t="s">
        <v>2637</v>
      </c>
      <c r="J197" s="2148">
        <v>1</v>
      </c>
      <c r="K197" s="2147">
        <v>5247</v>
      </c>
      <c r="L197" s="2147">
        <v>5247</v>
      </c>
    </row>
    <row r="198" spans="8:12">
      <c r="H198" s="2145" t="s">
        <v>2830</v>
      </c>
      <c r="I198" s="58" t="s">
        <v>2637</v>
      </c>
      <c r="J198" s="2148">
        <v>3</v>
      </c>
      <c r="K198" s="2147">
        <v>843</v>
      </c>
      <c r="L198" s="2147">
        <v>2529</v>
      </c>
    </row>
    <row r="199" spans="8:12">
      <c r="H199" s="2145" t="s">
        <v>2831</v>
      </c>
      <c r="I199" s="58" t="s">
        <v>2637</v>
      </c>
      <c r="J199" s="2148">
        <v>5</v>
      </c>
      <c r="K199" s="2147">
        <v>930</v>
      </c>
      <c r="L199" s="2147">
        <v>4652</v>
      </c>
    </row>
    <row r="200" spans="8:12">
      <c r="H200" s="2145" t="s">
        <v>2832</v>
      </c>
      <c r="I200" s="58" t="s">
        <v>2637</v>
      </c>
      <c r="J200" s="2148">
        <v>3</v>
      </c>
      <c r="K200" s="2147">
        <v>193</v>
      </c>
      <c r="L200" s="2147">
        <v>580</v>
      </c>
    </row>
    <row r="201" spans="8:12">
      <c r="H201" s="2145" t="s">
        <v>2833</v>
      </c>
      <c r="I201" s="58" t="s">
        <v>2637</v>
      </c>
      <c r="J201" s="2148">
        <v>1000</v>
      </c>
      <c r="K201" s="2147">
        <v>15</v>
      </c>
      <c r="L201" s="2147">
        <v>15430</v>
      </c>
    </row>
    <row r="202" spans="8:12">
      <c r="H202" s="2145" t="s">
        <v>2834</v>
      </c>
      <c r="I202" s="58" t="s">
        <v>2637</v>
      </c>
      <c r="J202" s="2148">
        <v>500</v>
      </c>
      <c r="K202" s="2147">
        <v>15</v>
      </c>
      <c r="L202" s="2147">
        <v>7715</v>
      </c>
    </row>
    <row r="203" spans="8:12">
      <c r="H203" s="2145" t="s">
        <v>2835</v>
      </c>
      <c r="I203" s="58" t="s">
        <v>2637</v>
      </c>
      <c r="J203" s="2148">
        <v>462</v>
      </c>
      <c r="K203" s="2147">
        <v>85</v>
      </c>
      <c r="L203" s="2147">
        <v>39473</v>
      </c>
    </row>
    <row r="204" spans="8:12">
      <c r="H204" s="2145" t="s">
        <v>2836</v>
      </c>
      <c r="I204" s="58" t="s">
        <v>2637</v>
      </c>
      <c r="J204" s="2148">
        <v>509</v>
      </c>
      <c r="K204" s="2147">
        <v>97</v>
      </c>
      <c r="L204" s="2147">
        <v>49465</v>
      </c>
    </row>
    <row r="205" spans="8:12">
      <c r="H205" s="2145" t="s">
        <v>2837</v>
      </c>
      <c r="I205" s="58" t="s">
        <v>2637</v>
      </c>
      <c r="J205" s="2148">
        <v>999</v>
      </c>
      <c r="K205" s="2147">
        <v>108</v>
      </c>
      <c r="L205" s="2147">
        <v>107722</v>
      </c>
    </row>
    <row r="206" spans="8:12">
      <c r="H206" s="2145" t="s">
        <v>2838</v>
      </c>
      <c r="I206" s="58" t="s">
        <v>2637</v>
      </c>
      <c r="J206" s="2148">
        <v>51</v>
      </c>
      <c r="K206" s="2147">
        <v>94</v>
      </c>
      <c r="L206" s="2147">
        <v>4800</v>
      </c>
    </row>
    <row r="207" spans="8:12">
      <c r="H207" s="2145" t="s">
        <v>2839</v>
      </c>
      <c r="I207" s="58" t="s">
        <v>2637</v>
      </c>
      <c r="J207" s="2148">
        <v>57</v>
      </c>
      <c r="K207" s="2147">
        <v>102</v>
      </c>
      <c r="L207" s="2147">
        <v>5823</v>
      </c>
    </row>
    <row r="208" spans="8:12">
      <c r="H208" s="2145" t="s">
        <v>2840</v>
      </c>
      <c r="I208" s="58" t="s">
        <v>2637</v>
      </c>
      <c r="J208" s="2148">
        <v>111</v>
      </c>
      <c r="K208" s="2147">
        <v>107</v>
      </c>
      <c r="L208" s="2147">
        <v>11879</v>
      </c>
    </row>
    <row r="209" spans="8:12">
      <c r="H209" s="2145" t="s">
        <v>2841</v>
      </c>
      <c r="I209" s="58" t="s">
        <v>2637</v>
      </c>
      <c r="J209" s="2148">
        <v>15</v>
      </c>
      <c r="K209" s="2147">
        <v>761</v>
      </c>
      <c r="L209" s="2147">
        <v>11408</v>
      </c>
    </row>
    <row r="210" spans="8:12">
      <c r="H210" s="2145" t="s">
        <v>2842</v>
      </c>
      <c r="I210" s="58" t="s">
        <v>2637</v>
      </c>
      <c r="J210" s="2148">
        <v>15</v>
      </c>
      <c r="K210" s="2147">
        <v>951</v>
      </c>
      <c r="L210" s="2147">
        <v>14263</v>
      </c>
    </row>
    <row r="211" spans="8:12">
      <c r="H211" s="2145" t="s">
        <v>2843</v>
      </c>
      <c r="I211" s="58" t="s">
        <v>2637</v>
      </c>
      <c r="J211" s="2148">
        <v>15</v>
      </c>
      <c r="K211" s="2147">
        <v>2728</v>
      </c>
      <c r="L211" s="2147">
        <v>40921</v>
      </c>
    </row>
    <row r="212" spans="8:12">
      <c r="H212" s="2145" t="s">
        <v>2844</v>
      </c>
      <c r="I212" s="58" t="s">
        <v>2637</v>
      </c>
      <c r="J212" s="2148">
        <v>3200</v>
      </c>
      <c r="K212" s="2147">
        <v>134</v>
      </c>
      <c r="L212" s="2147">
        <v>429760</v>
      </c>
    </row>
    <row r="213" spans="8:12">
      <c r="H213" s="2145" t="s">
        <v>2845</v>
      </c>
      <c r="I213" s="58" t="s">
        <v>2637</v>
      </c>
      <c r="J213" s="2148">
        <v>200</v>
      </c>
      <c r="K213" s="2147">
        <v>525</v>
      </c>
      <c r="L213" s="2147">
        <v>105042</v>
      </c>
    </row>
    <row r="214" spans="8:12">
      <c r="H214" s="2145" t="s">
        <v>2846</v>
      </c>
      <c r="I214" s="58" t="s">
        <v>2637</v>
      </c>
      <c r="J214" s="2148">
        <v>250</v>
      </c>
      <c r="K214" s="2147">
        <v>718</v>
      </c>
      <c r="L214" s="2147">
        <v>179623</v>
      </c>
    </row>
    <row r="215" spans="8:12">
      <c r="H215" s="2145" t="s">
        <v>2847</v>
      </c>
      <c r="I215" s="58" t="s">
        <v>2637</v>
      </c>
      <c r="J215" s="2148">
        <v>4100</v>
      </c>
      <c r="K215" s="2147">
        <v>155</v>
      </c>
      <c r="L215" s="2147">
        <v>636525</v>
      </c>
    </row>
    <row r="216" spans="8:12">
      <c r="H216" s="2145" t="s">
        <v>2848</v>
      </c>
      <c r="I216" s="2145" t="s">
        <v>2635</v>
      </c>
      <c r="J216" s="2148">
        <v>1931</v>
      </c>
      <c r="K216" s="2147">
        <v>2366</v>
      </c>
      <c r="L216" s="2147">
        <v>4569576</v>
      </c>
    </row>
    <row r="217" spans="8:12">
      <c r="H217" s="2145" t="s">
        <v>2849</v>
      </c>
      <c r="I217" s="2145" t="s">
        <v>2635</v>
      </c>
      <c r="J217" s="2148">
        <v>37</v>
      </c>
      <c r="K217" s="2147">
        <v>1732</v>
      </c>
      <c r="L217" s="2147">
        <v>64081</v>
      </c>
    </row>
    <row r="218" spans="8:12">
      <c r="H218" s="2145" t="s">
        <v>2850</v>
      </c>
      <c r="I218" s="2145" t="s">
        <v>2635</v>
      </c>
      <c r="J218" s="2148">
        <v>30750</v>
      </c>
      <c r="K218" s="2147">
        <v>40</v>
      </c>
      <c r="L218" s="2147">
        <v>1214933</v>
      </c>
    </row>
    <row r="219" spans="8:12">
      <c r="H219" s="2145" t="s">
        <v>2851</v>
      </c>
      <c r="I219" s="2145" t="s">
        <v>2635</v>
      </c>
      <c r="J219" s="2148">
        <v>7442</v>
      </c>
      <c r="K219" s="2147">
        <v>49</v>
      </c>
      <c r="L219" s="2147">
        <v>363318</v>
      </c>
    </row>
    <row r="220" spans="8:12">
      <c r="H220" s="2145" t="s">
        <v>2852</v>
      </c>
      <c r="I220" s="2145" t="s">
        <v>2635</v>
      </c>
      <c r="J220" s="2148">
        <v>3265</v>
      </c>
      <c r="K220" s="2147">
        <v>77</v>
      </c>
      <c r="L220" s="2147">
        <v>252091</v>
      </c>
    </row>
    <row r="221" spans="8:12">
      <c r="H221" s="2145" t="s">
        <v>2853</v>
      </c>
      <c r="I221" s="2145" t="s">
        <v>2635</v>
      </c>
      <c r="J221" s="2148">
        <v>1709</v>
      </c>
      <c r="K221" s="2147">
        <v>455</v>
      </c>
      <c r="L221" s="2147">
        <v>777868</v>
      </c>
    </row>
    <row r="222" spans="8:12">
      <c r="H222" s="2145" t="s">
        <v>2854</v>
      </c>
      <c r="I222" s="2145" t="s">
        <v>2635</v>
      </c>
      <c r="J222" s="2148">
        <v>76438</v>
      </c>
      <c r="K222" s="2147">
        <v>9</v>
      </c>
      <c r="L222" s="2147">
        <v>700172</v>
      </c>
    </row>
    <row r="223" spans="8:12">
      <c r="H223" s="2145" t="s">
        <v>2855</v>
      </c>
      <c r="I223" s="2145" t="s">
        <v>2635</v>
      </c>
      <c r="J223" s="2148">
        <v>10208</v>
      </c>
      <c r="K223" s="2147">
        <v>12</v>
      </c>
      <c r="L223" s="2147">
        <v>126988</v>
      </c>
    </row>
    <row r="224" spans="8:12">
      <c r="H224" s="2145" t="s">
        <v>2856</v>
      </c>
      <c r="I224" s="2145" t="s">
        <v>2635</v>
      </c>
      <c r="J224" s="2148">
        <v>3506</v>
      </c>
      <c r="K224" s="2147">
        <v>21</v>
      </c>
      <c r="L224" s="2147">
        <v>72364</v>
      </c>
    </row>
    <row r="225" spans="8:12">
      <c r="H225" s="2145" t="s">
        <v>2857</v>
      </c>
      <c r="I225" s="2145" t="s">
        <v>2635</v>
      </c>
      <c r="J225" s="2148">
        <v>435</v>
      </c>
      <c r="K225" s="2147">
        <v>41</v>
      </c>
      <c r="L225" s="2147">
        <v>17983</v>
      </c>
    </row>
    <row r="226" spans="8:12">
      <c r="H226" s="2145" t="s">
        <v>2858</v>
      </c>
      <c r="I226" s="2145" t="s">
        <v>2635</v>
      </c>
      <c r="J226" s="2148">
        <v>1675</v>
      </c>
      <c r="K226" s="2147">
        <v>53</v>
      </c>
      <c r="L226" s="2147">
        <v>89211</v>
      </c>
    </row>
    <row r="227" spans="8:12">
      <c r="H227" s="2145" t="s">
        <v>2859</v>
      </c>
      <c r="I227" s="2145" t="s">
        <v>2635</v>
      </c>
      <c r="J227" s="2148">
        <v>1340</v>
      </c>
      <c r="K227" s="2147">
        <v>84</v>
      </c>
      <c r="L227" s="2147">
        <v>112975</v>
      </c>
    </row>
    <row r="228" spans="8:12">
      <c r="H228" s="2145" t="s">
        <v>2860</v>
      </c>
      <c r="I228" s="2145" t="s">
        <v>2635</v>
      </c>
      <c r="J228" s="2148">
        <v>215</v>
      </c>
      <c r="K228" s="2147">
        <v>10</v>
      </c>
      <c r="L228" s="2147">
        <v>2234</v>
      </c>
    </row>
    <row r="229" spans="8:12">
      <c r="H229" s="2145" t="s">
        <v>2861</v>
      </c>
      <c r="I229" s="2145" t="s">
        <v>2635</v>
      </c>
      <c r="J229" s="2148">
        <v>825</v>
      </c>
      <c r="K229" s="2147">
        <v>20</v>
      </c>
      <c r="L229" s="2147">
        <v>16211</v>
      </c>
    </row>
    <row r="230" spans="8:12">
      <c r="H230" s="2145" t="s">
        <v>2862</v>
      </c>
      <c r="I230" s="2145" t="s">
        <v>2635</v>
      </c>
      <c r="J230" s="2148">
        <v>660</v>
      </c>
      <c r="K230" s="2147">
        <v>34</v>
      </c>
      <c r="L230" s="2147">
        <v>22381</v>
      </c>
    </row>
    <row r="231" spans="8:12">
      <c r="H231" s="2145" t="s">
        <v>2863</v>
      </c>
      <c r="I231" s="2145" t="s">
        <v>2635</v>
      </c>
      <c r="J231" s="2148">
        <v>400</v>
      </c>
      <c r="K231" s="2147">
        <v>404</v>
      </c>
      <c r="L231" s="2147">
        <v>161432</v>
      </c>
    </row>
    <row r="232" spans="8:12">
      <c r="H232" s="2145" t="s">
        <v>2864</v>
      </c>
      <c r="I232" s="2145" t="s">
        <v>2635</v>
      </c>
      <c r="J232" s="2148">
        <v>146</v>
      </c>
      <c r="K232" s="2147">
        <v>2962</v>
      </c>
      <c r="L232" s="2147">
        <v>432521</v>
      </c>
    </row>
    <row r="233" spans="8:12">
      <c r="H233" s="2145" t="s">
        <v>2865</v>
      </c>
      <c r="I233" s="2145" t="s">
        <v>2635</v>
      </c>
      <c r="J233" s="2148">
        <v>10</v>
      </c>
      <c r="K233" s="2147">
        <v>3426</v>
      </c>
      <c r="L233" s="2147">
        <v>34257</v>
      </c>
    </row>
    <row r="234" spans="8:12">
      <c r="H234" s="2145" t="s">
        <v>2866</v>
      </c>
      <c r="I234" s="2145" t="s">
        <v>2635</v>
      </c>
      <c r="J234" s="2148">
        <v>6761</v>
      </c>
      <c r="K234" s="2147">
        <v>38</v>
      </c>
      <c r="L234" s="2147">
        <v>254146</v>
      </c>
    </row>
    <row r="235" spans="8:12">
      <c r="H235" s="2145" t="s">
        <v>2867</v>
      </c>
      <c r="I235" s="2145" t="s">
        <v>2635</v>
      </c>
      <c r="J235" s="2148">
        <v>670</v>
      </c>
      <c r="K235" s="2147">
        <v>43</v>
      </c>
      <c r="L235" s="2147">
        <v>28616</v>
      </c>
    </row>
    <row r="236" spans="8:12">
      <c r="H236" s="2145" t="s">
        <v>2868</v>
      </c>
      <c r="I236" s="2145" t="s">
        <v>2635</v>
      </c>
      <c r="J236" s="2148">
        <v>8556</v>
      </c>
      <c r="K236" s="2147">
        <v>23</v>
      </c>
      <c r="L236" s="2147">
        <v>197387</v>
      </c>
    </row>
    <row r="237" spans="8:12">
      <c r="H237" s="2145" t="s">
        <v>2869</v>
      </c>
      <c r="I237" s="2145" t="s">
        <v>2635</v>
      </c>
      <c r="J237" s="2148">
        <v>850</v>
      </c>
      <c r="K237" s="2147">
        <v>27</v>
      </c>
      <c r="L237" s="2147">
        <v>22627</v>
      </c>
    </row>
    <row r="238" spans="8:12">
      <c r="H238" s="2145" t="s">
        <v>2870</v>
      </c>
      <c r="I238" s="2145" t="s">
        <v>2635</v>
      </c>
      <c r="J238" s="2148">
        <v>60</v>
      </c>
      <c r="K238" s="2147">
        <v>641</v>
      </c>
      <c r="L238" s="2147">
        <v>38461</v>
      </c>
    </row>
    <row r="239" spans="8:12">
      <c r="H239" s="2145" t="s">
        <v>2871</v>
      </c>
      <c r="I239" s="2145" t="s">
        <v>2635</v>
      </c>
      <c r="J239" s="2148">
        <v>50</v>
      </c>
      <c r="K239" s="2147">
        <v>816</v>
      </c>
      <c r="L239" s="2147">
        <v>40787</v>
      </c>
    </row>
    <row r="240" spans="8:12">
      <c r="H240" s="2145" t="s">
        <v>2872</v>
      </c>
      <c r="I240" s="2145" t="s">
        <v>2635</v>
      </c>
      <c r="J240" s="2148">
        <v>80</v>
      </c>
      <c r="K240" s="2147">
        <v>1282</v>
      </c>
      <c r="L240" s="2147">
        <v>102558</v>
      </c>
    </row>
    <row r="241" spans="8:12">
      <c r="H241" s="2145" t="s">
        <v>2873</v>
      </c>
      <c r="I241" s="2145" t="s">
        <v>2635</v>
      </c>
      <c r="J241" s="2148">
        <v>60</v>
      </c>
      <c r="K241" s="2147">
        <v>919</v>
      </c>
      <c r="L241" s="2147">
        <v>55130</v>
      </c>
    </row>
    <row r="242" spans="8:12">
      <c r="H242" s="2145" t="s">
        <v>2874</v>
      </c>
      <c r="I242" s="2145" t="s">
        <v>2635</v>
      </c>
      <c r="J242" s="2148">
        <v>140</v>
      </c>
      <c r="K242" s="2147">
        <v>1225</v>
      </c>
      <c r="L242" s="2147">
        <v>171521</v>
      </c>
    </row>
    <row r="243" spans="8:12">
      <c r="H243" s="2145" t="s">
        <v>2875</v>
      </c>
      <c r="I243" s="2145" t="s">
        <v>2635</v>
      </c>
      <c r="J243" s="2148">
        <v>100</v>
      </c>
      <c r="K243" s="2147">
        <v>1838</v>
      </c>
      <c r="L243" s="2147">
        <v>183775</v>
      </c>
    </row>
    <row r="244" spans="8:12">
      <c r="H244" s="2145" t="s">
        <v>2876</v>
      </c>
      <c r="I244" s="2145" t="s">
        <v>2635</v>
      </c>
      <c r="J244" s="2148">
        <v>86</v>
      </c>
      <c r="K244" s="2147">
        <v>1050</v>
      </c>
      <c r="L244" s="2147">
        <v>90315</v>
      </c>
    </row>
    <row r="245" spans="8:12">
      <c r="H245" s="2145" t="s">
        <v>2877</v>
      </c>
      <c r="I245" s="2145" t="s">
        <v>2635</v>
      </c>
      <c r="J245" s="2148">
        <v>40</v>
      </c>
      <c r="K245" s="2147">
        <v>1225</v>
      </c>
      <c r="L245" s="2147">
        <v>49007</v>
      </c>
    </row>
    <row r="246" spans="8:12">
      <c r="H246" s="2145" t="s">
        <v>2878</v>
      </c>
      <c r="I246" s="2145" t="s">
        <v>2635</v>
      </c>
      <c r="J246" s="2148">
        <v>500</v>
      </c>
      <c r="K246" s="2147">
        <v>15</v>
      </c>
      <c r="L246" s="2147">
        <v>7350</v>
      </c>
    </row>
    <row r="247" spans="8:12">
      <c r="H247" s="2145" t="s">
        <v>2879</v>
      </c>
      <c r="I247" s="2145" t="s">
        <v>2635</v>
      </c>
      <c r="J247" s="2148">
        <v>1</v>
      </c>
      <c r="K247" s="2147">
        <v>360</v>
      </c>
      <c r="L247" s="2147">
        <v>360</v>
      </c>
    </row>
    <row r="248" spans="8:12">
      <c r="H248" s="2145" t="s">
        <v>2880</v>
      </c>
      <c r="I248" s="2145" t="s">
        <v>2635</v>
      </c>
      <c r="J248" s="2148">
        <v>200</v>
      </c>
      <c r="K248" s="2147">
        <v>338</v>
      </c>
      <c r="L248" s="2147">
        <v>67682</v>
      </c>
    </row>
    <row r="249" spans="8:12">
      <c r="H249" s="2145" t="s">
        <v>2881</v>
      </c>
      <c r="I249" s="2145" t="s">
        <v>2635</v>
      </c>
      <c r="J249" s="2148">
        <v>30</v>
      </c>
      <c r="K249" s="2147">
        <v>237</v>
      </c>
      <c r="L249" s="2147">
        <v>7101</v>
      </c>
    </row>
    <row r="250" spans="8:12">
      <c r="H250" s="2145" t="s">
        <v>2882</v>
      </c>
      <c r="I250" s="2145" t="s">
        <v>2635</v>
      </c>
      <c r="J250" s="2148">
        <v>4500</v>
      </c>
      <c r="K250" s="2147">
        <v>115</v>
      </c>
      <c r="L250" s="2147">
        <v>516915</v>
      </c>
    </row>
    <row r="251" spans="8:12">
      <c r="H251" s="2145" t="s">
        <v>2883</v>
      </c>
      <c r="I251" s="2145" t="s">
        <v>2635</v>
      </c>
      <c r="J251" s="2148">
        <v>200</v>
      </c>
      <c r="K251" s="2147">
        <v>144</v>
      </c>
      <c r="L251" s="2147">
        <v>28716</v>
      </c>
    </row>
    <row r="252" spans="8:12">
      <c r="H252" s="2932" t="s">
        <v>2884</v>
      </c>
      <c r="I252" s="2932"/>
      <c r="J252" s="2932"/>
      <c r="K252" s="2932"/>
      <c r="L252" s="2149">
        <v>60482042</v>
      </c>
    </row>
    <row r="253" spans="8:12">
      <c r="H253" s="2932" t="s">
        <v>2885</v>
      </c>
      <c r="I253" s="2932"/>
      <c r="J253" s="2932"/>
      <c r="K253" s="2932"/>
      <c r="L253" s="2149">
        <v>66530246</v>
      </c>
    </row>
    <row r="255" spans="8:12">
      <c r="L255" s="2150"/>
    </row>
    <row r="256" spans="8:12">
      <c r="L256" s="2150"/>
    </row>
  </sheetData>
  <mergeCells count="3">
    <mergeCell ref="B109:E109"/>
    <mergeCell ref="H252:K252"/>
    <mergeCell ref="H253:K253"/>
  </mergeCells>
  <pageMargins left="0.25" right="0.25" top="1" bottom="0.25" header="0.5" footer="0.5"/>
  <pageSetup scale="89" fitToHeight="0" orientation="portrait" horizontalDpi="4294967293" r:id="rId1"/>
  <headerFooter alignWithMargins="0">
    <oddHeader>&amp;CHIGHLY CONFIDENTIAL per Protective Order in WUTC Docket Nos. UE-111048 and UG-111049</oddHead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3:M20"/>
  <sheetViews>
    <sheetView topLeftCell="A6" zoomScaleNormal="100" workbookViewId="0">
      <selection activeCell="G13" sqref="G13"/>
    </sheetView>
  </sheetViews>
  <sheetFormatPr defaultRowHeight="12.75"/>
  <cols>
    <col min="1" max="1" width="9.33203125" style="1612"/>
    <col min="2" max="2" width="4" style="1612" customWidth="1"/>
    <col min="3" max="3" width="53.5" style="1612" bestFit="1" customWidth="1"/>
    <col min="4" max="4" width="17.6640625" style="1612" bestFit="1" customWidth="1"/>
    <col min="5" max="5" width="13.83203125" style="1612" bestFit="1" customWidth="1"/>
    <col min="6" max="6" width="13.5" style="1612" bestFit="1" customWidth="1"/>
    <col min="7" max="7" width="14.6640625" style="1612" bestFit="1" customWidth="1"/>
    <col min="8" max="8" width="5.1640625" style="1612" customWidth="1"/>
    <col min="9" max="9" width="13.1640625" style="1612" bestFit="1" customWidth="1"/>
    <col min="10" max="257" width="9.33203125" style="1612"/>
    <col min="258" max="258" width="4" style="1612" customWidth="1"/>
    <col min="259" max="259" width="53.5" style="1612" bestFit="1" customWidth="1"/>
    <col min="260" max="260" width="17.6640625" style="1612" bestFit="1" customWidth="1"/>
    <col min="261" max="261" width="13.83203125" style="1612" bestFit="1" customWidth="1"/>
    <col min="262" max="262" width="13.5" style="1612" bestFit="1" customWidth="1"/>
    <col min="263" max="263" width="14.6640625" style="1612" bestFit="1" customWidth="1"/>
    <col min="264" max="264" width="5.1640625" style="1612" customWidth="1"/>
    <col min="265" max="265" width="13.1640625" style="1612" bestFit="1" customWidth="1"/>
    <col min="266" max="513" width="9.33203125" style="1612"/>
    <col min="514" max="514" width="4" style="1612" customWidth="1"/>
    <col min="515" max="515" width="53.5" style="1612" bestFit="1" customWidth="1"/>
    <col min="516" max="516" width="17.6640625" style="1612" bestFit="1" customWidth="1"/>
    <col min="517" max="517" width="13.83203125" style="1612" bestFit="1" customWidth="1"/>
    <col min="518" max="518" width="13.5" style="1612" bestFit="1" customWidth="1"/>
    <col min="519" max="519" width="14.6640625" style="1612" bestFit="1" customWidth="1"/>
    <col min="520" max="520" width="5.1640625" style="1612" customWidth="1"/>
    <col min="521" max="521" width="13.1640625" style="1612" bestFit="1" customWidth="1"/>
    <col min="522" max="769" width="9.33203125" style="1612"/>
    <col min="770" max="770" width="4" style="1612" customWidth="1"/>
    <col min="771" max="771" width="53.5" style="1612" bestFit="1" customWidth="1"/>
    <col min="772" max="772" width="17.6640625" style="1612" bestFit="1" customWidth="1"/>
    <col min="773" max="773" width="13.83203125" style="1612" bestFit="1" customWidth="1"/>
    <col min="774" max="774" width="13.5" style="1612" bestFit="1" customWidth="1"/>
    <col min="775" max="775" width="14.6640625" style="1612" bestFit="1" customWidth="1"/>
    <col min="776" max="776" width="5.1640625" style="1612" customWidth="1"/>
    <col min="777" max="777" width="13.1640625" style="1612" bestFit="1" customWidth="1"/>
    <col min="778" max="1025" width="9.33203125" style="1612"/>
    <col min="1026" max="1026" width="4" style="1612" customWidth="1"/>
    <col min="1027" max="1027" width="53.5" style="1612" bestFit="1" customWidth="1"/>
    <col min="1028" max="1028" width="17.6640625" style="1612" bestFit="1" customWidth="1"/>
    <col min="1029" max="1029" width="13.83203125" style="1612" bestFit="1" customWidth="1"/>
    <col min="1030" max="1030" width="13.5" style="1612" bestFit="1" customWidth="1"/>
    <col min="1031" max="1031" width="14.6640625" style="1612" bestFit="1" customWidth="1"/>
    <col min="1032" max="1032" width="5.1640625" style="1612" customWidth="1"/>
    <col min="1033" max="1033" width="13.1640625" style="1612" bestFit="1" customWidth="1"/>
    <col min="1034" max="1281" width="9.33203125" style="1612"/>
    <col min="1282" max="1282" width="4" style="1612" customWidth="1"/>
    <col min="1283" max="1283" width="53.5" style="1612" bestFit="1" customWidth="1"/>
    <col min="1284" max="1284" width="17.6640625" style="1612" bestFit="1" customWidth="1"/>
    <col min="1285" max="1285" width="13.83203125" style="1612" bestFit="1" customWidth="1"/>
    <col min="1286" max="1286" width="13.5" style="1612" bestFit="1" customWidth="1"/>
    <col min="1287" max="1287" width="14.6640625" style="1612" bestFit="1" customWidth="1"/>
    <col min="1288" max="1288" width="5.1640625" style="1612" customWidth="1"/>
    <col min="1289" max="1289" width="13.1640625" style="1612" bestFit="1" customWidth="1"/>
    <col min="1290" max="1537" width="9.33203125" style="1612"/>
    <col min="1538" max="1538" width="4" style="1612" customWidth="1"/>
    <col min="1539" max="1539" width="53.5" style="1612" bestFit="1" customWidth="1"/>
    <col min="1540" max="1540" width="17.6640625" style="1612" bestFit="1" customWidth="1"/>
    <col min="1541" max="1541" width="13.83203125" style="1612" bestFit="1" customWidth="1"/>
    <col min="1542" max="1542" width="13.5" style="1612" bestFit="1" customWidth="1"/>
    <col min="1543" max="1543" width="14.6640625" style="1612" bestFit="1" customWidth="1"/>
    <col min="1544" max="1544" width="5.1640625" style="1612" customWidth="1"/>
    <col min="1545" max="1545" width="13.1640625" style="1612" bestFit="1" customWidth="1"/>
    <col min="1546" max="1793" width="9.33203125" style="1612"/>
    <col min="1794" max="1794" width="4" style="1612" customWidth="1"/>
    <col min="1795" max="1795" width="53.5" style="1612" bestFit="1" customWidth="1"/>
    <col min="1796" max="1796" width="17.6640625" style="1612" bestFit="1" customWidth="1"/>
    <col min="1797" max="1797" width="13.83203125" style="1612" bestFit="1" customWidth="1"/>
    <col min="1798" max="1798" width="13.5" style="1612" bestFit="1" customWidth="1"/>
    <col min="1799" max="1799" width="14.6640625" style="1612" bestFit="1" customWidth="1"/>
    <col min="1800" max="1800" width="5.1640625" style="1612" customWidth="1"/>
    <col min="1801" max="1801" width="13.1640625" style="1612" bestFit="1" customWidth="1"/>
    <col min="1802" max="2049" width="9.33203125" style="1612"/>
    <col min="2050" max="2050" width="4" style="1612" customWidth="1"/>
    <col min="2051" max="2051" width="53.5" style="1612" bestFit="1" customWidth="1"/>
    <col min="2052" max="2052" width="17.6640625" style="1612" bestFit="1" customWidth="1"/>
    <col min="2053" max="2053" width="13.83203125" style="1612" bestFit="1" customWidth="1"/>
    <col min="2054" max="2054" width="13.5" style="1612" bestFit="1" customWidth="1"/>
    <col min="2055" max="2055" width="14.6640625" style="1612" bestFit="1" customWidth="1"/>
    <col min="2056" max="2056" width="5.1640625" style="1612" customWidth="1"/>
    <col min="2057" max="2057" width="13.1640625" style="1612" bestFit="1" customWidth="1"/>
    <col min="2058" max="2305" width="9.33203125" style="1612"/>
    <col min="2306" max="2306" width="4" style="1612" customWidth="1"/>
    <col min="2307" max="2307" width="53.5" style="1612" bestFit="1" customWidth="1"/>
    <col min="2308" max="2308" width="17.6640625" style="1612" bestFit="1" customWidth="1"/>
    <col min="2309" max="2309" width="13.83203125" style="1612" bestFit="1" customWidth="1"/>
    <col min="2310" max="2310" width="13.5" style="1612" bestFit="1" customWidth="1"/>
    <col min="2311" max="2311" width="14.6640625" style="1612" bestFit="1" customWidth="1"/>
    <col min="2312" max="2312" width="5.1640625" style="1612" customWidth="1"/>
    <col min="2313" max="2313" width="13.1640625" style="1612" bestFit="1" customWidth="1"/>
    <col min="2314" max="2561" width="9.33203125" style="1612"/>
    <col min="2562" max="2562" width="4" style="1612" customWidth="1"/>
    <col min="2563" max="2563" width="53.5" style="1612" bestFit="1" customWidth="1"/>
    <col min="2564" max="2564" width="17.6640625" style="1612" bestFit="1" customWidth="1"/>
    <col min="2565" max="2565" width="13.83203125" style="1612" bestFit="1" customWidth="1"/>
    <col min="2566" max="2566" width="13.5" style="1612" bestFit="1" customWidth="1"/>
    <col min="2567" max="2567" width="14.6640625" style="1612" bestFit="1" customWidth="1"/>
    <col min="2568" max="2568" width="5.1640625" style="1612" customWidth="1"/>
    <col min="2569" max="2569" width="13.1640625" style="1612" bestFit="1" customWidth="1"/>
    <col min="2570" max="2817" width="9.33203125" style="1612"/>
    <col min="2818" max="2818" width="4" style="1612" customWidth="1"/>
    <col min="2819" max="2819" width="53.5" style="1612" bestFit="1" customWidth="1"/>
    <col min="2820" max="2820" width="17.6640625" style="1612" bestFit="1" customWidth="1"/>
    <col min="2821" max="2821" width="13.83203125" style="1612" bestFit="1" customWidth="1"/>
    <col min="2822" max="2822" width="13.5" style="1612" bestFit="1" customWidth="1"/>
    <col min="2823" max="2823" width="14.6640625" style="1612" bestFit="1" customWidth="1"/>
    <col min="2824" max="2824" width="5.1640625" style="1612" customWidth="1"/>
    <col min="2825" max="2825" width="13.1640625" style="1612" bestFit="1" customWidth="1"/>
    <col min="2826" max="3073" width="9.33203125" style="1612"/>
    <col min="3074" max="3074" width="4" style="1612" customWidth="1"/>
    <col min="3075" max="3075" width="53.5" style="1612" bestFit="1" customWidth="1"/>
    <col min="3076" max="3076" width="17.6640625" style="1612" bestFit="1" customWidth="1"/>
    <col min="3077" max="3077" width="13.83203125" style="1612" bestFit="1" customWidth="1"/>
    <col min="3078" max="3078" width="13.5" style="1612" bestFit="1" customWidth="1"/>
    <col min="3079" max="3079" width="14.6640625" style="1612" bestFit="1" customWidth="1"/>
    <col min="3080" max="3080" width="5.1640625" style="1612" customWidth="1"/>
    <col min="3081" max="3081" width="13.1640625" style="1612" bestFit="1" customWidth="1"/>
    <col min="3082" max="3329" width="9.33203125" style="1612"/>
    <col min="3330" max="3330" width="4" style="1612" customWidth="1"/>
    <col min="3331" max="3331" width="53.5" style="1612" bestFit="1" customWidth="1"/>
    <col min="3332" max="3332" width="17.6640625" style="1612" bestFit="1" customWidth="1"/>
    <col min="3333" max="3333" width="13.83203125" style="1612" bestFit="1" customWidth="1"/>
    <col min="3334" max="3334" width="13.5" style="1612" bestFit="1" customWidth="1"/>
    <col min="3335" max="3335" width="14.6640625" style="1612" bestFit="1" customWidth="1"/>
    <col min="3336" max="3336" width="5.1640625" style="1612" customWidth="1"/>
    <col min="3337" max="3337" width="13.1640625" style="1612" bestFit="1" customWidth="1"/>
    <col min="3338" max="3585" width="9.33203125" style="1612"/>
    <col min="3586" max="3586" width="4" style="1612" customWidth="1"/>
    <col min="3587" max="3587" width="53.5" style="1612" bestFit="1" customWidth="1"/>
    <col min="3588" max="3588" width="17.6640625" style="1612" bestFit="1" customWidth="1"/>
    <col min="3589" max="3589" width="13.83203125" style="1612" bestFit="1" customWidth="1"/>
    <col min="3590" max="3590" width="13.5" style="1612" bestFit="1" customWidth="1"/>
    <col min="3591" max="3591" width="14.6640625" style="1612" bestFit="1" customWidth="1"/>
    <col min="3592" max="3592" width="5.1640625" style="1612" customWidth="1"/>
    <col min="3593" max="3593" width="13.1640625" style="1612" bestFit="1" customWidth="1"/>
    <col min="3594" max="3841" width="9.33203125" style="1612"/>
    <col min="3842" max="3842" width="4" style="1612" customWidth="1"/>
    <col min="3843" max="3843" width="53.5" style="1612" bestFit="1" customWidth="1"/>
    <col min="3844" max="3844" width="17.6640625" style="1612" bestFit="1" customWidth="1"/>
    <col min="3845" max="3845" width="13.83203125" style="1612" bestFit="1" customWidth="1"/>
    <col min="3846" max="3846" width="13.5" style="1612" bestFit="1" customWidth="1"/>
    <col min="3847" max="3847" width="14.6640625" style="1612" bestFit="1" customWidth="1"/>
    <col min="3848" max="3848" width="5.1640625" style="1612" customWidth="1"/>
    <col min="3849" max="3849" width="13.1640625" style="1612" bestFit="1" customWidth="1"/>
    <col min="3850" max="4097" width="9.33203125" style="1612"/>
    <col min="4098" max="4098" width="4" style="1612" customWidth="1"/>
    <col min="4099" max="4099" width="53.5" style="1612" bestFit="1" customWidth="1"/>
    <col min="4100" max="4100" width="17.6640625" style="1612" bestFit="1" customWidth="1"/>
    <col min="4101" max="4101" width="13.83203125" style="1612" bestFit="1" customWidth="1"/>
    <col min="4102" max="4102" width="13.5" style="1612" bestFit="1" customWidth="1"/>
    <col min="4103" max="4103" width="14.6640625" style="1612" bestFit="1" customWidth="1"/>
    <col min="4104" max="4104" width="5.1640625" style="1612" customWidth="1"/>
    <col min="4105" max="4105" width="13.1640625" style="1612" bestFit="1" customWidth="1"/>
    <col min="4106" max="4353" width="9.33203125" style="1612"/>
    <col min="4354" max="4354" width="4" style="1612" customWidth="1"/>
    <col min="4355" max="4355" width="53.5" style="1612" bestFit="1" customWidth="1"/>
    <col min="4356" max="4356" width="17.6640625" style="1612" bestFit="1" customWidth="1"/>
    <col min="4357" max="4357" width="13.83203125" style="1612" bestFit="1" customWidth="1"/>
    <col min="4358" max="4358" width="13.5" style="1612" bestFit="1" customWidth="1"/>
    <col min="4359" max="4359" width="14.6640625" style="1612" bestFit="1" customWidth="1"/>
    <col min="4360" max="4360" width="5.1640625" style="1612" customWidth="1"/>
    <col min="4361" max="4361" width="13.1640625" style="1612" bestFit="1" customWidth="1"/>
    <col min="4362" max="4609" width="9.33203125" style="1612"/>
    <col min="4610" max="4610" width="4" style="1612" customWidth="1"/>
    <col min="4611" max="4611" width="53.5" style="1612" bestFit="1" customWidth="1"/>
    <col min="4612" max="4612" width="17.6640625" style="1612" bestFit="1" customWidth="1"/>
    <col min="4613" max="4613" width="13.83203125" style="1612" bestFit="1" customWidth="1"/>
    <col min="4614" max="4614" width="13.5" style="1612" bestFit="1" customWidth="1"/>
    <col min="4615" max="4615" width="14.6640625" style="1612" bestFit="1" customWidth="1"/>
    <col min="4616" max="4616" width="5.1640625" style="1612" customWidth="1"/>
    <col min="4617" max="4617" width="13.1640625" style="1612" bestFit="1" customWidth="1"/>
    <col min="4618" max="4865" width="9.33203125" style="1612"/>
    <col min="4866" max="4866" width="4" style="1612" customWidth="1"/>
    <col min="4867" max="4867" width="53.5" style="1612" bestFit="1" customWidth="1"/>
    <col min="4868" max="4868" width="17.6640625" style="1612" bestFit="1" customWidth="1"/>
    <col min="4869" max="4869" width="13.83203125" style="1612" bestFit="1" customWidth="1"/>
    <col min="4870" max="4870" width="13.5" style="1612" bestFit="1" customWidth="1"/>
    <col min="4871" max="4871" width="14.6640625" style="1612" bestFit="1" customWidth="1"/>
    <col min="4872" max="4872" width="5.1640625" style="1612" customWidth="1"/>
    <col min="4873" max="4873" width="13.1640625" style="1612" bestFit="1" customWidth="1"/>
    <col min="4874" max="5121" width="9.33203125" style="1612"/>
    <col min="5122" max="5122" width="4" style="1612" customWidth="1"/>
    <col min="5123" max="5123" width="53.5" style="1612" bestFit="1" customWidth="1"/>
    <col min="5124" max="5124" width="17.6640625" style="1612" bestFit="1" customWidth="1"/>
    <col min="5125" max="5125" width="13.83203125" style="1612" bestFit="1" customWidth="1"/>
    <col min="5126" max="5126" width="13.5" style="1612" bestFit="1" customWidth="1"/>
    <col min="5127" max="5127" width="14.6640625" style="1612" bestFit="1" customWidth="1"/>
    <col min="5128" max="5128" width="5.1640625" style="1612" customWidth="1"/>
    <col min="5129" max="5129" width="13.1640625" style="1612" bestFit="1" customWidth="1"/>
    <col min="5130" max="5377" width="9.33203125" style="1612"/>
    <col min="5378" max="5378" width="4" style="1612" customWidth="1"/>
    <col min="5379" max="5379" width="53.5" style="1612" bestFit="1" customWidth="1"/>
    <col min="5380" max="5380" width="17.6640625" style="1612" bestFit="1" customWidth="1"/>
    <col min="5381" max="5381" width="13.83203125" style="1612" bestFit="1" customWidth="1"/>
    <col min="5382" max="5382" width="13.5" style="1612" bestFit="1" customWidth="1"/>
    <col min="5383" max="5383" width="14.6640625" style="1612" bestFit="1" customWidth="1"/>
    <col min="5384" max="5384" width="5.1640625" style="1612" customWidth="1"/>
    <col min="5385" max="5385" width="13.1640625" style="1612" bestFit="1" customWidth="1"/>
    <col min="5386" max="5633" width="9.33203125" style="1612"/>
    <col min="5634" max="5634" width="4" style="1612" customWidth="1"/>
    <col min="5635" max="5635" width="53.5" style="1612" bestFit="1" customWidth="1"/>
    <col min="5636" max="5636" width="17.6640625" style="1612" bestFit="1" customWidth="1"/>
    <col min="5637" max="5637" width="13.83203125" style="1612" bestFit="1" customWidth="1"/>
    <col min="5638" max="5638" width="13.5" style="1612" bestFit="1" customWidth="1"/>
    <col min="5639" max="5639" width="14.6640625" style="1612" bestFit="1" customWidth="1"/>
    <col min="5640" max="5640" width="5.1640625" style="1612" customWidth="1"/>
    <col min="5641" max="5641" width="13.1640625" style="1612" bestFit="1" customWidth="1"/>
    <col min="5642" max="5889" width="9.33203125" style="1612"/>
    <col min="5890" max="5890" width="4" style="1612" customWidth="1"/>
    <col min="5891" max="5891" width="53.5" style="1612" bestFit="1" customWidth="1"/>
    <col min="5892" max="5892" width="17.6640625" style="1612" bestFit="1" customWidth="1"/>
    <col min="5893" max="5893" width="13.83203125" style="1612" bestFit="1" customWidth="1"/>
    <col min="5894" max="5894" width="13.5" style="1612" bestFit="1" customWidth="1"/>
    <col min="5895" max="5895" width="14.6640625" style="1612" bestFit="1" customWidth="1"/>
    <col min="5896" max="5896" width="5.1640625" style="1612" customWidth="1"/>
    <col min="5897" max="5897" width="13.1640625" style="1612" bestFit="1" customWidth="1"/>
    <col min="5898" max="6145" width="9.33203125" style="1612"/>
    <col min="6146" max="6146" width="4" style="1612" customWidth="1"/>
    <col min="6147" max="6147" width="53.5" style="1612" bestFit="1" customWidth="1"/>
    <col min="6148" max="6148" width="17.6640625" style="1612" bestFit="1" customWidth="1"/>
    <col min="6149" max="6149" width="13.83203125" style="1612" bestFit="1" customWidth="1"/>
    <col min="6150" max="6150" width="13.5" style="1612" bestFit="1" customWidth="1"/>
    <col min="6151" max="6151" width="14.6640625" style="1612" bestFit="1" customWidth="1"/>
    <col min="6152" max="6152" width="5.1640625" style="1612" customWidth="1"/>
    <col min="6153" max="6153" width="13.1640625" style="1612" bestFit="1" customWidth="1"/>
    <col min="6154" max="6401" width="9.33203125" style="1612"/>
    <col min="6402" max="6402" width="4" style="1612" customWidth="1"/>
    <col min="6403" max="6403" width="53.5" style="1612" bestFit="1" customWidth="1"/>
    <col min="6404" max="6404" width="17.6640625" style="1612" bestFit="1" customWidth="1"/>
    <col min="6405" max="6405" width="13.83203125" style="1612" bestFit="1" customWidth="1"/>
    <col min="6406" max="6406" width="13.5" style="1612" bestFit="1" customWidth="1"/>
    <col min="6407" max="6407" width="14.6640625" style="1612" bestFit="1" customWidth="1"/>
    <col min="6408" max="6408" width="5.1640625" style="1612" customWidth="1"/>
    <col min="6409" max="6409" width="13.1640625" style="1612" bestFit="1" customWidth="1"/>
    <col min="6410" max="6657" width="9.33203125" style="1612"/>
    <col min="6658" max="6658" width="4" style="1612" customWidth="1"/>
    <col min="6659" max="6659" width="53.5" style="1612" bestFit="1" customWidth="1"/>
    <col min="6660" max="6660" width="17.6640625" style="1612" bestFit="1" customWidth="1"/>
    <col min="6661" max="6661" width="13.83203125" style="1612" bestFit="1" customWidth="1"/>
    <col min="6662" max="6662" width="13.5" style="1612" bestFit="1" customWidth="1"/>
    <col min="6663" max="6663" width="14.6640625" style="1612" bestFit="1" customWidth="1"/>
    <col min="6664" max="6664" width="5.1640625" style="1612" customWidth="1"/>
    <col min="6665" max="6665" width="13.1640625" style="1612" bestFit="1" customWidth="1"/>
    <col min="6666" max="6913" width="9.33203125" style="1612"/>
    <col min="6914" max="6914" width="4" style="1612" customWidth="1"/>
    <col min="6915" max="6915" width="53.5" style="1612" bestFit="1" customWidth="1"/>
    <col min="6916" max="6916" width="17.6640625" style="1612" bestFit="1" customWidth="1"/>
    <col min="6917" max="6917" width="13.83203125" style="1612" bestFit="1" customWidth="1"/>
    <col min="6918" max="6918" width="13.5" style="1612" bestFit="1" customWidth="1"/>
    <col min="6919" max="6919" width="14.6640625" style="1612" bestFit="1" customWidth="1"/>
    <col min="6920" max="6920" width="5.1640625" style="1612" customWidth="1"/>
    <col min="6921" max="6921" width="13.1640625" style="1612" bestFit="1" customWidth="1"/>
    <col min="6922" max="7169" width="9.33203125" style="1612"/>
    <col min="7170" max="7170" width="4" style="1612" customWidth="1"/>
    <col min="7171" max="7171" width="53.5" style="1612" bestFit="1" customWidth="1"/>
    <col min="7172" max="7172" width="17.6640625" style="1612" bestFit="1" customWidth="1"/>
    <col min="7173" max="7173" width="13.83203125" style="1612" bestFit="1" customWidth="1"/>
    <col min="7174" max="7174" width="13.5" style="1612" bestFit="1" customWidth="1"/>
    <col min="7175" max="7175" width="14.6640625" style="1612" bestFit="1" customWidth="1"/>
    <col min="7176" max="7176" width="5.1640625" style="1612" customWidth="1"/>
    <col min="7177" max="7177" width="13.1640625" style="1612" bestFit="1" customWidth="1"/>
    <col min="7178" max="7425" width="9.33203125" style="1612"/>
    <col min="7426" max="7426" width="4" style="1612" customWidth="1"/>
    <col min="7427" max="7427" width="53.5" style="1612" bestFit="1" customWidth="1"/>
    <col min="7428" max="7428" width="17.6640625" style="1612" bestFit="1" customWidth="1"/>
    <col min="7429" max="7429" width="13.83203125" style="1612" bestFit="1" customWidth="1"/>
    <col min="7430" max="7430" width="13.5" style="1612" bestFit="1" customWidth="1"/>
    <col min="7431" max="7431" width="14.6640625" style="1612" bestFit="1" customWidth="1"/>
    <col min="7432" max="7432" width="5.1640625" style="1612" customWidth="1"/>
    <col min="7433" max="7433" width="13.1640625" style="1612" bestFit="1" customWidth="1"/>
    <col min="7434" max="7681" width="9.33203125" style="1612"/>
    <col min="7682" max="7682" width="4" style="1612" customWidth="1"/>
    <col min="7683" max="7683" width="53.5" style="1612" bestFit="1" customWidth="1"/>
    <col min="7684" max="7684" width="17.6640625" style="1612" bestFit="1" customWidth="1"/>
    <col min="7685" max="7685" width="13.83203125" style="1612" bestFit="1" customWidth="1"/>
    <col min="7686" max="7686" width="13.5" style="1612" bestFit="1" customWidth="1"/>
    <col min="7687" max="7687" width="14.6640625" style="1612" bestFit="1" customWidth="1"/>
    <col min="7688" max="7688" width="5.1640625" style="1612" customWidth="1"/>
    <col min="7689" max="7689" width="13.1640625" style="1612" bestFit="1" customWidth="1"/>
    <col min="7690" max="7937" width="9.33203125" style="1612"/>
    <col min="7938" max="7938" width="4" style="1612" customWidth="1"/>
    <col min="7939" max="7939" width="53.5" style="1612" bestFit="1" customWidth="1"/>
    <col min="7940" max="7940" width="17.6640625" style="1612" bestFit="1" customWidth="1"/>
    <col min="7941" max="7941" width="13.83203125" style="1612" bestFit="1" customWidth="1"/>
    <col min="7942" max="7942" width="13.5" style="1612" bestFit="1" customWidth="1"/>
    <col min="7943" max="7943" width="14.6640625" style="1612" bestFit="1" customWidth="1"/>
    <col min="7944" max="7944" width="5.1640625" style="1612" customWidth="1"/>
    <col min="7945" max="7945" width="13.1640625" style="1612" bestFit="1" customWidth="1"/>
    <col min="7946" max="8193" width="9.33203125" style="1612"/>
    <col min="8194" max="8194" width="4" style="1612" customWidth="1"/>
    <col min="8195" max="8195" width="53.5" style="1612" bestFit="1" customWidth="1"/>
    <col min="8196" max="8196" width="17.6640625" style="1612" bestFit="1" customWidth="1"/>
    <col min="8197" max="8197" width="13.83203125" style="1612" bestFit="1" customWidth="1"/>
    <col min="8198" max="8198" width="13.5" style="1612" bestFit="1" customWidth="1"/>
    <col min="8199" max="8199" width="14.6640625" style="1612" bestFit="1" customWidth="1"/>
    <col min="8200" max="8200" width="5.1640625" style="1612" customWidth="1"/>
    <col min="8201" max="8201" width="13.1640625" style="1612" bestFit="1" customWidth="1"/>
    <col min="8202" max="8449" width="9.33203125" style="1612"/>
    <col min="8450" max="8450" width="4" style="1612" customWidth="1"/>
    <col min="8451" max="8451" width="53.5" style="1612" bestFit="1" customWidth="1"/>
    <col min="8452" max="8452" width="17.6640625" style="1612" bestFit="1" customWidth="1"/>
    <col min="8453" max="8453" width="13.83203125" style="1612" bestFit="1" customWidth="1"/>
    <col min="8454" max="8454" width="13.5" style="1612" bestFit="1" customWidth="1"/>
    <col min="8455" max="8455" width="14.6640625" style="1612" bestFit="1" customWidth="1"/>
    <col min="8456" max="8456" width="5.1640625" style="1612" customWidth="1"/>
    <col min="8457" max="8457" width="13.1640625" style="1612" bestFit="1" customWidth="1"/>
    <col min="8458" max="8705" width="9.33203125" style="1612"/>
    <col min="8706" max="8706" width="4" style="1612" customWidth="1"/>
    <col min="8707" max="8707" width="53.5" style="1612" bestFit="1" customWidth="1"/>
    <col min="8708" max="8708" width="17.6640625" style="1612" bestFit="1" customWidth="1"/>
    <col min="8709" max="8709" width="13.83203125" style="1612" bestFit="1" customWidth="1"/>
    <col min="8710" max="8710" width="13.5" style="1612" bestFit="1" customWidth="1"/>
    <col min="8711" max="8711" width="14.6640625" style="1612" bestFit="1" customWidth="1"/>
    <col min="8712" max="8712" width="5.1640625" style="1612" customWidth="1"/>
    <col min="8713" max="8713" width="13.1640625" style="1612" bestFit="1" customWidth="1"/>
    <col min="8714" max="8961" width="9.33203125" style="1612"/>
    <col min="8962" max="8962" width="4" style="1612" customWidth="1"/>
    <col min="8963" max="8963" width="53.5" style="1612" bestFit="1" customWidth="1"/>
    <col min="8964" max="8964" width="17.6640625" style="1612" bestFit="1" customWidth="1"/>
    <col min="8965" max="8965" width="13.83203125" style="1612" bestFit="1" customWidth="1"/>
    <col min="8966" max="8966" width="13.5" style="1612" bestFit="1" customWidth="1"/>
    <col min="8967" max="8967" width="14.6640625" style="1612" bestFit="1" customWidth="1"/>
    <col min="8968" max="8968" width="5.1640625" style="1612" customWidth="1"/>
    <col min="8969" max="8969" width="13.1640625" style="1612" bestFit="1" customWidth="1"/>
    <col min="8970" max="9217" width="9.33203125" style="1612"/>
    <col min="9218" max="9218" width="4" style="1612" customWidth="1"/>
    <col min="9219" max="9219" width="53.5" style="1612" bestFit="1" customWidth="1"/>
    <col min="9220" max="9220" width="17.6640625" style="1612" bestFit="1" customWidth="1"/>
    <col min="9221" max="9221" width="13.83203125" style="1612" bestFit="1" customWidth="1"/>
    <col min="9222" max="9222" width="13.5" style="1612" bestFit="1" customWidth="1"/>
    <col min="9223" max="9223" width="14.6640625" style="1612" bestFit="1" customWidth="1"/>
    <col min="9224" max="9224" width="5.1640625" style="1612" customWidth="1"/>
    <col min="9225" max="9225" width="13.1640625" style="1612" bestFit="1" customWidth="1"/>
    <col min="9226" max="9473" width="9.33203125" style="1612"/>
    <col min="9474" max="9474" width="4" style="1612" customWidth="1"/>
    <col min="9475" max="9475" width="53.5" style="1612" bestFit="1" customWidth="1"/>
    <col min="9476" max="9476" width="17.6640625" style="1612" bestFit="1" customWidth="1"/>
    <col min="9477" max="9477" width="13.83203125" style="1612" bestFit="1" customWidth="1"/>
    <col min="9478" max="9478" width="13.5" style="1612" bestFit="1" customWidth="1"/>
    <col min="9479" max="9479" width="14.6640625" style="1612" bestFit="1" customWidth="1"/>
    <col min="9480" max="9480" width="5.1640625" style="1612" customWidth="1"/>
    <col min="9481" max="9481" width="13.1640625" style="1612" bestFit="1" customWidth="1"/>
    <col min="9482" max="9729" width="9.33203125" style="1612"/>
    <col min="9730" max="9730" width="4" style="1612" customWidth="1"/>
    <col min="9731" max="9731" width="53.5" style="1612" bestFit="1" customWidth="1"/>
    <col min="9732" max="9732" width="17.6640625" style="1612" bestFit="1" customWidth="1"/>
    <col min="9733" max="9733" width="13.83203125" style="1612" bestFit="1" customWidth="1"/>
    <col min="9734" max="9734" width="13.5" style="1612" bestFit="1" customWidth="1"/>
    <col min="9735" max="9735" width="14.6640625" style="1612" bestFit="1" customWidth="1"/>
    <col min="9736" max="9736" width="5.1640625" style="1612" customWidth="1"/>
    <col min="9737" max="9737" width="13.1640625" style="1612" bestFit="1" customWidth="1"/>
    <col min="9738" max="9985" width="9.33203125" style="1612"/>
    <col min="9986" max="9986" width="4" style="1612" customWidth="1"/>
    <col min="9987" max="9987" width="53.5" style="1612" bestFit="1" customWidth="1"/>
    <col min="9988" max="9988" width="17.6640625" style="1612" bestFit="1" customWidth="1"/>
    <col min="9989" max="9989" width="13.83203125" style="1612" bestFit="1" customWidth="1"/>
    <col min="9990" max="9990" width="13.5" style="1612" bestFit="1" customWidth="1"/>
    <col min="9991" max="9991" width="14.6640625" style="1612" bestFit="1" customWidth="1"/>
    <col min="9992" max="9992" width="5.1640625" style="1612" customWidth="1"/>
    <col min="9993" max="9993" width="13.1640625" style="1612" bestFit="1" customWidth="1"/>
    <col min="9994" max="10241" width="9.33203125" style="1612"/>
    <col min="10242" max="10242" width="4" style="1612" customWidth="1"/>
    <col min="10243" max="10243" width="53.5" style="1612" bestFit="1" customWidth="1"/>
    <col min="10244" max="10244" width="17.6640625" style="1612" bestFit="1" customWidth="1"/>
    <col min="10245" max="10245" width="13.83203125" style="1612" bestFit="1" customWidth="1"/>
    <col min="10246" max="10246" width="13.5" style="1612" bestFit="1" customWidth="1"/>
    <col min="10247" max="10247" width="14.6640625" style="1612" bestFit="1" customWidth="1"/>
    <col min="10248" max="10248" width="5.1640625" style="1612" customWidth="1"/>
    <col min="10249" max="10249" width="13.1640625" style="1612" bestFit="1" customWidth="1"/>
    <col min="10250" max="10497" width="9.33203125" style="1612"/>
    <col min="10498" max="10498" width="4" style="1612" customWidth="1"/>
    <col min="10499" max="10499" width="53.5" style="1612" bestFit="1" customWidth="1"/>
    <col min="10500" max="10500" width="17.6640625" style="1612" bestFit="1" customWidth="1"/>
    <col min="10501" max="10501" width="13.83203125" style="1612" bestFit="1" customWidth="1"/>
    <col min="10502" max="10502" width="13.5" style="1612" bestFit="1" customWidth="1"/>
    <col min="10503" max="10503" width="14.6640625" style="1612" bestFit="1" customWidth="1"/>
    <col min="10504" max="10504" width="5.1640625" style="1612" customWidth="1"/>
    <col min="10505" max="10505" width="13.1640625" style="1612" bestFit="1" customWidth="1"/>
    <col min="10506" max="10753" width="9.33203125" style="1612"/>
    <col min="10754" max="10754" width="4" style="1612" customWidth="1"/>
    <col min="10755" max="10755" width="53.5" style="1612" bestFit="1" customWidth="1"/>
    <col min="10756" max="10756" width="17.6640625" style="1612" bestFit="1" customWidth="1"/>
    <col min="10757" max="10757" width="13.83203125" style="1612" bestFit="1" customWidth="1"/>
    <col min="10758" max="10758" width="13.5" style="1612" bestFit="1" customWidth="1"/>
    <col min="10759" max="10759" width="14.6640625" style="1612" bestFit="1" customWidth="1"/>
    <col min="10760" max="10760" width="5.1640625" style="1612" customWidth="1"/>
    <col min="10761" max="10761" width="13.1640625" style="1612" bestFit="1" customWidth="1"/>
    <col min="10762" max="11009" width="9.33203125" style="1612"/>
    <col min="11010" max="11010" width="4" style="1612" customWidth="1"/>
    <col min="11011" max="11011" width="53.5" style="1612" bestFit="1" customWidth="1"/>
    <col min="11012" max="11012" width="17.6640625" style="1612" bestFit="1" customWidth="1"/>
    <col min="11013" max="11013" width="13.83203125" style="1612" bestFit="1" customWidth="1"/>
    <col min="11014" max="11014" width="13.5" style="1612" bestFit="1" customWidth="1"/>
    <col min="11015" max="11015" width="14.6640625" style="1612" bestFit="1" customWidth="1"/>
    <col min="11016" max="11016" width="5.1640625" style="1612" customWidth="1"/>
    <col min="11017" max="11017" width="13.1640625" style="1612" bestFit="1" customWidth="1"/>
    <col min="11018" max="11265" width="9.33203125" style="1612"/>
    <col min="11266" max="11266" width="4" style="1612" customWidth="1"/>
    <col min="11267" max="11267" width="53.5" style="1612" bestFit="1" customWidth="1"/>
    <col min="11268" max="11268" width="17.6640625" style="1612" bestFit="1" customWidth="1"/>
    <col min="11269" max="11269" width="13.83203125" style="1612" bestFit="1" customWidth="1"/>
    <col min="11270" max="11270" width="13.5" style="1612" bestFit="1" customWidth="1"/>
    <col min="11271" max="11271" width="14.6640625" style="1612" bestFit="1" customWidth="1"/>
    <col min="11272" max="11272" width="5.1640625" style="1612" customWidth="1"/>
    <col min="11273" max="11273" width="13.1640625" style="1612" bestFit="1" customWidth="1"/>
    <col min="11274" max="11521" width="9.33203125" style="1612"/>
    <col min="11522" max="11522" width="4" style="1612" customWidth="1"/>
    <col min="11523" max="11523" width="53.5" style="1612" bestFit="1" customWidth="1"/>
    <col min="11524" max="11524" width="17.6640625" style="1612" bestFit="1" customWidth="1"/>
    <col min="11525" max="11525" width="13.83203125" style="1612" bestFit="1" customWidth="1"/>
    <col min="11526" max="11526" width="13.5" style="1612" bestFit="1" customWidth="1"/>
    <col min="11527" max="11527" width="14.6640625" style="1612" bestFit="1" customWidth="1"/>
    <col min="11528" max="11528" width="5.1640625" style="1612" customWidth="1"/>
    <col min="11529" max="11529" width="13.1640625" style="1612" bestFit="1" customWidth="1"/>
    <col min="11530" max="11777" width="9.33203125" style="1612"/>
    <col min="11778" max="11778" width="4" style="1612" customWidth="1"/>
    <col min="11779" max="11779" width="53.5" style="1612" bestFit="1" customWidth="1"/>
    <col min="11780" max="11780" width="17.6640625" style="1612" bestFit="1" customWidth="1"/>
    <col min="11781" max="11781" width="13.83203125" style="1612" bestFit="1" customWidth="1"/>
    <col min="11782" max="11782" width="13.5" style="1612" bestFit="1" customWidth="1"/>
    <col min="11783" max="11783" width="14.6640625" style="1612" bestFit="1" customWidth="1"/>
    <col min="11784" max="11784" width="5.1640625" style="1612" customWidth="1"/>
    <col min="11785" max="11785" width="13.1640625" style="1612" bestFit="1" customWidth="1"/>
    <col min="11786" max="12033" width="9.33203125" style="1612"/>
    <col min="12034" max="12034" width="4" style="1612" customWidth="1"/>
    <col min="12035" max="12035" width="53.5" style="1612" bestFit="1" customWidth="1"/>
    <col min="12036" max="12036" width="17.6640625" style="1612" bestFit="1" customWidth="1"/>
    <col min="12037" max="12037" width="13.83203125" style="1612" bestFit="1" customWidth="1"/>
    <col min="12038" max="12038" width="13.5" style="1612" bestFit="1" customWidth="1"/>
    <col min="12039" max="12039" width="14.6640625" style="1612" bestFit="1" customWidth="1"/>
    <col min="12040" max="12040" width="5.1640625" style="1612" customWidth="1"/>
    <col min="12041" max="12041" width="13.1640625" style="1612" bestFit="1" customWidth="1"/>
    <col min="12042" max="12289" width="9.33203125" style="1612"/>
    <col min="12290" max="12290" width="4" style="1612" customWidth="1"/>
    <col min="12291" max="12291" width="53.5" style="1612" bestFit="1" customWidth="1"/>
    <col min="12292" max="12292" width="17.6640625" style="1612" bestFit="1" customWidth="1"/>
    <col min="12293" max="12293" width="13.83203125" style="1612" bestFit="1" customWidth="1"/>
    <col min="12294" max="12294" width="13.5" style="1612" bestFit="1" customWidth="1"/>
    <col min="12295" max="12295" width="14.6640625" style="1612" bestFit="1" customWidth="1"/>
    <col min="12296" max="12296" width="5.1640625" style="1612" customWidth="1"/>
    <col min="12297" max="12297" width="13.1640625" style="1612" bestFit="1" customWidth="1"/>
    <col min="12298" max="12545" width="9.33203125" style="1612"/>
    <col min="12546" max="12546" width="4" style="1612" customWidth="1"/>
    <col min="12547" max="12547" width="53.5" style="1612" bestFit="1" customWidth="1"/>
    <col min="12548" max="12548" width="17.6640625" style="1612" bestFit="1" customWidth="1"/>
    <col min="12549" max="12549" width="13.83203125" style="1612" bestFit="1" customWidth="1"/>
    <col min="12550" max="12550" width="13.5" style="1612" bestFit="1" customWidth="1"/>
    <col min="12551" max="12551" width="14.6640625" style="1612" bestFit="1" customWidth="1"/>
    <col min="12552" max="12552" width="5.1640625" style="1612" customWidth="1"/>
    <col min="12553" max="12553" width="13.1640625" style="1612" bestFit="1" customWidth="1"/>
    <col min="12554" max="12801" width="9.33203125" style="1612"/>
    <col min="12802" max="12802" width="4" style="1612" customWidth="1"/>
    <col min="12803" max="12803" width="53.5" style="1612" bestFit="1" customWidth="1"/>
    <col min="12804" max="12804" width="17.6640625" style="1612" bestFit="1" customWidth="1"/>
    <col min="12805" max="12805" width="13.83203125" style="1612" bestFit="1" customWidth="1"/>
    <col min="12806" max="12806" width="13.5" style="1612" bestFit="1" customWidth="1"/>
    <col min="12807" max="12807" width="14.6640625" style="1612" bestFit="1" customWidth="1"/>
    <col min="12808" max="12808" width="5.1640625" style="1612" customWidth="1"/>
    <col min="12809" max="12809" width="13.1640625" style="1612" bestFit="1" customWidth="1"/>
    <col min="12810" max="13057" width="9.33203125" style="1612"/>
    <col min="13058" max="13058" width="4" style="1612" customWidth="1"/>
    <col min="13059" max="13059" width="53.5" style="1612" bestFit="1" customWidth="1"/>
    <col min="13060" max="13060" width="17.6640625" style="1612" bestFit="1" customWidth="1"/>
    <col min="13061" max="13061" width="13.83203125" style="1612" bestFit="1" customWidth="1"/>
    <col min="13062" max="13062" width="13.5" style="1612" bestFit="1" customWidth="1"/>
    <col min="13063" max="13063" width="14.6640625" style="1612" bestFit="1" customWidth="1"/>
    <col min="13064" max="13064" width="5.1640625" style="1612" customWidth="1"/>
    <col min="13065" max="13065" width="13.1640625" style="1612" bestFit="1" customWidth="1"/>
    <col min="13066" max="13313" width="9.33203125" style="1612"/>
    <col min="13314" max="13314" width="4" style="1612" customWidth="1"/>
    <col min="13315" max="13315" width="53.5" style="1612" bestFit="1" customWidth="1"/>
    <col min="13316" max="13316" width="17.6640625" style="1612" bestFit="1" customWidth="1"/>
    <col min="13317" max="13317" width="13.83203125" style="1612" bestFit="1" customWidth="1"/>
    <col min="13318" max="13318" width="13.5" style="1612" bestFit="1" customWidth="1"/>
    <col min="13319" max="13319" width="14.6640625" style="1612" bestFit="1" customWidth="1"/>
    <col min="13320" max="13320" width="5.1640625" style="1612" customWidth="1"/>
    <col min="13321" max="13321" width="13.1640625" style="1612" bestFit="1" customWidth="1"/>
    <col min="13322" max="13569" width="9.33203125" style="1612"/>
    <col min="13570" max="13570" width="4" style="1612" customWidth="1"/>
    <col min="13571" max="13571" width="53.5" style="1612" bestFit="1" customWidth="1"/>
    <col min="13572" max="13572" width="17.6640625" style="1612" bestFit="1" customWidth="1"/>
    <col min="13573" max="13573" width="13.83203125" style="1612" bestFit="1" customWidth="1"/>
    <col min="13574" max="13574" width="13.5" style="1612" bestFit="1" customWidth="1"/>
    <col min="13575" max="13575" width="14.6640625" style="1612" bestFit="1" customWidth="1"/>
    <col min="13576" max="13576" width="5.1640625" style="1612" customWidth="1"/>
    <col min="13577" max="13577" width="13.1640625" style="1612" bestFit="1" customWidth="1"/>
    <col min="13578" max="13825" width="9.33203125" style="1612"/>
    <col min="13826" max="13826" width="4" style="1612" customWidth="1"/>
    <col min="13827" max="13827" width="53.5" style="1612" bestFit="1" customWidth="1"/>
    <col min="13828" max="13828" width="17.6640625" style="1612" bestFit="1" customWidth="1"/>
    <col min="13829" max="13829" width="13.83203125" style="1612" bestFit="1" customWidth="1"/>
    <col min="13830" max="13830" width="13.5" style="1612" bestFit="1" customWidth="1"/>
    <col min="13831" max="13831" width="14.6640625" style="1612" bestFit="1" customWidth="1"/>
    <col min="13832" max="13832" width="5.1640625" style="1612" customWidth="1"/>
    <col min="13833" max="13833" width="13.1640625" style="1612" bestFit="1" customWidth="1"/>
    <col min="13834" max="14081" width="9.33203125" style="1612"/>
    <col min="14082" max="14082" width="4" style="1612" customWidth="1"/>
    <col min="14083" max="14083" width="53.5" style="1612" bestFit="1" customWidth="1"/>
    <col min="14084" max="14084" width="17.6640625" style="1612" bestFit="1" customWidth="1"/>
    <col min="14085" max="14085" width="13.83203125" style="1612" bestFit="1" customWidth="1"/>
    <col min="14086" max="14086" width="13.5" style="1612" bestFit="1" customWidth="1"/>
    <col min="14087" max="14087" width="14.6640625" style="1612" bestFit="1" customWidth="1"/>
    <col min="14088" max="14088" width="5.1640625" style="1612" customWidth="1"/>
    <col min="14089" max="14089" width="13.1640625" style="1612" bestFit="1" customWidth="1"/>
    <col min="14090" max="14337" width="9.33203125" style="1612"/>
    <col min="14338" max="14338" width="4" style="1612" customWidth="1"/>
    <col min="14339" max="14339" width="53.5" style="1612" bestFit="1" customWidth="1"/>
    <col min="14340" max="14340" width="17.6640625" style="1612" bestFit="1" customWidth="1"/>
    <col min="14341" max="14341" width="13.83203125" style="1612" bestFit="1" customWidth="1"/>
    <col min="14342" max="14342" width="13.5" style="1612" bestFit="1" customWidth="1"/>
    <col min="14343" max="14343" width="14.6640625" style="1612" bestFit="1" customWidth="1"/>
    <col min="14344" max="14344" width="5.1640625" style="1612" customWidth="1"/>
    <col min="14345" max="14345" width="13.1640625" style="1612" bestFit="1" customWidth="1"/>
    <col min="14346" max="14593" width="9.33203125" style="1612"/>
    <col min="14594" max="14594" width="4" style="1612" customWidth="1"/>
    <col min="14595" max="14595" width="53.5" style="1612" bestFit="1" customWidth="1"/>
    <col min="14596" max="14596" width="17.6640625" style="1612" bestFit="1" customWidth="1"/>
    <col min="14597" max="14597" width="13.83203125" style="1612" bestFit="1" customWidth="1"/>
    <col min="14598" max="14598" width="13.5" style="1612" bestFit="1" customWidth="1"/>
    <col min="14599" max="14599" width="14.6640625" style="1612" bestFit="1" customWidth="1"/>
    <col min="14600" max="14600" width="5.1640625" style="1612" customWidth="1"/>
    <col min="14601" max="14601" width="13.1640625" style="1612" bestFit="1" customWidth="1"/>
    <col min="14602" max="14849" width="9.33203125" style="1612"/>
    <col min="14850" max="14850" width="4" style="1612" customWidth="1"/>
    <col min="14851" max="14851" width="53.5" style="1612" bestFit="1" customWidth="1"/>
    <col min="14852" max="14852" width="17.6640625" style="1612" bestFit="1" customWidth="1"/>
    <col min="14853" max="14853" width="13.83203125" style="1612" bestFit="1" customWidth="1"/>
    <col min="14854" max="14854" width="13.5" style="1612" bestFit="1" customWidth="1"/>
    <col min="14855" max="14855" width="14.6640625" style="1612" bestFit="1" customWidth="1"/>
    <col min="14856" max="14856" width="5.1640625" style="1612" customWidth="1"/>
    <col min="14857" max="14857" width="13.1640625" style="1612" bestFit="1" customWidth="1"/>
    <col min="14858" max="15105" width="9.33203125" style="1612"/>
    <col min="15106" max="15106" width="4" style="1612" customWidth="1"/>
    <col min="15107" max="15107" width="53.5" style="1612" bestFit="1" customWidth="1"/>
    <col min="15108" max="15108" width="17.6640625" style="1612" bestFit="1" customWidth="1"/>
    <col min="15109" max="15109" width="13.83203125" style="1612" bestFit="1" customWidth="1"/>
    <col min="15110" max="15110" width="13.5" style="1612" bestFit="1" customWidth="1"/>
    <col min="15111" max="15111" width="14.6640625" style="1612" bestFit="1" customWidth="1"/>
    <col min="15112" max="15112" width="5.1640625" style="1612" customWidth="1"/>
    <col min="15113" max="15113" width="13.1640625" style="1612" bestFit="1" customWidth="1"/>
    <col min="15114" max="15361" width="9.33203125" style="1612"/>
    <col min="15362" max="15362" width="4" style="1612" customWidth="1"/>
    <col min="15363" max="15363" width="53.5" style="1612" bestFit="1" customWidth="1"/>
    <col min="15364" max="15364" width="17.6640625" style="1612" bestFit="1" customWidth="1"/>
    <col min="15365" max="15365" width="13.83203125" style="1612" bestFit="1" customWidth="1"/>
    <col min="15366" max="15366" width="13.5" style="1612" bestFit="1" customWidth="1"/>
    <col min="15367" max="15367" width="14.6640625" style="1612" bestFit="1" customWidth="1"/>
    <col min="15368" max="15368" width="5.1640625" style="1612" customWidth="1"/>
    <col min="15369" max="15369" width="13.1640625" style="1612" bestFit="1" customWidth="1"/>
    <col min="15370" max="15617" width="9.33203125" style="1612"/>
    <col min="15618" max="15618" width="4" style="1612" customWidth="1"/>
    <col min="15619" max="15619" width="53.5" style="1612" bestFit="1" customWidth="1"/>
    <col min="15620" max="15620" width="17.6640625" style="1612" bestFit="1" customWidth="1"/>
    <col min="15621" max="15621" width="13.83203125" style="1612" bestFit="1" customWidth="1"/>
    <col min="15622" max="15622" width="13.5" style="1612" bestFit="1" customWidth="1"/>
    <col min="15623" max="15623" width="14.6640625" style="1612" bestFit="1" customWidth="1"/>
    <col min="15624" max="15624" width="5.1640625" style="1612" customWidth="1"/>
    <col min="15625" max="15625" width="13.1640625" style="1612" bestFit="1" customWidth="1"/>
    <col min="15626" max="15873" width="9.33203125" style="1612"/>
    <col min="15874" max="15874" width="4" style="1612" customWidth="1"/>
    <col min="15875" max="15875" width="53.5" style="1612" bestFit="1" customWidth="1"/>
    <col min="15876" max="15876" width="17.6640625" style="1612" bestFit="1" customWidth="1"/>
    <col min="15877" max="15877" width="13.83203125" style="1612" bestFit="1" customWidth="1"/>
    <col min="15878" max="15878" width="13.5" style="1612" bestFit="1" customWidth="1"/>
    <col min="15879" max="15879" width="14.6640625" style="1612" bestFit="1" customWidth="1"/>
    <col min="15880" max="15880" width="5.1640625" style="1612" customWidth="1"/>
    <col min="15881" max="15881" width="13.1640625" style="1612" bestFit="1" customWidth="1"/>
    <col min="15882" max="16129" width="9.33203125" style="1612"/>
    <col min="16130" max="16130" width="4" style="1612" customWidth="1"/>
    <col min="16131" max="16131" width="53.5" style="1612" bestFit="1" customWidth="1"/>
    <col min="16132" max="16132" width="17.6640625" style="1612" bestFit="1" customWidth="1"/>
    <col min="16133" max="16133" width="13.83203125" style="1612" bestFit="1" customWidth="1"/>
    <col min="16134" max="16134" width="13.5" style="1612" bestFit="1" customWidth="1"/>
    <col min="16135" max="16135" width="14.6640625" style="1612" bestFit="1" customWidth="1"/>
    <col min="16136" max="16136" width="5.1640625" style="1612" customWidth="1"/>
    <col min="16137" max="16137" width="13.1640625" style="1612" bestFit="1" customWidth="1"/>
    <col min="16138" max="16384" width="9.33203125" style="1612"/>
  </cols>
  <sheetData>
    <row r="3" spans="1:13" ht="15.75">
      <c r="A3" s="1651" t="s">
        <v>2322</v>
      </c>
    </row>
    <row r="7" spans="1:13" ht="13.5" thickBot="1"/>
    <row r="8" spans="1:13">
      <c r="C8" s="1652"/>
      <c r="D8" s="1653" t="s">
        <v>1342</v>
      </c>
      <c r="E8" s="1653" t="s">
        <v>1341</v>
      </c>
      <c r="F8" s="1653" t="s">
        <v>260</v>
      </c>
      <c r="G8" s="1654" t="s">
        <v>279</v>
      </c>
      <c r="H8" s="1655"/>
    </row>
    <row r="9" spans="1:13" ht="13.5" thickBot="1">
      <c r="C9" s="1656" t="s">
        <v>2323</v>
      </c>
      <c r="D9" s="1657">
        <v>61787141.404396102</v>
      </c>
      <c r="E9" s="1657">
        <v>9973347.2020987775</v>
      </c>
      <c r="F9" s="1657">
        <v>1469582.3935051134</v>
      </c>
      <c r="G9" s="1658">
        <f>SUM(D9:F9)</f>
        <v>73230070.999999985</v>
      </c>
      <c r="H9" s="1659"/>
      <c r="I9" s="1660"/>
      <c r="J9" s="1661"/>
      <c r="K9" s="1661"/>
      <c r="L9" s="1662"/>
    </row>
    <row r="10" spans="1:13" ht="13.5" thickBot="1">
      <c r="C10" s="1663"/>
      <c r="D10" s="1664"/>
      <c r="E10" s="1664"/>
      <c r="F10" s="1664"/>
      <c r="G10" s="1664"/>
      <c r="H10" s="1659"/>
      <c r="I10" s="1660"/>
      <c r="J10" s="1661"/>
      <c r="K10" s="1661"/>
      <c r="L10" s="1662"/>
    </row>
    <row r="11" spans="1:13">
      <c r="C11" s="1652"/>
      <c r="D11" s="1653" t="s">
        <v>1342</v>
      </c>
      <c r="E11" s="1653" t="s">
        <v>1341</v>
      </c>
      <c r="F11" s="1653" t="s">
        <v>260</v>
      </c>
      <c r="G11" s="1654" t="s">
        <v>279</v>
      </c>
      <c r="H11" s="1659"/>
      <c r="I11" s="1660"/>
      <c r="J11" s="1661"/>
      <c r="K11" s="1661"/>
      <c r="L11" s="1662"/>
    </row>
    <row r="12" spans="1:13" ht="13.5" thickBot="1">
      <c r="C12" s="2009" t="s">
        <v>2324</v>
      </c>
      <c r="D12" s="2008">
        <v>56378446.276379742</v>
      </c>
      <c r="E12" s="2008">
        <v>8821291.3602936491</v>
      </c>
      <c r="F12" s="2008">
        <v>1330519.5633266636</v>
      </c>
      <c r="G12" s="2008">
        <f>'5.03G - Data (HC)'!L253</f>
        <v>66530246</v>
      </c>
      <c r="H12" s="1662"/>
      <c r="I12" s="2151"/>
      <c r="J12" s="1662"/>
      <c r="K12" s="1662"/>
      <c r="L12" s="1662"/>
      <c r="M12" s="1662"/>
    </row>
    <row r="13" spans="1:13" ht="13.5" thickBot="1">
      <c r="C13" s="1662"/>
      <c r="D13" s="1662"/>
      <c r="E13" s="1662"/>
      <c r="F13" s="1662"/>
      <c r="G13" s="1662"/>
      <c r="H13" s="1662"/>
      <c r="I13" s="1662"/>
    </row>
    <row r="14" spans="1:13">
      <c r="C14" s="1652"/>
      <c r="D14" s="1653" t="s">
        <v>1342</v>
      </c>
      <c r="E14" s="1653" t="s">
        <v>1341</v>
      </c>
      <c r="F14" s="1653" t="s">
        <v>260</v>
      </c>
      <c r="G14" s="1654" t="s">
        <v>279</v>
      </c>
      <c r="H14" s="1662"/>
      <c r="I14" s="1662"/>
    </row>
    <row r="15" spans="1:13" ht="13.5" thickBot="1">
      <c r="C15" s="1656" t="s">
        <v>2325</v>
      </c>
      <c r="D15" s="1665">
        <f>(D9-D12)/D9</f>
        <v>8.7537552394866686E-2</v>
      </c>
      <c r="E15" s="1665">
        <f>(E9-E12)/E9</f>
        <v>0.11551345987059303</v>
      </c>
      <c r="F15" s="1665">
        <f t="shared" ref="F15:G15" si="0">(F9-F12)/F9</f>
        <v>9.4627447084998026E-2</v>
      </c>
      <c r="G15" s="1665">
        <f t="shared" si="0"/>
        <v>9.1490079259925694E-2</v>
      </c>
      <c r="H15" s="1662"/>
      <c r="I15" s="1662"/>
    </row>
    <row r="16" spans="1:13">
      <c r="C16" s="1662"/>
      <c r="D16" s="1662"/>
      <c r="E16" s="1662"/>
      <c r="F16" s="1662"/>
      <c r="G16" s="1662"/>
      <c r="H16" s="1662"/>
      <c r="I16" s="1662"/>
    </row>
    <row r="17" spans="3:9">
      <c r="C17" s="1662"/>
      <c r="D17" s="1682"/>
      <c r="E17" s="1662"/>
      <c r="F17" s="1662"/>
      <c r="G17" s="1662"/>
      <c r="H17" s="1662"/>
      <c r="I17" s="1662"/>
    </row>
    <row r="18" spans="3:9">
      <c r="C18" s="1662"/>
      <c r="D18" s="1662"/>
      <c r="E18" s="1662"/>
      <c r="F18" s="1662"/>
      <c r="G18" s="1662"/>
      <c r="H18" s="1662"/>
      <c r="I18" s="1662"/>
    </row>
    <row r="19" spans="3:9">
      <c r="C19" s="1662"/>
      <c r="I19" s="1662"/>
    </row>
    <row r="20" spans="3:9">
      <c r="C20" s="1662"/>
      <c r="D20" s="1662"/>
      <c r="E20" s="1662"/>
      <c r="F20" s="1662"/>
      <c r="G20" s="1662"/>
      <c r="H20" s="1662"/>
      <c r="I20" s="1662"/>
    </row>
  </sheetData>
  <pageMargins left="0.7" right="0.7" top="0.75" bottom="0.75" header="0.3" footer="0.3"/>
  <pageSetup scale="81"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B2:F9"/>
  <sheetViews>
    <sheetView workbookViewId="0">
      <selection activeCell="F11" sqref="F11"/>
    </sheetView>
  </sheetViews>
  <sheetFormatPr defaultRowHeight="12.75"/>
  <cols>
    <col min="1" max="1" width="9.33203125" style="1612"/>
    <col min="2" max="2" width="12.5" style="1612" bestFit="1" customWidth="1"/>
    <col min="3" max="3" width="21.1640625" style="1612" bestFit="1" customWidth="1"/>
    <col min="4" max="4" width="19.33203125" style="1612" bestFit="1" customWidth="1"/>
    <col min="5" max="5" width="18.33203125" style="1612" bestFit="1" customWidth="1"/>
    <col min="6" max="6" width="12.6640625" style="1612" bestFit="1" customWidth="1"/>
    <col min="7" max="257" width="9.33203125" style="1612"/>
    <col min="258" max="258" width="12.5" style="1612" bestFit="1" customWidth="1"/>
    <col min="259" max="259" width="21.1640625" style="1612" bestFit="1" customWidth="1"/>
    <col min="260" max="260" width="19.33203125" style="1612" bestFit="1" customWidth="1"/>
    <col min="261" max="261" width="18.33203125" style="1612" bestFit="1" customWidth="1"/>
    <col min="262" max="262" width="12.6640625" style="1612" bestFit="1" customWidth="1"/>
    <col min="263" max="513" width="9.33203125" style="1612"/>
    <col min="514" max="514" width="12.5" style="1612" bestFit="1" customWidth="1"/>
    <col min="515" max="515" width="21.1640625" style="1612" bestFit="1" customWidth="1"/>
    <col min="516" max="516" width="19.33203125" style="1612" bestFit="1" customWidth="1"/>
    <col min="517" max="517" width="18.33203125" style="1612" bestFit="1" customWidth="1"/>
    <col min="518" max="518" width="12.6640625" style="1612" bestFit="1" customWidth="1"/>
    <col min="519" max="769" width="9.33203125" style="1612"/>
    <col min="770" max="770" width="12.5" style="1612" bestFit="1" customWidth="1"/>
    <col min="771" max="771" width="21.1640625" style="1612" bestFit="1" customWidth="1"/>
    <col min="772" max="772" width="19.33203125" style="1612" bestFit="1" customWidth="1"/>
    <col min="773" max="773" width="18.33203125" style="1612" bestFit="1" customWidth="1"/>
    <col min="774" max="774" width="12.6640625" style="1612" bestFit="1" customWidth="1"/>
    <col min="775" max="1025" width="9.33203125" style="1612"/>
    <col min="1026" max="1026" width="12.5" style="1612" bestFit="1" customWidth="1"/>
    <col min="1027" max="1027" width="21.1640625" style="1612" bestFit="1" customWidth="1"/>
    <col min="1028" max="1028" width="19.33203125" style="1612" bestFit="1" customWidth="1"/>
    <col min="1029" max="1029" width="18.33203125" style="1612" bestFit="1" customWidth="1"/>
    <col min="1030" max="1030" width="12.6640625" style="1612" bestFit="1" customWidth="1"/>
    <col min="1031" max="1281" width="9.33203125" style="1612"/>
    <col min="1282" max="1282" width="12.5" style="1612" bestFit="1" customWidth="1"/>
    <col min="1283" max="1283" width="21.1640625" style="1612" bestFit="1" customWidth="1"/>
    <col min="1284" max="1284" width="19.33203125" style="1612" bestFit="1" customWidth="1"/>
    <col min="1285" max="1285" width="18.33203125" style="1612" bestFit="1" customWidth="1"/>
    <col min="1286" max="1286" width="12.6640625" style="1612" bestFit="1" customWidth="1"/>
    <col min="1287" max="1537" width="9.33203125" style="1612"/>
    <col min="1538" max="1538" width="12.5" style="1612" bestFit="1" customWidth="1"/>
    <col min="1539" max="1539" width="21.1640625" style="1612" bestFit="1" customWidth="1"/>
    <col min="1540" max="1540" width="19.33203125" style="1612" bestFit="1" customWidth="1"/>
    <col min="1541" max="1541" width="18.33203125" style="1612" bestFit="1" customWidth="1"/>
    <col min="1542" max="1542" width="12.6640625" style="1612" bestFit="1" customWidth="1"/>
    <col min="1543" max="1793" width="9.33203125" style="1612"/>
    <col min="1794" max="1794" width="12.5" style="1612" bestFit="1" customWidth="1"/>
    <col min="1795" max="1795" width="21.1640625" style="1612" bestFit="1" customWidth="1"/>
    <col min="1796" max="1796" width="19.33203125" style="1612" bestFit="1" customWidth="1"/>
    <col min="1797" max="1797" width="18.33203125" style="1612" bestFit="1" customWidth="1"/>
    <col min="1798" max="1798" width="12.6640625" style="1612" bestFit="1" customWidth="1"/>
    <col min="1799" max="2049" width="9.33203125" style="1612"/>
    <col min="2050" max="2050" width="12.5" style="1612" bestFit="1" customWidth="1"/>
    <col min="2051" max="2051" width="21.1640625" style="1612" bestFit="1" customWidth="1"/>
    <col min="2052" max="2052" width="19.33203125" style="1612" bestFit="1" customWidth="1"/>
    <col min="2053" max="2053" width="18.33203125" style="1612" bestFit="1" customWidth="1"/>
    <col min="2054" max="2054" width="12.6640625" style="1612" bestFit="1" customWidth="1"/>
    <col min="2055" max="2305" width="9.33203125" style="1612"/>
    <col min="2306" max="2306" width="12.5" style="1612" bestFit="1" customWidth="1"/>
    <col min="2307" max="2307" width="21.1640625" style="1612" bestFit="1" customWidth="1"/>
    <col min="2308" max="2308" width="19.33203125" style="1612" bestFit="1" customWidth="1"/>
    <col min="2309" max="2309" width="18.33203125" style="1612" bestFit="1" customWidth="1"/>
    <col min="2310" max="2310" width="12.6640625" style="1612" bestFit="1" customWidth="1"/>
    <col min="2311" max="2561" width="9.33203125" style="1612"/>
    <col min="2562" max="2562" width="12.5" style="1612" bestFit="1" customWidth="1"/>
    <col min="2563" max="2563" width="21.1640625" style="1612" bestFit="1" customWidth="1"/>
    <col min="2564" max="2564" width="19.33203125" style="1612" bestFit="1" customWidth="1"/>
    <col min="2565" max="2565" width="18.33203125" style="1612" bestFit="1" customWidth="1"/>
    <col min="2566" max="2566" width="12.6640625" style="1612" bestFit="1" customWidth="1"/>
    <col min="2567" max="2817" width="9.33203125" style="1612"/>
    <col min="2818" max="2818" width="12.5" style="1612" bestFit="1" customWidth="1"/>
    <col min="2819" max="2819" width="21.1640625" style="1612" bestFit="1" customWidth="1"/>
    <col min="2820" max="2820" width="19.33203125" style="1612" bestFit="1" customWidth="1"/>
    <col min="2821" max="2821" width="18.33203125" style="1612" bestFit="1" customWidth="1"/>
    <col min="2822" max="2822" width="12.6640625" style="1612" bestFit="1" customWidth="1"/>
    <col min="2823" max="3073" width="9.33203125" style="1612"/>
    <col min="3074" max="3074" width="12.5" style="1612" bestFit="1" customWidth="1"/>
    <col min="3075" max="3075" width="21.1640625" style="1612" bestFit="1" customWidth="1"/>
    <col min="3076" max="3076" width="19.33203125" style="1612" bestFit="1" customWidth="1"/>
    <col min="3077" max="3077" width="18.33203125" style="1612" bestFit="1" customWidth="1"/>
    <col min="3078" max="3078" width="12.6640625" style="1612" bestFit="1" customWidth="1"/>
    <col min="3079" max="3329" width="9.33203125" style="1612"/>
    <col min="3330" max="3330" width="12.5" style="1612" bestFit="1" customWidth="1"/>
    <col min="3331" max="3331" width="21.1640625" style="1612" bestFit="1" customWidth="1"/>
    <col min="3332" max="3332" width="19.33203125" style="1612" bestFit="1" customWidth="1"/>
    <col min="3333" max="3333" width="18.33203125" style="1612" bestFit="1" customWidth="1"/>
    <col min="3334" max="3334" width="12.6640625" style="1612" bestFit="1" customWidth="1"/>
    <col min="3335" max="3585" width="9.33203125" style="1612"/>
    <col min="3586" max="3586" width="12.5" style="1612" bestFit="1" customWidth="1"/>
    <col min="3587" max="3587" width="21.1640625" style="1612" bestFit="1" customWidth="1"/>
    <col min="3588" max="3588" width="19.33203125" style="1612" bestFit="1" customWidth="1"/>
    <col min="3589" max="3589" width="18.33203125" style="1612" bestFit="1" customWidth="1"/>
    <col min="3590" max="3590" width="12.6640625" style="1612" bestFit="1" customWidth="1"/>
    <col min="3591" max="3841" width="9.33203125" style="1612"/>
    <col min="3842" max="3842" width="12.5" style="1612" bestFit="1" customWidth="1"/>
    <col min="3843" max="3843" width="21.1640625" style="1612" bestFit="1" customWidth="1"/>
    <col min="3844" max="3844" width="19.33203125" style="1612" bestFit="1" customWidth="1"/>
    <col min="3845" max="3845" width="18.33203125" style="1612" bestFit="1" customWidth="1"/>
    <col min="3846" max="3846" width="12.6640625" style="1612" bestFit="1" customWidth="1"/>
    <col min="3847" max="4097" width="9.33203125" style="1612"/>
    <col min="4098" max="4098" width="12.5" style="1612" bestFit="1" customWidth="1"/>
    <col min="4099" max="4099" width="21.1640625" style="1612" bestFit="1" customWidth="1"/>
    <col min="4100" max="4100" width="19.33203125" style="1612" bestFit="1" customWidth="1"/>
    <col min="4101" max="4101" width="18.33203125" style="1612" bestFit="1" customWidth="1"/>
    <col min="4102" max="4102" width="12.6640625" style="1612" bestFit="1" customWidth="1"/>
    <col min="4103" max="4353" width="9.33203125" style="1612"/>
    <col min="4354" max="4354" width="12.5" style="1612" bestFit="1" customWidth="1"/>
    <col min="4355" max="4355" width="21.1640625" style="1612" bestFit="1" customWidth="1"/>
    <col min="4356" max="4356" width="19.33203125" style="1612" bestFit="1" customWidth="1"/>
    <col min="4357" max="4357" width="18.33203125" style="1612" bestFit="1" customWidth="1"/>
    <col min="4358" max="4358" width="12.6640625" style="1612" bestFit="1" customWidth="1"/>
    <col min="4359" max="4609" width="9.33203125" style="1612"/>
    <col min="4610" max="4610" width="12.5" style="1612" bestFit="1" customWidth="1"/>
    <col min="4611" max="4611" width="21.1640625" style="1612" bestFit="1" customWidth="1"/>
    <col min="4612" max="4612" width="19.33203125" style="1612" bestFit="1" customWidth="1"/>
    <col min="4613" max="4613" width="18.33203125" style="1612" bestFit="1" customWidth="1"/>
    <col min="4614" max="4614" width="12.6640625" style="1612" bestFit="1" customWidth="1"/>
    <col min="4615" max="4865" width="9.33203125" style="1612"/>
    <col min="4866" max="4866" width="12.5" style="1612" bestFit="1" customWidth="1"/>
    <col min="4867" max="4867" width="21.1640625" style="1612" bestFit="1" customWidth="1"/>
    <col min="4868" max="4868" width="19.33203125" style="1612" bestFit="1" customWidth="1"/>
    <col min="4869" max="4869" width="18.33203125" style="1612" bestFit="1" customWidth="1"/>
    <col min="4870" max="4870" width="12.6640625" style="1612" bestFit="1" customWidth="1"/>
    <col min="4871" max="5121" width="9.33203125" style="1612"/>
    <col min="5122" max="5122" width="12.5" style="1612" bestFit="1" customWidth="1"/>
    <col min="5123" max="5123" width="21.1640625" style="1612" bestFit="1" customWidth="1"/>
    <col min="5124" max="5124" width="19.33203125" style="1612" bestFit="1" customWidth="1"/>
    <col min="5125" max="5125" width="18.33203125" style="1612" bestFit="1" customWidth="1"/>
    <col min="5126" max="5126" width="12.6640625" style="1612" bestFit="1" customWidth="1"/>
    <col min="5127" max="5377" width="9.33203125" style="1612"/>
    <col min="5378" max="5378" width="12.5" style="1612" bestFit="1" customWidth="1"/>
    <col min="5379" max="5379" width="21.1640625" style="1612" bestFit="1" customWidth="1"/>
    <col min="5380" max="5380" width="19.33203125" style="1612" bestFit="1" customWidth="1"/>
    <col min="5381" max="5381" width="18.33203125" style="1612" bestFit="1" customWidth="1"/>
    <col min="5382" max="5382" width="12.6640625" style="1612" bestFit="1" customWidth="1"/>
    <col min="5383" max="5633" width="9.33203125" style="1612"/>
    <col min="5634" max="5634" width="12.5" style="1612" bestFit="1" customWidth="1"/>
    <col min="5635" max="5635" width="21.1640625" style="1612" bestFit="1" customWidth="1"/>
    <col min="5636" max="5636" width="19.33203125" style="1612" bestFit="1" customWidth="1"/>
    <col min="5637" max="5637" width="18.33203125" style="1612" bestFit="1" customWidth="1"/>
    <col min="5638" max="5638" width="12.6640625" style="1612" bestFit="1" customWidth="1"/>
    <col min="5639" max="5889" width="9.33203125" style="1612"/>
    <col min="5890" max="5890" width="12.5" style="1612" bestFit="1" customWidth="1"/>
    <col min="5891" max="5891" width="21.1640625" style="1612" bestFit="1" customWidth="1"/>
    <col min="5892" max="5892" width="19.33203125" style="1612" bestFit="1" customWidth="1"/>
    <col min="5893" max="5893" width="18.33203125" style="1612" bestFit="1" customWidth="1"/>
    <col min="5894" max="5894" width="12.6640625" style="1612" bestFit="1" customWidth="1"/>
    <col min="5895" max="6145" width="9.33203125" style="1612"/>
    <col min="6146" max="6146" width="12.5" style="1612" bestFit="1" customWidth="1"/>
    <col min="6147" max="6147" width="21.1640625" style="1612" bestFit="1" customWidth="1"/>
    <col min="6148" max="6148" width="19.33203125" style="1612" bestFit="1" customWidth="1"/>
    <col min="6149" max="6149" width="18.33203125" style="1612" bestFit="1" customWidth="1"/>
    <col min="6150" max="6150" width="12.6640625" style="1612" bestFit="1" customWidth="1"/>
    <col min="6151" max="6401" width="9.33203125" style="1612"/>
    <col min="6402" max="6402" width="12.5" style="1612" bestFit="1" customWidth="1"/>
    <col min="6403" max="6403" width="21.1640625" style="1612" bestFit="1" customWidth="1"/>
    <col min="6404" max="6404" width="19.33203125" style="1612" bestFit="1" customWidth="1"/>
    <col min="6405" max="6405" width="18.33203125" style="1612" bestFit="1" customWidth="1"/>
    <col min="6406" max="6406" width="12.6640625" style="1612" bestFit="1" customWidth="1"/>
    <col min="6407" max="6657" width="9.33203125" style="1612"/>
    <col min="6658" max="6658" width="12.5" style="1612" bestFit="1" customWidth="1"/>
    <col min="6659" max="6659" width="21.1640625" style="1612" bestFit="1" customWidth="1"/>
    <col min="6660" max="6660" width="19.33203125" style="1612" bestFit="1" customWidth="1"/>
    <col min="6661" max="6661" width="18.33203125" style="1612" bestFit="1" customWidth="1"/>
    <col min="6662" max="6662" width="12.6640625" style="1612" bestFit="1" customWidth="1"/>
    <col min="6663" max="6913" width="9.33203125" style="1612"/>
    <col min="6914" max="6914" width="12.5" style="1612" bestFit="1" customWidth="1"/>
    <col min="6915" max="6915" width="21.1640625" style="1612" bestFit="1" customWidth="1"/>
    <col min="6916" max="6916" width="19.33203125" style="1612" bestFit="1" customWidth="1"/>
    <col min="6917" max="6917" width="18.33203125" style="1612" bestFit="1" customWidth="1"/>
    <col min="6918" max="6918" width="12.6640625" style="1612" bestFit="1" customWidth="1"/>
    <col min="6919" max="7169" width="9.33203125" style="1612"/>
    <col min="7170" max="7170" width="12.5" style="1612" bestFit="1" customWidth="1"/>
    <col min="7171" max="7171" width="21.1640625" style="1612" bestFit="1" customWidth="1"/>
    <col min="7172" max="7172" width="19.33203125" style="1612" bestFit="1" customWidth="1"/>
    <col min="7173" max="7173" width="18.33203125" style="1612" bestFit="1" customWidth="1"/>
    <col min="7174" max="7174" width="12.6640625" style="1612" bestFit="1" customWidth="1"/>
    <col min="7175" max="7425" width="9.33203125" style="1612"/>
    <col min="7426" max="7426" width="12.5" style="1612" bestFit="1" customWidth="1"/>
    <col min="7427" max="7427" width="21.1640625" style="1612" bestFit="1" customWidth="1"/>
    <col min="7428" max="7428" width="19.33203125" style="1612" bestFit="1" customWidth="1"/>
    <col min="7429" max="7429" width="18.33203125" style="1612" bestFit="1" customWidth="1"/>
    <col min="7430" max="7430" width="12.6640625" style="1612" bestFit="1" customWidth="1"/>
    <col min="7431" max="7681" width="9.33203125" style="1612"/>
    <col min="7682" max="7682" width="12.5" style="1612" bestFit="1" customWidth="1"/>
    <col min="7683" max="7683" width="21.1640625" style="1612" bestFit="1" customWidth="1"/>
    <col min="7684" max="7684" width="19.33203125" style="1612" bestFit="1" customWidth="1"/>
    <col min="7685" max="7685" width="18.33203125" style="1612" bestFit="1" customWidth="1"/>
    <col min="7686" max="7686" width="12.6640625" style="1612" bestFit="1" customWidth="1"/>
    <col min="7687" max="7937" width="9.33203125" style="1612"/>
    <col min="7938" max="7938" width="12.5" style="1612" bestFit="1" customWidth="1"/>
    <col min="7939" max="7939" width="21.1640625" style="1612" bestFit="1" customWidth="1"/>
    <col min="7940" max="7940" width="19.33203125" style="1612" bestFit="1" customWidth="1"/>
    <col min="7941" max="7941" width="18.33203125" style="1612" bestFit="1" customWidth="1"/>
    <col min="7942" max="7942" width="12.6640625" style="1612" bestFit="1" customWidth="1"/>
    <col min="7943" max="8193" width="9.33203125" style="1612"/>
    <col min="8194" max="8194" width="12.5" style="1612" bestFit="1" customWidth="1"/>
    <col min="8195" max="8195" width="21.1640625" style="1612" bestFit="1" customWidth="1"/>
    <col min="8196" max="8196" width="19.33203125" style="1612" bestFit="1" customWidth="1"/>
    <col min="8197" max="8197" width="18.33203125" style="1612" bestFit="1" customWidth="1"/>
    <col min="8198" max="8198" width="12.6640625" style="1612" bestFit="1" customWidth="1"/>
    <col min="8199" max="8449" width="9.33203125" style="1612"/>
    <col min="8450" max="8450" width="12.5" style="1612" bestFit="1" customWidth="1"/>
    <col min="8451" max="8451" width="21.1640625" style="1612" bestFit="1" customWidth="1"/>
    <col min="8452" max="8452" width="19.33203125" style="1612" bestFit="1" customWidth="1"/>
    <col min="8453" max="8453" width="18.33203125" style="1612" bestFit="1" customWidth="1"/>
    <col min="8454" max="8454" width="12.6640625" style="1612" bestFit="1" customWidth="1"/>
    <col min="8455" max="8705" width="9.33203125" style="1612"/>
    <col min="8706" max="8706" width="12.5" style="1612" bestFit="1" customWidth="1"/>
    <col min="8707" max="8707" width="21.1640625" style="1612" bestFit="1" customWidth="1"/>
    <col min="8708" max="8708" width="19.33203125" style="1612" bestFit="1" customWidth="1"/>
    <col min="8709" max="8709" width="18.33203125" style="1612" bestFit="1" customWidth="1"/>
    <col min="8710" max="8710" width="12.6640625" style="1612" bestFit="1" customWidth="1"/>
    <col min="8711" max="8961" width="9.33203125" style="1612"/>
    <col min="8962" max="8962" width="12.5" style="1612" bestFit="1" customWidth="1"/>
    <col min="8963" max="8963" width="21.1640625" style="1612" bestFit="1" customWidth="1"/>
    <col min="8964" max="8964" width="19.33203125" style="1612" bestFit="1" customWidth="1"/>
    <col min="8965" max="8965" width="18.33203125" style="1612" bestFit="1" customWidth="1"/>
    <col min="8966" max="8966" width="12.6640625" style="1612" bestFit="1" customWidth="1"/>
    <col min="8967" max="9217" width="9.33203125" style="1612"/>
    <col min="9218" max="9218" width="12.5" style="1612" bestFit="1" customWidth="1"/>
    <col min="9219" max="9219" width="21.1640625" style="1612" bestFit="1" customWidth="1"/>
    <col min="9220" max="9220" width="19.33203125" style="1612" bestFit="1" customWidth="1"/>
    <col min="9221" max="9221" width="18.33203125" style="1612" bestFit="1" customWidth="1"/>
    <col min="9222" max="9222" width="12.6640625" style="1612" bestFit="1" customWidth="1"/>
    <col min="9223" max="9473" width="9.33203125" style="1612"/>
    <col min="9474" max="9474" width="12.5" style="1612" bestFit="1" customWidth="1"/>
    <col min="9475" max="9475" width="21.1640625" style="1612" bestFit="1" customWidth="1"/>
    <col min="9476" max="9476" width="19.33203125" style="1612" bestFit="1" customWidth="1"/>
    <col min="9477" max="9477" width="18.33203125" style="1612" bestFit="1" customWidth="1"/>
    <col min="9478" max="9478" width="12.6640625" style="1612" bestFit="1" customWidth="1"/>
    <col min="9479" max="9729" width="9.33203125" style="1612"/>
    <col min="9730" max="9730" width="12.5" style="1612" bestFit="1" customWidth="1"/>
    <col min="9731" max="9731" width="21.1640625" style="1612" bestFit="1" customWidth="1"/>
    <col min="9732" max="9732" width="19.33203125" style="1612" bestFit="1" customWidth="1"/>
    <col min="9733" max="9733" width="18.33203125" style="1612" bestFit="1" customWidth="1"/>
    <col min="9734" max="9734" width="12.6640625" style="1612" bestFit="1" customWidth="1"/>
    <col min="9735" max="9985" width="9.33203125" style="1612"/>
    <col min="9986" max="9986" width="12.5" style="1612" bestFit="1" customWidth="1"/>
    <col min="9987" max="9987" width="21.1640625" style="1612" bestFit="1" customWidth="1"/>
    <col min="9988" max="9988" width="19.33203125" style="1612" bestFit="1" customWidth="1"/>
    <col min="9989" max="9989" width="18.33203125" style="1612" bestFit="1" customWidth="1"/>
    <col min="9990" max="9990" width="12.6640625" style="1612" bestFit="1" customWidth="1"/>
    <col min="9991" max="10241" width="9.33203125" style="1612"/>
    <col min="10242" max="10242" width="12.5" style="1612" bestFit="1" customWidth="1"/>
    <col min="10243" max="10243" width="21.1640625" style="1612" bestFit="1" customWidth="1"/>
    <col min="10244" max="10244" width="19.33203125" style="1612" bestFit="1" customWidth="1"/>
    <col min="10245" max="10245" width="18.33203125" style="1612" bestFit="1" customWidth="1"/>
    <col min="10246" max="10246" width="12.6640625" style="1612" bestFit="1" customWidth="1"/>
    <col min="10247" max="10497" width="9.33203125" style="1612"/>
    <col min="10498" max="10498" width="12.5" style="1612" bestFit="1" customWidth="1"/>
    <col min="10499" max="10499" width="21.1640625" style="1612" bestFit="1" customWidth="1"/>
    <col min="10500" max="10500" width="19.33203125" style="1612" bestFit="1" customWidth="1"/>
    <col min="10501" max="10501" width="18.33203125" style="1612" bestFit="1" customWidth="1"/>
    <col min="10502" max="10502" width="12.6640625" style="1612" bestFit="1" customWidth="1"/>
    <col min="10503" max="10753" width="9.33203125" style="1612"/>
    <col min="10754" max="10754" width="12.5" style="1612" bestFit="1" customWidth="1"/>
    <col min="10755" max="10755" width="21.1640625" style="1612" bestFit="1" customWidth="1"/>
    <col min="10756" max="10756" width="19.33203125" style="1612" bestFit="1" customWidth="1"/>
    <col min="10757" max="10757" width="18.33203125" style="1612" bestFit="1" customWidth="1"/>
    <col min="10758" max="10758" width="12.6640625" style="1612" bestFit="1" customWidth="1"/>
    <col min="10759" max="11009" width="9.33203125" style="1612"/>
    <col min="11010" max="11010" width="12.5" style="1612" bestFit="1" customWidth="1"/>
    <col min="11011" max="11011" width="21.1640625" style="1612" bestFit="1" customWidth="1"/>
    <col min="11012" max="11012" width="19.33203125" style="1612" bestFit="1" customWidth="1"/>
    <col min="11013" max="11013" width="18.33203125" style="1612" bestFit="1" customWidth="1"/>
    <col min="11014" max="11014" width="12.6640625" style="1612" bestFit="1" customWidth="1"/>
    <col min="11015" max="11265" width="9.33203125" style="1612"/>
    <col min="11266" max="11266" width="12.5" style="1612" bestFit="1" customWidth="1"/>
    <col min="11267" max="11267" width="21.1640625" style="1612" bestFit="1" customWidth="1"/>
    <col min="11268" max="11268" width="19.33203125" style="1612" bestFit="1" customWidth="1"/>
    <col min="11269" max="11269" width="18.33203125" style="1612" bestFit="1" customWidth="1"/>
    <col min="11270" max="11270" width="12.6640625" style="1612" bestFit="1" customWidth="1"/>
    <col min="11271" max="11521" width="9.33203125" style="1612"/>
    <col min="11522" max="11522" width="12.5" style="1612" bestFit="1" customWidth="1"/>
    <col min="11523" max="11523" width="21.1640625" style="1612" bestFit="1" customWidth="1"/>
    <col min="11524" max="11524" width="19.33203125" style="1612" bestFit="1" customWidth="1"/>
    <col min="11525" max="11525" width="18.33203125" style="1612" bestFit="1" customWidth="1"/>
    <col min="11526" max="11526" width="12.6640625" style="1612" bestFit="1" customWidth="1"/>
    <col min="11527" max="11777" width="9.33203125" style="1612"/>
    <col min="11778" max="11778" width="12.5" style="1612" bestFit="1" customWidth="1"/>
    <col min="11779" max="11779" width="21.1640625" style="1612" bestFit="1" customWidth="1"/>
    <col min="11780" max="11780" width="19.33203125" style="1612" bestFit="1" customWidth="1"/>
    <col min="11781" max="11781" width="18.33203125" style="1612" bestFit="1" customWidth="1"/>
    <col min="11782" max="11782" width="12.6640625" style="1612" bestFit="1" customWidth="1"/>
    <col min="11783" max="12033" width="9.33203125" style="1612"/>
    <col min="12034" max="12034" width="12.5" style="1612" bestFit="1" customWidth="1"/>
    <col min="12035" max="12035" width="21.1640625" style="1612" bestFit="1" customWidth="1"/>
    <col min="12036" max="12036" width="19.33203125" style="1612" bestFit="1" customWidth="1"/>
    <col min="12037" max="12037" width="18.33203125" style="1612" bestFit="1" customWidth="1"/>
    <col min="12038" max="12038" width="12.6640625" style="1612" bestFit="1" customWidth="1"/>
    <col min="12039" max="12289" width="9.33203125" style="1612"/>
    <col min="12290" max="12290" width="12.5" style="1612" bestFit="1" customWidth="1"/>
    <col min="12291" max="12291" width="21.1640625" style="1612" bestFit="1" customWidth="1"/>
    <col min="12292" max="12292" width="19.33203125" style="1612" bestFit="1" customWidth="1"/>
    <col min="12293" max="12293" width="18.33203125" style="1612" bestFit="1" customWidth="1"/>
    <col min="12294" max="12294" width="12.6640625" style="1612" bestFit="1" customWidth="1"/>
    <col min="12295" max="12545" width="9.33203125" style="1612"/>
    <col min="12546" max="12546" width="12.5" style="1612" bestFit="1" customWidth="1"/>
    <col min="12547" max="12547" width="21.1640625" style="1612" bestFit="1" customWidth="1"/>
    <col min="12548" max="12548" width="19.33203125" style="1612" bestFit="1" customWidth="1"/>
    <col min="12549" max="12549" width="18.33203125" style="1612" bestFit="1" customWidth="1"/>
    <col min="12550" max="12550" width="12.6640625" style="1612" bestFit="1" customWidth="1"/>
    <col min="12551" max="12801" width="9.33203125" style="1612"/>
    <col min="12802" max="12802" width="12.5" style="1612" bestFit="1" customWidth="1"/>
    <col min="12803" max="12803" width="21.1640625" style="1612" bestFit="1" customWidth="1"/>
    <col min="12804" max="12804" width="19.33203125" style="1612" bestFit="1" customWidth="1"/>
    <col min="12805" max="12805" width="18.33203125" style="1612" bestFit="1" customWidth="1"/>
    <col min="12806" max="12806" width="12.6640625" style="1612" bestFit="1" customWidth="1"/>
    <col min="12807" max="13057" width="9.33203125" style="1612"/>
    <col min="13058" max="13058" width="12.5" style="1612" bestFit="1" customWidth="1"/>
    <col min="13059" max="13059" width="21.1640625" style="1612" bestFit="1" customWidth="1"/>
    <col min="13060" max="13060" width="19.33203125" style="1612" bestFit="1" customWidth="1"/>
    <col min="13061" max="13061" width="18.33203125" style="1612" bestFit="1" customWidth="1"/>
    <col min="13062" max="13062" width="12.6640625" style="1612" bestFit="1" customWidth="1"/>
    <col min="13063" max="13313" width="9.33203125" style="1612"/>
    <col min="13314" max="13314" width="12.5" style="1612" bestFit="1" customWidth="1"/>
    <col min="13315" max="13315" width="21.1640625" style="1612" bestFit="1" customWidth="1"/>
    <col min="13316" max="13316" width="19.33203125" style="1612" bestFit="1" customWidth="1"/>
    <col min="13317" max="13317" width="18.33203125" style="1612" bestFit="1" customWidth="1"/>
    <col min="13318" max="13318" width="12.6640625" style="1612" bestFit="1" customWidth="1"/>
    <col min="13319" max="13569" width="9.33203125" style="1612"/>
    <col min="13570" max="13570" width="12.5" style="1612" bestFit="1" customWidth="1"/>
    <col min="13571" max="13571" width="21.1640625" style="1612" bestFit="1" customWidth="1"/>
    <col min="13572" max="13572" width="19.33203125" style="1612" bestFit="1" customWidth="1"/>
    <col min="13573" max="13573" width="18.33203125" style="1612" bestFit="1" customWidth="1"/>
    <col min="13574" max="13574" width="12.6640625" style="1612" bestFit="1" customWidth="1"/>
    <col min="13575" max="13825" width="9.33203125" style="1612"/>
    <col min="13826" max="13826" width="12.5" style="1612" bestFit="1" customWidth="1"/>
    <col min="13827" max="13827" width="21.1640625" style="1612" bestFit="1" customWidth="1"/>
    <col min="13828" max="13828" width="19.33203125" style="1612" bestFit="1" customWidth="1"/>
    <col min="13829" max="13829" width="18.33203125" style="1612" bestFit="1" customWidth="1"/>
    <col min="13830" max="13830" width="12.6640625" style="1612" bestFit="1" customWidth="1"/>
    <col min="13831" max="14081" width="9.33203125" style="1612"/>
    <col min="14082" max="14082" width="12.5" style="1612" bestFit="1" customWidth="1"/>
    <col min="14083" max="14083" width="21.1640625" style="1612" bestFit="1" customWidth="1"/>
    <col min="14084" max="14084" width="19.33203125" style="1612" bestFit="1" customWidth="1"/>
    <col min="14085" max="14085" width="18.33203125" style="1612" bestFit="1" customWidth="1"/>
    <col min="14086" max="14086" width="12.6640625" style="1612" bestFit="1" customWidth="1"/>
    <col min="14087" max="14337" width="9.33203125" style="1612"/>
    <col min="14338" max="14338" width="12.5" style="1612" bestFit="1" customWidth="1"/>
    <col min="14339" max="14339" width="21.1640625" style="1612" bestFit="1" customWidth="1"/>
    <col min="14340" max="14340" width="19.33203125" style="1612" bestFit="1" customWidth="1"/>
    <col min="14341" max="14341" width="18.33203125" style="1612" bestFit="1" customWidth="1"/>
    <col min="14342" max="14342" width="12.6640625" style="1612" bestFit="1" customWidth="1"/>
    <col min="14343" max="14593" width="9.33203125" style="1612"/>
    <col min="14594" max="14594" width="12.5" style="1612" bestFit="1" customWidth="1"/>
    <col min="14595" max="14595" width="21.1640625" style="1612" bestFit="1" customWidth="1"/>
    <col min="14596" max="14596" width="19.33203125" style="1612" bestFit="1" customWidth="1"/>
    <col min="14597" max="14597" width="18.33203125" style="1612" bestFit="1" customWidth="1"/>
    <col min="14598" max="14598" width="12.6640625" style="1612" bestFit="1" customWidth="1"/>
    <col min="14599" max="14849" width="9.33203125" style="1612"/>
    <col min="14850" max="14850" width="12.5" style="1612" bestFit="1" customWidth="1"/>
    <col min="14851" max="14851" width="21.1640625" style="1612" bestFit="1" customWidth="1"/>
    <col min="14852" max="14852" width="19.33203125" style="1612" bestFit="1" customWidth="1"/>
    <col min="14853" max="14853" width="18.33203125" style="1612" bestFit="1" customWidth="1"/>
    <col min="14854" max="14854" width="12.6640625" style="1612" bestFit="1" customWidth="1"/>
    <col min="14855" max="15105" width="9.33203125" style="1612"/>
    <col min="15106" max="15106" width="12.5" style="1612" bestFit="1" customWidth="1"/>
    <col min="15107" max="15107" width="21.1640625" style="1612" bestFit="1" customWidth="1"/>
    <col min="15108" max="15108" width="19.33203125" style="1612" bestFit="1" customWidth="1"/>
    <col min="15109" max="15109" width="18.33203125" style="1612" bestFit="1" customWidth="1"/>
    <col min="15110" max="15110" width="12.6640625" style="1612" bestFit="1" customWidth="1"/>
    <col min="15111" max="15361" width="9.33203125" style="1612"/>
    <col min="15362" max="15362" width="12.5" style="1612" bestFit="1" customWidth="1"/>
    <col min="15363" max="15363" width="21.1640625" style="1612" bestFit="1" customWidth="1"/>
    <col min="15364" max="15364" width="19.33203125" style="1612" bestFit="1" customWidth="1"/>
    <col min="15365" max="15365" width="18.33203125" style="1612" bestFit="1" customWidth="1"/>
    <col min="15366" max="15366" width="12.6640625" style="1612" bestFit="1" customWidth="1"/>
    <col min="15367" max="15617" width="9.33203125" style="1612"/>
    <col min="15618" max="15618" width="12.5" style="1612" bestFit="1" customWidth="1"/>
    <col min="15619" max="15619" width="21.1640625" style="1612" bestFit="1" customWidth="1"/>
    <col min="15620" max="15620" width="19.33203125" style="1612" bestFit="1" customWidth="1"/>
    <col min="15621" max="15621" width="18.33203125" style="1612" bestFit="1" customWidth="1"/>
    <col min="15622" max="15622" width="12.6640625" style="1612" bestFit="1" customWidth="1"/>
    <col min="15623" max="15873" width="9.33203125" style="1612"/>
    <col min="15874" max="15874" width="12.5" style="1612" bestFit="1" customWidth="1"/>
    <col min="15875" max="15875" width="21.1640625" style="1612" bestFit="1" customWidth="1"/>
    <col min="15876" max="15876" width="19.33203125" style="1612" bestFit="1" customWidth="1"/>
    <col min="15877" max="15877" width="18.33203125" style="1612" bestFit="1" customWidth="1"/>
    <col min="15878" max="15878" width="12.6640625" style="1612" bestFit="1" customWidth="1"/>
    <col min="15879" max="16129" width="9.33203125" style="1612"/>
    <col min="16130" max="16130" width="12.5" style="1612" bestFit="1" customWidth="1"/>
    <col min="16131" max="16131" width="21.1640625" style="1612" bestFit="1" customWidth="1"/>
    <col min="16132" max="16132" width="19.33203125" style="1612" bestFit="1" customWidth="1"/>
    <col min="16133" max="16133" width="18.33203125" style="1612" bestFit="1" customWidth="1"/>
    <col min="16134" max="16134" width="12.6640625" style="1612" bestFit="1" customWidth="1"/>
    <col min="16135" max="16384" width="9.33203125" style="1612"/>
  </cols>
  <sheetData>
    <row r="2" spans="2:6">
      <c r="B2" s="1666" t="s">
        <v>2326</v>
      </c>
    </row>
    <row r="4" spans="2:6">
      <c r="B4" s="1667" t="s">
        <v>2327</v>
      </c>
      <c r="C4" s="1668" t="s">
        <v>2328</v>
      </c>
      <c r="D4" s="1669"/>
      <c r="E4" s="1669"/>
      <c r="F4" s="1670"/>
    </row>
    <row r="5" spans="2:6">
      <c r="B5" s="1667" t="s">
        <v>662</v>
      </c>
      <c r="C5" s="1671" t="s">
        <v>2329</v>
      </c>
      <c r="D5" s="1671" t="s">
        <v>2330</v>
      </c>
      <c r="E5" s="1671" t="s">
        <v>2331</v>
      </c>
      <c r="F5" s="1672" t="s">
        <v>1515</v>
      </c>
    </row>
    <row r="6" spans="2:6">
      <c r="B6" s="1667" t="s">
        <v>2332</v>
      </c>
      <c r="C6" s="1673">
        <v>8888156.1400000006</v>
      </c>
      <c r="D6" s="1644"/>
      <c r="E6" s="1674"/>
      <c r="F6" s="1675">
        <v>8888156.1400000006</v>
      </c>
    </row>
    <row r="7" spans="2:6">
      <c r="B7" s="1676" t="s">
        <v>2333</v>
      </c>
      <c r="D7" s="1677">
        <v>-385225.89999999938</v>
      </c>
      <c r="F7" s="1678">
        <v>-385225.89999999938</v>
      </c>
    </row>
    <row r="8" spans="2:6">
      <c r="B8" s="1676" t="s">
        <v>2334</v>
      </c>
      <c r="E8" s="1677">
        <v>23012.16</v>
      </c>
      <c r="F8" s="1678">
        <v>23012.16</v>
      </c>
    </row>
    <row r="9" spans="2:6">
      <c r="B9" s="1679" t="s">
        <v>1515</v>
      </c>
      <c r="C9" s="1680">
        <f>SUM(C6:C8)</f>
        <v>8888156.1400000006</v>
      </c>
      <c r="D9" s="1681">
        <f>SUM(D6:D8)</f>
        <v>-385225.89999999938</v>
      </c>
      <c r="E9" s="1681">
        <f>SUM(E6:E8)</f>
        <v>23012.16</v>
      </c>
      <c r="F9" s="2010">
        <f>SUM(F6:F8)</f>
        <v>8525942.4000000022</v>
      </c>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81"/>
  <sheetViews>
    <sheetView topLeftCell="A9" zoomScaleNormal="100" workbookViewId="0">
      <selection activeCell="E20" sqref="E20"/>
    </sheetView>
  </sheetViews>
  <sheetFormatPr defaultRowHeight="12.75"/>
  <cols>
    <col min="1" max="1" width="6.6640625" style="58" bestFit="1" customWidth="1"/>
    <col min="2" max="2" width="72.1640625" style="58" bestFit="1" customWidth="1"/>
    <col min="3" max="3" width="11.83203125" style="58" customWidth="1"/>
    <col min="4" max="4" width="18.6640625" style="58" customWidth="1"/>
    <col min="5" max="5" width="30.1640625" style="58" customWidth="1"/>
    <col min="6" max="256" width="9.33203125" style="58"/>
    <col min="257" max="257" width="6.6640625" style="58" bestFit="1" customWidth="1"/>
    <col min="258" max="258" width="72.1640625" style="58" bestFit="1" customWidth="1"/>
    <col min="259" max="259" width="11.83203125" style="58" customWidth="1"/>
    <col min="260" max="260" width="18.6640625" style="58" customWidth="1"/>
    <col min="261" max="261" width="30.1640625" style="58" customWidth="1"/>
    <col min="262" max="512" width="9.33203125" style="58"/>
    <col min="513" max="513" width="6.6640625" style="58" bestFit="1" customWidth="1"/>
    <col min="514" max="514" width="72.1640625" style="58" bestFit="1" customWidth="1"/>
    <col min="515" max="515" width="11.83203125" style="58" customWidth="1"/>
    <col min="516" max="516" width="18.6640625" style="58" customWidth="1"/>
    <col min="517" max="517" width="30.1640625" style="58" customWidth="1"/>
    <col min="518" max="768" width="9.33203125" style="58"/>
    <col min="769" max="769" width="6.6640625" style="58" bestFit="1" customWidth="1"/>
    <col min="770" max="770" width="72.1640625" style="58" bestFit="1" customWidth="1"/>
    <col min="771" max="771" width="11.83203125" style="58" customWidth="1"/>
    <col min="772" max="772" width="18.6640625" style="58" customWidth="1"/>
    <col min="773" max="773" width="30.1640625" style="58" customWidth="1"/>
    <col min="774" max="1024" width="9.33203125" style="58"/>
    <col min="1025" max="1025" width="6.6640625" style="58" bestFit="1" customWidth="1"/>
    <col min="1026" max="1026" width="72.1640625" style="58" bestFit="1" customWidth="1"/>
    <col min="1027" max="1027" width="11.83203125" style="58" customWidth="1"/>
    <col min="1028" max="1028" width="18.6640625" style="58" customWidth="1"/>
    <col min="1029" max="1029" width="30.1640625" style="58" customWidth="1"/>
    <col min="1030" max="1280" width="9.33203125" style="58"/>
    <col min="1281" max="1281" width="6.6640625" style="58" bestFit="1" customWidth="1"/>
    <col min="1282" max="1282" width="72.1640625" style="58" bestFit="1" customWidth="1"/>
    <col min="1283" max="1283" width="11.83203125" style="58" customWidth="1"/>
    <col min="1284" max="1284" width="18.6640625" style="58" customWidth="1"/>
    <col min="1285" max="1285" width="30.1640625" style="58" customWidth="1"/>
    <col min="1286" max="1536" width="9.33203125" style="58"/>
    <col min="1537" max="1537" width="6.6640625" style="58" bestFit="1" customWidth="1"/>
    <col min="1538" max="1538" width="72.1640625" style="58" bestFit="1" customWidth="1"/>
    <col min="1539" max="1539" width="11.83203125" style="58" customWidth="1"/>
    <col min="1540" max="1540" width="18.6640625" style="58" customWidth="1"/>
    <col min="1541" max="1541" width="30.1640625" style="58" customWidth="1"/>
    <col min="1542" max="1792" width="9.33203125" style="58"/>
    <col min="1793" max="1793" width="6.6640625" style="58" bestFit="1" customWidth="1"/>
    <col min="1794" max="1794" width="72.1640625" style="58" bestFit="1" customWidth="1"/>
    <col min="1795" max="1795" width="11.83203125" style="58" customWidth="1"/>
    <col min="1796" max="1796" width="18.6640625" style="58" customWidth="1"/>
    <col min="1797" max="1797" width="30.1640625" style="58" customWidth="1"/>
    <col min="1798" max="2048" width="9.33203125" style="58"/>
    <col min="2049" max="2049" width="6.6640625" style="58" bestFit="1" customWidth="1"/>
    <col min="2050" max="2050" width="72.1640625" style="58" bestFit="1" customWidth="1"/>
    <col min="2051" max="2051" width="11.83203125" style="58" customWidth="1"/>
    <col min="2052" max="2052" width="18.6640625" style="58" customWidth="1"/>
    <col min="2053" max="2053" width="30.1640625" style="58" customWidth="1"/>
    <col min="2054" max="2304" width="9.33203125" style="58"/>
    <col min="2305" max="2305" width="6.6640625" style="58" bestFit="1" customWidth="1"/>
    <col min="2306" max="2306" width="72.1640625" style="58" bestFit="1" customWidth="1"/>
    <col min="2307" max="2307" width="11.83203125" style="58" customWidth="1"/>
    <col min="2308" max="2308" width="18.6640625" style="58" customWidth="1"/>
    <col min="2309" max="2309" width="30.1640625" style="58" customWidth="1"/>
    <col min="2310" max="2560" width="9.33203125" style="58"/>
    <col min="2561" max="2561" width="6.6640625" style="58" bestFit="1" customWidth="1"/>
    <col min="2562" max="2562" width="72.1640625" style="58" bestFit="1" customWidth="1"/>
    <col min="2563" max="2563" width="11.83203125" style="58" customWidth="1"/>
    <col min="2564" max="2564" width="18.6640625" style="58" customWidth="1"/>
    <col min="2565" max="2565" width="30.1640625" style="58" customWidth="1"/>
    <col min="2566" max="2816" width="9.33203125" style="58"/>
    <col min="2817" max="2817" width="6.6640625" style="58" bestFit="1" customWidth="1"/>
    <col min="2818" max="2818" width="72.1640625" style="58" bestFit="1" customWidth="1"/>
    <col min="2819" max="2819" width="11.83203125" style="58" customWidth="1"/>
    <col min="2820" max="2820" width="18.6640625" style="58" customWidth="1"/>
    <col min="2821" max="2821" width="30.1640625" style="58" customWidth="1"/>
    <col min="2822" max="3072" width="9.33203125" style="58"/>
    <col min="3073" max="3073" width="6.6640625" style="58" bestFit="1" customWidth="1"/>
    <col min="3074" max="3074" width="72.1640625" style="58" bestFit="1" customWidth="1"/>
    <col min="3075" max="3075" width="11.83203125" style="58" customWidth="1"/>
    <col min="3076" max="3076" width="18.6640625" style="58" customWidth="1"/>
    <col min="3077" max="3077" width="30.1640625" style="58" customWidth="1"/>
    <col min="3078" max="3328" width="9.33203125" style="58"/>
    <col min="3329" max="3329" width="6.6640625" style="58" bestFit="1" customWidth="1"/>
    <col min="3330" max="3330" width="72.1640625" style="58" bestFit="1" customWidth="1"/>
    <col min="3331" max="3331" width="11.83203125" style="58" customWidth="1"/>
    <col min="3332" max="3332" width="18.6640625" style="58" customWidth="1"/>
    <col min="3333" max="3333" width="30.1640625" style="58" customWidth="1"/>
    <col min="3334" max="3584" width="9.33203125" style="58"/>
    <col min="3585" max="3585" width="6.6640625" style="58" bestFit="1" customWidth="1"/>
    <col min="3586" max="3586" width="72.1640625" style="58" bestFit="1" customWidth="1"/>
    <col min="3587" max="3587" width="11.83203125" style="58" customWidth="1"/>
    <col min="3588" max="3588" width="18.6640625" style="58" customWidth="1"/>
    <col min="3589" max="3589" width="30.1640625" style="58" customWidth="1"/>
    <col min="3590" max="3840" width="9.33203125" style="58"/>
    <col min="3841" max="3841" width="6.6640625" style="58" bestFit="1" customWidth="1"/>
    <col min="3842" max="3842" width="72.1640625" style="58" bestFit="1" customWidth="1"/>
    <col min="3843" max="3843" width="11.83203125" style="58" customWidth="1"/>
    <col min="3844" max="3844" width="18.6640625" style="58" customWidth="1"/>
    <col min="3845" max="3845" width="30.1640625" style="58" customWidth="1"/>
    <col min="3846" max="4096" width="9.33203125" style="58"/>
    <col min="4097" max="4097" width="6.6640625" style="58" bestFit="1" customWidth="1"/>
    <col min="4098" max="4098" width="72.1640625" style="58" bestFit="1" customWidth="1"/>
    <col min="4099" max="4099" width="11.83203125" style="58" customWidth="1"/>
    <col min="4100" max="4100" width="18.6640625" style="58" customWidth="1"/>
    <col min="4101" max="4101" width="30.1640625" style="58" customWidth="1"/>
    <col min="4102" max="4352" width="9.33203125" style="58"/>
    <col min="4353" max="4353" width="6.6640625" style="58" bestFit="1" customWidth="1"/>
    <col min="4354" max="4354" width="72.1640625" style="58" bestFit="1" customWidth="1"/>
    <col min="4355" max="4355" width="11.83203125" style="58" customWidth="1"/>
    <col min="4356" max="4356" width="18.6640625" style="58" customWidth="1"/>
    <col min="4357" max="4357" width="30.1640625" style="58" customWidth="1"/>
    <col min="4358" max="4608" width="9.33203125" style="58"/>
    <col min="4609" max="4609" width="6.6640625" style="58" bestFit="1" customWidth="1"/>
    <col min="4610" max="4610" width="72.1640625" style="58" bestFit="1" customWidth="1"/>
    <col min="4611" max="4611" width="11.83203125" style="58" customWidth="1"/>
    <col min="4612" max="4612" width="18.6640625" style="58" customWidth="1"/>
    <col min="4613" max="4613" width="30.1640625" style="58" customWidth="1"/>
    <col min="4614" max="4864" width="9.33203125" style="58"/>
    <col min="4865" max="4865" width="6.6640625" style="58" bestFit="1" customWidth="1"/>
    <col min="4866" max="4866" width="72.1640625" style="58" bestFit="1" customWidth="1"/>
    <col min="4867" max="4867" width="11.83203125" style="58" customWidth="1"/>
    <col min="4868" max="4868" width="18.6640625" style="58" customWidth="1"/>
    <col min="4869" max="4869" width="30.1640625" style="58" customWidth="1"/>
    <col min="4870" max="5120" width="9.33203125" style="58"/>
    <col min="5121" max="5121" width="6.6640625" style="58" bestFit="1" customWidth="1"/>
    <col min="5122" max="5122" width="72.1640625" style="58" bestFit="1" customWidth="1"/>
    <col min="5123" max="5123" width="11.83203125" style="58" customWidth="1"/>
    <col min="5124" max="5124" width="18.6640625" style="58" customWidth="1"/>
    <col min="5125" max="5125" width="30.1640625" style="58" customWidth="1"/>
    <col min="5126" max="5376" width="9.33203125" style="58"/>
    <col min="5377" max="5377" width="6.6640625" style="58" bestFit="1" customWidth="1"/>
    <col min="5378" max="5378" width="72.1640625" style="58" bestFit="1" customWidth="1"/>
    <col min="5379" max="5379" width="11.83203125" style="58" customWidth="1"/>
    <col min="5380" max="5380" width="18.6640625" style="58" customWidth="1"/>
    <col min="5381" max="5381" width="30.1640625" style="58" customWidth="1"/>
    <col min="5382" max="5632" width="9.33203125" style="58"/>
    <col min="5633" max="5633" width="6.6640625" style="58" bestFit="1" customWidth="1"/>
    <col min="5634" max="5634" width="72.1640625" style="58" bestFit="1" customWidth="1"/>
    <col min="5635" max="5635" width="11.83203125" style="58" customWidth="1"/>
    <col min="5636" max="5636" width="18.6640625" style="58" customWidth="1"/>
    <col min="5637" max="5637" width="30.1640625" style="58" customWidth="1"/>
    <col min="5638" max="5888" width="9.33203125" style="58"/>
    <col min="5889" max="5889" width="6.6640625" style="58" bestFit="1" customWidth="1"/>
    <col min="5890" max="5890" width="72.1640625" style="58" bestFit="1" customWidth="1"/>
    <col min="5891" max="5891" width="11.83203125" style="58" customWidth="1"/>
    <col min="5892" max="5892" width="18.6640625" style="58" customWidth="1"/>
    <col min="5893" max="5893" width="30.1640625" style="58" customWidth="1"/>
    <col min="5894" max="6144" width="9.33203125" style="58"/>
    <col min="6145" max="6145" width="6.6640625" style="58" bestFit="1" customWidth="1"/>
    <col min="6146" max="6146" width="72.1640625" style="58" bestFit="1" customWidth="1"/>
    <col min="6147" max="6147" width="11.83203125" style="58" customWidth="1"/>
    <col min="6148" max="6148" width="18.6640625" style="58" customWidth="1"/>
    <col min="6149" max="6149" width="30.1640625" style="58" customWidth="1"/>
    <col min="6150" max="6400" width="9.33203125" style="58"/>
    <col min="6401" max="6401" width="6.6640625" style="58" bestFit="1" customWidth="1"/>
    <col min="6402" max="6402" width="72.1640625" style="58" bestFit="1" customWidth="1"/>
    <col min="6403" max="6403" width="11.83203125" style="58" customWidth="1"/>
    <col min="6404" max="6404" width="18.6640625" style="58" customWidth="1"/>
    <col min="6405" max="6405" width="30.1640625" style="58" customWidth="1"/>
    <col min="6406" max="6656" width="9.33203125" style="58"/>
    <col min="6657" max="6657" width="6.6640625" style="58" bestFit="1" customWidth="1"/>
    <col min="6658" max="6658" width="72.1640625" style="58" bestFit="1" customWidth="1"/>
    <col min="6659" max="6659" width="11.83203125" style="58" customWidth="1"/>
    <col min="6660" max="6660" width="18.6640625" style="58" customWidth="1"/>
    <col min="6661" max="6661" width="30.1640625" style="58" customWidth="1"/>
    <col min="6662" max="6912" width="9.33203125" style="58"/>
    <col min="6913" max="6913" width="6.6640625" style="58" bestFit="1" customWidth="1"/>
    <col min="6914" max="6914" width="72.1640625" style="58" bestFit="1" customWidth="1"/>
    <col min="6915" max="6915" width="11.83203125" style="58" customWidth="1"/>
    <col min="6916" max="6916" width="18.6640625" style="58" customWidth="1"/>
    <col min="6917" max="6917" width="30.1640625" style="58" customWidth="1"/>
    <col min="6918" max="7168" width="9.33203125" style="58"/>
    <col min="7169" max="7169" width="6.6640625" style="58" bestFit="1" customWidth="1"/>
    <col min="7170" max="7170" width="72.1640625" style="58" bestFit="1" customWidth="1"/>
    <col min="7171" max="7171" width="11.83203125" style="58" customWidth="1"/>
    <col min="7172" max="7172" width="18.6640625" style="58" customWidth="1"/>
    <col min="7173" max="7173" width="30.1640625" style="58" customWidth="1"/>
    <col min="7174" max="7424" width="9.33203125" style="58"/>
    <col min="7425" max="7425" width="6.6640625" style="58" bestFit="1" customWidth="1"/>
    <col min="7426" max="7426" width="72.1640625" style="58" bestFit="1" customWidth="1"/>
    <col min="7427" max="7427" width="11.83203125" style="58" customWidth="1"/>
    <col min="7428" max="7428" width="18.6640625" style="58" customWidth="1"/>
    <col min="7429" max="7429" width="30.1640625" style="58" customWidth="1"/>
    <col min="7430" max="7680" width="9.33203125" style="58"/>
    <col min="7681" max="7681" width="6.6640625" style="58" bestFit="1" customWidth="1"/>
    <col min="7682" max="7682" width="72.1640625" style="58" bestFit="1" customWidth="1"/>
    <col min="7683" max="7683" width="11.83203125" style="58" customWidth="1"/>
    <col min="7684" max="7684" width="18.6640625" style="58" customWidth="1"/>
    <col min="7685" max="7685" width="30.1640625" style="58" customWidth="1"/>
    <col min="7686" max="7936" width="9.33203125" style="58"/>
    <col min="7937" max="7937" width="6.6640625" style="58" bestFit="1" customWidth="1"/>
    <col min="7938" max="7938" width="72.1640625" style="58" bestFit="1" customWidth="1"/>
    <col min="7939" max="7939" width="11.83203125" style="58" customWidth="1"/>
    <col min="7940" max="7940" width="18.6640625" style="58" customWidth="1"/>
    <col min="7941" max="7941" width="30.1640625" style="58" customWidth="1"/>
    <col min="7942" max="8192" width="9.33203125" style="58"/>
    <col min="8193" max="8193" width="6.6640625" style="58" bestFit="1" customWidth="1"/>
    <col min="8194" max="8194" width="72.1640625" style="58" bestFit="1" customWidth="1"/>
    <col min="8195" max="8195" width="11.83203125" style="58" customWidth="1"/>
    <col min="8196" max="8196" width="18.6640625" style="58" customWidth="1"/>
    <col min="8197" max="8197" width="30.1640625" style="58" customWidth="1"/>
    <col min="8198" max="8448" width="9.33203125" style="58"/>
    <col min="8449" max="8449" width="6.6640625" style="58" bestFit="1" customWidth="1"/>
    <col min="8450" max="8450" width="72.1640625" style="58" bestFit="1" customWidth="1"/>
    <col min="8451" max="8451" width="11.83203125" style="58" customWidth="1"/>
    <col min="8452" max="8452" width="18.6640625" style="58" customWidth="1"/>
    <col min="8453" max="8453" width="30.1640625" style="58" customWidth="1"/>
    <col min="8454" max="8704" width="9.33203125" style="58"/>
    <col min="8705" max="8705" width="6.6640625" style="58" bestFit="1" customWidth="1"/>
    <col min="8706" max="8706" width="72.1640625" style="58" bestFit="1" customWidth="1"/>
    <col min="8707" max="8707" width="11.83203125" style="58" customWidth="1"/>
    <col min="8708" max="8708" width="18.6640625" style="58" customWidth="1"/>
    <col min="8709" max="8709" width="30.1640625" style="58" customWidth="1"/>
    <col min="8710" max="8960" width="9.33203125" style="58"/>
    <col min="8961" max="8961" width="6.6640625" style="58" bestFit="1" customWidth="1"/>
    <col min="8962" max="8962" width="72.1640625" style="58" bestFit="1" customWidth="1"/>
    <col min="8963" max="8963" width="11.83203125" style="58" customWidth="1"/>
    <col min="8964" max="8964" width="18.6640625" style="58" customWidth="1"/>
    <col min="8965" max="8965" width="30.1640625" style="58" customWidth="1"/>
    <col min="8966" max="9216" width="9.33203125" style="58"/>
    <col min="9217" max="9217" width="6.6640625" style="58" bestFit="1" customWidth="1"/>
    <col min="9218" max="9218" width="72.1640625" style="58" bestFit="1" customWidth="1"/>
    <col min="9219" max="9219" width="11.83203125" style="58" customWidth="1"/>
    <col min="9220" max="9220" width="18.6640625" style="58" customWidth="1"/>
    <col min="9221" max="9221" width="30.1640625" style="58" customWidth="1"/>
    <col min="9222" max="9472" width="9.33203125" style="58"/>
    <col min="9473" max="9473" width="6.6640625" style="58" bestFit="1" customWidth="1"/>
    <col min="9474" max="9474" width="72.1640625" style="58" bestFit="1" customWidth="1"/>
    <col min="9475" max="9475" width="11.83203125" style="58" customWidth="1"/>
    <col min="9476" max="9476" width="18.6640625" style="58" customWidth="1"/>
    <col min="9477" max="9477" width="30.1640625" style="58" customWidth="1"/>
    <col min="9478" max="9728" width="9.33203125" style="58"/>
    <col min="9729" max="9729" width="6.6640625" style="58" bestFit="1" customWidth="1"/>
    <col min="9730" max="9730" width="72.1640625" style="58" bestFit="1" customWidth="1"/>
    <col min="9731" max="9731" width="11.83203125" style="58" customWidth="1"/>
    <col min="9732" max="9732" width="18.6640625" style="58" customWidth="1"/>
    <col min="9733" max="9733" width="30.1640625" style="58" customWidth="1"/>
    <col min="9734" max="9984" width="9.33203125" style="58"/>
    <col min="9985" max="9985" width="6.6640625" style="58" bestFit="1" customWidth="1"/>
    <col min="9986" max="9986" width="72.1640625" style="58" bestFit="1" customWidth="1"/>
    <col min="9987" max="9987" width="11.83203125" style="58" customWidth="1"/>
    <col min="9988" max="9988" width="18.6640625" style="58" customWidth="1"/>
    <col min="9989" max="9989" width="30.1640625" style="58" customWidth="1"/>
    <col min="9990" max="10240" width="9.33203125" style="58"/>
    <col min="10241" max="10241" width="6.6640625" style="58" bestFit="1" customWidth="1"/>
    <col min="10242" max="10242" width="72.1640625" style="58" bestFit="1" customWidth="1"/>
    <col min="10243" max="10243" width="11.83203125" style="58" customWidth="1"/>
    <col min="10244" max="10244" width="18.6640625" style="58" customWidth="1"/>
    <col min="10245" max="10245" width="30.1640625" style="58" customWidth="1"/>
    <col min="10246" max="10496" width="9.33203125" style="58"/>
    <col min="10497" max="10497" width="6.6640625" style="58" bestFit="1" customWidth="1"/>
    <col min="10498" max="10498" width="72.1640625" style="58" bestFit="1" customWidth="1"/>
    <col min="10499" max="10499" width="11.83203125" style="58" customWidth="1"/>
    <col min="10500" max="10500" width="18.6640625" style="58" customWidth="1"/>
    <col min="10501" max="10501" width="30.1640625" style="58" customWidth="1"/>
    <col min="10502" max="10752" width="9.33203125" style="58"/>
    <col min="10753" max="10753" width="6.6640625" style="58" bestFit="1" customWidth="1"/>
    <col min="10754" max="10754" width="72.1640625" style="58" bestFit="1" customWidth="1"/>
    <col min="10755" max="10755" width="11.83203125" style="58" customWidth="1"/>
    <col min="10756" max="10756" width="18.6640625" style="58" customWidth="1"/>
    <col min="10757" max="10757" width="30.1640625" style="58" customWidth="1"/>
    <col min="10758" max="11008" width="9.33203125" style="58"/>
    <col min="11009" max="11009" width="6.6640625" style="58" bestFit="1" customWidth="1"/>
    <col min="11010" max="11010" width="72.1640625" style="58" bestFit="1" customWidth="1"/>
    <col min="11011" max="11011" width="11.83203125" style="58" customWidth="1"/>
    <col min="11012" max="11012" width="18.6640625" style="58" customWidth="1"/>
    <col min="11013" max="11013" width="30.1640625" style="58" customWidth="1"/>
    <col min="11014" max="11264" width="9.33203125" style="58"/>
    <col min="11265" max="11265" width="6.6640625" style="58" bestFit="1" customWidth="1"/>
    <col min="11266" max="11266" width="72.1640625" style="58" bestFit="1" customWidth="1"/>
    <col min="11267" max="11267" width="11.83203125" style="58" customWidth="1"/>
    <col min="11268" max="11268" width="18.6640625" style="58" customWidth="1"/>
    <col min="11269" max="11269" width="30.1640625" style="58" customWidth="1"/>
    <col min="11270" max="11520" width="9.33203125" style="58"/>
    <col min="11521" max="11521" width="6.6640625" style="58" bestFit="1" customWidth="1"/>
    <col min="11522" max="11522" width="72.1640625" style="58" bestFit="1" customWidth="1"/>
    <col min="11523" max="11523" width="11.83203125" style="58" customWidth="1"/>
    <col min="11524" max="11524" width="18.6640625" style="58" customWidth="1"/>
    <col min="11525" max="11525" width="30.1640625" style="58" customWidth="1"/>
    <col min="11526" max="11776" width="9.33203125" style="58"/>
    <col min="11777" max="11777" width="6.6640625" style="58" bestFit="1" customWidth="1"/>
    <col min="11778" max="11778" width="72.1640625" style="58" bestFit="1" customWidth="1"/>
    <col min="11779" max="11779" width="11.83203125" style="58" customWidth="1"/>
    <col min="11780" max="11780" width="18.6640625" style="58" customWidth="1"/>
    <col min="11781" max="11781" width="30.1640625" style="58" customWidth="1"/>
    <col min="11782" max="12032" width="9.33203125" style="58"/>
    <col min="12033" max="12033" width="6.6640625" style="58" bestFit="1" customWidth="1"/>
    <col min="12034" max="12034" width="72.1640625" style="58" bestFit="1" customWidth="1"/>
    <col min="12035" max="12035" width="11.83203125" style="58" customWidth="1"/>
    <col min="12036" max="12036" width="18.6640625" style="58" customWidth="1"/>
    <col min="12037" max="12037" width="30.1640625" style="58" customWidth="1"/>
    <col min="12038" max="12288" width="9.33203125" style="58"/>
    <col min="12289" max="12289" width="6.6640625" style="58" bestFit="1" customWidth="1"/>
    <col min="12290" max="12290" width="72.1640625" style="58" bestFit="1" customWidth="1"/>
    <col min="12291" max="12291" width="11.83203125" style="58" customWidth="1"/>
    <col min="12292" max="12292" width="18.6640625" style="58" customWidth="1"/>
    <col min="12293" max="12293" width="30.1640625" style="58" customWidth="1"/>
    <col min="12294" max="12544" width="9.33203125" style="58"/>
    <col min="12545" max="12545" width="6.6640625" style="58" bestFit="1" customWidth="1"/>
    <col min="12546" max="12546" width="72.1640625" style="58" bestFit="1" customWidth="1"/>
    <col min="12547" max="12547" width="11.83203125" style="58" customWidth="1"/>
    <col min="12548" max="12548" width="18.6640625" style="58" customWidth="1"/>
    <col min="12549" max="12549" width="30.1640625" style="58" customWidth="1"/>
    <col min="12550" max="12800" width="9.33203125" style="58"/>
    <col min="12801" max="12801" width="6.6640625" style="58" bestFit="1" customWidth="1"/>
    <col min="12802" max="12802" width="72.1640625" style="58" bestFit="1" customWidth="1"/>
    <col min="12803" max="12803" width="11.83203125" style="58" customWidth="1"/>
    <col min="12804" max="12804" width="18.6640625" style="58" customWidth="1"/>
    <col min="12805" max="12805" width="30.1640625" style="58" customWidth="1"/>
    <col min="12806" max="13056" width="9.33203125" style="58"/>
    <col min="13057" max="13057" width="6.6640625" style="58" bestFit="1" customWidth="1"/>
    <col min="13058" max="13058" width="72.1640625" style="58" bestFit="1" customWidth="1"/>
    <col min="13059" max="13059" width="11.83203125" style="58" customWidth="1"/>
    <col min="13060" max="13060" width="18.6640625" style="58" customWidth="1"/>
    <col min="13061" max="13061" width="30.1640625" style="58" customWidth="1"/>
    <col min="13062" max="13312" width="9.33203125" style="58"/>
    <col min="13313" max="13313" width="6.6640625" style="58" bestFit="1" customWidth="1"/>
    <col min="13314" max="13314" width="72.1640625" style="58" bestFit="1" customWidth="1"/>
    <col min="13315" max="13315" width="11.83203125" style="58" customWidth="1"/>
    <col min="13316" max="13316" width="18.6640625" style="58" customWidth="1"/>
    <col min="13317" max="13317" width="30.1640625" style="58" customWidth="1"/>
    <col min="13318" max="13568" width="9.33203125" style="58"/>
    <col min="13569" max="13569" width="6.6640625" style="58" bestFit="1" customWidth="1"/>
    <col min="13570" max="13570" width="72.1640625" style="58" bestFit="1" customWidth="1"/>
    <col min="13571" max="13571" width="11.83203125" style="58" customWidth="1"/>
    <col min="13572" max="13572" width="18.6640625" style="58" customWidth="1"/>
    <col min="13573" max="13573" width="30.1640625" style="58" customWidth="1"/>
    <col min="13574" max="13824" width="9.33203125" style="58"/>
    <col min="13825" max="13825" width="6.6640625" style="58" bestFit="1" customWidth="1"/>
    <col min="13826" max="13826" width="72.1640625" style="58" bestFit="1" customWidth="1"/>
    <col min="13827" max="13827" width="11.83203125" style="58" customWidth="1"/>
    <col min="13828" max="13828" width="18.6640625" style="58" customWidth="1"/>
    <col min="13829" max="13829" width="30.1640625" style="58" customWidth="1"/>
    <col min="13830" max="14080" width="9.33203125" style="58"/>
    <col min="14081" max="14081" width="6.6640625" style="58" bestFit="1" customWidth="1"/>
    <col min="14082" max="14082" width="72.1640625" style="58" bestFit="1" customWidth="1"/>
    <col min="14083" max="14083" width="11.83203125" style="58" customWidth="1"/>
    <col min="14084" max="14084" width="18.6640625" style="58" customWidth="1"/>
    <col min="14085" max="14085" width="30.1640625" style="58" customWidth="1"/>
    <col min="14086" max="14336" width="9.33203125" style="58"/>
    <col min="14337" max="14337" width="6.6640625" style="58" bestFit="1" customWidth="1"/>
    <col min="14338" max="14338" width="72.1640625" style="58" bestFit="1" customWidth="1"/>
    <col min="14339" max="14339" width="11.83203125" style="58" customWidth="1"/>
    <col min="14340" max="14340" width="18.6640625" style="58" customWidth="1"/>
    <col min="14341" max="14341" width="30.1640625" style="58" customWidth="1"/>
    <col min="14342" max="14592" width="9.33203125" style="58"/>
    <col min="14593" max="14593" width="6.6640625" style="58" bestFit="1" customWidth="1"/>
    <col min="14594" max="14594" width="72.1640625" style="58" bestFit="1" customWidth="1"/>
    <col min="14595" max="14595" width="11.83203125" style="58" customWidth="1"/>
    <col min="14596" max="14596" width="18.6640625" style="58" customWidth="1"/>
    <col min="14597" max="14597" width="30.1640625" style="58" customWidth="1"/>
    <col min="14598" max="14848" width="9.33203125" style="58"/>
    <col min="14849" max="14849" width="6.6640625" style="58" bestFit="1" customWidth="1"/>
    <col min="14850" max="14850" width="72.1640625" style="58" bestFit="1" customWidth="1"/>
    <col min="14851" max="14851" width="11.83203125" style="58" customWidth="1"/>
    <col min="14852" max="14852" width="18.6640625" style="58" customWidth="1"/>
    <col min="14853" max="14853" width="30.1640625" style="58" customWidth="1"/>
    <col min="14854" max="15104" width="9.33203125" style="58"/>
    <col min="15105" max="15105" width="6.6640625" style="58" bestFit="1" customWidth="1"/>
    <col min="15106" max="15106" width="72.1640625" style="58" bestFit="1" customWidth="1"/>
    <col min="15107" max="15107" width="11.83203125" style="58" customWidth="1"/>
    <col min="15108" max="15108" width="18.6640625" style="58" customWidth="1"/>
    <col min="15109" max="15109" width="30.1640625" style="58" customWidth="1"/>
    <col min="15110" max="15360" width="9.33203125" style="58"/>
    <col min="15361" max="15361" width="6.6640625" style="58" bestFit="1" customWidth="1"/>
    <col min="15362" max="15362" width="72.1640625" style="58" bestFit="1" customWidth="1"/>
    <col min="15363" max="15363" width="11.83203125" style="58" customWidth="1"/>
    <col min="15364" max="15364" width="18.6640625" style="58" customWidth="1"/>
    <col min="15365" max="15365" width="30.1640625" style="58" customWidth="1"/>
    <col min="15366" max="15616" width="9.33203125" style="58"/>
    <col min="15617" max="15617" width="6.6640625" style="58" bestFit="1" customWidth="1"/>
    <col min="15618" max="15618" width="72.1640625" style="58" bestFit="1" customWidth="1"/>
    <col min="15619" max="15619" width="11.83203125" style="58" customWidth="1"/>
    <col min="15620" max="15620" width="18.6640625" style="58" customWidth="1"/>
    <col min="15621" max="15621" width="30.1640625" style="58" customWidth="1"/>
    <col min="15622" max="15872" width="9.33203125" style="58"/>
    <col min="15873" max="15873" width="6.6640625" style="58" bestFit="1" customWidth="1"/>
    <col min="15874" max="15874" width="72.1640625" style="58" bestFit="1" customWidth="1"/>
    <col min="15875" max="15875" width="11.83203125" style="58" customWidth="1"/>
    <col min="15876" max="15876" width="18.6640625" style="58" customWidth="1"/>
    <col min="15877" max="15877" width="30.1640625" style="58" customWidth="1"/>
    <col min="15878" max="16128" width="9.33203125" style="58"/>
    <col min="16129" max="16129" width="6.6640625" style="58" bestFit="1" customWidth="1"/>
    <col min="16130" max="16130" width="72.1640625" style="58" bestFit="1" customWidth="1"/>
    <col min="16131" max="16131" width="11.83203125" style="58" customWidth="1"/>
    <col min="16132" max="16132" width="18.6640625" style="58" customWidth="1"/>
    <col min="16133" max="16133" width="30.1640625" style="58" customWidth="1"/>
    <col min="16134" max="16384" width="9.33203125" style="58"/>
  </cols>
  <sheetData>
    <row r="1" spans="1:5">
      <c r="A1" s="1718"/>
      <c r="B1" s="1719"/>
      <c r="C1" s="1719"/>
      <c r="D1" s="1720"/>
      <c r="E1" s="1721"/>
    </row>
    <row r="2" spans="1:5">
      <c r="A2" s="1719"/>
      <c r="B2" s="1719"/>
      <c r="C2" s="1719"/>
      <c r="D2" s="1720"/>
      <c r="E2" s="1721" t="s">
        <v>2361</v>
      </c>
    </row>
    <row r="3" spans="1:5" ht="13.5" thickBot="1">
      <c r="A3" s="1721"/>
      <c r="B3" s="1721"/>
      <c r="C3" s="1721"/>
      <c r="D3" s="1720"/>
      <c r="E3" s="1722" t="s">
        <v>2362</v>
      </c>
    </row>
    <row r="4" spans="1:5" ht="13.5" thickBot="1">
      <c r="A4" s="1723"/>
      <c r="B4" s="1724"/>
      <c r="C4" s="1724"/>
      <c r="D4" s="1724"/>
      <c r="E4" s="1725" t="s">
        <v>2363</v>
      </c>
    </row>
    <row r="5" spans="1:5">
      <c r="A5" s="1723" t="s">
        <v>1109</v>
      </c>
      <c r="B5" s="1724"/>
      <c r="C5" s="1724"/>
      <c r="D5" s="1724"/>
      <c r="E5" s="1726"/>
    </row>
    <row r="6" spans="1:5">
      <c r="A6" s="1724" t="s">
        <v>245</v>
      </c>
      <c r="B6" s="1724"/>
      <c r="C6" s="1724"/>
      <c r="D6" s="1724"/>
      <c r="E6" s="1726"/>
    </row>
    <row r="7" spans="1:5">
      <c r="A7" s="1724" t="s">
        <v>447</v>
      </c>
      <c r="B7" s="1724"/>
      <c r="C7" s="1724"/>
      <c r="D7" s="1724"/>
      <c r="E7" s="1726"/>
    </row>
    <row r="8" spans="1:5">
      <c r="A8" s="1724" t="s">
        <v>502</v>
      </c>
      <c r="B8" s="1723"/>
      <c r="C8" s="1724"/>
      <c r="D8" s="1723"/>
      <c r="E8" s="1726"/>
    </row>
    <row r="9" spans="1:5">
      <c r="A9" s="1727"/>
      <c r="B9" s="1728"/>
      <c r="C9" s="1728"/>
      <c r="D9" s="1728"/>
      <c r="E9" s="1728"/>
    </row>
    <row r="10" spans="1:5">
      <c r="A10" s="1727" t="s">
        <v>24</v>
      </c>
      <c r="B10" s="1728"/>
      <c r="C10" s="1728"/>
      <c r="D10" s="1728"/>
      <c r="E10" s="1728"/>
    </row>
    <row r="11" spans="1:5">
      <c r="A11" s="1729" t="s">
        <v>38</v>
      </c>
      <c r="B11" s="1730" t="s">
        <v>39</v>
      </c>
      <c r="C11" s="1730"/>
      <c r="D11" s="1731" t="s">
        <v>42</v>
      </c>
      <c r="E11" s="1731"/>
    </row>
    <row r="12" spans="1:5">
      <c r="A12" s="1720"/>
      <c r="B12" s="1732"/>
      <c r="C12" s="1732"/>
      <c r="D12" s="1733"/>
      <c r="E12" s="1733"/>
    </row>
    <row r="13" spans="1:5">
      <c r="A13" s="1734">
        <v>1</v>
      </c>
      <c r="B13" s="1718" t="s">
        <v>233</v>
      </c>
      <c r="C13" s="1719"/>
      <c r="D13" s="1719"/>
      <c r="E13" s="1719"/>
    </row>
    <row r="14" spans="1:5">
      <c r="A14" s="1734">
        <f t="shared" ref="A14:A63" si="0">A13+1</f>
        <v>2</v>
      </c>
      <c r="B14" s="1735" t="s">
        <v>407</v>
      </c>
      <c r="C14" s="1736"/>
      <c r="D14" s="1737">
        <f>'6.02G - Revenue'!L26</f>
        <v>3273298.9931300431</v>
      </c>
      <c r="E14" s="1719"/>
    </row>
    <row r="15" spans="1:5">
      <c r="A15" s="1734">
        <f t="shared" si="0"/>
        <v>3</v>
      </c>
      <c r="B15" s="1738" t="s">
        <v>2364</v>
      </c>
      <c r="C15" s="1719"/>
      <c r="D15" s="1739">
        <f>'6.02G - Revenue'!N26</f>
        <v>18001388.606509957</v>
      </c>
      <c r="E15" s="1719"/>
    </row>
    <row r="16" spans="1:5">
      <c r="A16" s="1734">
        <f t="shared" si="0"/>
        <v>4</v>
      </c>
      <c r="B16" s="1740" t="s">
        <v>241</v>
      </c>
      <c r="C16" s="1719"/>
      <c r="D16" s="1739"/>
      <c r="E16" s="1719"/>
    </row>
    <row r="17" spans="1:6">
      <c r="A17" s="1734">
        <f t="shared" si="0"/>
        <v>5</v>
      </c>
      <c r="B17" s="1738" t="s">
        <v>242</v>
      </c>
      <c r="C17" s="1741"/>
      <c r="D17" s="1739">
        <f>'6.02G - Revenue'!F26</f>
        <v>-1206882.625</v>
      </c>
      <c r="E17" s="1719"/>
    </row>
    <row r="18" spans="1:6">
      <c r="A18" s="1734">
        <f t="shared" si="0"/>
        <v>6</v>
      </c>
      <c r="B18" s="1740" t="s">
        <v>467</v>
      </c>
      <c r="C18" s="1741"/>
      <c r="D18" s="1742"/>
      <c r="E18" s="1719"/>
    </row>
    <row r="19" spans="1:6" ht="15">
      <c r="A19" s="1734">
        <f t="shared" si="0"/>
        <v>7</v>
      </c>
      <c r="B19" s="1743" t="s">
        <v>517</v>
      </c>
      <c r="C19" s="1741"/>
      <c r="D19" s="1742">
        <f>'6.02G - Revenue'!M26</f>
        <v>-21345994.175970029</v>
      </c>
      <c r="E19" s="1719"/>
      <c r="F19" s="1744"/>
    </row>
    <row r="20" spans="1:6" ht="15">
      <c r="A20" s="1734">
        <f t="shared" si="0"/>
        <v>8</v>
      </c>
      <c r="B20" s="1738" t="s">
        <v>234</v>
      </c>
      <c r="C20" s="1741"/>
      <c r="D20" s="1742">
        <f>'6.02G - Revenue'!K26</f>
        <v>10634442.391596869</v>
      </c>
      <c r="E20" s="1719"/>
      <c r="F20" s="1744"/>
    </row>
    <row r="21" spans="1:6" ht="15">
      <c r="A21" s="1734">
        <f t="shared" si="0"/>
        <v>9</v>
      </c>
      <c r="B21" s="1738" t="s">
        <v>465</v>
      </c>
      <c r="C21" s="1741"/>
      <c r="D21" s="1742">
        <f>'6.02G - Revenue'!P26</f>
        <v>-1035101.1621047809</v>
      </c>
      <c r="E21" s="1719"/>
      <c r="F21" s="1744"/>
    </row>
    <row r="22" spans="1:6" ht="15">
      <c r="A22" s="1734">
        <f t="shared" si="0"/>
        <v>10</v>
      </c>
      <c r="B22" s="1738" t="s">
        <v>466</v>
      </c>
      <c r="C22" s="1741"/>
      <c r="D22" s="1742">
        <f>'6.02G - Revenue'!Q26</f>
        <v>-415904.39575929753</v>
      </c>
      <c r="E22" s="1719"/>
      <c r="F22" s="1744"/>
    </row>
    <row r="23" spans="1:6" ht="15">
      <c r="A23" s="1734">
        <f t="shared" si="0"/>
        <v>11</v>
      </c>
      <c r="B23" s="1738" t="s">
        <v>468</v>
      </c>
      <c r="C23" s="1741"/>
      <c r="D23" s="1742">
        <f>'6.02G - Revenue'!I26</f>
        <v>3430012.8529400015</v>
      </c>
      <c r="E23" s="1719"/>
      <c r="F23" s="1744"/>
    </row>
    <row r="24" spans="1:6">
      <c r="A24" s="1734">
        <f t="shared" si="0"/>
        <v>12</v>
      </c>
      <c r="B24" s="1738" t="s">
        <v>235</v>
      </c>
      <c r="C24" s="1741"/>
      <c r="D24" s="1742">
        <f>'6.02G - Revenue'!O26+'6.02G - Revenue'!S26</f>
        <v>16858.173290000064</v>
      </c>
      <c r="E24" s="1719"/>
    </row>
    <row r="25" spans="1:6">
      <c r="A25" s="1734">
        <f t="shared" si="0"/>
        <v>13</v>
      </c>
      <c r="B25" s="1745" t="s">
        <v>236</v>
      </c>
      <c r="C25" s="1719"/>
      <c r="D25" s="1746">
        <f>SUM(D14:D24)</f>
        <v>11352118.658632763</v>
      </c>
      <c r="E25" s="1719"/>
    </row>
    <row r="26" spans="1:6">
      <c r="A26" s="1734">
        <f t="shared" si="0"/>
        <v>14</v>
      </c>
      <c r="B26" s="1719"/>
      <c r="C26" s="1719"/>
      <c r="D26" s="1747"/>
      <c r="E26" s="1719"/>
    </row>
    <row r="27" spans="1:6">
      <c r="A27" s="1734">
        <f t="shared" si="0"/>
        <v>15</v>
      </c>
      <c r="B27" s="1718" t="s">
        <v>237</v>
      </c>
      <c r="C27" s="1719"/>
      <c r="D27" s="1719"/>
      <c r="E27" s="1748">
        <f>D25</f>
        <v>11352118.658632763</v>
      </c>
    </row>
    <row r="28" spans="1:6">
      <c r="A28" s="1734">
        <f t="shared" si="0"/>
        <v>16</v>
      </c>
      <c r="B28" s="1719"/>
      <c r="C28" s="1719"/>
      <c r="D28" s="1749"/>
      <c r="E28" s="1719"/>
    </row>
    <row r="29" spans="1:6">
      <c r="A29" s="1734">
        <f t="shared" si="0"/>
        <v>17</v>
      </c>
      <c r="B29" s="1750" t="s">
        <v>2</v>
      </c>
      <c r="C29" s="1719"/>
      <c r="D29" s="1736"/>
      <c r="E29" s="1719"/>
    </row>
    <row r="30" spans="1:6">
      <c r="A30" s="1734">
        <f t="shared" si="0"/>
        <v>18</v>
      </c>
      <c r="B30" s="1738" t="s">
        <v>238</v>
      </c>
      <c r="C30" s="1719"/>
      <c r="D30" s="1736"/>
      <c r="E30" s="1719"/>
    </row>
    <row r="31" spans="1:6">
      <c r="A31" s="1734">
        <f t="shared" si="0"/>
        <v>19</v>
      </c>
      <c r="B31" s="1751" t="s">
        <v>408</v>
      </c>
      <c r="C31" s="1719"/>
      <c r="D31" s="1752">
        <f>'6.02G - Revenue'!L30</f>
        <v>51274.660000000149</v>
      </c>
      <c r="E31" s="1719"/>
    </row>
    <row r="32" spans="1:6">
      <c r="A32" s="1734">
        <f t="shared" si="0"/>
        <v>20</v>
      </c>
      <c r="B32" s="1740" t="s">
        <v>2364</v>
      </c>
      <c r="C32" s="1719"/>
      <c r="D32" s="1739">
        <f>'6.02G - Revenue'!N30</f>
        <v>381349.90999999829</v>
      </c>
      <c r="E32" s="1719"/>
    </row>
    <row r="33" spans="1:5">
      <c r="A33" s="1734">
        <f t="shared" si="0"/>
        <v>21</v>
      </c>
      <c r="B33" s="1738" t="s">
        <v>2365</v>
      </c>
      <c r="C33" s="1736"/>
      <c r="D33" s="1742">
        <f>'6.02G - Revenue'!K30</f>
        <v>66948.070000001229</v>
      </c>
      <c r="E33" s="1749"/>
    </row>
    <row r="34" spans="1:5">
      <c r="A34" s="1734">
        <f t="shared" si="0"/>
        <v>22</v>
      </c>
      <c r="B34" s="1740" t="s">
        <v>2</v>
      </c>
      <c r="C34" s="1736"/>
      <c r="D34" s="1742"/>
      <c r="E34" s="1749"/>
    </row>
    <row r="35" spans="1:5">
      <c r="A35" s="1734">
        <f t="shared" si="0"/>
        <v>23</v>
      </c>
      <c r="B35" s="1745" t="s">
        <v>243</v>
      </c>
      <c r="C35" s="1736"/>
      <c r="D35" s="1753"/>
      <c r="E35" s="1749"/>
    </row>
    <row r="36" spans="1:5">
      <c r="A36" s="1734">
        <f t="shared" si="0"/>
        <v>24</v>
      </c>
      <c r="B36" s="1745" t="s">
        <v>244</v>
      </c>
      <c r="C36" s="1736"/>
      <c r="D36" s="1742">
        <f>'6.02G - Revenue'!F30</f>
        <v>1206882.625</v>
      </c>
      <c r="E36" s="1749"/>
    </row>
    <row r="37" spans="1:5">
      <c r="A37" s="1734">
        <f t="shared" si="0"/>
        <v>25</v>
      </c>
      <c r="B37" s="1719" t="s">
        <v>2366</v>
      </c>
      <c r="C37" s="1736"/>
      <c r="D37" s="1754">
        <f>'6.02G - Revenue'!T30</f>
        <v>-1130625</v>
      </c>
      <c r="E37" s="1753"/>
    </row>
    <row r="38" spans="1:5">
      <c r="A38" s="1734">
        <f t="shared" si="0"/>
        <v>26</v>
      </c>
      <c r="B38" s="1749"/>
      <c r="C38" s="1749"/>
      <c r="D38" s="1753"/>
      <c r="E38" s="1749"/>
    </row>
    <row r="39" spans="1:5">
      <c r="A39" s="1734">
        <f t="shared" si="0"/>
        <v>27</v>
      </c>
      <c r="B39" s="1718" t="s">
        <v>239</v>
      </c>
      <c r="C39" s="1749"/>
      <c r="D39" s="1755"/>
      <c r="E39" s="1754">
        <f>SUM(D31:D37)</f>
        <v>575830.26499999966</v>
      </c>
    </row>
    <row r="40" spans="1:5">
      <c r="A40" s="1734">
        <f t="shared" si="0"/>
        <v>28</v>
      </c>
      <c r="B40" s="1719"/>
      <c r="C40" s="1749"/>
      <c r="D40" s="1755"/>
      <c r="E40" s="1753"/>
    </row>
    <row r="41" spans="1:5">
      <c r="A41" s="1734">
        <f t="shared" si="0"/>
        <v>29</v>
      </c>
      <c r="B41" s="1718" t="s">
        <v>240</v>
      </c>
      <c r="C41" s="1749"/>
      <c r="D41" s="1755"/>
      <c r="E41" s="1753">
        <f>SUM(E27:E39)</f>
        <v>11927948.923632763</v>
      </c>
    </row>
    <row r="42" spans="1:5">
      <c r="A42" s="1734">
        <f t="shared" si="0"/>
        <v>30</v>
      </c>
      <c r="B42" s="1719" t="s">
        <v>246</v>
      </c>
      <c r="C42" s="1719"/>
      <c r="D42" s="1756" t="s">
        <v>18</v>
      </c>
      <c r="E42" s="1719"/>
    </row>
    <row r="43" spans="1:5">
      <c r="A43" s="1734">
        <f t="shared" si="0"/>
        <v>31</v>
      </c>
      <c r="B43" s="1738" t="s">
        <v>247</v>
      </c>
      <c r="C43" s="1719"/>
      <c r="D43" s="1756">
        <v>0</v>
      </c>
      <c r="E43" s="1719"/>
    </row>
    <row r="44" spans="1:5">
      <c r="A44" s="1734">
        <f t="shared" si="0"/>
        <v>32</v>
      </c>
      <c r="B44" s="1738" t="s">
        <v>242</v>
      </c>
      <c r="C44" s="1719"/>
      <c r="D44" s="1757">
        <v>0</v>
      </c>
      <c r="E44" s="1719"/>
    </row>
    <row r="45" spans="1:5">
      <c r="A45" s="1734">
        <f t="shared" si="0"/>
        <v>33</v>
      </c>
      <c r="B45" s="1740" t="s">
        <v>475</v>
      </c>
      <c r="C45" s="1719"/>
      <c r="D45" s="1758"/>
      <c r="E45" s="1719"/>
    </row>
    <row r="46" spans="1:5">
      <c r="A46" s="1734">
        <f t="shared" si="0"/>
        <v>34</v>
      </c>
      <c r="B46" s="1743" t="s">
        <v>518</v>
      </c>
      <c r="C46" s="1719"/>
      <c r="D46" s="1758">
        <f>'6.02G - Revenue'!M33</f>
        <v>-20443597.337499976</v>
      </c>
      <c r="E46" s="1719"/>
    </row>
    <row r="47" spans="1:5">
      <c r="A47" s="1734">
        <f t="shared" si="0"/>
        <v>35</v>
      </c>
      <c r="B47" s="1738" t="s">
        <v>519</v>
      </c>
      <c r="C47" s="1719"/>
      <c r="D47" s="1758">
        <f>'6.02G - Revenue'!K33</f>
        <v>6264490.2048597336</v>
      </c>
      <c r="E47" s="1719"/>
    </row>
    <row r="48" spans="1:5">
      <c r="A48" s="1734">
        <f t="shared" si="0"/>
        <v>36</v>
      </c>
      <c r="B48" s="1759" t="s">
        <v>465</v>
      </c>
      <c r="C48" s="1719"/>
      <c r="D48" s="1758">
        <f>'6.02G - Revenue'!P33</f>
        <v>-991036.41113688773</v>
      </c>
      <c r="E48" s="1719"/>
    </row>
    <row r="49" spans="1:5">
      <c r="A49" s="1734">
        <f t="shared" si="0"/>
        <v>37</v>
      </c>
      <c r="B49" s="1759" t="s">
        <v>466</v>
      </c>
      <c r="C49" s="1760"/>
      <c r="D49" s="1758">
        <f>'6.02G - Revenue'!Q33</f>
        <v>-39558.555377651472</v>
      </c>
      <c r="E49" s="1742"/>
    </row>
    <row r="50" spans="1:5">
      <c r="A50" s="1734">
        <f t="shared" si="0"/>
        <v>38</v>
      </c>
      <c r="B50" s="1759" t="s">
        <v>235</v>
      </c>
      <c r="C50" s="1760"/>
      <c r="D50" s="1757">
        <v>0</v>
      </c>
      <c r="E50" s="1742"/>
    </row>
    <row r="51" spans="1:5">
      <c r="A51" s="1734">
        <f t="shared" si="0"/>
        <v>39</v>
      </c>
      <c r="B51" s="1761" t="s">
        <v>338</v>
      </c>
      <c r="C51" s="1760"/>
      <c r="D51" s="1762"/>
      <c r="E51" s="1753">
        <f>SUM(D44:D50)</f>
        <v>-15209702.099154782</v>
      </c>
    </row>
    <row r="52" spans="1:5">
      <c r="A52" s="1734">
        <f t="shared" si="0"/>
        <v>40</v>
      </c>
      <c r="B52" s="1759"/>
      <c r="C52" s="1760"/>
      <c r="D52" s="1763"/>
      <c r="E52" s="1742"/>
    </row>
    <row r="53" spans="1:5">
      <c r="A53" s="1734">
        <f t="shared" si="0"/>
        <v>41</v>
      </c>
      <c r="B53" s="1764" t="s">
        <v>217</v>
      </c>
      <c r="C53" s="1719">
        <f>'Exhibit No._(CTM-2), Pg. 10-30'!D45</f>
        <v>3.4749999999999998E-3</v>
      </c>
      <c r="D53" s="1755">
        <f>E41*C53</f>
        <v>41449.622509623849</v>
      </c>
      <c r="E53" s="1742"/>
    </row>
    <row r="54" spans="1:5">
      <c r="A54" s="1734">
        <f t="shared" si="0"/>
        <v>42</v>
      </c>
      <c r="B54" s="1764" t="s">
        <v>218</v>
      </c>
      <c r="C54" s="1760">
        <f>'Exhibit No._(CTM-2), Pg. 10-30'!D46</f>
        <v>2E-3</v>
      </c>
      <c r="D54" s="1753">
        <f>E41*C54</f>
        <v>23855.897847265525</v>
      </c>
      <c r="E54" s="1742"/>
    </row>
    <row r="55" spans="1:5">
      <c r="A55" s="1734">
        <f t="shared" si="0"/>
        <v>43</v>
      </c>
      <c r="B55" s="1765" t="s">
        <v>219</v>
      </c>
      <c r="C55" s="1719"/>
      <c r="D55" s="1763"/>
      <c r="E55" s="1766">
        <f>E51+D53+D54</f>
        <v>-15144396.578797894</v>
      </c>
    </row>
    <row r="56" spans="1:5">
      <c r="A56" s="1734">
        <f t="shared" si="0"/>
        <v>44</v>
      </c>
      <c r="B56" s="1764"/>
      <c r="C56" s="1719"/>
      <c r="D56" s="1719"/>
      <c r="E56" s="1746"/>
    </row>
    <row r="57" spans="1:5">
      <c r="A57" s="1734">
        <f t="shared" si="0"/>
        <v>45</v>
      </c>
      <c r="B57" s="1764" t="s">
        <v>220</v>
      </c>
      <c r="C57" s="1719">
        <f>'Exhibit No._(CTM-2), Pg. 10-30'!D49</f>
        <v>3.8386000000000003E-2</v>
      </c>
      <c r="D57" s="1767">
        <f>E41*C57</f>
        <v>457866.24738256732</v>
      </c>
      <c r="E57" s="1766"/>
    </row>
    <row r="58" spans="1:5">
      <c r="A58" s="1734">
        <f t="shared" si="0"/>
        <v>46</v>
      </c>
      <c r="B58" s="1765"/>
      <c r="D58" s="1768"/>
      <c r="E58" s="1753"/>
    </row>
    <row r="59" spans="1:5">
      <c r="A59" s="1734">
        <f t="shared" si="0"/>
        <v>47</v>
      </c>
      <c r="B59" s="1769" t="s">
        <v>221</v>
      </c>
      <c r="C59" s="1719"/>
      <c r="D59" s="1767"/>
      <c r="E59" s="1770">
        <f>SUM(D57:D58)</f>
        <v>457866.24738256732</v>
      </c>
    </row>
    <row r="60" spans="1:5">
      <c r="A60" s="1734">
        <f t="shared" si="0"/>
        <v>48</v>
      </c>
      <c r="B60" s="1764"/>
      <c r="C60" s="1771"/>
      <c r="D60" s="1771"/>
      <c r="E60" s="1771"/>
    </row>
    <row r="61" spans="1:5">
      <c r="A61" s="1734">
        <f t="shared" si="0"/>
        <v>49</v>
      </c>
      <c r="B61" s="1764" t="s">
        <v>195</v>
      </c>
      <c r="C61" s="1772"/>
      <c r="D61" s="1755"/>
      <c r="E61" s="1766">
        <f>E41-E55-E59</f>
        <v>26614479.255048089</v>
      </c>
    </row>
    <row r="62" spans="1:5">
      <c r="A62" s="1734">
        <f t="shared" si="0"/>
        <v>50</v>
      </c>
      <c r="B62" s="1764" t="s">
        <v>67</v>
      </c>
      <c r="C62" s="1773">
        <f>'Exhibit No._(CTM-2), Pg. 10-30'!D54</f>
        <v>0.35</v>
      </c>
      <c r="D62" s="69"/>
      <c r="E62" s="1770">
        <f>ROUND(E61*C62,0)</f>
        <v>9315068</v>
      </c>
    </row>
    <row r="63" spans="1:5" ht="13.5" thickBot="1">
      <c r="A63" s="1734">
        <f t="shared" si="0"/>
        <v>51</v>
      </c>
      <c r="B63" s="1774" t="s">
        <v>74</v>
      </c>
      <c r="C63" s="69"/>
      <c r="D63" s="69"/>
      <c r="E63" s="1775">
        <f>E61-E62</f>
        <v>17299411.255048089</v>
      </c>
    </row>
    <row r="64" spans="1:5" ht="13.5" thickTop="1">
      <c r="A64" s="1776"/>
      <c r="C64" s="69"/>
      <c r="D64" s="69"/>
      <c r="E64" s="69"/>
    </row>
    <row r="65" spans="1:5">
      <c r="A65" s="1776"/>
      <c r="C65" s="69"/>
      <c r="D65" s="69"/>
      <c r="E65" s="69"/>
    </row>
    <row r="66" spans="1:5">
      <c r="A66" s="1776"/>
      <c r="C66" s="69"/>
      <c r="D66" s="69"/>
      <c r="E66" s="69"/>
    </row>
    <row r="67" spans="1:5">
      <c r="A67" s="1776"/>
    </row>
    <row r="68" spans="1:5">
      <c r="A68" s="1776"/>
    </row>
    <row r="69" spans="1:5">
      <c r="A69" s="1776"/>
    </row>
    <row r="70" spans="1:5">
      <c r="A70" s="1776"/>
    </row>
    <row r="71" spans="1:5">
      <c r="A71" s="1776"/>
    </row>
    <row r="72" spans="1:5">
      <c r="A72" s="1776"/>
    </row>
    <row r="73" spans="1:5">
      <c r="A73" s="1776"/>
    </row>
    <row r="74" spans="1:5">
      <c r="A74" s="1776"/>
    </row>
    <row r="75" spans="1:5">
      <c r="A75" s="1776"/>
    </row>
    <row r="76" spans="1:5">
      <c r="A76" s="1776"/>
    </row>
    <row r="77" spans="1:5">
      <c r="A77" s="1776"/>
    </row>
    <row r="78" spans="1:5">
      <c r="A78" s="1776"/>
    </row>
    <row r="79" spans="1:5">
      <c r="A79" s="1776"/>
    </row>
    <row r="80" spans="1:5">
      <c r="A80" s="1776"/>
    </row>
    <row r="81" spans="1:1">
      <c r="A81" s="1776"/>
    </row>
  </sheetData>
  <pageMargins left="0" right="0" top="0.5" bottom="0.5" header="0.3" footer="0.3"/>
  <pageSetup scale="8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I52"/>
  <sheetViews>
    <sheetView workbookViewId="0">
      <selection activeCell="A45" sqref="A45"/>
    </sheetView>
  </sheetViews>
  <sheetFormatPr defaultRowHeight="15"/>
  <cols>
    <col min="1" max="1" width="23.83203125" style="2112" customWidth="1"/>
    <col min="2" max="2" width="34.33203125" style="2112" customWidth="1"/>
    <col min="3" max="3" width="40.33203125" style="2112" customWidth="1"/>
    <col min="4" max="4" width="16" style="2112" bestFit="1" customWidth="1"/>
    <col min="5" max="5" width="114" style="2112" bestFit="1" customWidth="1"/>
    <col min="6" max="16384" width="9.33203125" style="2112"/>
  </cols>
  <sheetData>
    <row r="1" spans="1:9" ht="15.75">
      <c r="A1" s="2109" t="s">
        <v>266</v>
      </c>
      <c r="B1" s="2110"/>
      <c r="C1" s="2111"/>
      <c r="D1" s="2111"/>
      <c r="E1" s="2111"/>
      <c r="F1" s="2111"/>
      <c r="G1" s="2111"/>
      <c r="H1" s="2111"/>
      <c r="I1" s="2111"/>
    </row>
    <row r="2" spans="1:9" ht="15.75">
      <c r="A2" s="2109" t="s">
        <v>2597</v>
      </c>
      <c r="B2" s="2113"/>
      <c r="C2" s="2114"/>
      <c r="D2" s="2111"/>
      <c r="E2" s="2115"/>
      <c r="F2" s="2115"/>
      <c r="G2" s="2115"/>
      <c r="H2" s="2115"/>
      <c r="I2" s="2115"/>
    </row>
    <row r="3" spans="1:9" ht="15.75">
      <c r="A3" s="2116" t="s">
        <v>2598</v>
      </c>
      <c r="B3" s="2113"/>
      <c r="C3" s="2114"/>
      <c r="D3" s="2111"/>
      <c r="E3" s="2111"/>
      <c r="F3" s="2111"/>
      <c r="G3" s="2111"/>
      <c r="H3" s="2111"/>
      <c r="I3" s="2111"/>
    </row>
    <row r="4" spans="1:9" ht="15.75">
      <c r="A4" s="2116"/>
      <c r="B4" s="2113"/>
      <c r="C4" s="2114"/>
      <c r="D4" s="2111"/>
      <c r="E4" s="2111"/>
      <c r="F4" s="2111"/>
      <c r="G4" s="2111"/>
      <c r="H4" s="2111"/>
      <c r="I4" s="2111"/>
    </row>
    <row r="5" spans="1:9" ht="15.75">
      <c r="A5" s="2117" t="s">
        <v>2599</v>
      </c>
      <c r="B5" s="2113"/>
      <c r="C5" s="2114"/>
      <c r="D5" s="2111"/>
      <c r="E5" s="2111"/>
      <c r="F5" s="2111"/>
      <c r="G5" s="2111"/>
      <c r="H5" s="2111"/>
      <c r="I5" s="2111"/>
    </row>
    <row r="6" spans="1:9" ht="15.6" customHeight="1">
      <c r="A6" s="2111"/>
      <c r="B6" s="2118"/>
      <c r="C6" s="2111"/>
      <c r="D6" s="2119"/>
      <c r="E6" s="2111"/>
      <c r="F6" s="2111"/>
      <c r="G6" s="2111"/>
      <c r="H6" s="2111"/>
      <c r="I6" s="2111"/>
    </row>
    <row r="7" spans="1:9" ht="15.75">
      <c r="A7" s="2120"/>
      <c r="B7" s="2121"/>
      <c r="C7" s="2120"/>
      <c r="D7" s="2122"/>
      <c r="E7" s="2122"/>
      <c r="F7" s="2111"/>
      <c r="G7" s="2111"/>
      <c r="H7" s="2111"/>
      <c r="I7" s="2111"/>
    </row>
    <row r="8" spans="1:9" ht="15.75">
      <c r="A8" s="2123" t="s">
        <v>2543</v>
      </c>
      <c r="B8" s="2124" t="s">
        <v>2544</v>
      </c>
      <c r="C8" s="2124" t="s">
        <v>287</v>
      </c>
      <c r="D8" s="2124" t="s">
        <v>287</v>
      </c>
      <c r="E8" s="2124" t="s">
        <v>2600</v>
      </c>
      <c r="F8" s="2111"/>
      <c r="G8" s="2111"/>
      <c r="H8" s="2111"/>
      <c r="I8" s="2111"/>
    </row>
    <row r="9" spans="1:9" ht="15.75">
      <c r="A9" s="2125" t="s">
        <v>2547</v>
      </c>
      <c r="B9" s="2126" t="s">
        <v>2548</v>
      </c>
      <c r="C9" s="2126"/>
      <c r="D9" s="2126" t="s">
        <v>2549</v>
      </c>
      <c r="E9" s="2126"/>
      <c r="F9" s="2111"/>
      <c r="G9" s="2111"/>
      <c r="H9" s="2111"/>
      <c r="I9" s="2111"/>
    </row>
    <row r="10" spans="1:9" ht="15.75">
      <c r="A10" s="2127"/>
      <c r="B10" s="2128"/>
      <c r="C10" s="2128" t="s">
        <v>2552</v>
      </c>
      <c r="D10" s="2128"/>
      <c r="E10" s="2128"/>
      <c r="F10" s="2111"/>
      <c r="G10" s="2111"/>
      <c r="H10" s="2111"/>
      <c r="I10" s="2111"/>
    </row>
    <row r="11" spans="1:9" ht="15.75">
      <c r="A11" s="2127"/>
      <c r="B11" s="2128"/>
      <c r="C11" s="2129"/>
      <c r="D11" s="2128"/>
      <c r="E11" s="2128"/>
      <c r="F11" s="2111"/>
      <c r="G11" s="2111"/>
      <c r="H11" s="2111"/>
      <c r="I11" s="2111"/>
    </row>
    <row r="12" spans="1:9" ht="15.75">
      <c r="A12" s="2130" t="s">
        <v>2553</v>
      </c>
      <c r="B12" s="2128" t="s">
        <v>2554</v>
      </c>
      <c r="C12" s="2131" t="s">
        <v>556</v>
      </c>
      <c r="D12" s="2132">
        <v>5.01</v>
      </c>
      <c r="E12" s="2133" t="s">
        <v>2601</v>
      </c>
      <c r="F12" s="2111"/>
      <c r="G12" s="2111"/>
      <c r="H12" s="2111"/>
      <c r="I12" s="2111"/>
    </row>
    <row r="13" spans="1:9" ht="15.75">
      <c r="A13" s="2130" t="s">
        <v>2553</v>
      </c>
      <c r="B13" s="2128" t="s">
        <v>2602</v>
      </c>
      <c r="C13" s="2131" t="s">
        <v>2531</v>
      </c>
      <c r="D13" s="2132">
        <v>5.0199999999999996</v>
      </c>
      <c r="E13" s="2133" t="s">
        <v>2603</v>
      </c>
      <c r="F13" s="2111"/>
      <c r="G13" s="2111"/>
      <c r="H13" s="2111"/>
      <c r="I13" s="2111"/>
    </row>
    <row r="14" spans="1:9" ht="15.75">
      <c r="A14" s="2130" t="s">
        <v>2553</v>
      </c>
      <c r="B14" s="2128" t="s">
        <v>2555</v>
      </c>
      <c r="C14" s="2131" t="s">
        <v>2532</v>
      </c>
      <c r="D14" s="2132">
        <v>5.03</v>
      </c>
      <c r="E14" s="2133" t="s">
        <v>2601</v>
      </c>
      <c r="F14" s="2111"/>
      <c r="G14" s="2111"/>
      <c r="H14" s="2111"/>
      <c r="I14" s="2111"/>
    </row>
    <row r="15" spans="1:9" ht="15.75">
      <c r="A15" s="2130" t="s">
        <v>2556</v>
      </c>
      <c r="B15" s="2128" t="s">
        <v>2557</v>
      </c>
      <c r="C15" s="2131" t="s">
        <v>562</v>
      </c>
      <c r="D15" s="2132">
        <v>6.01</v>
      </c>
      <c r="E15" s="2133" t="s">
        <v>2601</v>
      </c>
      <c r="F15" s="2111"/>
      <c r="G15" s="2111"/>
      <c r="H15" s="2111"/>
      <c r="I15" s="2111"/>
    </row>
    <row r="16" spans="1:9" ht="15.75">
      <c r="A16" s="2130" t="s">
        <v>2558</v>
      </c>
      <c r="B16" s="2134" t="s">
        <v>2604</v>
      </c>
      <c r="C16" s="2131" t="s">
        <v>2533</v>
      </c>
      <c r="D16" s="2132">
        <v>6.02</v>
      </c>
      <c r="E16" s="2133" t="s">
        <v>2605</v>
      </c>
      <c r="F16" s="2111"/>
      <c r="G16" s="2111"/>
      <c r="H16" s="2111"/>
      <c r="I16" s="2111"/>
    </row>
    <row r="17" spans="1:9" ht="15.75">
      <c r="A17" s="2130" t="s">
        <v>2559</v>
      </c>
      <c r="B17" s="2134" t="s">
        <v>2555</v>
      </c>
      <c r="C17" s="2131" t="s">
        <v>2534</v>
      </c>
      <c r="D17" s="2132">
        <v>6.02</v>
      </c>
      <c r="E17" s="2133" t="s">
        <v>2601</v>
      </c>
      <c r="F17" s="2111"/>
      <c r="G17" s="2111"/>
      <c r="H17" s="2111"/>
      <c r="I17" s="2111"/>
    </row>
    <row r="18" spans="1:9" ht="15.75">
      <c r="A18" s="2130" t="s">
        <v>2559</v>
      </c>
      <c r="B18" s="2134" t="s">
        <v>2888</v>
      </c>
      <c r="C18" s="2131" t="s">
        <v>568</v>
      </c>
      <c r="D18" s="2132">
        <v>6.04</v>
      </c>
      <c r="E18" s="2133" t="s">
        <v>2606</v>
      </c>
      <c r="F18" s="2111"/>
      <c r="G18" s="2111"/>
      <c r="H18" s="2111"/>
      <c r="I18" s="2111"/>
    </row>
    <row r="19" spans="1:9" ht="15.75">
      <c r="A19" s="2130" t="s">
        <v>2558</v>
      </c>
      <c r="B19" s="2134" t="s">
        <v>2604</v>
      </c>
      <c r="C19" s="2131" t="s">
        <v>570</v>
      </c>
      <c r="D19" s="2132">
        <v>6.05</v>
      </c>
      <c r="E19" s="2133" t="s">
        <v>2607</v>
      </c>
      <c r="F19" s="2111"/>
      <c r="G19" s="2111"/>
      <c r="H19" s="2111"/>
      <c r="I19" s="2111"/>
    </row>
    <row r="20" spans="1:9" ht="15.75">
      <c r="A20" s="2130" t="s">
        <v>2558</v>
      </c>
      <c r="B20" s="2128" t="s">
        <v>2560</v>
      </c>
      <c r="C20" s="2131" t="s">
        <v>572</v>
      </c>
      <c r="D20" s="2132">
        <v>6.06</v>
      </c>
      <c r="E20" s="2133" t="s">
        <v>2601</v>
      </c>
      <c r="F20" s="2111"/>
      <c r="G20" s="2111"/>
      <c r="H20" s="2111"/>
      <c r="I20" s="2111"/>
    </row>
    <row r="21" spans="1:9" ht="15.75">
      <c r="A21" s="2130" t="s">
        <v>2553</v>
      </c>
      <c r="B21" s="2128" t="s">
        <v>2554</v>
      </c>
      <c r="C21" s="2131" t="s">
        <v>574</v>
      </c>
      <c r="D21" s="2132">
        <v>6.07</v>
      </c>
      <c r="E21" s="2133" t="s">
        <v>2601</v>
      </c>
      <c r="F21" s="2111"/>
      <c r="G21" s="2111"/>
      <c r="H21" s="2111"/>
      <c r="I21" s="2111"/>
    </row>
    <row r="22" spans="1:9" ht="15.75">
      <c r="A22" s="2130" t="s">
        <v>2553</v>
      </c>
      <c r="B22" s="2128" t="s">
        <v>2554</v>
      </c>
      <c r="C22" s="2131" t="s">
        <v>2535</v>
      </c>
      <c r="D22" s="2132">
        <v>6.08</v>
      </c>
      <c r="E22" s="2133" t="s">
        <v>2601</v>
      </c>
      <c r="F22" s="2111"/>
      <c r="G22" s="2111"/>
      <c r="H22" s="2111"/>
      <c r="I22" s="2111"/>
    </row>
    <row r="23" spans="1:9" ht="15.75">
      <c r="A23" s="2130" t="s">
        <v>2558</v>
      </c>
      <c r="B23" s="2134" t="s">
        <v>2555</v>
      </c>
      <c r="C23" s="2131" t="s">
        <v>2536</v>
      </c>
      <c r="D23" s="2132">
        <v>6.09</v>
      </c>
      <c r="E23" s="2133" t="s">
        <v>2608</v>
      </c>
      <c r="F23" s="2111"/>
      <c r="G23" s="2111"/>
      <c r="H23" s="2111"/>
      <c r="I23" s="2111"/>
    </row>
    <row r="24" spans="1:9" ht="15.75">
      <c r="A24" s="2130" t="s">
        <v>2558</v>
      </c>
      <c r="B24" s="2134" t="s">
        <v>2561</v>
      </c>
      <c r="C24" s="2131" t="s">
        <v>580</v>
      </c>
      <c r="D24" s="2132">
        <v>6.1</v>
      </c>
      <c r="E24" s="2133" t="s">
        <v>2601</v>
      </c>
      <c r="F24" s="2111"/>
      <c r="G24" s="2111"/>
      <c r="H24" s="2111"/>
      <c r="I24" s="2111"/>
    </row>
    <row r="25" spans="1:9" ht="15.75">
      <c r="A25" s="2130" t="s">
        <v>2562</v>
      </c>
      <c r="B25" s="2134" t="s">
        <v>2554</v>
      </c>
      <c r="C25" s="2131" t="s">
        <v>582</v>
      </c>
      <c r="D25" s="2132">
        <v>6.11</v>
      </c>
      <c r="E25" s="2133" t="s">
        <v>2601</v>
      </c>
      <c r="F25" s="2111"/>
      <c r="G25" s="2111"/>
      <c r="H25" s="2111"/>
      <c r="I25" s="2111"/>
    </row>
    <row r="26" spans="1:9" ht="15.75">
      <c r="A26" s="2130" t="s">
        <v>2553</v>
      </c>
      <c r="B26" s="2134" t="s">
        <v>2555</v>
      </c>
      <c r="C26" s="2131" t="s">
        <v>584</v>
      </c>
      <c r="D26" s="2132">
        <v>6.12</v>
      </c>
      <c r="E26" s="2133" t="s">
        <v>2608</v>
      </c>
      <c r="F26" s="2111"/>
      <c r="G26" s="2111"/>
      <c r="H26" s="2111"/>
      <c r="I26" s="2111"/>
    </row>
    <row r="27" spans="1:9" ht="15.75">
      <c r="A27" s="2130" t="s">
        <v>2553</v>
      </c>
      <c r="B27" s="2134" t="s">
        <v>2561</v>
      </c>
      <c r="C27" s="2131" t="s">
        <v>586</v>
      </c>
      <c r="D27" s="2132">
        <v>6.13</v>
      </c>
      <c r="E27" s="2133" t="s">
        <v>2601</v>
      </c>
      <c r="F27" s="2111"/>
      <c r="G27" s="2111"/>
      <c r="H27" s="2111"/>
      <c r="I27" s="2111"/>
    </row>
    <row r="28" spans="1:9" ht="15.75">
      <c r="A28" s="2130" t="s">
        <v>2553</v>
      </c>
      <c r="B28" s="2134" t="s">
        <v>2555</v>
      </c>
      <c r="C28" s="2131" t="s">
        <v>588</v>
      </c>
      <c r="D28" s="2132">
        <v>6.14</v>
      </c>
      <c r="E28" s="2133" t="s">
        <v>2608</v>
      </c>
      <c r="F28" s="2111"/>
      <c r="G28" s="2111"/>
      <c r="H28" s="2111"/>
      <c r="I28" s="2111"/>
    </row>
    <row r="29" spans="1:9" ht="15.75">
      <c r="A29" s="2130" t="s">
        <v>2558</v>
      </c>
      <c r="B29" s="2134" t="s">
        <v>2554</v>
      </c>
      <c r="C29" s="2131" t="s">
        <v>2537</v>
      </c>
      <c r="D29" s="2132">
        <v>6.15</v>
      </c>
      <c r="E29" s="2133" t="s">
        <v>2609</v>
      </c>
      <c r="F29" s="2111"/>
      <c r="G29" s="2111"/>
      <c r="H29" s="2111"/>
      <c r="I29" s="2111"/>
    </row>
    <row r="30" spans="1:9" ht="15.75">
      <c r="A30" s="2130" t="s">
        <v>2553</v>
      </c>
      <c r="B30" s="2134" t="s">
        <v>2554</v>
      </c>
      <c r="C30" s="2131" t="s">
        <v>2538</v>
      </c>
      <c r="D30" s="2132">
        <v>6.16</v>
      </c>
      <c r="E30" s="2133" t="s">
        <v>2601</v>
      </c>
      <c r="F30" s="2111"/>
      <c r="G30" s="2111"/>
      <c r="H30" s="2111"/>
      <c r="I30" s="2111"/>
    </row>
    <row r="31" spans="1:9" ht="15.75">
      <c r="A31" s="2130" t="s">
        <v>2553</v>
      </c>
      <c r="B31" s="2134" t="s">
        <v>2554</v>
      </c>
      <c r="C31" s="2131" t="s">
        <v>2539</v>
      </c>
      <c r="D31" s="2132">
        <v>6.17</v>
      </c>
      <c r="E31" s="2133" t="s">
        <v>2601</v>
      </c>
      <c r="F31" s="2111"/>
      <c r="G31" s="2111"/>
      <c r="H31" s="2111"/>
      <c r="I31" s="2111"/>
    </row>
    <row r="32" spans="1:9" ht="15.75">
      <c r="A32" s="2130" t="s">
        <v>2563</v>
      </c>
      <c r="B32" s="2134" t="s">
        <v>2561</v>
      </c>
      <c r="C32" s="2131" t="s">
        <v>596</v>
      </c>
      <c r="D32" s="2132">
        <v>6.18</v>
      </c>
      <c r="E32" s="2133" t="s">
        <v>2608</v>
      </c>
      <c r="F32" s="2111"/>
      <c r="G32" s="2111"/>
      <c r="H32" s="2111"/>
      <c r="I32" s="2111"/>
    </row>
    <row r="33" spans="1:9" ht="15.75">
      <c r="A33" s="2130" t="s">
        <v>2564</v>
      </c>
      <c r="B33" s="2134" t="s">
        <v>2561</v>
      </c>
      <c r="C33" s="2131" t="s">
        <v>598</v>
      </c>
      <c r="D33" s="2132">
        <v>6.19</v>
      </c>
      <c r="E33" s="2133" t="s">
        <v>2601</v>
      </c>
      <c r="F33" s="2111"/>
      <c r="G33" s="2111"/>
      <c r="H33" s="2111"/>
      <c r="I33" s="2111"/>
    </row>
    <row r="34" spans="1:9" ht="15.75">
      <c r="A34" s="2130" t="s">
        <v>2564</v>
      </c>
      <c r="B34" s="2134" t="s">
        <v>2561</v>
      </c>
      <c r="C34" s="2131" t="s">
        <v>600</v>
      </c>
      <c r="D34" s="2132">
        <v>6.2</v>
      </c>
      <c r="E34" s="2133" t="s">
        <v>2610</v>
      </c>
      <c r="F34" s="2111"/>
      <c r="G34" s="2111"/>
      <c r="H34" s="2111"/>
      <c r="I34" s="2111"/>
    </row>
    <row r="35" spans="1:9" ht="15.75">
      <c r="A35" s="2130" t="s">
        <v>2564</v>
      </c>
      <c r="B35" s="2134" t="s">
        <v>2561</v>
      </c>
      <c r="C35" s="2131" t="s">
        <v>602</v>
      </c>
      <c r="D35" s="2132">
        <v>6.21</v>
      </c>
      <c r="E35" s="2133" t="s">
        <v>2601</v>
      </c>
      <c r="F35" s="2111"/>
      <c r="G35" s="2111"/>
      <c r="H35" s="2111"/>
      <c r="I35" s="2111"/>
    </row>
    <row r="36" spans="1:9" ht="15.75">
      <c r="A36" s="2130"/>
      <c r="B36" s="2135"/>
      <c r="C36" s="2131" t="s">
        <v>279</v>
      </c>
      <c r="D36" s="2132"/>
      <c r="E36" s="2136"/>
      <c r="F36" s="2111"/>
      <c r="G36" s="2111"/>
      <c r="H36" s="2111"/>
      <c r="I36" s="2111"/>
    </row>
    <row r="37" spans="1:9" ht="15.75">
      <c r="A37" s="2137" t="s">
        <v>2565</v>
      </c>
      <c r="B37" s="2135" t="s">
        <v>2566</v>
      </c>
      <c r="C37" s="2137" t="s">
        <v>2567</v>
      </c>
      <c r="D37" s="2132"/>
      <c r="E37" s="2133" t="s">
        <v>2611</v>
      </c>
      <c r="F37" s="2111"/>
      <c r="G37" s="2111"/>
      <c r="H37" s="2111"/>
      <c r="I37" s="2111"/>
    </row>
    <row r="38" spans="1:9" ht="15.75">
      <c r="A38" s="2138" t="s">
        <v>2568</v>
      </c>
      <c r="B38" s="2135" t="s">
        <v>2612</v>
      </c>
      <c r="C38" s="2138" t="s">
        <v>2613</v>
      </c>
      <c r="D38" s="2132"/>
      <c r="E38" s="2133" t="s">
        <v>2614</v>
      </c>
      <c r="F38" s="2111"/>
      <c r="G38" s="2111"/>
      <c r="H38" s="2111"/>
      <c r="I38" s="2111"/>
    </row>
    <row r="39" spans="1:9" ht="15.75">
      <c r="A39" s="2138"/>
      <c r="B39" s="2135"/>
      <c r="C39" s="2138" t="s">
        <v>2615</v>
      </c>
      <c r="D39" s="2132"/>
      <c r="E39" s="2133" t="s">
        <v>2616</v>
      </c>
      <c r="F39" s="2111"/>
      <c r="G39" s="2111"/>
      <c r="H39" s="2111"/>
      <c r="I39" s="2111"/>
    </row>
    <row r="40" spans="1:9" ht="15.75">
      <c r="A40" s="2130" t="s">
        <v>2569</v>
      </c>
      <c r="B40" s="2129" t="s">
        <v>2570</v>
      </c>
      <c r="C40" s="2130" t="s">
        <v>2571</v>
      </c>
      <c r="D40" s="2132"/>
      <c r="E40" s="2133" t="s">
        <v>2617</v>
      </c>
      <c r="F40" s="2111"/>
      <c r="G40" s="2111"/>
      <c r="H40" s="2111"/>
      <c r="I40" s="2111"/>
    </row>
    <row r="41" spans="1:9" ht="15.75">
      <c r="A41" s="2130" t="s">
        <v>2572</v>
      </c>
      <c r="B41" s="2129" t="s">
        <v>2573</v>
      </c>
      <c r="C41" s="2130" t="s">
        <v>2574</v>
      </c>
      <c r="D41" s="2132"/>
      <c r="E41" s="2133"/>
      <c r="F41" s="2111"/>
      <c r="G41" s="2111"/>
      <c r="H41" s="2111"/>
      <c r="I41" s="2111"/>
    </row>
    <row r="42" spans="1:9" ht="15.75">
      <c r="A42" s="2130" t="s">
        <v>2562</v>
      </c>
      <c r="B42" s="2129" t="s">
        <v>2888</v>
      </c>
      <c r="C42" s="2130" t="s">
        <v>2575</v>
      </c>
      <c r="D42" s="2132"/>
      <c r="E42" s="2133"/>
      <c r="F42" s="2139"/>
      <c r="G42" s="2139"/>
      <c r="H42" s="2139"/>
      <c r="I42" s="2139"/>
    </row>
    <row r="43" spans="1:9" ht="15.75">
      <c r="A43" s="2130" t="s">
        <v>2562</v>
      </c>
      <c r="B43" s="2129" t="s">
        <v>2888</v>
      </c>
      <c r="C43" s="2130" t="s">
        <v>2576</v>
      </c>
      <c r="D43" s="2132"/>
      <c r="E43" s="2133"/>
      <c r="F43" s="2139"/>
      <c r="G43" s="2139"/>
      <c r="H43" s="2139"/>
      <c r="I43" s="2139"/>
    </row>
    <row r="44" spans="1:9" ht="15.75">
      <c r="A44" s="2130" t="s">
        <v>2562</v>
      </c>
      <c r="B44" s="2129" t="s">
        <v>2888</v>
      </c>
      <c r="C44" s="2130" t="s">
        <v>2577</v>
      </c>
      <c r="D44" s="2132"/>
      <c r="E44" s="2133"/>
      <c r="F44" s="2111"/>
      <c r="G44" s="2111"/>
      <c r="H44" s="2111"/>
      <c r="I44" s="2111"/>
    </row>
    <row r="45" spans="1:9" ht="15.75">
      <c r="A45" s="2130"/>
      <c r="B45" s="2129" t="s">
        <v>2566</v>
      </c>
      <c r="C45" s="2130" t="s">
        <v>2578</v>
      </c>
      <c r="D45" s="2132"/>
      <c r="E45" s="2133" t="s">
        <v>2618</v>
      </c>
      <c r="F45" s="2111"/>
      <c r="G45" s="2111"/>
      <c r="H45" s="2111"/>
      <c r="I45" s="2111"/>
    </row>
    <row r="46" spans="1:9" ht="15.75">
      <c r="A46" s="2130" t="s">
        <v>2579</v>
      </c>
      <c r="B46" s="2129" t="s">
        <v>2566</v>
      </c>
      <c r="C46" s="2130" t="s">
        <v>2580</v>
      </c>
      <c r="D46" s="2132"/>
      <c r="E46" s="2133" t="s">
        <v>2619</v>
      </c>
      <c r="F46" s="2111"/>
      <c r="G46" s="2111"/>
      <c r="H46" s="2111"/>
      <c r="I46" s="2111"/>
    </row>
    <row r="47" spans="1:9" ht="15.75">
      <c r="A47" s="2130"/>
      <c r="B47" s="2129" t="s">
        <v>2582</v>
      </c>
      <c r="C47" s="2130" t="s">
        <v>320</v>
      </c>
      <c r="D47" s="2132"/>
      <c r="E47" s="2133" t="s">
        <v>2620</v>
      </c>
      <c r="F47" s="2111"/>
      <c r="G47" s="2111"/>
      <c r="H47" s="2111"/>
      <c r="I47" s="2111"/>
    </row>
    <row r="48" spans="1:9" ht="15.75">
      <c r="A48" s="2130" t="s">
        <v>2581</v>
      </c>
      <c r="B48" s="2129" t="s">
        <v>2582</v>
      </c>
      <c r="C48" s="2130" t="s">
        <v>2583</v>
      </c>
      <c r="D48" s="2132"/>
      <c r="E48" s="2133" t="s">
        <v>2601</v>
      </c>
      <c r="F48" s="2111"/>
      <c r="G48" s="2111"/>
      <c r="H48" s="2111"/>
      <c r="I48" s="2111"/>
    </row>
    <row r="49" spans="1:9" ht="15.75">
      <c r="A49" s="2130"/>
      <c r="B49" s="2129" t="s">
        <v>2584</v>
      </c>
      <c r="C49" s="2130" t="s">
        <v>2585</v>
      </c>
      <c r="D49" s="2132"/>
      <c r="E49" s="2133" t="s">
        <v>2621</v>
      </c>
      <c r="F49" s="2111"/>
      <c r="G49" s="2111"/>
      <c r="H49" s="2111"/>
      <c r="I49" s="2111"/>
    </row>
    <row r="50" spans="1:9" ht="15.75">
      <c r="A50" s="2130" t="s">
        <v>2558</v>
      </c>
      <c r="B50" s="2129" t="s">
        <v>2584</v>
      </c>
      <c r="C50" s="2130" t="s">
        <v>2586</v>
      </c>
      <c r="D50" s="2132"/>
      <c r="E50" s="2133" t="s">
        <v>2622</v>
      </c>
      <c r="F50" s="2111"/>
      <c r="G50" s="2111"/>
      <c r="H50" s="2111"/>
      <c r="I50" s="2111"/>
    </row>
    <row r="51" spans="1:9" ht="15.75">
      <c r="A51" s="2130" t="s">
        <v>2587</v>
      </c>
      <c r="B51" s="2129" t="s">
        <v>2573</v>
      </c>
      <c r="C51" s="2130" t="s">
        <v>2588</v>
      </c>
      <c r="D51" s="2132"/>
      <c r="E51" s="2133"/>
      <c r="F51" s="2111"/>
      <c r="G51" s="2111"/>
      <c r="H51" s="2111"/>
      <c r="I51" s="2111"/>
    </row>
    <row r="52" spans="1:9" ht="15.75">
      <c r="A52" s="2130" t="s">
        <v>2581</v>
      </c>
      <c r="B52" s="2129" t="s">
        <v>2589</v>
      </c>
      <c r="C52" s="2130" t="s">
        <v>2590</v>
      </c>
      <c r="D52" s="2132"/>
      <c r="E52" s="2133" t="s">
        <v>2623</v>
      </c>
      <c r="F52" s="2111"/>
      <c r="G52" s="2111"/>
      <c r="H52" s="2111"/>
      <c r="I52" s="2111"/>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I52"/>
  <sheetViews>
    <sheetView zoomScaleNormal="100" workbookViewId="0">
      <selection activeCell="K35" sqref="K35"/>
    </sheetView>
  </sheetViews>
  <sheetFormatPr defaultRowHeight="12.75"/>
  <cols>
    <col min="1" max="1" width="2.83203125" style="58" customWidth="1"/>
    <col min="2" max="2" width="5.6640625" style="58" customWidth="1"/>
    <col min="3" max="3" width="45.6640625" style="58" customWidth="1"/>
    <col min="4" max="4" width="18" style="69" customWidth="1"/>
    <col min="5" max="5" width="17.33203125" style="58" bestFit="1" customWidth="1"/>
    <col min="6" max="6" width="15.6640625" style="58" bestFit="1" customWidth="1"/>
    <col min="7" max="7" width="16.33203125" style="58" bestFit="1" customWidth="1"/>
    <col min="8" max="8" width="14.6640625" style="58" customWidth="1"/>
    <col min="9" max="9" width="14.83203125" style="58" bestFit="1" customWidth="1"/>
    <col min="10" max="10" width="16" style="58" bestFit="1" customWidth="1"/>
    <col min="11" max="11" width="16.33203125" style="69" bestFit="1" customWidth="1"/>
    <col min="12" max="12" width="15.1640625" style="69" bestFit="1" customWidth="1"/>
    <col min="13" max="13" width="18.33203125" style="58" bestFit="1" customWidth="1"/>
    <col min="14" max="14" width="16" style="58" bestFit="1" customWidth="1"/>
    <col min="15" max="15" width="16" style="58" customWidth="1"/>
    <col min="16" max="16" width="16.5" style="69" bestFit="1" customWidth="1"/>
    <col min="17" max="17" width="13.6640625" style="69" customWidth="1"/>
    <col min="18" max="18" width="16.33203125" style="58" bestFit="1" customWidth="1"/>
    <col min="19" max="19" width="12.33203125" style="58" bestFit="1" customWidth="1"/>
    <col min="20" max="20" width="15.83203125" style="69" bestFit="1" customWidth="1"/>
    <col min="21" max="21" width="16.33203125" style="58" bestFit="1" customWidth="1"/>
    <col min="22" max="22" width="19.6640625" style="58" bestFit="1" customWidth="1"/>
    <col min="23" max="23" width="1.5" style="58" customWidth="1"/>
    <col min="24" max="24" width="1.1640625" style="68" customWidth="1"/>
    <col min="25" max="25" width="17" style="68" customWidth="1"/>
    <col min="26" max="26" width="18" style="68" bestFit="1" customWidth="1"/>
    <col min="27" max="27" width="17.33203125" style="68" bestFit="1" customWidth="1"/>
    <col min="28" max="28" width="15.6640625" style="68" bestFit="1" customWidth="1"/>
    <col min="29" max="29" width="12.83203125" style="68" customWidth="1"/>
    <col min="30" max="30" width="12.1640625" style="58" bestFit="1" customWidth="1"/>
    <col min="31" max="31" width="12.1640625" style="59" bestFit="1" customWidth="1"/>
    <col min="32" max="32" width="17.6640625" style="58" bestFit="1" customWidth="1"/>
    <col min="33" max="256" width="9.33203125" style="58"/>
    <col min="257" max="257" width="2.83203125" style="58" customWidth="1"/>
    <col min="258" max="258" width="5.6640625" style="58" customWidth="1"/>
    <col min="259" max="259" width="45.6640625" style="58" customWidth="1"/>
    <col min="260" max="260" width="18" style="58" customWidth="1"/>
    <col min="261" max="261" width="17.33203125" style="58" bestFit="1" customWidth="1"/>
    <col min="262" max="262" width="15.6640625" style="58" bestFit="1" customWidth="1"/>
    <col min="263" max="263" width="16.33203125" style="58" bestFit="1" customWidth="1"/>
    <col min="264" max="264" width="14.6640625" style="58" customWidth="1"/>
    <col min="265" max="265" width="14.83203125" style="58" bestFit="1" customWidth="1"/>
    <col min="266" max="266" width="16" style="58" bestFit="1" customWidth="1"/>
    <col min="267" max="267" width="16.33203125" style="58" bestFit="1" customWidth="1"/>
    <col min="268" max="268" width="15.1640625" style="58" bestFit="1" customWidth="1"/>
    <col min="269" max="269" width="17.1640625" style="58" bestFit="1" customWidth="1"/>
    <col min="270" max="270" width="16" style="58" bestFit="1" customWidth="1"/>
    <col min="271" max="271" width="16" style="58" customWidth="1"/>
    <col min="272" max="272" width="16.5" style="58" bestFit="1" customWidth="1"/>
    <col min="273" max="273" width="13.6640625" style="58" customWidth="1"/>
    <col min="274" max="274" width="16.33203125" style="58" bestFit="1" customWidth="1"/>
    <col min="275" max="275" width="12.33203125" style="58" bestFit="1" customWidth="1"/>
    <col min="276" max="276" width="15.83203125" style="58" bestFit="1" customWidth="1"/>
    <col min="277" max="277" width="16.33203125" style="58" bestFit="1" customWidth="1"/>
    <col min="278" max="278" width="19.6640625" style="58" bestFit="1" customWidth="1"/>
    <col min="279" max="279" width="1.5" style="58" customWidth="1"/>
    <col min="280" max="280" width="1.1640625" style="58" customWidth="1"/>
    <col min="281" max="281" width="17" style="58" customWidth="1"/>
    <col min="282" max="282" width="18" style="58" bestFit="1" customWidth="1"/>
    <col min="283" max="283" width="17.33203125" style="58" bestFit="1" customWidth="1"/>
    <col min="284" max="284" width="15.6640625" style="58" bestFit="1" customWidth="1"/>
    <col min="285" max="285" width="12.83203125" style="58" customWidth="1"/>
    <col min="286" max="287" width="12.1640625" style="58" bestFit="1" customWidth="1"/>
    <col min="288" max="288" width="17.6640625" style="58" bestFit="1" customWidth="1"/>
    <col min="289" max="512" width="9.33203125" style="58"/>
    <col min="513" max="513" width="2.83203125" style="58" customWidth="1"/>
    <col min="514" max="514" width="5.6640625" style="58" customWidth="1"/>
    <col min="515" max="515" width="45.6640625" style="58" customWidth="1"/>
    <col min="516" max="516" width="18" style="58" customWidth="1"/>
    <col min="517" max="517" width="17.33203125" style="58" bestFit="1" customWidth="1"/>
    <col min="518" max="518" width="15.6640625" style="58" bestFit="1" customWidth="1"/>
    <col min="519" max="519" width="16.33203125" style="58" bestFit="1" customWidth="1"/>
    <col min="520" max="520" width="14.6640625" style="58" customWidth="1"/>
    <col min="521" max="521" width="14.83203125" style="58" bestFit="1" customWidth="1"/>
    <col min="522" max="522" width="16" style="58" bestFit="1" customWidth="1"/>
    <col min="523" max="523" width="16.33203125" style="58" bestFit="1" customWidth="1"/>
    <col min="524" max="524" width="15.1640625" style="58" bestFit="1" customWidth="1"/>
    <col min="525" max="525" width="17.1640625" style="58" bestFit="1" customWidth="1"/>
    <col min="526" max="526" width="16" style="58" bestFit="1" customWidth="1"/>
    <col min="527" max="527" width="16" style="58" customWidth="1"/>
    <col min="528" max="528" width="16.5" style="58" bestFit="1" customWidth="1"/>
    <col min="529" max="529" width="13.6640625" style="58" customWidth="1"/>
    <col min="530" max="530" width="16.33203125" style="58" bestFit="1" customWidth="1"/>
    <col min="531" max="531" width="12.33203125" style="58" bestFit="1" customWidth="1"/>
    <col min="532" max="532" width="15.83203125" style="58" bestFit="1" customWidth="1"/>
    <col min="533" max="533" width="16.33203125" style="58" bestFit="1" customWidth="1"/>
    <col min="534" max="534" width="19.6640625" style="58" bestFit="1" customWidth="1"/>
    <col min="535" max="535" width="1.5" style="58" customWidth="1"/>
    <col min="536" max="536" width="1.1640625" style="58" customWidth="1"/>
    <col min="537" max="537" width="17" style="58" customWidth="1"/>
    <col min="538" max="538" width="18" style="58" bestFit="1" customWidth="1"/>
    <col min="539" max="539" width="17.33203125" style="58" bestFit="1" customWidth="1"/>
    <col min="540" max="540" width="15.6640625" style="58" bestFit="1" customWidth="1"/>
    <col min="541" max="541" width="12.83203125" style="58" customWidth="1"/>
    <col min="542" max="543" width="12.1640625" style="58" bestFit="1" customWidth="1"/>
    <col min="544" max="544" width="17.6640625" style="58" bestFit="1" customWidth="1"/>
    <col min="545" max="768" width="9.33203125" style="58"/>
    <col min="769" max="769" width="2.83203125" style="58" customWidth="1"/>
    <col min="770" max="770" width="5.6640625" style="58" customWidth="1"/>
    <col min="771" max="771" width="45.6640625" style="58" customWidth="1"/>
    <col min="772" max="772" width="18" style="58" customWidth="1"/>
    <col min="773" max="773" width="17.33203125" style="58" bestFit="1" customWidth="1"/>
    <col min="774" max="774" width="15.6640625" style="58" bestFit="1" customWidth="1"/>
    <col min="775" max="775" width="16.33203125" style="58" bestFit="1" customWidth="1"/>
    <col min="776" max="776" width="14.6640625" style="58" customWidth="1"/>
    <col min="777" max="777" width="14.83203125" style="58" bestFit="1" customWidth="1"/>
    <col min="778" max="778" width="16" style="58" bestFit="1" customWidth="1"/>
    <col min="779" max="779" width="16.33203125" style="58" bestFit="1" customWidth="1"/>
    <col min="780" max="780" width="15.1640625" style="58" bestFit="1" customWidth="1"/>
    <col min="781" max="781" width="17.1640625" style="58" bestFit="1" customWidth="1"/>
    <col min="782" max="782" width="16" style="58" bestFit="1" customWidth="1"/>
    <col min="783" max="783" width="16" style="58" customWidth="1"/>
    <col min="784" max="784" width="16.5" style="58" bestFit="1" customWidth="1"/>
    <col min="785" max="785" width="13.6640625" style="58" customWidth="1"/>
    <col min="786" max="786" width="16.33203125" style="58" bestFit="1" customWidth="1"/>
    <col min="787" max="787" width="12.33203125" style="58" bestFit="1" customWidth="1"/>
    <col min="788" max="788" width="15.83203125" style="58" bestFit="1" customWidth="1"/>
    <col min="789" max="789" width="16.33203125" style="58" bestFit="1" customWidth="1"/>
    <col min="790" max="790" width="19.6640625" style="58" bestFit="1" customWidth="1"/>
    <col min="791" max="791" width="1.5" style="58" customWidth="1"/>
    <col min="792" max="792" width="1.1640625" style="58" customWidth="1"/>
    <col min="793" max="793" width="17" style="58" customWidth="1"/>
    <col min="794" max="794" width="18" style="58" bestFit="1" customWidth="1"/>
    <col min="795" max="795" width="17.33203125" style="58" bestFit="1" customWidth="1"/>
    <col min="796" max="796" width="15.6640625" style="58" bestFit="1" customWidth="1"/>
    <col min="797" max="797" width="12.83203125" style="58" customWidth="1"/>
    <col min="798" max="799" width="12.1640625" style="58" bestFit="1" customWidth="1"/>
    <col min="800" max="800" width="17.6640625" style="58" bestFit="1" customWidth="1"/>
    <col min="801" max="1024" width="9.33203125" style="58"/>
    <col min="1025" max="1025" width="2.83203125" style="58" customWidth="1"/>
    <col min="1026" max="1026" width="5.6640625" style="58" customWidth="1"/>
    <col min="1027" max="1027" width="45.6640625" style="58" customWidth="1"/>
    <col min="1028" max="1028" width="18" style="58" customWidth="1"/>
    <col min="1029" max="1029" width="17.33203125" style="58" bestFit="1" customWidth="1"/>
    <col min="1030" max="1030" width="15.6640625" style="58" bestFit="1" customWidth="1"/>
    <col min="1031" max="1031" width="16.33203125" style="58" bestFit="1" customWidth="1"/>
    <col min="1032" max="1032" width="14.6640625" style="58" customWidth="1"/>
    <col min="1033" max="1033" width="14.83203125" style="58" bestFit="1" customWidth="1"/>
    <col min="1034" max="1034" width="16" style="58" bestFit="1" customWidth="1"/>
    <col min="1035" max="1035" width="16.33203125" style="58" bestFit="1" customWidth="1"/>
    <col min="1036" max="1036" width="15.1640625" style="58" bestFit="1" customWidth="1"/>
    <col min="1037" max="1037" width="17.1640625" style="58" bestFit="1" customWidth="1"/>
    <col min="1038" max="1038" width="16" style="58" bestFit="1" customWidth="1"/>
    <col min="1039" max="1039" width="16" style="58" customWidth="1"/>
    <col min="1040" max="1040" width="16.5" style="58" bestFit="1" customWidth="1"/>
    <col min="1041" max="1041" width="13.6640625" style="58" customWidth="1"/>
    <col min="1042" max="1042" width="16.33203125" style="58" bestFit="1" customWidth="1"/>
    <col min="1043" max="1043" width="12.33203125" style="58" bestFit="1" customWidth="1"/>
    <col min="1044" max="1044" width="15.83203125" style="58" bestFit="1" customWidth="1"/>
    <col min="1045" max="1045" width="16.33203125" style="58" bestFit="1" customWidth="1"/>
    <col min="1046" max="1046" width="19.6640625" style="58" bestFit="1" customWidth="1"/>
    <col min="1047" max="1047" width="1.5" style="58" customWidth="1"/>
    <col min="1048" max="1048" width="1.1640625" style="58" customWidth="1"/>
    <col min="1049" max="1049" width="17" style="58" customWidth="1"/>
    <col min="1050" max="1050" width="18" style="58" bestFit="1" customWidth="1"/>
    <col min="1051" max="1051" width="17.33203125" style="58" bestFit="1" customWidth="1"/>
    <col min="1052" max="1052" width="15.6640625" style="58" bestFit="1" customWidth="1"/>
    <col min="1053" max="1053" width="12.83203125" style="58" customWidth="1"/>
    <col min="1054" max="1055" width="12.1640625" style="58" bestFit="1" customWidth="1"/>
    <col min="1056" max="1056" width="17.6640625" style="58" bestFit="1" customWidth="1"/>
    <col min="1057" max="1280" width="9.33203125" style="58"/>
    <col min="1281" max="1281" width="2.83203125" style="58" customWidth="1"/>
    <col min="1282" max="1282" width="5.6640625" style="58" customWidth="1"/>
    <col min="1283" max="1283" width="45.6640625" style="58" customWidth="1"/>
    <col min="1284" max="1284" width="18" style="58" customWidth="1"/>
    <col min="1285" max="1285" width="17.33203125" style="58" bestFit="1" customWidth="1"/>
    <col min="1286" max="1286" width="15.6640625" style="58" bestFit="1" customWidth="1"/>
    <col min="1287" max="1287" width="16.33203125" style="58" bestFit="1" customWidth="1"/>
    <col min="1288" max="1288" width="14.6640625" style="58" customWidth="1"/>
    <col min="1289" max="1289" width="14.83203125" style="58" bestFit="1" customWidth="1"/>
    <col min="1290" max="1290" width="16" style="58" bestFit="1" customWidth="1"/>
    <col min="1291" max="1291" width="16.33203125" style="58" bestFit="1" customWidth="1"/>
    <col min="1292" max="1292" width="15.1640625" style="58" bestFit="1" customWidth="1"/>
    <col min="1293" max="1293" width="17.1640625" style="58" bestFit="1" customWidth="1"/>
    <col min="1294" max="1294" width="16" style="58" bestFit="1" customWidth="1"/>
    <col min="1295" max="1295" width="16" style="58" customWidth="1"/>
    <col min="1296" max="1296" width="16.5" style="58" bestFit="1" customWidth="1"/>
    <col min="1297" max="1297" width="13.6640625" style="58" customWidth="1"/>
    <col min="1298" max="1298" width="16.33203125" style="58" bestFit="1" customWidth="1"/>
    <col min="1299" max="1299" width="12.33203125" style="58" bestFit="1" customWidth="1"/>
    <col min="1300" max="1300" width="15.83203125" style="58" bestFit="1" customWidth="1"/>
    <col min="1301" max="1301" width="16.33203125" style="58" bestFit="1" customWidth="1"/>
    <col min="1302" max="1302" width="19.6640625" style="58" bestFit="1" customWidth="1"/>
    <col min="1303" max="1303" width="1.5" style="58" customWidth="1"/>
    <col min="1304" max="1304" width="1.1640625" style="58" customWidth="1"/>
    <col min="1305" max="1305" width="17" style="58" customWidth="1"/>
    <col min="1306" max="1306" width="18" style="58" bestFit="1" customWidth="1"/>
    <col min="1307" max="1307" width="17.33203125" style="58" bestFit="1" customWidth="1"/>
    <col min="1308" max="1308" width="15.6640625" style="58" bestFit="1" customWidth="1"/>
    <col min="1309" max="1309" width="12.83203125" style="58" customWidth="1"/>
    <col min="1310" max="1311" width="12.1640625" style="58" bestFit="1" customWidth="1"/>
    <col min="1312" max="1312" width="17.6640625" style="58" bestFit="1" customWidth="1"/>
    <col min="1313" max="1536" width="9.33203125" style="58"/>
    <col min="1537" max="1537" width="2.83203125" style="58" customWidth="1"/>
    <col min="1538" max="1538" width="5.6640625" style="58" customWidth="1"/>
    <col min="1539" max="1539" width="45.6640625" style="58" customWidth="1"/>
    <col min="1540" max="1540" width="18" style="58" customWidth="1"/>
    <col min="1541" max="1541" width="17.33203125" style="58" bestFit="1" customWidth="1"/>
    <col min="1542" max="1542" width="15.6640625" style="58" bestFit="1" customWidth="1"/>
    <col min="1543" max="1543" width="16.33203125" style="58" bestFit="1" customWidth="1"/>
    <col min="1544" max="1544" width="14.6640625" style="58" customWidth="1"/>
    <col min="1545" max="1545" width="14.83203125" style="58" bestFit="1" customWidth="1"/>
    <col min="1546" max="1546" width="16" style="58" bestFit="1" customWidth="1"/>
    <col min="1547" max="1547" width="16.33203125" style="58" bestFit="1" customWidth="1"/>
    <col min="1548" max="1548" width="15.1640625" style="58" bestFit="1" customWidth="1"/>
    <col min="1549" max="1549" width="17.1640625" style="58" bestFit="1" customWidth="1"/>
    <col min="1550" max="1550" width="16" style="58" bestFit="1" customWidth="1"/>
    <col min="1551" max="1551" width="16" style="58" customWidth="1"/>
    <col min="1552" max="1552" width="16.5" style="58" bestFit="1" customWidth="1"/>
    <col min="1553" max="1553" width="13.6640625" style="58" customWidth="1"/>
    <col min="1554" max="1554" width="16.33203125" style="58" bestFit="1" customWidth="1"/>
    <col min="1555" max="1555" width="12.33203125" style="58" bestFit="1" customWidth="1"/>
    <col min="1556" max="1556" width="15.83203125" style="58" bestFit="1" customWidth="1"/>
    <col min="1557" max="1557" width="16.33203125" style="58" bestFit="1" customWidth="1"/>
    <col min="1558" max="1558" width="19.6640625" style="58" bestFit="1" customWidth="1"/>
    <col min="1559" max="1559" width="1.5" style="58" customWidth="1"/>
    <col min="1560" max="1560" width="1.1640625" style="58" customWidth="1"/>
    <col min="1561" max="1561" width="17" style="58" customWidth="1"/>
    <col min="1562" max="1562" width="18" style="58" bestFit="1" customWidth="1"/>
    <col min="1563" max="1563" width="17.33203125" style="58" bestFit="1" customWidth="1"/>
    <col min="1564" max="1564" width="15.6640625" style="58" bestFit="1" customWidth="1"/>
    <col min="1565" max="1565" width="12.83203125" style="58" customWidth="1"/>
    <col min="1566" max="1567" width="12.1640625" style="58" bestFit="1" customWidth="1"/>
    <col min="1568" max="1568" width="17.6640625" style="58" bestFit="1" customWidth="1"/>
    <col min="1569" max="1792" width="9.33203125" style="58"/>
    <col min="1793" max="1793" width="2.83203125" style="58" customWidth="1"/>
    <col min="1794" max="1794" width="5.6640625" style="58" customWidth="1"/>
    <col min="1795" max="1795" width="45.6640625" style="58" customWidth="1"/>
    <col min="1796" max="1796" width="18" style="58" customWidth="1"/>
    <col min="1797" max="1797" width="17.33203125" style="58" bestFit="1" customWidth="1"/>
    <col min="1798" max="1798" width="15.6640625" style="58" bestFit="1" customWidth="1"/>
    <col min="1799" max="1799" width="16.33203125" style="58" bestFit="1" customWidth="1"/>
    <col min="1800" max="1800" width="14.6640625" style="58" customWidth="1"/>
    <col min="1801" max="1801" width="14.83203125" style="58" bestFit="1" customWidth="1"/>
    <col min="1802" max="1802" width="16" style="58" bestFit="1" customWidth="1"/>
    <col min="1803" max="1803" width="16.33203125" style="58" bestFit="1" customWidth="1"/>
    <col min="1804" max="1804" width="15.1640625" style="58" bestFit="1" customWidth="1"/>
    <col min="1805" max="1805" width="17.1640625" style="58" bestFit="1" customWidth="1"/>
    <col min="1806" max="1806" width="16" style="58" bestFit="1" customWidth="1"/>
    <col min="1807" max="1807" width="16" style="58" customWidth="1"/>
    <col min="1808" max="1808" width="16.5" style="58" bestFit="1" customWidth="1"/>
    <col min="1809" max="1809" width="13.6640625" style="58" customWidth="1"/>
    <col min="1810" max="1810" width="16.33203125" style="58" bestFit="1" customWidth="1"/>
    <col min="1811" max="1811" width="12.33203125" style="58" bestFit="1" customWidth="1"/>
    <col min="1812" max="1812" width="15.83203125" style="58" bestFit="1" customWidth="1"/>
    <col min="1813" max="1813" width="16.33203125" style="58" bestFit="1" customWidth="1"/>
    <col min="1814" max="1814" width="19.6640625" style="58" bestFit="1" customWidth="1"/>
    <col min="1815" max="1815" width="1.5" style="58" customWidth="1"/>
    <col min="1816" max="1816" width="1.1640625" style="58" customWidth="1"/>
    <col min="1817" max="1817" width="17" style="58" customWidth="1"/>
    <col min="1818" max="1818" width="18" style="58" bestFit="1" customWidth="1"/>
    <col min="1819" max="1819" width="17.33203125" style="58" bestFit="1" customWidth="1"/>
    <col min="1820" max="1820" width="15.6640625" style="58" bestFit="1" customWidth="1"/>
    <col min="1821" max="1821" width="12.83203125" style="58" customWidth="1"/>
    <col min="1822" max="1823" width="12.1640625" style="58" bestFit="1" customWidth="1"/>
    <col min="1824" max="1824" width="17.6640625" style="58" bestFit="1" customWidth="1"/>
    <col min="1825" max="2048" width="9.33203125" style="58"/>
    <col min="2049" max="2049" width="2.83203125" style="58" customWidth="1"/>
    <col min="2050" max="2050" width="5.6640625" style="58" customWidth="1"/>
    <col min="2051" max="2051" width="45.6640625" style="58" customWidth="1"/>
    <col min="2052" max="2052" width="18" style="58" customWidth="1"/>
    <col min="2053" max="2053" width="17.33203125" style="58" bestFit="1" customWidth="1"/>
    <col min="2054" max="2054" width="15.6640625" style="58" bestFit="1" customWidth="1"/>
    <col min="2055" max="2055" width="16.33203125" style="58" bestFit="1" customWidth="1"/>
    <col min="2056" max="2056" width="14.6640625" style="58" customWidth="1"/>
    <col min="2057" max="2057" width="14.83203125" style="58" bestFit="1" customWidth="1"/>
    <col min="2058" max="2058" width="16" style="58" bestFit="1" customWidth="1"/>
    <col min="2059" max="2059" width="16.33203125" style="58" bestFit="1" customWidth="1"/>
    <col min="2060" max="2060" width="15.1640625" style="58" bestFit="1" customWidth="1"/>
    <col min="2061" max="2061" width="17.1640625" style="58" bestFit="1" customWidth="1"/>
    <col min="2062" max="2062" width="16" style="58" bestFit="1" customWidth="1"/>
    <col min="2063" max="2063" width="16" style="58" customWidth="1"/>
    <col min="2064" max="2064" width="16.5" style="58" bestFit="1" customWidth="1"/>
    <col min="2065" max="2065" width="13.6640625" style="58" customWidth="1"/>
    <col min="2066" max="2066" width="16.33203125" style="58" bestFit="1" customWidth="1"/>
    <col min="2067" max="2067" width="12.33203125" style="58" bestFit="1" customWidth="1"/>
    <col min="2068" max="2068" width="15.83203125" style="58" bestFit="1" customWidth="1"/>
    <col min="2069" max="2069" width="16.33203125" style="58" bestFit="1" customWidth="1"/>
    <col min="2070" max="2070" width="19.6640625" style="58" bestFit="1" customWidth="1"/>
    <col min="2071" max="2071" width="1.5" style="58" customWidth="1"/>
    <col min="2072" max="2072" width="1.1640625" style="58" customWidth="1"/>
    <col min="2073" max="2073" width="17" style="58" customWidth="1"/>
    <col min="2074" max="2074" width="18" style="58" bestFit="1" customWidth="1"/>
    <col min="2075" max="2075" width="17.33203125" style="58" bestFit="1" customWidth="1"/>
    <col min="2076" max="2076" width="15.6640625" style="58" bestFit="1" customWidth="1"/>
    <col min="2077" max="2077" width="12.83203125" style="58" customWidth="1"/>
    <col min="2078" max="2079" width="12.1640625" style="58" bestFit="1" customWidth="1"/>
    <col min="2080" max="2080" width="17.6640625" style="58" bestFit="1" customWidth="1"/>
    <col min="2081" max="2304" width="9.33203125" style="58"/>
    <col min="2305" max="2305" width="2.83203125" style="58" customWidth="1"/>
    <col min="2306" max="2306" width="5.6640625" style="58" customWidth="1"/>
    <col min="2307" max="2307" width="45.6640625" style="58" customWidth="1"/>
    <col min="2308" max="2308" width="18" style="58" customWidth="1"/>
    <col min="2309" max="2309" width="17.33203125" style="58" bestFit="1" customWidth="1"/>
    <col min="2310" max="2310" width="15.6640625" style="58" bestFit="1" customWidth="1"/>
    <col min="2311" max="2311" width="16.33203125" style="58" bestFit="1" customWidth="1"/>
    <col min="2312" max="2312" width="14.6640625" style="58" customWidth="1"/>
    <col min="2313" max="2313" width="14.83203125" style="58" bestFit="1" customWidth="1"/>
    <col min="2314" max="2314" width="16" style="58" bestFit="1" customWidth="1"/>
    <col min="2315" max="2315" width="16.33203125" style="58" bestFit="1" customWidth="1"/>
    <col min="2316" max="2316" width="15.1640625" style="58" bestFit="1" customWidth="1"/>
    <col min="2317" max="2317" width="17.1640625" style="58" bestFit="1" customWidth="1"/>
    <col min="2318" max="2318" width="16" style="58" bestFit="1" customWidth="1"/>
    <col min="2319" max="2319" width="16" style="58" customWidth="1"/>
    <col min="2320" max="2320" width="16.5" style="58" bestFit="1" customWidth="1"/>
    <col min="2321" max="2321" width="13.6640625" style="58" customWidth="1"/>
    <col min="2322" max="2322" width="16.33203125" style="58" bestFit="1" customWidth="1"/>
    <col min="2323" max="2323" width="12.33203125" style="58" bestFit="1" customWidth="1"/>
    <col min="2324" max="2324" width="15.83203125" style="58" bestFit="1" customWidth="1"/>
    <col min="2325" max="2325" width="16.33203125" style="58" bestFit="1" customWidth="1"/>
    <col min="2326" max="2326" width="19.6640625" style="58" bestFit="1" customWidth="1"/>
    <col min="2327" max="2327" width="1.5" style="58" customWidth="1"/>
    <col min="2328" max="2328" width="1.1640625" style="58" customWidth="1"/>
    <col min="2329" max="2329" width="17" style="58" customWidth="1"/>
    <col min="2330" max="2330" width="18" style="58" bestFit="1" customWidth="1"/>
    <col min="2331" max="2331" width="17.33203125" style="58" bestFit="1" customWidth="1"/>
    <col min="2332" max="2332" width="15.6640625" style="58" bestFit="1" customWidth="1"/>
    <col min="2333" max="2333" width="12.83203125" style="58" customWidth="1"/>
    <col min="2334" max="2335" width="12.1640625" style="58" bestFit="1" customWidth="1"/>
    <col min="2336" max="2336" width="17.6640625" style="58" bestFit="1" customWidth="1"/>
    <col min="2337" max="2560" width="9.33203125" style="58"/>
    <col min="2561" max="2561" width="2.83203125" style="58" customWidth="1"/>
    <col min="2562" max="2562" width="5.6640625" style="58" customWidth="1"/>
    <col min="2563" max="2563" width="45.6640625" style="58" customWidth="1"/>
    <col min="2564" max="2564" width="18" style="58" customWidth="1"/>
    <col min="2565" max="2565" width="17.33203125" style="58" bestFit="1" customWidth="1"/>
    <col min="2566" max="2566" width="15.6640625" style="58" bestFit="1" customWidth="1"/>
    <col min="2567" max="2567" width="16.33203125" style="58" bestFit="1" customWidth="1"/>
    <col min="2568" max="2568" width="14.6640625" style="58" customWidth="1"/>
    <col min="2569" max="2569" width="14.83203125" style="58" bestFit="1" customWidth="1"/>
    <col min="2570" max="2570" width="16" style="58" bestFit="1" customWidth="1"/>
    <col min="2571" max="2571" width="16.33203125" style="58" bestFit="1" customWidth="1"/>
    <col min="2572" max="2572" width="15.1640625" style="58" bestFit="1" customWidth="1"/>
    <col min="2573" max="2573" width="17.1640625" style="58" bestFit="1" customWidth="1"/>
    <col min="2574" max="2574" width="16" style="58" bestFit="1" customWidth="1"/>
    <col min="2575" max="2575" width="16" style="58" customWidth="1"/>
    <col min="2576" max="2576" width="16.5" style="58" bestFit="1" customWidth="1"/>
    <col min="2577" max="2577" width="13.6640625" style="58" customWidth="1"/>
    <col min="2578" max="2578" width="16.33203125" style="58" bestFit="1" customWidth="1"/>
    <col min="2579" max="2579" width="12.33203125" style="58" bestFit="1" customWidth="1"/>
    <col min="2580" max="2580" width="15.83203125" style="58" bestFit="1" customWidth="1"/>
    <col min="2581" max="2581" width="16.33203125" style="58" bestFit="1" customWidth="1"/>
    <col min="2582" max="2582" width="19.6640625" style="58" bestFit="1" customWidth="1"/>
    <col min="2583" max="2583" width="1.5" style="58" customWidth="1"/>
    <col min="2584" max="2584" width="1.1640625" style="58" customWidth="1"/>
    <col min="2585" max="2585" width="17" style="58" customWidth="1"/>
    <col min="2586" max="2586" width="18" style="58" bestFit="1" customWidth="1"/>
    <col min="2587" max="2587" width="17.33203125" style="58" bestFit="1" customWidth="1"/>
    <col min="2588" max="2588" width="15.6640625" style="58" bestFit="1" customWidth="1"/>
    <col min="2589" max="2589" width="12.83203125" style="58" customWidth="1"/>
    <col min="2590" max="2591" width="12.1640625" style="58" bestFit="1" customWidth="1"/>
    <col min="2592" max="2592" width="17.6640625" style="58" bestFit="1" customWidth="1"/>
    <col min="2593" max="2816" width="9.33203125" style="58"/>
    <col min="2817" max="2817" width="2.83203125" style="58" customWidth="1"/>
    <col min="2818" max="2818" width="5.6640625" style="58" customWidth="1"/>
    <col min="2819" max="2819" width="45.6640625" style="58" customWidth="1"/>
    <col min="2820" max="2820" width="18" style="58" customWidth="1"/>
    <col min="2821" max="2821" width="17.33203125" style="58" bestFit="1" customWidth="1"/>
    <col min="2822" max="2822" width="15.6640625" style="58" bestFit="1" customWidth="1"/>
    <col min="2823" max="2823" width="16.33203125" style="58" bestFit="1" customWidth="1"/>
    <col min="2824" max="2824" width="14.6640625" style="58" customWidth="1"/>
    <col min="2825" max="2825" width="14.83203125" style="58" bestFit="1" customWidth="1"/>
    <col min="2826" max="2826" width="16" style="58" bestFit="1" customWidth="1"/>
    <col min="2827" max="2827" width="16.33203125" style="58" bestFit="1" customWidth="1"/>
    <col min="2828" max="2828" width="15.1640625" style="58" bestFit="1" customWidth="1"/>
    <col min="2829" max="2829" width="17.1640625" style="58" bestFit="1" customWidth="1"/>
    <col min="2830" max="2830" width="16" style="58" bestFit="1" customWidth="1"/>
    <col min="2831" max="2831" width="16" style="58" customWidth="1"/>
    <col min="2832" max="2832" width="16.5" style="58" bestFit="1" customWidth="1"/>
    <col min="2833" max="2833" width="13.6640625" style="58" customWidth="1"/>
    <col min="2834" max="2834" width="16.33203125" style="58" bestFit="1" customWidth="1"/>
    <col min="2835" max="2835" width="12.33203125" style="58" bestFit="1" customWidth="1"/>
    <col min="2836" max="2836" width="15.83203125" style="58" bestFit="1" customWidth="1"/>
    <col min="2837" max="2837" width="16.33203125" style="58" bestFit="1" customWidth="1"/>
    <col min="2838" max="2838" width="19.6640625" style="58" bestFit="1" customWidth="1"/>
    <col min="2839" max="2839" width="1.5" style="58" customWidth="1"/>
    <col min="2840" max="2840" width="1.1640625" style="58" customWidth="1"/>
    <col min="2841" max="2841" width="17" style="58" customWidth="1"/>
    <col min="2842" max="2842" width="18" style="58" bestFit="1" customWidth="1"/>
    <col min="2843" max="2843" width="17.33203125" style="58" bestFit="1" customWidth="1"/>
    <col min="2844" max="2844" width="15.6640625" style="58" bestFit="1" customWidth="1"/>
    <col min="2845" max="2845" width="12.83203125" style="58" customWidth="1"/>
    <col min="2846" max="2847" width="12.1640625" style="58" bestFit="1" customWidth="1"/>
    <col min="2848" max="2848" width="17.6640625" style="58" bestFit="1" customWidth="1"/>
    <col min="2849" max="3072" width="9.33203125" style="58"/>
    <col min="3073" max="3073" width="2.83203125" style="58" customWidth="1"/>
    <col min="3074" max="3074" width="5.6640625" style="58" customWidth="1"/>
    <col min="3075" max="3075" width="45.6640625" style="58" customWidth="1"/>
    <col min="3076" max="3076" width="18" style="58" customWidth="1"/>
    <col min="3077" max="3077" width="17.33203125" style="58" bestFit="1" customWidth="1"/>
    <col min="3078" max="3078" width="15.6640625" style="58" bestFit="1" customWidth="1"/>
    <col min="3079" max="3079" width="16.33203125" style="58" bestFit="1" customWidth="1"/>
    <col min="3080" max="3080" width="14.6640625" style="58" customWidth="1"/>
    <col min="3081" max="3081" width="14.83203125" style="58" bestFit="1" customWidth="1"/>
    <col min="3082" max="3082" width="16" style="58" bestFit="1" customWidth="1"/>
    <col min="3083" max="3083" width="16.33203125" style="58" bestFit="1" customWidth="1"/>
    <col min="3084" max="3084" width="15.1640625" style="58" bestFit="1" customWidth="1"/>
    <col min="3085" max="3085" width="17.1640625" style="58" bestFit="1" customWidth="1"/>
    <col min="3086" max="3086" width="16" style="58" bestFit="1" customWidth="1"/>
    <col min="3087" max="3087" width="16" style="58" customWidth="1"/>
    <col min="3088" max="3088" width="16.5" style="58" bestFit="1" customWidth="1"/>
    <col min="3089" max="3089" width="13.6640625" style="58" customWidth="1"/>
    <col min="3090" max="3090" width="16.33203125" style="58" bestFit="1" customWidth="1"/>
    <col min="3091" max="3091" width="12.33203125" style="58" bestFit="1" customWidth="1"/>
    <col min="3092" max="3092" width="15.83203125" style="58" bestFit="1" customWidth="1"/>
    <col min="3093" max="3093" width="16.33203125" style="58" bestFit="1" customWidth="1"/>
    <col min="3094" max="3094" width="19.6640625" style="58" bestFit="1" customWidth="1"/>
    <col min="3095" max="3095" width="1.5" style="58" customWidth="1"/>
    <col min="3096" max="3096" width="1.1640625" style="58" customWidth="1"/>
    <col min="3097" max="3097" width="17" style="58" customWidth="1"/>
    <col min="3098" max="3098" width="18" style="58" bestFit="1" customWidth="1"/>
    <col min="3099" max="3099" width="17.33203125" style="58" bestFit="1" customWidth="1"/>
    <col min="3100" max="3100" width="15.6640625" style="58" bestFit="1" customWidth="1"/>
    <col min="3101" max="3101" width="12.83203125" style="58" customWidth="1"/>
    <col min="3102" max="3103" width="12.1640625" style="58" bestFit="1" customWidth="1"/>
    <col min="3104" max="3104" width="17.6640625" style="58" bestFit="1" customWidth="1"/>
    <col min="3105" max="3328" width="9.33203125" style="58"/>
    <col min="3329" max="3329" width="2.83203125" style="58" customWidth="1"/>
    <col min="3330" max="3330" width="5.6640625" style="58" customWidth="1"/>
    <col min="3331" max="3331" width="45.6640625" style="58" customWidth="1"/>
    <col min="3332" max="3332" width="18" style="58" customWidth="1"/>
    <col min="3333" max="3333" width="17.33203125" style="58" bestFit="1" customWidth="1"/>
    <col min="3334" max="3334" width="15.6640625" style="58" bestFit="1" customWidth="1"/>
    <col min="3335" max="3335" width="16.33203125" style="58" bestFit="1" customWidth="1"/>
    <col min="3336" max="3336" width="14.6640625" style="58" customWidth="1"/>
    <col min="3337" max="3337" width="14.83203125" style="58" bestFit="1" customWidth="1"/>
    <col min="3338" max="3338" width="16" style="58" bestFit="1" customWidth="1"/>
    <col min="3339" max="3339" width="16.33203125" style="58" bestFit="1" customWidth="1"/>
    <col min="3340" max="3340" width="15.1640625" style="58" bestFit="1" customWidth="1"/>
    <col min="3341" max="3341" width="17.1640625" style="58" bestFit="1" customWidth="1"/>
    <col min="3342" max="3342" width="16" style="58" bestFit="1" customWidth="1"/>
    <col min="3343" max="3343" width="16" style="58" customWidth="1"/>
    <col min="3344" max="3344" width="16.5" style="58" bestFit="1" customWidth="1"/>
    <col min="3345" max="3345" width="13.6640625" style="58" customWidth="1"/>
    <col min="3346" max="3346" width="16.33203125" style="58" bestFit="1" customWidth="1"/>
    <col min="3347" max="3347" width="12.33203125" style="58" bestFit="1" customWidth="1"/>
    <col min="3348" max="3348" width="15.83203125" style="58" bestFit="1" customWidth="1"/>
    <col min="3349" max="3349" width="16.33203125" style="58" bestFit="1" customWidth="1"/>
    <col min="3350" max="3350" width="19.6640625" style="58" bestFit="1" customWidth="1"/>
    <col min="3351" max="3351" width="1.5" style="58" customWidth="1"/>
    <col min="3352" max="3352" width="1.1640625" style="58" customWidth="1"/>
    <col min="3353" max="3353" width="17" style="58" customWidth="1"/>
    <col min="3354" max="3354" width="18" style="58" bestFit="1" customWidth="1"/>
    <col min="3355" max="3355" width="17.33203125" style="58" bestFit="1" customWidth="1"/>
    <col min="3356" max="3356" width="15.6640625" style="58" bestFit="1" customWidth="1"/>
    <col min="3357" max="3357" width="12.83203125" style="58" customWidth="1"/>
    <col min="3358" max="3359" width="12.1640625" style="58" bestFit="1" customWidth="1"/>
    <col min="3360" max="3360" width="17.6640625" style="58" bestFit="1" customWidth="1"/>
    <col min="3361" max="3584" width="9.33203125" style="58"/>
    <col min="3585" max="3585" width="2.83203125" style="58" customWidth="1"/>
    <col min="3586" max="3586" width="5.6640625" style="58" customWidth="1"/>
    <col min="3587" max="3587" width="45.6640625" style="58" customWidth="1"/>
    <col min="3588" max="3588" width="18" style="58" customWidth="1"/>
    <col min="3589" max="3589" width="17.33203125" style="58" bestFit="1" customWidth="1"/>
    <col min="3590" max="3590" width="15.6640625" style="58" bestFit="1" customWidth="1"/>
    <col min="3591" max="3591" width="16.33203125" style="58" bestFit="1" customWidth="1"/>
    <col min="3592" max="3592" width="14.6640625" style="58" customWidth="1"/>
    <col min="3593" max="3593" width="14.83203125" style="58" bestFit="1" customWidth="1"/>
    <col min="3594" max="3594" width="16" style="58" bestFit="1" customWidth="1"/>
    <col min="3595" max="3595" width="16.33203125" style="58" bestFit="1" customWidth="1"/>
    <col min="3596" max="3596" width="15.1640625" style="58" bestFit="1" customWidth="1"/>
    <col min="3597" max="3597" width="17.1640625" style="58" bestFit="1" customWidth="1"/>
    <col min="3598" max="3598" width="16" style="58" bestFit="1" customWidth="1"/>
    <col min="3599" max="3599" width="16" style="58" customWidth="1"/>
    <col min="3600" max="3600" width="16.5" style="58" bestFit="1" customWidth="1"/>
    <col min="3601" max="3601" width="13.6640625" style="58" customWidth="1"/>
    <col min="3602" max="3602" width="16.33203125" style="58" bestFit="1" customWidth="1"/>
    <col min="3603" max="3603" width="12.33203125" style="58" bestFit="1" customWidth="1"/>
    <col min="3604" max="3604" width="15.83203125" style="58" bestFit="1" customWidth="1"/>
    <col min="3605" max="3605" width="16.33203125" style="58" bestFit="1" customWidth="1"/>
    <col min="3606" max="3606" width="19.6640625" style="58" bestFit="1" customWidth="1"/>
    <col min="3607" max="3607" width="1.5" style="58" customWidth="1"/>
    <col min="3608" max="3608" width="1.1640625" style="58" customWidth="1"/>
    <col min="3609" max="3609" width="17" style="58" customWidth="1"/>
    <col min="3610" max="3610" width="18" style="58" bestFit="1" customWidth="1"/>
    <col min="3611" max="3611" width="17.33203125" style="58" bestFit="1" customWidth="1"/>
    <col min="3612" max="3612" width="15.6640625" style="58" bestFit="1" customWidth="1"/>
    <col min="3613" max="3613" width="12.83203125" style="58" customWidth="1"/>
    <col min="3614" max="3615" width="12.1640625" style="58" bestFit="1" customWidth="1"/>
    <col min="3616" max="3616" width="17.6640625" style="58" bestFit="1" customWidth="1"/>
    <col min="3617" max="3840" width="9.33203125" style="58"/>
    <col min="3841" max="3841" width="2.83203125" style="58" customWidth="1"/>
    <col min="3842" max="3842" width="5.6640625" style="58" customWidth="1"/>
    <col min="3843" max="3843" width="45.6640625" style="58" customWidth="1"/>
    <col min="3844" max="3844" width="18" style="58" customWidth="1"/>
    <col min="3845" max="3845" width="17.33203125" style="58" bestFit="1" customWidth="1"/>
    <col min="3846" max="3846" width="15.6640625" style="58" bestFit="1" customWidth="1"/>
    <col min="3847" max="3847" width="16.33203125" style="58" bestFit="1" customWidth="1"/>
    <col min="3848" max="3848" width="14.6640625" style="58" customWidth="1"/>
    <col min="3849" max="3849" width="14.83203125" style="58" bestFit="1" customWidth="1"/>
    <col min="3850" max="3850" width="16" style="58" bestFit="1" customWidth="1"/>
    <col min="3851" max="3851" width="16.33203125" style="58" bestFit="1" customWidth="1"/>
    <col min="3852" max="3852" width="15.1640625" style="58" bestFit="1" customWidth="1"/>
    <col min="3853" max="3853" width="17.1640625" style="58" bestFit="1" customWidth="1"/>
    <col min="3854" max="3854" width="16" style="58" bestFit="1" customWidth="1"/>
    <col min="3855" max="3855" width="16" style="58" customWidth="1"/>
    <col min="3856" max="3856" width="16.5" style="58" bestFit="1" customWidth="1"/>
    <col min="3857" max="3857" width="13.6640625" style="58" customWidth="1"/>
    <col min="3858" max="3858" width="16.33203125" style="58" bestFit="1" customWidth="1"/>
    <col min="3859" max="3859" width="12.33203125" style="58" bestFit="1" customWidth="1"/>
    <col min="3860" max="3860" width="15.83203125" style="58" bestFit="1" customWidth="1"/>
    <col min="3861" max="3861" width="16.33203125" style="58" bestFit="1" customWidth="1"/>
    <col min="3862" max="3862" width="19.6640625" style="58" bestFit="1" customWidth="1"/>
    <col min="3863" max="3863" width="1.5" style="58" customWidth="1"/>
    <col min="3864" max="3864" width="1.1640625" style="58" customWidth="1"/>
    <col min="3865" max="3865" width="17" style="58" customWidth="1"/>
    <col min="3866" max="3866" width="18" style="58" bestFit="1" customWidth="1"/>
    <col min="3867" max="3867" width="17.33203125" style="58" bestFit="1" customWidth="1"/>
    <col min="3868" max="3868" width="15.6640625" style="58" bestFit="1" customWidth="1"/>
    <col min="3869" max="3869" width="12.83203125" style="58" customWidth="1"/>
    <col min="3870" max="3871" width="12.1640625" style="58" bestFit="1" customWidth="1"/>
    <col min="3872" max="3872" width="17.6640625" style="58" bestFit="1" customWidth="1"/>
    <col min="3873" max="4096" width="9.33203125" style="58"/>
    <col min="4097" max="4097" width="2.83203125" style="58" customWidth="1"/>
    <col min="4098" max="4098" width="5.6640625" style="58" customWidth="1"/>
    <col min="4099" max="4099" width="45.6640625" style="58" customWidth="1"/>
    <col min="4100" max="4100" width="18" style="58" customWidth="1"/>
    <col min="4101" max="4101" width="17.33203125" style="58" bestFit="1" customWidth="1"/>
    <col min="4102" max="4102" width="15.6640625" style="58" bestFit="1" customWidth="1"/>
    <col min="4103" max="4103" width="16.33203125" style="58" bestFit="1" customWidth="1"/>
    <col min="4104" max="4104" width="14.6640625" style="58" customWidth="1"/>
    <col min="4105" max="4105" width="14.83203125" style="58" bestFit="1" customWidth="1"/>
    <col min="4106" max="4106" width="16" style="58" bestFit="1" customWidth="1"/>
    <col min="4107" max="4107" width="16.33203125" style="58" bestFit="1" customWidth="1"/>
    <col min="4108" max="4108" width="15.1640625" style="58" bestFit="1" customWidth="1"/>
    <col min="4109" max="4109" width="17.1640625" style="58" bestFit="1" customWidth="1"/>
    <col min="4110" max="4110" width="16" style="58" bestFit="1" customWidth="1"/>
    <col min="4111" max="4111" width="16" style="58" customWidth="1"/>
    <col min="4112" max="4112" width="16.5" style="58" bestFit="1" customWidth="1"/>
    <col min="4113" max="4113" width="13.6640625" style="58" customWidth="1"/>
    <col min="4114" max="4114" width="16.33203125" style="58" bestFit="1" customWidth="1"/>
    <col min="4115" max="4115" width="12.33203125" style="58" bestFit="1" customWidth="1"/>
    <col min="4116" max="4116" width="15.83203125" style="58" bestFit="1" customWidth="1"/>
    <col min="4117" max="4117" width="16.33203125" style="58" bestFit="1" customWidth="1"/>
    <col min="4118" max="4118" width="19.6640625" style="58" bestFit="1" customWidth="1"/>
    <col min="4119" max="4119" width="1.5" style="58" customWidth="1"/>
    <col min="4120" max="4120" width="1.1640625" style="58" customWidth="1"/>
    <col min="4121" max="4121" width="17" style="58" customWidth="1"/>
    <col min="4122" max="4122" width="18" style="58" bestFit="1" customWidth="1"/>
    <col min="4123" max="4123" width="17.33203125" style="58" bestFit="1" customWidth="1"/>
    <col min="4124" max="4124" width="15.6640625" style="58" bestFit="1" customWidth="1"/>
    <col min="4125" max="4125" width="12.83203125" style="58" customWidth="1"/>
    <col min="4126" max="4127" width="12.1640625" style="58" bestFit="1" customWidth="1"/>
    <col min="4128" max="4128" width="17.6640625" style="58" bestFit="1" customWidth="1"/>
    <col min="4129" max="4352" width="9.33203125" style="58"/>
    <col min="4353" max="4353" width="2.83203125" style="58" customWidth="1"/>
    <col min="4354" max="4354" width="5.6640625" style="58" customWidth="1"/>
    <col min="4355" max="4355" width="45.6640625" style="58" customWidth="1"/>
    <col min="4356" max="4356" width="18" style="58" customWidth="1"/>
    <col min="4357" max="4357" width="17.33203125" style="58" bestFit="1" customWidth="1"/>
    <col min="4358" max="4358" width="15.6640625" style="58" bestFit="1" customWidth="1"/>
    <col min="4359" max="4359" width="16.33203125" style="58" bestFit="1" customWidth="1"/>
    <col min="4360" max="4360" width="14.6640625" style="58" customWidth="1"/>
    <col min="4361" max="4361" width="14.83203125" style="58" bestFit="1" customWidth="1"/>
    <col min="4362" max="4362" width="16" style="58" bestFit="1" customWidth="1"/>
    <col min="4363" max="4363" width="16.33203125" style="58" bestFit="1" customWidth="1"/>
    <col min="4364" max="4364" width="15.1640625" style="58" bestFit="1" customWidth="1"/>
    <col min="4365" max="4365" width="17.1640625" style="58" bestFit="1" customWidth="1"/>
    <col min="4366" max="4366" width="16" style="58" bestFit="1" customWidth="1"/>
    <col min="4367" max="4367" width="16" style="58" customWidth="1"/>
    <col min="4368" max="4368" width="16.5" style="58" bestFit="1" customWidth="1"/>
    <col min="4369" max="4369" width="13.6640625" style="58" customWidth="1"/>
    <col min="4370" max="4370" width="16.33203125" style="58" bestFit="1" customWidth="1"/>
    <col min="4371" max="4371" width="12.33203125" style="58" bestFit="1" customWidth="1"/>
    <col min="4372" max="4372" width="15.83203125" style="58" bestFit="1" customWidth="1"/>
    <col min="4373" max="4373" width="16.33203125" style="58" bestFit="1" customWidth="1"/>
    <col min="4374" max="4374" width="19.6640625" style="58" bestFit="1" customWidth="1"/>
    <col min="4375" max="4375" width="1.5" style="58" customWidth="1"/>
    <col min="4376" max="4376" width="1.1640625" style="58" customWidth="1"/>
    <col min="4377" max="4377" width="17" style="58" customWidth="1"/>
    <col min="4378" max="4378" width="18" style="58" bestFit="1" customWidth="1"/>
    <col min="4379" max="4379" width="17.33203125" style="58" bestFit="1" customWidth="1"/>
    <col min="4380" max="4380" width="15.6640625" style="58" bestFit="1" customWidth="1"/>
    <col min="4381" max="4381" width="12.83203125" style="58" customWidth="1"/>
    <col min="4382" max="4383" width="12.1640625" style="58" bestFit="1" customWidth="1"/>
    <col min="4384" max="4384" width="17.6640625" style="58" bestFit="1" customWidth="1"/>
    <col min="4385" max="4608" width="9.33203125" style="58"/>
    <col min="4609" max="4609" width="2.83203125" style="58" customWidth="1"/>
    <col min="4610" max="4610" width="5.6640625" style="58" customWidth="1"/>
    <col min="4611" max="4611" width="45.6640625" style="58" customWidth="1"/>
    <col min="4612" max="4612" width="18" style="58" customWidth="1"/>
    <col min="4613" max="4613" width="17.33203125" style="58" bestFit="1" customWidth="1"/>
    <col min="4614" max="4614" width="15.6640625" style="58" bestFit="1" customWidth="1"/>
    <col min="4615" max="4615" width="16.33203125" style="58" bestFit="1" customWidth="1"/>
    <col min="4616" max="4616" width="14.6640625" style="58" customWidth="1"/>
    <col min="4617" max="4617" width="14.83203125" style="58" bestFit="1" customWidth="1"/>
    <col min="4618" max="4618" width="16" style="58" bestFit="1" customWidth="1"/>
    <col min="4619" max="4619" width="16.33203125" style="58" bestFit="1" customWidth="1"/>
    <col min="4620" max="4620" width="15.1640625" style="58" bestFit="1" customWidth="1"/>
    <col min="4621" max="4621" width="17.1640625" style="58" bestFit="1" customWidth="1"/>
    <col min="4622" max="4622" width="16" style="58" bestFit="1" customWidth="1"/>
    <col min="4623" max="4623" width="16" style="58" customWidth="1"/>
    <col min="4624" max="4624" width="16.5" style="58" bestFit="1" customWidth="1"/>
    <col min="4625" max="4625" width="13.6640625" style="58" customWidth="1"/>
    <col min="4626" max="4626" width="16.33203125" style="58" bestFit="1" customWidth="1"/>
    <col min="4627" max="4627" width="12.33203125" style="58" bestFit="1" customWidth="1"/>
    <col min="4628" max="4628" width="15.83203125" style="58" bestFit="1" customWidth="1"/>
    <col min="4629" max="4629" width="16.33203125" style="58" bestFit="1" customWidth="1"/>
    <col min="4630" max="4630" width="19.6640625" style="58" bestFit="1" customWidth="1"/>
    <col min="4631" max="4631" width="1.5" style="58" customWidth="1"/>
    <col min="4632" max="4632" width="1.1640625" style="58" customWidth="1"/>
    <col min="4633" max="4633" width="17" style="58" customWidth="1"/>
    <col min="4634" max="4634" width="18" style="58" bestFit="1" customWidth="1"/>
    <col min="4635" max="4635" width="17.33203125" style="58" bestFit="1" customWidth="1"/>
    <col min="4636" max="4636" width="15.6640625" style="58" bestFit="1" customWidth="1"/>
    <col min="4637" max="4637" width="12.83203125" style="58" customWidth="1"/>
    <col min="4638" max="4639" width="12.1640625" style="58" bestFit="1" customWidth="1"/>
    <col min="4640" max="4640" width="17.6640625" style="58" bestFit="1" customWidth="1"/>
    <col min="4641" max="4864" width="9.33203125" style="58"/>
    <col min="4865" max="4865" width="2.83203125" style="58" customWidth="1"/>
    <col min="4866" max="4866" width="5.6640625" style="58" customWidth="1"/>
    <col min="4867" max="4867" width="45.6640625" style="58" customWidth="1"/>
    <col min="4868" max="4868" width="18" style="58" customWidth="1"/>
    <col min="4869" max="4869" width="17.33203125" style="58" bestFit="1" customWidth="1"/>
    <col min="4870" max="4870" width="15.6640625" style="58" bestFit="1" customWidth="1"/>
    <col min="4871" max="4871" width="16.33203125" style="58" bestFit="1" customWidth="1"/>
    <col min="4872" max="4872" width="14.6640625" style="58" customWidth="1"/>
    <col min="4873" max="4873" width="14.83203125" style="58" bestFit="1" customWidth="1"/>
    <col min="4874" max="4874" width="16" style="58" bestFit="1" customWidth="1"/>
    <col min="4875" max="4875" width="16.33203125" style="58" bestFit="1" customWidth="1"/>
    <col min="4876" max="4876" width="15.1640625" style="58" bestFit="1" customWidth="1"/>
    <col min="4877" max="4877" width="17.1640625" style="58" bestFit="1" customWidth="1"/>
    <col min="4878" max="4878" width="16" style="58" bestFit="1" customWidth="1"/>
    <col min="4879" max="4879" width="16" style="58" customWidth="1"/>
    <col min="4880" max="4880" width="16.5" style="58" bestFit="1" customWidth="1"/>
    <col min="4881" max="4881" width="13.6640625" style="58" customWidth="1"/>
    <col min="4882" max="4882" width="16.33203125" style="58" bestFit="1" customWidth="1"/>
    <col min="4883" max="4883" width="12.33203125" style="58" bestFit="1" customWidth="1"/>
    <col min="4884" max="4884" width="15.83203125" style="58" bestFit="1" customWidth="1"/>
    <col min="4885" max="4885" width="16.33203125" style="58" bestFit="1" customWidth="1"/>
    <col min="4886" max="4886" width="19.6640625" style="58" bestFit="1" customWidth="1"/>
    <col min="4887" max="4887" width="1.5" style="58" customWidth="1"/>
    <col min="4888" max="4888" width="1.1640625" style="58" customWidth="1"/>
    <col min="4889" max="4889" width="17" style="58" customWidth="1"/>
    <col min="4890" max="4890" width="18" style="58" bestFit="1" customWidth="1"/>
    <col min="4891" max="4891" width="17.33203125" style="58" bestFit="1" customWidth="1"/>
    <col min="4892" max="4892" width="15.6640625" style="58" bestFit="1" customWidth="1"/>
    <col min="4893" max="4893" width="12.83203125" style="58" customWidth="1"/>
    <col min="4894" max="4895" width="12.1640625" style="58" bestFit="1" customWidth="1"/>
    <col min="4896" max="4896" width="17.6640625" style="58" bestFit="1" customWidth="1"/>
    <col min="4897" max="5120" width="9.33203125" style="58"/>
    <col min="5121" max="5121" width="2.83203125" style="58" customWidth="1"/>
    <col min="5122" max="5122" width="5.6640625" style="58" customWidth="1"/>
    <col min="5123" max="5123" width="45.6640625" style="58" customWidth="1"/>
    <col min="5124" max="5124" width="18" style="58" customWidth="1"/>
    <col min="5125" max="5125" width="17.33203125" style="58" bestFit="1" customWidth="1"/>
    <col min="5126" max="5126" width="15.6640625" style="58" bestFit="1" customWidth="1"/>
    <col min="5127" max="5127" width="16.33203125" style="58" bestFit="1" customWidth="1"/>
    <col min="5128" max="5128" width="14.6640625" style="58" customWidth="1"/>
    <col min="5129" max="5129" width="14.83203125" style="58" bestFit="1" customWidth="1"/>
    <col min="5130" max="5130" width="16" style="58" bestFit="1" customWidth="1"/>
    <col min="5131" max="5131" width="16.33203125" style="58" bestFit="1" customWidth="1"/>
    <col min="5132" max="5132" width="15.1640625" style="58" bestFit="1" customWidth="1"/>
    <col min="5133" max="5133" width="17.1640625" style="58" bestFit="1" customWidth="1"/>
    <col min="5134" max="5134" width="16" style="58" bestFit="1" customWidth="1"/>
    <col min="5135" max="5135" width="16" style="58" customWidth="1"/>
    <col min="5136" max="5136" width="16.5" style="58" bestFit="1" customWidth="1"/>
    <col min="5137" max="5137" width="13.6640625" style="58" customWidth="1"/>
    <col min="5138" max="5138" width="16.33203125" style="58" bestFit="1" customWidth="1"/>
    <col min="5139" max="5139" width="12.33203125" style="58" bestFit="1" customWidth="1"/>
    <col min="5140" max="5140" width="15.83203125" style="58" bestFit="1" customWidth="1"/>
    <col min="5141" max="5141" width="16.33203125" style="58" bestFit="1" customWidth="1"/>
    <col min="5142" max="5142" width="19.6640625" style="58" bestFit="1" customWidth="1"/>
    <col min="5143" max="5143" width="1.5" style="58" customWidth="1"/>
    <col min="5144" max="5144" width="1.1640625" style="58" customWidth="1"/>
    <col min="5145" max="5145" width="17" style="58" customWidth="1"/>
    <col min="5146" max="5146" width="18" style="58" bestFit="1" customWidth="1"/>
    <col min="5147" max="5147" width="17.33203125" style="58" bestFit="1" customWidth="1"/>
    <col min="5148" max="5148" width="15.6640625" style="58" bestFit="1" customWidth="1"/>
    <col min="5149" max="5149" width="12.83203125" style="58" customWidth="1"/>
    <col min="5150" max="5151" width="12.1640625" style="58" bestFit="1" customWidth="1"/>
    <col min="5152" max="5152" width="17.6640625" style="58" bestFit="1" customWidth="1"/>
    <col min="5153" max="5376" width="9.33203125" style="58"/>
    <col min="5377" max="5377" width="2.83203125" style="58" customWidth="1"/>
    <col min="5378" max="5378" width="5.6640625" style="58" customWidth="1"/>
    <col min="5379" max="5379" width="45.6640625" style="58" customWidth="1"/>
    <col min="5380" max="5380" width="18" style="58" customWidth="1"/>
    <col min="5381" max="5381" width="17.33203125" style="58" bestFit="1" customWidth="1"/>
    <col min="5382" max="5382" width="15.6640625" style="58" bestFit="1" customWidth="1"/>
    <col min="5383" max="5383" width="16.33203125" style="58" bestFit="1" customWidth="1"/>
    <col min="5384" max="5384" width="14.6640625" style="58" customWidth="1"/>
    <col min="5385" max="5385" width="14.83203125" style="58" bestFit="1" customWidth="1"/>
    <col min="5386" max="5386" width="16" style="58" bestFit="1" customWidth="1"/>
    <col min="5387" max="5387" width="16.33203125" style="58" bestFit="1" customWidth="1"/>
    <col min="5388" max="5388" width="15.1640625" style="58" bestFit="1" customWidth="1"/>
    <col min="5389" max="5389" width="17.1640625" style="58" bestFit="1" customWidth="1"/>
    <col min="5390" max="5390" width="16" style="58" bestFit="1" customWidth="1"/>
    <col min="5391" max="5391" width="16" style="58" customWidth="1"/>
    <col min="5392" max="5392" width="16.5" style="58" bestFit="1" customWidth="1"/>
    <col min="5393" max="5393" width="13.6640625" style="58" customWidth="1"/>
    <col min="5394" max="5394" width="16.33203125" style="58" bestFit="1" customWidth="1"/>
    <col min="5395" max="5395" width="12.33203125" style="58" bestFit="1" customWidth="1"/>
    <col min="5396" max="5396" width="15.83203125" style="58" bestFit="1" customWidth="1"/>
    <col min="5397" max="5397" width="16.33203125" style="58" bestFit="1" customWidth="1"/>
    <col min="5398" max="5398" width="19.6640625" style="58" bestFit="1" customWidth="1"/>
    <col min="5399" max="5399" width="1.5" style="58" customWidth="1"/>
    <col min="5400" max="5400" width="1.1640625" style="58" customWidth="1"/>
    <col min="5401" max="5401" width="17" style="58" customWidth="1"/>
    <col min="5402" max="5402" width="18" style="58" bestFit="1" customWidth="1"/>
    <col min="5403" max="5403" width="17.33203125" style="58" bestFit="1" customWidth="1"/>
    <col min="5404" max="5404" width="15.6640625" style="58" bestFit="1" customWidth="1"/>
    <col min="5405" max="5405" width="12.83203125" style="58" customWidth="1"/>
    <col min="5406" max="5407" width="12.1640625" style="58" bestFit="1" customWidth="1"/>
    <col min="5408" max="5408" width="17.6640625" style="58" bestFit="1" customWidth="1"/>
    <col min="5409" max="5632" width="9.33203125" style="58"/>
    <col min="5633" max="5633" width="2.83203125" style="58" customWidth="1"/>
    <col min="5634" max="5634" width="5.6640625" style="58" customWidth="1"/>
    <col min="5635" max="5635" width="45.6640625" style="58" customWidth="1"/>
    <col min="5636" max="5636" width="18" style="58" customWidth="1"/>
    <col min="5637" max="5637" width="17.33203125" style="58" bestFit="1" customWidth="1"/>
    <col min="5638" max="5638" width="15.6640625" style="58" bestFit="1" customWidth="1"/>
    <col min="5639" max="5639" width="16.33203125" style="58" bestFit="1" customWidth="1"/>
    <col min="5640" max="5640" width="14.6640625" style="58" customWidth="1"/>
    <col min="5641" max="5641" width="14.83203125" style="58" bestFit="1" customWidth="1"/>
    <col min="5642" max="5642" width="16" style="58" bestFit="1" customWidth="1"/>
    <col min="5643" max="5643" width="16.33203125" style="58" bestFit="1" customWidth="1"/>
    <col min="5644" max="5644" width="15.1640625" style="58" bestFit="1" customWidth="1"/>
    <col min="5645" max="5645" width="17.1640625" style="58" bestFit="1" customWidth="1"/>
    <col min="5646" max="5646" width="16" style="58" bestFit="1" customWidth="1"/>
    <col min="5647" max="5647" width="16" style="58" customWidth="1"/>
    <col min="5648" max="5648" width="16.5" style="58" bestFit="1" customWidth="1"/>
    <col min="5649" max="5649" width="13.6640625" style="58" customWidth="1"/>
    <col min="5650" max="5650" width="16.33203125" style="58" bestFit="1" customWidth="1"/>
    <col min="5651" max="5651" width="12.33203125" style="58" bestFit="1" customWidth="1"/>
    <col min="5652" max="5652" width="15.83203125" style="58" bestFit="1" customWidth="1"/>
    <col min="5653" max="5653" width="16.33203125" style="58" bestFit="1" customWidth="1"/>
    <col min="5654" max="5654" width="19.6640625" style="58" bestFit="1" customWidth="1"/>
    <col min="5655" max="5655" width="1.5" style="58" customWidth="1"/>
    <col min="5656" max="5656" width="1.1640625" style="58" customWidth="1"/>
    <col min="5657" max="5657" width="17" style="58" customWidth="1"/>
    <col min="5658" max="5658" width="18" style="58" bestFit="1" customWidth="1"/>
    <col min="5659" max="5659" width="17.33203125" style="58" bestFit="1" customWidth="1"/>
    <col min="5660" max="5660" width="15.6640625" style="58" bestFit="1" customWidth="1"/>
    <col min="5661" max="5661" width="12.83203125" style="58" customWidth="1"/>
    <col min="5662" max="5663" width="12.1640625" style="58" bestFit="1" customWidth="1"/>
    <col min="5664" max="5664" width="17.6640625" style="58" bestFit="1" customWidth="1"/>
    <col min="5665" max="5888" width="9.33203125" style="58"/>
    <col min="5889" max="5889" width="2.83203125" style="58" customWidth="1"/>
    <col min="5890" max="5890" width="5.6640625" style="58" customWidth="1"/>
    <col min="5891" max="5891" width="45.6640625" style="58" customWidth="1"/>
    <col min="5892" max="5892" width="18" style="58" customWidth="1"/>
    <col min="5893" max="5893" width="17.33203125" style="58" bestFit="1" customWidth="1"/>
    <col min="5894" max="5894" width="15.6640625" style="58" bestFit="1" customWidth="1"/>
    <col min="5895" max="5895" width="16.33203125" style="58" bestFit="1" customWidth="1"/>
    <col min="5896" max="5896" width="14.6640625" style="58" customWidth="1"/>
    <col min="5897" max="5897" width="14.83203125" style="58" bestFit="1" customWidth="1"/>
    <col min="5898" max="5898" width="16" style="58" bestFit="1" customWidth="1"/>
    <col min="5899" max="5899" width="16.33203125" style="58" bestFit="1" customWidth="1"/>
    <col min="5900" max="5900" width="15.1640625" style="58" bestFit="1" customWidth="1"/>
    <col min="5901" max="5901" width="17.1640625" style="58" bestFit="1" customWidth="1"/>
    <col min="5902" max="5902" width="16" style="58" bestFit="1" customWidth="1"/>
    <col min="5903" max="5903" width="16" style="58" customWidth="1"/>
    <col min="5904" max="5904" width="16.5" style="58" bestFit="1" customWidth="1"/>
    <col min="5905" max="5905" width="13.6640625" style="58" customWidth="1"/>
    <col min="5906" max="5906" width="16.33203125" style="58" bestFit="1" customWidth="1"/>
    <col min="5907" max="5907" width="12.33203125" style="58" bestFit="1" customWidth="1"/>
    <col min="5908" max="5908" width="15.83203125" style="58" bestFit="1" customWidth="1"/>
    <col min="5909" max="5909" width="16.33203125" style="58" bestFit="1" customWidth="1"/>
    <col min="5910" max="5910" width="19.6640625" style="58" bestFit="1" customWidth="1"/>
    <col min="5911" max="5911" width="1.5" style="58" customWidth="1"/>
    <col min="5912" max="5912" width="1.1640625" style="58" customWidth="1"/>
    <col min="5913" max="5913" width="17" style="58" customWidth="1"/>
    <col min="5914" max="5914" width="18" style="58" bestFit="1" customWidth="1"/>
    <col min="5915" max="5915" width="17.33203125" style="58" bestFit="1" customWidth="1"/>
    <col min="5916" max="5916" width="15.6640625" style="58" bestFit="1" customWidth="1"/>
    <col min="5917" max="5917" width="12.83203125" style="58" customWidth="1"/>
    <col min="5918" max="5919" width="12.1640625" style="58" bestFit="1" customWidth="1"/>
    <col min="5920" max="5920" width="17.6640625" style="58" bestFit="1" customWidth="1"/>
    <col min="5921" max="6144" width="9.33203125" style="58"/>
    <col min="6145" max="6145" width="2.83203125" style="58" customWidth="1"/>
    <col min="6146" max="6146" width="5.6640625" style="58" customWidth="1"/>
    <col min="6147" max="6147" width="45.6640625" style="58" customWidth="1"/>
    <col min="6148" max="6148" width="18" style="58" customWidth="1"/>
    <col min="6149" max="6149" width="17.33203125" style="58" bestFit="1" customWidth="1"/>
    <col min="6150" max="6150" width="15.6640625" style="58" bestFit="1" customWidth="1"/>
    <col min="6151" max="6151" width="16.33203125" style="58" bestFit="1" customWidth="1"/>
    <col min="6152" max="6152" width="14.6640625" style="58" customWidth="1"/>
    <col min="6153" max="6153" width="14.83203125" style="58" bestFit="1" customWidth="1"/>
    <col min="6154" max="6154" width="16" style="58" bestFit="1" customWidth="1"/>
    <col min="6155" max="6155" width="16.33203125" style="58" bestFit="1" customWidth="1"/>
    <col min="6156" max="6156" width="15.1640625" style="58" bestFit="1" customWidth="1"/>
    <col min="6157" max="6157" width="17.1640625" style="58" bestFit="1" customWidth="1"/>
    <col min="6158" max="6158" width="16" style="58" bestFit="1" customWidth="1"/>
    <col min="6159" max="6159" width="16" style="58" customWidth="1"/>
    <col min="6160" max="6160" width="16.5" style="58" bestFit="1" customWidth="1"/>
    <col min="6161" max="6161" width="13.6640625" style="58" customWidth="1"/>
    <col min="6162" max="6162" width="16.33203125" style="58" bestFit="1" customWidth="1"/>
    <col min="6163" max="6163" width="12.33203125" style="58" bestFit="1" customWidth="1"/>
    <col min="6164" max="6164" width="15.83203125" style="58" bestFit="1" customWidth="1"/>
    <col min="6165" max="6165" width="16.33203125" style="58" bestFit="1" customWidth="1"/>
    <col min="6166" max="6166" width="19.6640625" style="58" bestFit="1" customWidth="1"/>
    <col min="6167" max="6167" width="1.5" style="58" customWidth="1"/>
    <col min="6168" max="6168" width="1.1640625" style="58" customWidth="1"/>
    <col min="6169" max="6169" width="17" style="58" customWidth="1"/>
    <col min="6170" max="6170" width="18" style="58" bestFit="1" customWidth="1"/>
    <col min="6171" max="6171" width="17.33203125" style="58" bestFit="1" customWidth="1"/>
    <col min="6172" max="6172" width="15.6640625" style="58" bestFit="1" customWidth="1"/>
    <col min="6173" max="6173" width="12.83203125" style="58" customWidth="1"/>
    <col min="6174" max="6175" width="12.1640625" style="58" bestFit="1" customWidth="1"/>
    <col min="6176" max="6176" width="17.6640625" style="58" bestFit="1" customWidth="1"/>
    <col min="6177" max="6400" width="9.33203125" style="58"/>
    <col min="6401" max="6401" width="2.83203125" style="58" customWidth="1"/>
    <col min="6402" max="6402" width="5.6640625" style="58" customWidth="1"/>
    <col min="6403" max="6403" width="45.6640625" style="58" customWidth="1"/>
    <col min="6404" max="6404" width="18" style="58" customWidth="1"/>
    <col min="6405" max="6405" width="17.33203125" style="58" bestFit="1" customWidth="1"/>
    <col min="6406" max="6406" width="15.6640625" style="58" bestFit="1" customWidth="1"/>
    <col min="6407" max="6407" width="16.33203125" style="58" bestFit="1" customWidth="1"/>
    <col min="6408" max="6408" width="14.6640625" style="58" customWidth="1"/>
    <col min="6409" max="6409" width="14.83203125" style="58" bestFit="1" customWidth="1"/>
    <col min="6410" max="6410" width="16" style="58" bestFit="1" customWidth="1"/>
    <col min="6411" max="6411" width="16.33203125" style="58" bestFit="1" customWidth="1"/>
    <col min="6412" max="6412" width="15.1640625" style="58" bestFit="1" customWidth="1"/>
    <col min="6413" max="6413" width="17.1640625" style="58" bestFit="1" customWidth="1"/>
    <col min="6414" max="6414" width="16" style="58" bestFit="1" customWidth="1"/>
    <col min="6415" max="6415" width="16" style="58" customWidth="1"/>
    <col min="6416" max="6416" width="16.5" style="58" bestFit="1" customWidth="1"/>
    <col min="6417" max="6417" width="13.6640625" style="58" customWidth="1"/>
    <col min="6418" max="6418" width="16.33203125" style="58" bestFit="1" customWidth="1"/>
    <col min="6419" max="6419" width="12.33203125" style="58" bestFit="1" customWidth="1"/>
    <col min="6420" max="6420" width="15.83203125" style="58" bestFit="1" customWidth="1"/>
    <col min="6421" max="6421" width="16.33203125" style="58" bestFit="1" customWidth="1"/>
    <col min="6422" max="6422" width="19.6640625" style="58" bestFit="1" customWidth="1"/>
    <col min="6423" max="6423" width="1.5" style="58" customWidth="1"/>
    <col min="6424" max="6424" width="1.1640625" style="58" customWidth="1"/>
    <col min="6425" max="6425" width="17" style="58" customWidth="1"/>
    <col min="6426" max="6426" width="18" style="58" bestFit="1" customWidth="1"/>
    <col min="6427" max="6427" width="17.33203125" style="58" bestFit="1" customWidth="1"/>
    <col min="6428" max="6428" width="15.6640625" style="58" bestFit="1" customWidth="1"/>
    <col min="6429" max="6429" width="12.83203125" style="58" customWidth="1"/>
    <col min="6430" max="6431" width="12.1640625" style="58" bestFit="1" customWidth="1"/>
    <col min="6432" max="6432" width="17.6640625" style="58" bestFit="1" customWidth="1"/>
    <col min="6433" max="6656" width="9.33203125" style="58"/>
    <col min="6657" max="6657" width="2.83203125" style="58" customWidth="1"/>
    <col min="6658" max="6658" width="5.6640625" style="58" customWidth="1"/>
    <col min="6659" max="6659" width="45.6640625" style="58" customWidth="1"/>
    <col min="6660" max="6660" width="18" style="58" customWidth="1"/>
    <col min="6661" max="6661" width="17.33203125" style="58" bestFit="1" customWidth="1"/>
    <col min="6662" max="6662" width="15.6640625" style="58" bestFit="1" customWidth="1"/>
    <col min="6663" max="6663" width="16.33203125" style="58" bestFit="1" customWidth="1"/>
    <col min="6664" max="6664" width="14.6640625" style="58" customWidth="1"/>
    <col min="6665" max="6665" width="14.83203125" style="58" bestFit="1" customWidth="1"/>
    <col min="6666" max="6666" width="16" style="58" bestFit="1" customWidth="1"/>
    <col min="6667" max="6667" width="16.33203125" style="58" bestFit="1" customWidth="1"/>
    <col min="6668" max="6668" width="15.1640625" style="58" bestFit="1" customWidth="1"/>
    <col min="6669" max="6669" width="17.1640625" style="58" bestFit="1" customWidth="1"/>
    <col min="6670" max="6670" width="16" style="58" bestFit="1" customWidth="1"/>
    <col min="6671" max="6671" width="16" style="58" customWidth="1"/>
    <col min="6672" max="6672" width="16.5" style="58" bestFit="1" customWidth="1"/>
    <col min="6673" max="6673" width="13.6640625" style="58" customWidth="1"/>
    <col min="6674" max="6674" width="16.33203125" style="58" bestFit="1" customWidth="1"/>
    <col min="6675" max="6675" width="12.33203125" style="58" bestFit="1" customWidth="1"/>
    <col min="6676" max="6676" width="15.83203125" style="58" bestFit="1" customWidth="1"/>
    <col min="6677" max="6677" width="16.33203125" style="58" bestFit="1" customWidth="1"/>
    <col min="6678" max="6678" width="19.6640625" style="58" bestFit="1" customWidth="1"/>
    <col min="6679" max="6679" width="1.5" style="58" customWidth="1"/>
    <col min="6680" max="6680" width="1.1640625" style="58" customWidth="1"/>
    <col min="6681" max="6681" width="17" style="58" customWidth="1"/>
    <col min="6682" max="6682" width="18" style="58" bestFit="1" customWidth="1"/>
    <col min="6683" max="6683" width="17.33203125" style="58" bestFit="1" customWidth="1"/>
    <col min="6684" max="6684" width="15.6640625" style="58" bestFit="1" customWidth="1"/>
    <col min="6685" max="6685" width="12.83203125" style="58" customWidth="1"/>
    <col min="6686" max="6687" width="12.1640625" style="58" bestFit="1" customWidth="1"/>
    <col min="6688" max="6688" width="17.6640625" style="58" bestFit="1" customWidth="1"/>
    <col min="6689" max="6912" width="9.33203125" style="58"/>
    <col min="6913" max="6913" width="2.83203125" style="58" customWidth="1"/>
    <col min="6914" max="6914" width="5.6640625" style="58" customWidth="1"/>
    <col min="6915" max="6915" width="45.6640625" style="58" customWidth="1"/>
    <col min="6916" max="6916" width="18" style="58" customWidth="1"/>
    <col min="6917" max="6917" width="17.33203125" style="58" bestFit="1" customWidth="1"/>
    <col min="6918" max="6918" width="15.6640625" style="58" bestFit="1" customWidth="1"/>
    <col min="6919" max="6919" width="16.33203125" style="58" bestFit="1" customWidth="1"/>
    <col min="6920" max="6920" width="14.6640625" style="58" customWidth="1"/>
    <col min="6921" max="6921" width="14.83203125" style="58" bestFit="1" customWidth="1"/>
    <col min="6922" max="6922" width="16" style="58" bestFit="1" customWidth="1"/>
    <col min="6923" max="6923" width="16.33203125" style="58" bestFit="1" customWidth="1"/>
    <col min="6924" max="6924" width="15.1640625" style="58" bestFit="1" customWidth="1"/>
    <col min="6925" max="6925" width="17.1640625" style="58" bestFit="1" customWidth="1"/>
    <col min="6926" max="6926" width="16" style="58" bestFit="1" customWidth="1"/>
    <col min="6927" max="6927" width="16" style="58" customWidth="1"/>
    <col min="6928" max="6928" width="16.5" style="58" bestFit="1" customWidth="1"/>
    <col min="6929" max="6929" width="13.6640625" style="58" customWidth="1"/>
    <col min="6930" max="6930" width="16.33203125" style="58" bestFit="1" customWidth="1"/>
    <col min="6931" max="6931" width="12.33203125" style="58" bestFit="1" customWidth="1"/>
    <col min="6932" max="6932" width="15.83203125" style="58" bestFit="1" customWidth="1"/>
    <col min="6933" max="6933" width="16.33203125" style="58" bestFit="1" customWidth="1"/>
    <col min="6934" max="6934" width="19.6640625" style="58" bestFit="1" customWidth="1"/>
    <col min="6935" max="6935" width="1.5" style="58" customWidth="1"/>
    <col min="6936" max="6936" width="1.1640625" style="58" customWidth="1"/>
    <col min="6937" max="6937" width="17" style="58" customWidth="1"/>
    <col min="6938" max="6938" width="18" style="58" bestFit="1" customWidth="1"/>
    <col min="6939" max="6939" width="17.33203125" style="58" bestFit="1" customWidth="1"/>
    <col min="6940" max="6940" width="15.6640625" style="58" bestFit="1" customWidth="1"/>
    <col min="6941" max="6941" width="12.83203125" style="58" customWidth="1"/>
    <col min="6942" max="6943" width="12.1640625" style="58" bestFit="1" customWidth="1"/>
    <col min="6944" max="6944" width="17.6640625" style="58" bestFit="1" customWidth="1"/>
    <col min="6945" max="7168" width="9.33203125" style="58"/>
    <col min="7169" max="7169" width="2.83203125" style="58" customWidth="1"/>
    <col min="7170" max="7170" width="5.6640625" style="58" customWidth="1"/>
    <col min="7171" max="7171" width="45.6640625" style="58" customWidth="1"/>
    <col min="7172" max="7172" width="18" style="58" customWidth="1"/>
    <col min="7173" max="7173" width="17.33203125" style="58" bestFit="1" customWidth="1"/>
    <col min="7174" max="7174" width="15.6640625" style="58" bestFit="1" customWidth="1"/>
    <col min="7175" max="7175" width="16.33203125" style="58" bestFit="1" customWidth="1"/>
    <col min="7176" max="7176" width="14.6640625" style="58" customWidth="1"/>
    <col min="7177" max="7177" width="14.83203125" style="58" bestFit="1" customWidth="1"/>
    <col min="7178" max="7178" width="16" style="58" bestFit="1" customWidth="1"/>
    <col min="7179" max="7179" width="16.33203125" style="58" bestFit="1" customWidth="1"/>
    <col min="7180" max="7180" width="15.1640625" style="58" bestFit="1" customWidth="1"/>
    <col min="7181" max="7181" width="17.1640625" style="58" bestFit="1" customWidth="1"/>
    <col min="7182" max="7182" width="16" style="58" bestFit="1" customWidth="1"/>
    <col min="7183" max="7183" width="16" style="58" customWidth="1"/>
    <col min="7184" max="7184" width="16.5" style="58" bestFit="1" customWidth="1"/>
    <col min="7185" max="7185" width="13.6640625" style="58" customWidth="1"/>
    <col min="7186" max="7186" width="16.33203125" style="58" bestFit="1" customWidth="1"/>
    <col min="7187" max="7187" width="12.33203125" style="58" bestFit="1" customWidth="1"/>
    <col min="7188" max="7188" width="15.83203125" style="58" bestFit="1" customWidth="1"/>
    <col min="7189" max="7189" width="16.33203125" style="58" bestFit="1" customWidth="1"/>
    <col min="7190" max="7190" width="19.6640625" style="58" bestFit="1" customWidth="1"/>
    <col min="7191" max="7191" width="1.5" style="58" customWidth="1"/>
    <col min="7192" max="7192" width="1.1640625" style="58" customWidth="1"/>
    <col min="7193" max="7193" width="17" style="58" customWidth="1"/>
    <col min="7194" max="7194" width="18" style="58" bestFit="1" customWidth="1"/>
    <col min="7195" max="7195" width="17.33203125" style="58" bestFit="1" customWidth="1"/>
    <col min="7196" max="7196" width="15.6640625" style="58" bestFit="1" customWidth="1"/>
    <col min="7197" max="7197" width="12.83203125" style="58" customWidth="1"/>
    <col min="7198" max="7199" width="12.1640625" style="58" bestFit="1" customWidth="1"/>
    <col min="7200" max="7200" width="17.6640625" style="58" bestFit="1" customWidth="1"/>
    <col min="7201" max="7424" width="9.33203125" style="58"/>
    <col min="7425" max="7425" width="2.83203125" style="58" customWidth="1"/>
    <col min="7426" max="7426" width="5.6640625" style="58" customWidth="1"/>
    <col min="7427" max="7427" width="45.6640625" style="58" customWidth="1"/>
    <col min="7428" max="7428" width="18" style="58" customWidth="1"/>
    <col min="7429" max="7429" width="17.33203125" style="58" bestFit="1" customWidth="1"/>
    <col min="7430" max="7430" width="15.6640625" style="58" bestFit="1" customWidth="1"/>
    <col min="7431" max="7431" width="16.33203125" style="58" bestFit="1" customWidth="1"/>
    <col min="7432" max="7432" width="14.6640625" style="58" customWidth="1"/>
    <col min="7433" max="7433" width="14.83203125" style="58" bestFit="1" customWidth="1"/>
    <col min="7434" max="7434" width="16" style="58" bestFit="1" customWidth="1"/>
    <col min="7435" max="7435" width="16.33203125" style="58" bestFit="1" customWidth="1"/>
    <col min="7436" max="7436" width="15.1640625" style="58" bestFit="1" customWidth="1"/>
    <col min="7437" max="7437" width="17.1640625" style="58" bestFit="1" customWidth="1"/>
    <col min="7438" max="7438" width="16" style="58" bestFit="1" customWidth="1"/>
    <col min="7439" max="7439" width="16" style="58" customWidth="1"/>
    <col min="7440" max="7440" width="16.5" style="58" bestFit="1" customWidth="1"/>
    <col min="7441" max="7441" width="13.6640625" style="58" customWidth="1"/>
    <col min="7442" max="7442" width="16.33203125" style="58" bestFit="1" customWidth="1"/>
    <col min="7443" max="7443" width="12.33203125" style="58" bestFit="1" customWidth="1"/>
    <col min="7444" max="7444" width="15.83203125" style="58" bestFit="1" customWidth="1"/>
    <col min="7445" max="7445" width="16.33203125" style="58" bestFit="1" customWidth="1"/>
    <col min="7446" max="7446" width="19.6640625" style="58" bestFit="1" customWidth="1"/>
    <col min="7447" max="7447" width="1.5" style="58" customWidth="1"/>
    <col min="7448" max="7448" width="1.1640625" style="58" customWidth="1"/>
    <col min="7449" max="7449" width="17" style="58" customWidth="1"/>
    <col min="7450" max="7450" width="18" style="58" bestFit="1" customWidth="1"/>
    <col min="7451" max="7451" width="17.33203125" style="58" bestFit="1" customWidth="1"/>
    <col min="7452" max="7452" width="15.6640625" style="58" bestFit="1" customWidth="1"/>
    <col min="7453" max="7453" width="12.83203125" style="58" customWidth="1"/>
    <col min="7454" max="7455" width="12.1640625" style="58" bestFit="1" customWidth="1"/>
    <col min="7456" max="7456" width="17.6640625" style="58" bestFit="1" customWidth="1"/>
    <col min="7457" max="7680" width="9.33203125" style="58"/>
    <col min="7681" max="7681" width="2.83203125" style="58" customWidth="1"/>
    <col min="7682" max="7682" width="5.6640625" style="58" customWidth="1"/>
    <col min="7683" max="7683" width="45.6640625" style="58" customWidth="1"/>
    <col min="7684" max="7684" width="18" style="58" customWidth="1"/>
    <col min="7685" max="7685" width="17.33203125" style="58" bestFit="1" customWidth="1"/>
    <col min="7686" max="7686" width="15.6640625" style="58" bestFit="1" customWidth="1"/>
    <col min="7687" max="7687" width="16.33203125" style="58" bestFit="1" customWidth="1"/>
    <col min="7688" max="7688" width="14.6640625" style="58" customWidth="1"/>
    <col min="7689" max="7689" width="14.83203125" style="58" bestFit="1" customWidth="1"/>
    <col min="7690" max="7690" width="16" style="58" bestFit="1" customWidth="1"/>
    <col min="7691" max="7691" width="16.33203125" style="58" bestFit="1" customWidth="1"/>
    <col min="7692" max="7692" width="15.1640625" style="58" bestFit="1" customWidth="1"/>
    <col min="7693" max="7693" width="17.1640625" style="58" bestFit="1" customWidth="1"/>
    <col min="7694" max="7694" width="16" style="58" bestFit="1" customWidth="1"/>
    <col min="7695" max="7695" width="16" style="58" customWidth="1"/>
    <col min="7696" max="7696" width="16.5" style="58" bestFit="1" customWidth="1"/>
    <col min="7697" max="7697" width="13.6640625" style="58" customWidth="1"/>
    <col min="7698" max="7698" width="16.33203125" style="58" bestFit="1" customWidth="1"/>
    <col min="7699" max="7699" width="12.33203125" style="58" bestFit="1" customWidth="1"/>
    <col min="7700" max="7700" width="15.83203125" style="58" bestFit="1" customWidth="1"/>
    <col min="7701" max="7701" width="16.33203125" style="58" bestFit="1" customWidth="1"/>
    <col min="7702" max="7702" width="19.6640625" style="58" bestFit="1" customWidth="1"/>
    <col min="7703" max="7703" width="1.5" style="58" customWidth="1"/>
    <col min="7704" max="7704" width="1.1640625" style="58" customWidth="1"/>
    <col min="7705" max="7705" width="17" style="58" customWidth="1"/>
    <col min="7706" max="7706" width="18" style="58" bestFit="1" customWidth="1"/>
    <col min="7707" max="7707" width="17.33203125" style="58" bestFit="1" customWidth="1"/>
    <col min="7708" max="7708" width="15.6640625" style="58" bestFit="1" customWidth="1"/>
    <col min="7709" max="7709" width="12.83203125" style="58" customWidth="1"/>
    <col min="7710" max="7711" width="12.1640625" style="58" bestFit="1" customWidth="1"/>
    <col min="7712" max="7712" width="17.6640625" style="58" bestFit="1" customWidth="1"/>
    <col min="7713" max="7936" width="9.33203125" style="58"/>
    <col min="7937" max="7937" width="2.83203125" style="58" customWidth="1"/>
    <col min="7938" max="7938" width="5.6640625" style="58" customWidth="1"/>
    <col min="7939" max="7939" width="45.6640625" style="58" customWidth="1"/>
    <col min="7940" max="7940" width="18" style="58" customWidth="1"/>
    <col min="7941" max="7941" width="17.33203125" style="58" bestFit="1" customWidth="1"/>
    <col min="7942" max="7942" width="15.6640625" style="58" bestFit="1" customWidth="1"/>
    <col min="7943" max="7943" width="16.33203125" style="58" bestFit="1" customWidth="1"/>
    <col min="7944" max="7944" width="14.6640625" style="58" customWidth="1"/>
    <col min="7945" max="7945" width="14.83203125" style="58" bestFit="1" customWidth="1"/>
    <col min="7946" max="7946" width="16" style="58" bestFit="1" customWidth="1"/>
    <col min="7947" max="7947" width="16.33203125" style="58" bestFit="1" customWidth="1"/>
    <col min="7948" max="7948" width="15.1640625" style="58" bestFit="1" customWidth="1"/>
    <col min="7949" max="7949" width="17.1640625" style="58" bestFit="1" customWidth="1"/>
    <col min="7950" max="7950" width="16" style="58" bestFit="1" customWidth="1"/>
    <col min="7951" max="7951" width="16" style="58" customWidth="1"/>
    <col min="7952" max="7952" width="16.5" style="58" bestFit="1" customWidth="1"/>
    <col min="7953" max="7953" width="13.6640625" style="58" customWidth="1"/>
    <col min="7954" max="7954" width="16.33203125" style="58" bestFit="1" customWidth="1"/>
    <col min="7955" max="7955" width="12.33203125" style="58" bestFit="1" customWidth="1"/>
    <col min="7956" max="7956" width="15.83203125" style="58" bestFit="1" customWidth="1"/>
    <col min="7957" max="7957" width="16.33203125" style="58" bestFit="1" customWidth="1"/>
    <col min="7958" max="7958" width="19.6640625" style="58" bestFit="1" customWidth="1"/>
    <col min="7959" max="7959" width="1.5" style="58" customWidth="1"/>
    <col min="7960" max="7960" width="1.1640625" style="58" customWidth="1"/>
    <col min="7961" max="7961" width="17" style="58" customWidth="1"/>
    <col min="7962" max="7962" width="18" style="58" bestFit="1" customWidth="1"/>
    <col min="7963" max="7963" width="17.33203125" style="58" bestFit="1" customWidth="1"/>
    <col min="7964" max="7964" width="15.6640625" style="58" bestFit="1" customWidth="1"/>
    <col min="7965" max="7965" width="12.83203125" style="58" customWidth="1"/>
    <col min="7966" max="7967" width="12.1640625" style="58" bestFit="1" customWidth="1"/>
    <col min="7968" max="7968" width="17.6640625" style="58" bestFit="1" customWidth="1"/>
    <col min="7969" max="8192" width="9.33203125" style="58"/>
    <col min="8193" max="8193" width="2.83203125" style="58" customWidth="1"/>
    <col min="8194" max="8194" width="5.6640625" style="58" customWidth="1"/>
    <col min="8195" max="8195" width="45.6640625" style="58" customWidth="1"/>
    <col min="8196" max="8196" width="18" style="58" customWidth="1"/>
    <col min="8197" max="8197" width="17.33203125" style="58" bestFit="1" customWidth="1"/>
    <col min="8198" max="8198" width="15.6640625" style="58" bestFit="1" customWidth="1"/>
    <col min="8199" max="8199" width="16.33203125" style="58" bestFit="1" customWidth="1"/>
    <col min="8200" max="8200" width="14.6640625" style="58" customWidth="1"/>
    <col min="8201" max="8201" width="14.83203125" style="58" bestFit="1" customWidth="1"/>
    <col min="8202" max="8202" width="16" style="58" bestFit="1" customWidth="1"/>
    <col min="8203" max="8203" width="16.33203125" style="58" bestFit="1" customWidth="1"/>
    <col min="8204" max="8204" width="15.1640625" style="58" bestFit="1" customWidth="1"/>
    <col min="8205" max="8205" width="17.1640625" style="58" bestFit="1" customWidth="1"/>
    <col min="8206" max="8206" width="16" style="58" bestFit="1" customWidth="1"/>
    <col min="8207" max="8207" width="16" style="58" customWidth="1"/>
    <col min="8208" max="8208" width="16.5" style="58" bestFit="1" customWidth="1"/>
    <col min="8209" max="8209" width="13.6640625" style="58" customWidth="1"/>
    <col min="8210" max="8210" width="16.33203125" style="58" bestFit="1" customWidth="1"/>
    <col min="8211" max="8211" width="12.33203125" style="58" bestFit="1" customWidth="1"/>
    <col min="8212" max="8212" width="15.83203125" style="58" bestFit="1" customWidth="1"/>
    <col min="8213" max="8213" width="16.33203125" style="58" bestFit="1" customWidth="1"/>
    <col min="8214" max="8214" width="19.6640625" style="58" bestFit="1" customWidth="1"/>
    <col min="8215" max="8215" width="1.5" style="58" customWidth="1"/>
    <col min="8216" max="8216" width="1.1640625" style="58" customWidth="1"/>
    <col min="8217" max="8217" width="17" style="58" customWidth="1"/>
    <col min="8218" max="8218" width="18" style="58" bestFit="1" customWidth="1"/>
    <col min="8219" max="8219" width="17.33203125" style="58" bestFit="1" customWidth="1"/>
    <col min="8220" max="8220" width="15.6640625" style="58" bestFit="1" customWidth="1"/>
    <col min="8221" max="8221" width="12.83203125" style="58" customWidth="1"/>
    <col min="8222" max="8223" width="12.1640625" style="58" bestFit="1" customWidth="1"/>
    <col min="8224" max="8224" width="17.6640625" style="58" bestFit="1" customWidth="1"/>
    <col min="8225" max="8448" width="9.33203125" style="58"/>
    <col min="8449" max="8449" width="2.83203125" style="58" customWidth="1"/>
    <col min="8450" max="8450" width="5.6640625" style="58" customWidth="1"/>
    <col min="8451" max="8451" width="45.6640625" style="58" customWidth="1"/>
    <col min="8452" max="8452" width="18" style="58" customWidth="1"/>
    <col min="8453" max="8453" width="17.33203125" style="58" bestFit="1" customWidth="1"/>
    <col min="8454" max="8454" width="15.6640625" style="58" bestFit="1" customWidth="1"/>
    <col min="8455" max="8455" width="16.33203125" style="58" bestFit="1" customWidth="1"/>
    <col min="8456" max="8456" width="14.6640625" style="58" customWidth="1"/>
    <col min="8457" max="8457" width="14.83203125" style="58" bestFit="1" customWidth="1"/>
    <col min="8458" max="8458" width="16" style="58" bestFit="1" customWidth="1"/>
    <col min="8459" max="8459" width="16.33203125" style="58" bestFit="1" customWidth="1"/>
    <col min="8460" max="8460" width="15.1640625" style="58" bestFit="1" customWidth="1"/>
    <col min="8461" max="8461" width="17.1640625" style="58" bestFit="1" customWidth="1"/>
    <col min="8462" max="8462" width="16" style="58" bestFit="1" customWidth="1"/>
    <col min="8463" max="8463" width="16" style="58" customWidth="1"/>
    <col min="8464" max="8464" width="16.5" style="58" bestFit="1" customWidth="1"/>
    <col min="8465" max="8465" width="13.6640625" style="58" customWidth="1"/>
    <col min="8466" max="8466" width="16.33203125" style="58" bestFit="1" customWidth="1"/>
    <col min="8467" max="8467" width="12.33203125" style="58" bestFit="1" customWidth="1"/>
    <col min="8468" max="8468" width="15.83203125" style="58" bestFit="1" customWidth="1"/>
    <col min="8469" max="8469" width="16.33203125" style="58" bestFit="1" customWidth="1"/>
    <col min="8470" max="8470" width="19.6640625" style="58" bestFit="1" customWidth="1"/>
    <col min="8471" max="8471" width="1.5" style="58" customWidth="1"/>
    <col min="8472" max="8472" width="1.1640625" style="58" customWidth="1"/>
    <col min="8473" max="8473" width="17" style="58" customWidth="1"/>
    <col min="8474" max="8474" width="18" style="58" bestFit="1" customWidth="1"/>
    <col min="8475" max="8475" width="17.33203125" style="58" bestFit="1" customWidth="1"/>
    <col min="8476" max="8476" width="15.6640625" style="58" bestFit="1" customWidth="1"/>
    <col min="8477" max="8477" width="12.83203125" style="58" customWidth="1"/>
    <col min="8478" max="8479" width="12.1640625" style="58" bestFit="1" customWidth="1"/>
    <col min="8480" max="8480" width="17.6640625" style="58" bestFit="1" customWidth="1"/>
    <col min="8481" max="8704" width="9.33203125" style="58"/>
    <col min="8705" max="8705" width="2.83203125" style="58" customWidth="1"/>
    <col min="8706" max="8706" width="5.6640625" style="58" customWidth="1"/>
    <col min="8707" max="8707" width="45.6640625" style="58" customWidth="1"/>
    <col min="8708" max="8708" width="18" style="58" customWidth="1"/>
    <col min="8709" max="8709" width="17.33203125" style="58" bestFit="1" customWidth="1"/>
    <col min="8710" max="8710" width="15.6640625" style="58" bestFit="1" customWidth="1"/>
    <col min="8711" max="8711" width="16.33203125" style="58" bestFit="1" customWidth="1"/>
    <col min="8712" max="8712" width="14.6640625" style="58" customWidth="1"/>
    <col min="8713" max="8713" width="14.83203125" style="58" bestFit="1" customWidth="1"/>
    <col min="8714" max="8714" width="16" style="58" bestFit="1" customWidth="1"/>
    <col min="8715" max="8715" width="16.33203125" style="58" bestFit="1" customWidth="1"/>
    <col min="8716" max="8716" width="15.1640625" style="58" bestFit="1" customWidth="1"/>
    <col min="8717" max="8717" width="17.1640625" style="58" bestFit="1" customWidth="1"/>
    <col min="8718" max="8718" width="16" style="58" bestFit="1" customWidth="1"/>
    <col min="8719" max="8719" width="16" style="58" customWidth="1"/>
    <col min="8720" max="8720" width="16.5" style="58" bestFit="1" customWidth="1"/>
    <col min="8721" max="8721" width="13.6640625" style="58" customWidth="1"/>
    <col min="8722" max="8722" width="16.33203125" style="58" bestFit="1" customWidth="1"/>
    <col min="8723" max="8723" width="12.33203125" style="58" bestFit="1" customWidth="1"/>
    <col min="8724" max="8724" width="15.83203125" style="58" bestFit="1" customWidth="1"/>
    <col min="8725" max="8725" width="16.33203125" style="58" bestFit="1" customWidth="1"/>
    <col min="8726" max="8726" width="19.6640625" style="58" bestFit="1" customWidth="1"/>
    <col min="8727" max="8727" width="1.5" style="58" customWidth="1"/>
    <col min="8728" max="8728" width="1.1640625" style="58" customWidth="1"/>
    <col min="8729" max="8729" width="17" style="58" customWidth="1"/>
    <col min="8730" max="8730" width="18" style="58" bestFit="1" customWidth="1"/>
    <col min="8731" max="8731" width="17.33203125" style="58" bestFit="1" customWidth="1"/>
    <col min="8732" max="8732" width="15.6640625" style="58" bestFit="1" customWidth="1"/>
    <col min="8733" max="8733" width="12.83203125" style="58" customWidth="1"/>
    <col min="8734" max="8735" width="12.1640625" style="58" bestFit="1" customWidth="1"/>
    <col min="8736" max="8736" width="17.6640625" style="58" bestFit="1" customWidth="1"/>
    <col min="8737" max="8960" width="9.33203125" style="58"/>
    <col min="8961" max="8961" width="2.83203125" style="58" customWidth="1"/>
    <col min="8962" max="8962" width="5.6640625" style="58" customWidth="1"/>
    <col min="8963" max="8963" width="45.6640625" style="58" customWidth="1"/>
    <col min="8964" max="8964" width="18" style="58" customWidth="1"/>
    <col min="8965" max="8965" width="17.33203125" style="58" bestFit="1" customWidth="1"/>
    <col min="8966" max="8966" width="15.6640625" style="58" bestFit="1" customWidth="1"/>
    <col min="8967" max="8967" width="16.33203125" style="58" bestFit="1" customWidth="1"/>
    <col min="8968" max="8968" width="14.6640625" style="58" customWidth="1"/>
    <col min="8969" max="8969" width="14.83203125" style="58" bestFit="1" customWidth="1"/>
    <col min="8970" max="8970" width="16" style="58" bestFit="1" customWidth="1"/>
    <col min="8971" max="8971" width="16.33203125" style="58" bestFit="1" customWidth="1"/>
    <col min="8972" max="8972" width="15.1640625" style="58" bestFit="1" customWidth="1"/>
    <col min="8973" max="8973" width="17.1640625" style="58" bestFit="1" customWidth="1"/>
    <col min="8974" max="8974" width="16" style="58" bestFit="1" customWidth="1"/>
    <col min="8975" max="8975" width="16" style="58" customWidth="1"/>
    <col min="8976" max="8976" width="16.5" style="58" bestFit="1" customWidth="1"/>
    <col min="8977" max="8977" width="13.6640625" style="58" customWidth="1"/>
    <col min="8978" max="8978" width="16.33203125" style="58" bestFit="1" customWidth="1"/>
    <col min="8979" max="8979" width="12.33203125" style="58" bestFit="1" customWidth="1"/>
    <col min="8980" max="8980" width="15.83203125" style="58" bestFit="1" customWidth="1"/>
    <col min="8981" max="8981" width="16.33203125" style="58" bestFit="1" customWidth="1"/>
    <col min="8982" max="8982" width="19.6640625" style="58" bestFit="1" customWidth="1"/>
    <col min="8983" max="8983" width="1.5" style="58" customWidth="1"/>
    <col min="8984" max="8984" width="1.1640625" style="58" customWidth="1"/>
    <col min="8985" max="8985" width="17" style="58" customWidth="1"/>
    <col min="8986" max="8986" width="18" style="58" bestFit="1" customWidth="1"/>
    <col min="8987" max="8987" width="17.33203125" style="58" bestFit="1" customWidth="1"/>
    <col min="8988" max="8988" width="15.6640625" style="58" bestFit="1" customWidth="1"/>
    <col min="8989" max="8989" width="12.83203125" style="58" customWidth="1"/>
    <col min="8990" max="8991" width="12.1640625" style="58" bestFit="1" customWidth="1"/>
    <col min="8992" max="8992" width="17.6640625" style="58" bestFit="1" customWidth="1"/>
    <col min="8993" max="9216" width="9.33203125" style="58"/>
    <col min="9217" max="9217" width="2.83203125" style="58" customWidth="1"/>
    <col min="9218" max="9218" width="5.6640625" style="58" customWidth="1"/>
    <col min="9219" max="9219" width="45.6640625" style="58" customWidth="1"/>
    <col min="9220" max="9220" width="18" style="58" customWidth="1"/>
    <col min="9221" max="9221" width="17.33203125" style="58" bestFit="1" customWidth="1"/>
    <col min="9222" max="9222" width="15.6640625" style="58" bestFit="1" customWidth="1"/>
    <col min="9223" max="9223" width="16.33203125" style="58" bestFit="1" customWidth="1"/>
    <col min="9224" max="9224" width="14.6640625" style="58" customWidth="1"/>
    <col min="9225" max="9225" width="14.83203125" style="58" bestFit="1" customWidth="1"/>
    <col min="9226" max="9226" width="16" style="58" bestFit="1" customWidth="1"/>
    <col min="9227" max="9227" width="16.33203125" style="58" bestFit="1" customWidth="1"/>
    <col min="9228" max="9228" width="15.1640625" style="58" bestFit="1" customWidth="1"/>
    <col min="9229" max="9229" width="17.1640625" style="58" bestFit="1" customWidth="1"/>
    <col min="9230" max="9230" width="16" style="58" bestFit="1" customWidth="1"/>
    <col min="9231" max="9231" width="16" style="58" customWidth="1"/>
    <col min="9232" max="9232" width="16.5" style="58" bestFit="1" customWidth="1"/>
    <col min="9233" max="9233" width="13.6640625" style="58" customWidth="1"/>
    <col min="9234" max="9234" width="16.33203125" style="58" bestFit="1" customWidth="1"/>
    <col min="9235" max="9235" width="12.33203125" style="58" bestFit="1" customWidth="1"/>
    <col min="9236" max="9236" width="15.83203125" style="58" bestFit="1" customWidth="1"/>
    <col min="9237" max="9237" width="16.33203125" style="58" bestFit="1" customWidth="1"/>
    <col min="9238" max="9238" width="19.6640625" style="58" bestFit="1" customWidth="1"/>
    <col min="9239" max="9239" width="1.5" style="58" customWidth="1"/>
    <col min="9240" max="9240" width="1.1640625" style="58" customWidth="1"/>
    <col min="9241" max="9241" width="17" style="58" customWidth="1"/>
    <col min="9242" max="9242" width="18" style="58" bestFit="1" customWidth="1"/>
    <col min="9243" max="9243" width="17.33203125" style="58" bestFit="1" customWidth="1"/>
    <col min="9244" max="9244" width="15.6640625" style="58" bestFit="1" customWidth="1"/>
    <col min="9245" max="9245" width="12.83203125" style="58" customWidth="1"/>
    <col min="9246" max="9247" width="12.1640625" style="58" bestFit="1" customWidth="1"/>
    <col min="9248" max="9248" width="17.6640625" style="58" bestFit="1" customWidth="1"/>
    <col min="9249" max="9472" width="9.33203125" style="58"/>
    <col min="9473" max="9473" width="2.83203125" style="58" customWidth="1"/>
    <col min="9474" max="9474" width="5.6640625" style="58" customWidth="1"/>
    <col min="9475" max="9475" width="45.6640625" style="58" customWidth="1"/>
    <col min="9476" max="9476" width="18" style="58" customWidth="1"/>
    <col min="9477" max="9477" width="17.33203125" style="58" bestFit="1" customWidth="1"/>
    <col min="9478" max="9478" width="15.6640625" style="58" bestFit="1" customWidth="1"/>
    <col min="9479" max="9479" width="16.33203125" style="58" bestFit="1" customWidth="1"/>
    <col min="9480" max="9480" width="14.6640625" style="58" customWidth="1"/>
    <col min="9481" max="9481" width="14.83203125" style="58" bestFit="1" customWidth="1"/>
    <col min="9482" max="9482" width="16" style="58" bestFit="1" customWidth="1"/>
    <col min="9483" max="9483" width="16.33203125" style="58" bestFit="1" customWidth="1"/>
    <col min="9484" max="9484" width="15.1640625" style="58" bestFit="1" customWidth="1"/>
    <col min="9485" max="9485" width="17.1640625" style="58" bestFit="1" customWidth="1"/>
    <col min="9486" max="9486" width="16" style="58" bestFit="1" customWidth="1"/>
    <col min="9487" max="9487" width="16" style="58" customWidth="1"/>
    <col min="9488" max="9488" width="16.5" style="58" bestFit="1" customWidth="1"/>
    <col min="9489" max="9489" width="13.6640625" style="58" customWidth="1"/>
    <col min="9490" max="9490" width="16.33203125" style="58" bestFit="1" customWidth="1"/>
    <col min="9491" max="9491" width="12.33203125" style="58" bestFit="1" customWidth="1"/>
    <col min="9492" max="9492" width="15.83203125" style="58" bestFit="1" customWidth="1"/>
    <col min="9493" max="9493" width="16.33203125" style="58" bestFit="1" customWidth="1"/>
    <col min="9494" max="9494" width="19.6640625" style="58" bestFit="1" customWidth="1"/>
    <col min="9495" max="9495" width="1.5" style="58" customWidth="1"/>
    <col min="9496" max="9496" width="1.1640625" style="58" customWidth="1"/>
    <col min="9497" max="9497" width="17" style="58" customWidth="1"/>
    <col min="9498" max="9498" width="18" style="58" bestFit="1" customWidth="1"/>
    <col min="9499" max="9499" width="17.33203125" style="58" bestFit="1" customWidth="1"/>
    <col min="9500" max="9500" width="15.6640625" style="58" bestFit="1" customWidth="1"/>
    <col min="9501" max="9501" width="12.83203125" style="58" customWidth="1"/>
    <col min="9502" max="9503" width="12.1640625" style="58" bestFit="1" customWidth="1"/>
    <col min="9504" max="9504" width="17.6640625" style="58" bestFit="1" customWidth="1"/>
    <col min="9505" max="9728" width="9.33203125" style="58"/>
    <col min="9729" max="9729" width="2.83203125" style="58" customWidth="1"/>
    <col min="9730" max="9730" width="5.6640625" style="58" customWidth="1"/>
    <col min="9731" max="9731" width="45.6640625" style="58" customWidth="1"/>
    <col min="9732" max="9732" width="18" style="58" customWidth="1"/>
    <col min="9733" max="9733" width="17.33203125" style="58" bestFit="1" customWidth="1"/>
    <col min="9734" max="9734" width="15.6640625" style="58" bestFit="1" customWidth="1"/>
    <col min="9735" max="9735" width="16.33203125" style="58" bestFit="1" customWidth="1"/>
    <col min="9736" max="9736" width="14.6640625" style="58" customWidth="1"/>
    <col min="9737" max="9737" width="14.83203125" style="58" bestFit="1" customWidth="1"/>
    <col min="9738" max="9738" width="16" style="58" bestFit="1" customWidth="1"/>
    <col min="9739" max="9739" width="16.33203125" style="58" bestFit="1" customWidth="1"/>
    <col min="9740" max="9740" width="15.1640625" style="58" bestFit="1" customWidth="1"/>
    <col min="9741" max="9741" width="17.1640625" style="58" bestFit="1" customWidth="1"/>
    <col min="9742" max="9742" width="16" style="58" bestFit="1" customWidth="1"/>
    <col min="9743" max="9743" width="16" style="58" customWidth="1"/>
    <col min="9744" max="9744" width="16.5" style="58" bestFit="1" customWidth="1"/>
    <col min="9745" max="9745" width="13.6640625" style="58" customWidth="1"/>
    <col min="9746" max="9746" width="16.33203125" style="58" bestFit="1" customWidth="1"/>
    <col min="9747" max="9747" width="12.33203125" style="58" bestFit="1" customWidth="1"/>
    <col min="9748" max="9748" width="15.83203125" style="58" bestFit="1" customWidth="1"/>
    <col min="9749" max="9749" width="16.33203125" style="58" bestFit="1" customWidth="1"/>
    <col min="9750" max="9750" width="19.6640625" style="58" bestFit="1" customWidth="1"/>
    <col min="9751" max="9751" width="1.5" style="58" customWidth="1"/>
    <col min="9752" max="9752" width="1.1640625" style="58" customWidth="1"/>
    <col min="9753" max="9753" width="17" style="58" customWidth="1"/>
    <col min="9754" max="9754" width="18" style="58" bestFit="1" customWidth="1"/>
    <col min="9755" max="9755" width="17.33203125" style="58" bestFit="1" customWidth="1"/>
    <col min="9756" max="9756" width="15.6640625" style="58" bestFit="1" customWidth="1"/>
    <col min="9757" max="9757" width="12.83203125" style="58" customWidth="1"/>
    <col min="9758" max="9759" width="12.1640625" style="58" bestFit="1" customWidth="1"/>
    <col min="9760" max="9760" width="17.6640625" style="58" bestFit="1" customWidth="1"/>
    <col min="9761" max="9984" width="9.33203125" style="58"/>
    <col min="9985" max="9985" width="2.83203125" style="58" customWidth="1"/>
    <col min="9986" max="9986" width="5.6640625" style="58" customWidth="1"/>
    <col min="9987" max="9987" width="45.6640625" style="58" customWidth="1"/>
    <col min="9988" max="9988" width="18" style="58" customWidth="1"/>
    <col min="9989" max="9989" width="17.33203125" style="58" bestFit="1" customWidth="1"/>
    <col min="9990" max="9990" width="15.6640625" style="58" bestFit="1" customWidth="1"/>
    <col min="9991" max="9991" width="16.33203125" style="58" bestFit="1" customWidth="1"/>
    <col min="9992" max="9992" width="14.6640625" style="58" customWidth="1"/>
    <col min="9993" max="9993" width="14.83203125" style="58" bestFit="1" customWidth="1"/>
    <col min="9994" max="9994" width="16" style="58" bestFit="1" customWidth="1"/>
    <col min="9995" max="9995" width="16.33203125" style="58" bestFit="1" customWidth="1"/>
    <col min="9996" max="9996" width="15.1640625" style="58" bestFit="1" customWidth="1"/>
    <col min="9997" max="9997" width="17.1640625" style="58" bestFit="1" customWidth="1"/>
    <col min="9998" max="9998" width="16" style="58" bestFit="1" customWidth="1"/>
    <col min="9999" max="9999" width="16" style="58" customWidth="1"/>
    <col min="10000" max="10000" width="16.5" style="58" bestFit="1" customWidth="1"/>
    <col min="10001" max="10001" width="13.6640625" style="58" customWidth="1"/>
    <col min="10002" max="10002" width="16.33203125" style="58" bestFit="1" customWidth="1"/>
    <col min="10003" max="10003" width="12.33203125" style="58" bestFit="1" customWidth="1"/>
    <col min="10004" max="10004" width="15.83203125" style="58" bestFit="1" customWidth="1"/>
    <col min="10005" max="10005" width="16.33203125" style="58" bestFit="1" customWidth="1"/>
    <col min="10006" max="10006" width="19.6640625" style="58" bestFit="1" customWidth="1"/>
    <col min="10007" max="10007" width="1.5" style="58" customWidth="1"/>
    <col min="10008" max="10008" width="1.1640625" style="58" customWidth="1"/>
    <col min="10009" max="10009" width="17" style="58" customWidth="1"/>
    <col min="10010" max="10010" width="18" style="58" bestFit="1" customWidth="1"/>
    <col min="10011" max="10011" width="17.33203125" style="58" bestFit="1" customWidth="1"/>
    <col min="10012" max="10012" width="15.6640625" style="58" bestFit="1" customWidth="1"/>
    <col min="10013" max="10013" width="12.83203125" style="58" customWidth="1"/>
    <col min="10014" max="10015" width="12.1640625" style="58" bestFit="1" customWidth="1"/>
    <col min="10016" max="10016" width="17.6640625" style="58" bestFit="1" customWidth="1"/>
    <col min="10017" max="10240" width="9.33203125" style="58"/>
    <col min="10241" max="10241" width="2.83203125" style="58" customWidth="1"/>
    <col min="10242" max="10242" width="5.6640625" style="58" customWidth="1"/>
    <col min="10243" max="10243" width="45.6640625" style="58" customWidth="1"/>
    <col min="10244" max="10244" width="18" style="58" customWidth="1"/>
    <col min="10245" max="10245" width="17.33203125" style="58" bestFit="1" customWidth="1"/>
    <col min="10246" max="10246" width="15.6640625" style="58" bestFit="1" customWidth="1"/>
    <col min="10247" max="10247" width="16.33203125" style="58" bestFit="1" customWidth="1"/>
    <col min="10248" max="10248" width="14.6640625" style="58" customWidth="1"/>
    <col min="10249" max="10249" width="14.83203125" style="58" bestFit="1" customWidth="1"/>
    <col min="10250" max="10250" width="16" style="58" bestFit="1" customWidth="1"/>
    <col min="10251" max="10251" width="16.33203125" style="58" bestFit="1" customWidth="1"/>
    <col min="10252" max="10252" width="15.1640625" style="58" bestFit="1" customWidth="1"/>
    <col min="10253" max="10253" width="17.1640625" style="58" bestFit="1" customWidth="1"/>
    <col min="10254" max="10254" width="16" style="58" bestFit="1" customWidth="1"/>
    <col min="10255" max="10255" width="16" style="58" customWidth="1"/>
    <col min="10256" max="10256" width="16.5" style="58" bestFit="1" customWidth="1"/>
    <col min="10257" max="10257" width="13.6640625" style="58" customWidth="1"/>
    <col min="10258" max="10258" width="16.33203125" style="58" bestFit="1" customWidth="1"/>
    <col min="10259" max="10259" width="12.33203125" style="58" bestFit="1" customWidth="1"/>
    <col min="10260" max="10260" width="15.83203125" style="58" bestFit="1" customWidth="1"/>
    <col min="10261" max="10261" width="16.33203125" style="58" bestFit="1" customWidth="1"/>
    <col min="10262" max="10262" width="19.6640625" style="58" bestFit="1" customWidth="1"/>
    <col min="10263" max="10263" width="1.5" style="58" customWidth="1"/>
    <col min="10264" max="10264" width="1.1640625" style="58" customWidth="1"/>
    <col min="10265" max="10265" width="17" style="58" customWidth="1"/>
    <col min="10266" max="10266" width="18" style="58" bestFit="1" customWidth="1"/>
    <col min="10267" max="10267" width="17.33203125" style="58" bestFit="1" customWidth="1"/>
    <col min="10268" max="10268" width="15.6640625" style="58" bestFit="1" customWidth="1"/>
    <col min="10269" max="10269" width="12.83203125" style="58" customWidth="1"/>
    <col min="10270" max="10271" width="12.1640625" style="58" bestFit="1" customWidth="1"/>
    <col min="10272" max="10272" width="17.6640625" style="58" bestFit="1" customWidth="1"/>
    <col min="10273" max="10496" width="9.33203125" style="58"/>
    <col min="10497" max="10497" width="2.83203125" style="58" customWidth="1"/>
    <col min="10498" max="10498" width="5.6640625" style="58" customWidth="1"/>
    <col min="10499" max="10499" width="45.6640625" style="58" customWidth="1"/>
    <col min="10500" max="10500" width="18" style="58" customWidth="1"/>
    <col min="10501" max="10501" width="17.33203125" style="58" bestFit="1" customWidth="1"/>
    <col min="10502" max="10502" width="15.6640625" style="58" bestFit="1" customWidth="1"/>
    <col min="10503" max="10503" width="16.33203125" style="58" bestFit="1" customWidth="1"/>
    <col min="10504" max="10504" width="14.6640625" style="58" customWidth="1"/>
    <col min="10505" max="10505" width="14.83203125" style="58" bestFit="1" customWidth="1"/>
    <col min="10506" max="10506" width="16" style="58" bestFit="1" customWidth="1"/>
    <col min="10507" max="10507" width="16.33203125" style="58" bestFit="1" customWidth="1"/>
    <col min="10508" max="10508" width="15.1640625" style="58" bestFit="1" customWidth="1"/>
    <col min="10509" max="10509" width="17.1640625" style="58" bestFit="1" customWidth="1"/>
    <col min="10510" max="10510" width="16" style="58" bestFit="1" customWidth="1"/>
    <col min="10511" max="10511" width="16" style="58" customWidth="1"/>
    <col min="10512" max="10512" width="16.5" style="58" bestFit="1" customWidth="1"/>
    <col min="10513" max="10513" width="13.6640625" style="58" customWidth="1"/>
    <col min="10514" max="10514" width="16.33203125" style="58" bestFit="1" customWidth="1"/>
    <col min="10515" max="10515" width="12.33203125" style="58" bestFit="1" customWidth="1"/>
    <col min="10516" max="10516" width="15.83203125" style="58" bestFit="1" customWidth="1"/>
    <col min="10517" max="10517" width="16.33203125" style="58" bestFit="1" customWidth="1"/>
    <col min="10518" max="10518" width="19.6640625" style="58" bestFit="1" customWidth="1"/>
    <col min="10519" max="10519" width="1.5" style="58" customWidth="1"/>
    <col min="10520" max="10520" width="1.1640625" style="58" customWidth="1"/>
    <col min="10521" max="10521" width="17" style="58" customWidth="1"/>
    <col min="10522" max="10522" width="18" style="58" bestFit="1" customWidth="1"/>
    <col min="10523" max="10523" width="17.33203125" style="58" bestFit="1" customWidth="1"/>
    <col min="10524" max="10524" width="15.6640625" style="58" bestFit="1" customWidth="1"/>
    <col min="10525" max="10525" width="12.83203125" style="58" customWidth="1"/>
    <col min="10526" max="10527" width="12.1640625" style="58" bestFit="1" customWidth="1"/>
    <col min="10528" max="10528" width="17.6640625" style="58" bestFit="1" customWidth="1"/>
    <col min="10529" max="10752" width="9.33203125" style="58"/>
    <col min="10753" max="10753" width="2.83203125" style="58" customWidth="1"/>
    <col min="10754" max="10754" width="5.6640625" style="58" customWidth="1"/>
    <col min="10755" max="10755" width="45.6640625" style="58" customWidth="1"/>
    <col min="10756" max="10756" width="18" style="58" customWidth="1"/>
    <col min="10757" max="10757" width="17.33203125" style="58" bestFit="1" customWidth="1"/>
    <col min="10758" max="10758" width="15.6640625" style="58" bestFit="1" customWidth="1"/>
    <col min="10759" max="10759" width="16.33203125" style="58" bestFit="1" customWidth="1"/>
    <col min="10760" max="10760" width="14.6640625" style="58" customWidth="1"/>
    <col min="10761" max="10761" width="14.83203125" style="58" bestFit="1" customWidth="1"/>
    <col min="10762" max="10762" width="16" style="58" bestFit="1" customWidth="1"/>
    <col min="10763" max="10763" width="16.33203125" style="58" bestFit="1" customWidth="1"/>
    <col min="10764" max="10764" width="15.1640625" style="58" bestFit="1" customWidth="1"/>
    <col min="10765" max="10765" width="17.1640625" style="58" bestFit="1" customWidth="1"/>
    <col min="10766" max="10766" width="16" style="58" bestFit="1" customWidth="1"/>
    <col min="10767" max="10767" width="16" style="58" customWidth="1"/>
    <col min="10768" max="10768" width="16.5" style="58" bestFit="1" customWidth="1"/>
    <col min="10769" max="10769" width="13.6640625" style="58" customWidth="1"/>
    <col min="10770" max="10770" width="16.33203125" style="58" bestFit="1" customWidth="1"/>
    <col min="10771" max="10771" width="12.33203125" style="58" bestFit="1" customWidth="1"/>
    <col min="10772" max="10772" width="15.83203125" style="58" bestFit="1" customWidth="1"/>
    <col min="10773" max="10773" width="16.33203125" style="58" bestFit="1" customWidth="1"/>
    <col min="10774" max="10774" width="19.6640625" style="58" bestFit="1" customWidth="1"/>
    <col min="10775" max="10775" width="1.5" style="58" customWidth="1"/>
    <col min="10776" max="10776" width="1.1640625" style="58" customWidth="1"/>
    <col min="10777" max="10777" width="17" style="58" customWidth="1"/>
    <col min="10778" max="10778" width="18" style="58" bestFit="1" customWidth="1"/>
    <col min="10779" max="10779" width="17.33203125" style="58" bestFit="1" customWidth="1"/>
    <col min="10780" max="10780" width="15.6640625" style="58" bestFit="1" customWidth="1"/>
    <col min="10781" max="10781" width="12.83203125" style="58" customWidth="1"/>
    <col min="10782" max="10783" width="12.1640625" style="58" bestFit="1" customWidth="1"/>
    <col min="10784" max="10784" width="17.6640625" style="58" bestFit="1" customWidth="1"/>
    <col min="10785" max="11008" width="9.33203125" style="58"/>
    <col min="11009" max="11009" width="2.83203125" style="58" customWidth="1"/>
    <col min="11010" max="11010" width="5.6640625" style="58" customWidth="1"/>
    <col min="11011" max="11011" width="45.6640625" style="58" customWidth="1"/>
    <col min="11012" max="11012" width="18" style="58" customWidth="1"/>
    <col min="11013" max="11013" width="17.33203125" style="58" bestFit="1" customWidth="1"/>
    <col min="11014" max="11014" width="15.6640625" style="58" bestFit="1" customWidth="1"/>
    <col min="11015" max="11015" width="16.33203125" style="58" bestFit="1" customWidth="1"/>
    <col min="11016" max="11016" width="14.6640625" style="58" customWidth="1"/>
    <col min="11017" max="11017" width="14.83203125" style="58" bestFit="1" customWidth="1"/>
    <col min="11018" max="11018" width="16" style="58" bestFit="1" customWidth="1"/>
    <col min="11019" max="11019" width="16.33203125" style="58" bestFit="1" customWidth="1"/>
    <col min="11020" max="11020" width="15.1640625" style="58" bestFit="1" customWidth="1"/>
    <col min="11021" max="11021" width="17.1640625" style="58" bestFit="1" customWidth="1"/>
    <col min="11022" max="11022" width="16" style="58" bestFit="1" customWidth="1"/>
    <col min="11023" max="11023" width="16" style="58" customWidth="1"/>
    <col min="11024" max="11024" width="16.5" style="58" bestFit="1" customWidth="1"/>
    <col min="11025" max="11025" width="13.6640625" style="58" customWidth="1"/>
    <col min="11026" max="11026" width="16.33203125" style="58" bestFit="1" customWidth="1"/>
    <col min="11027" max="11027" width="12.33203125" style="58" bestFit="1" customWidth="1"/>
    <col min="11028" max="11028" width="15.83203125" style="58" bestFit="1" customWidth="1"/>
    <col min="11029" max="11029" width="16.33203125" style="58" bestFit="1" customWidth="1"/>
    <col min="11030" max="11030" width="19.6640625" style="58" bestFit="1" customWidth="1"/>
    <col min="11031" max="11031" width="1.5" style="58" customWidth="1"/>
    <col min="11032" max="11032" width="1.1640625" style="58" customWidth="1"/>
    <col min="11033" max="11033" width="17" style="58" customWidth="1"/>
    <col min="11034" max="11034" width="18" style="58" bestFit="1" customWidth="1"/>
    <col min="11035" max="11035" width="17.33203125" style="58" bestFit="1" customWidth="1"/>
    <col min="11036" max="11036" width="15.6640625" style="58" bestFit="1" customWidth="1"/>
    <col min="11037" max="11037" width="12.83203125" style="58" customWidth="1"/>
    <col min="11038" max="11039" width="12.1640625" style="58" bestFit="1" customWidth="1"/>
    <col min="11040" max="11040" width="17.6640625" style="58" bestFit="1" customWidth="1"/>
    <col min="11041" max="11264" width="9.33203125" style="58"/>
    <col min="11265" max="11265" width="2.83203125" style="58" customWidth="1"/>
    <col min="11266" max="11266" width="5.6640625" style="58" customWidth="1"/>
    <col min="11267" max="11267" width="45.6640625" style="58" customWidth="1"/>
    <col min="11268" max="11268" width="18" style="58" customWidth="1"/>
    <col min="11269" max="11269" width="17.33203125" style="58" bestFit="1" customWidth="1"/>
    <col min="11270" max="11270" width="15.6640625" style="58" bestFit="1" customWidth="1"/>
    <col min="11271" max="11271" width="16.33203125" style="58" bestFit="1" customWidth="1"/>
    <col min="11272" max="11272" width="14.6640625" style="58" customWidth="1"/>
    <col min="11273" max="11273" width="14.83203125" style="58" bestFit="1" customWidth="1"/>
    <col min="11274" max="11274" width="16" style="58" bestFit="1" customWidth="1"/>
    <col min="11275" max="11275" width="16.33203125" style="58" bestFit="1" customWidth="1"/>
    <col min="11276" max="11276" width="15.1640625" style="58" bestFit="1" customWidth="1"/>
    <col min="11277" max="11277" width="17.1640625" style="58" bestFit="1" customWidth="1"/>
    <col min="11278" max="11278" width="16" style="58" bestFit="1" customWidth="1"/>
    <col min="11279" max="11279" width="16" style="58" customWidth="1"/>
    <col min="11280" max="11280" width="16.5" style="58" bestFit="1" customWidth="1"/>
    <col min="11281" max="11281" width="13.6640625" style="58" customWidth="1"/>
    <col min="11282" max="11282" width="16.33203125" style="58" bestFit="1" customWidth="1"/>
    <col min="11283" max="11283" width="12.33203125" style="58" bestFit="1" customWidth="1"/>
    <col min="11284" max="11284" width="15.83203125" style="58" bestFit="1" customWidth="1"/>
    <col min="11285" max="11285" width="16.33203125" style="58" bestFit="1" customWidth="1"/>
    <col min="11286" max="11286" width="19.6640625" style="58" bestFit="1" customWidth="1"/>
    <col min="11287" max="11287" width="1.5" style="58" customWidth="1"/>
    <col min="11288" max="11288" width="1.1640625" style="58" customWidth="1"/>
    <col min="11289" max="11289" width="17" style="58" customWidth="1"/>
    <col min="11290" max="11290" width="18" style="58" bestFit="1" customWidth="1"/>
    <col min="11291" max="11291" width="17.33203125" style="58" bestFit="1" customWidth="1"/>
    <col min="11292" max="11292" width="15.6640625" style="58" bestFit="1" customWidth="1"/>
    <col min="11293" max="11293" width="12.83203125" style="58" customWidth="1"/>
    <col min="11294" max="11295" width="12.1640625" style="58" bestFit="1" customWidth="1"/>
    <col min="11296" max="11296" width="17.6640625" style="58" bestFit="1" customWidth="1"/>
    <col min="11297" max="11520" width="9.33203125" style="58"/>
    <col min="11521" max="11521" width="2.83203125" style="58" customWidth="1"/>
    <col min="11522" max="11522" width="5.6640625" style="58" customWidth="1"/>
    <col min="11523" max="11523" width="45.6640625" style="58" customWidth="1"/>
    <col min="11524" max="11524" width="18" style="58" customWidth="1"/>
    <col min="11525" max="11525" width="17.33203125" style="58" bestFit="1" customWidth="1"/>
    <col min="11526" max="11526" width="15.6640625" style="58" bestFit="1" customWidth="1"/>
    <col min="11527" max="11527" width="16.33203125" style="58" bestFit="1" customWidth="1"/>
    <col min="11528" max="11528" width="14.6640625" style="58" customWidth="1"/>
    <col min="11529" max="11529" width="14.83203125" style="58" bestFit="1" customWidth="1"/>
    <col min="11530" max="11530" width="16" style="58" bestFit="1" customWidth="1"/>
    <col min="11531" max="11531" width="16.33203125" style="58" bestFit="1" customWidth="1"/>
    <col min="11532" max="11532" width="15.1640625" style="58" bestFit="1" customWidth="1"/>
    <col min="11533" max="11533" width="17.1640625" style="58" bestFit="1" customWidth="1"/>
    <col min="11534" max="11534" width="16" style="58" bestFit="1" customWidth="1"/>
    <col min="11535" max="11535" width="16" style="58" customWidth="1"/>
    <col min="11536" max="11536" width="16.5" style="58" bestFit="1" customWidth="1"/>
    <col min="11537" max="11537" width="13.6640625" style="58" customWidth="1"/>
    <col min="11538" max="11538" width="16.33203125" style="58" bestFit="1" customWidth="1"/>
    <col min="11539" max="11539" width="12.33203125" style="58" bestFit="1" customWidth="1"/>
    <col min="11540" max="11540" width="15.83203125" style="58" bestFit="1" customWidth="1"/>
    <col min="11541" max="11541" width="16.33203125" style="58" bestFit="1" customWidth="1"/>
    <col min="11542" max="11542" width="19.6640625" style="58" bestFit="1" customWidth="1"/>
    <col min="11543" max="11543" width="1.5" style="58" customWidth="1"/>
    <col min="11544" max="11544" width="1.1640625" style="58" customWidth="1"/>
    <col min="11545" max="11545" width="17" style="58" customWidth="1"/>
    <col min="11546" max="11546" width="18" style="58" bestFit="1" customWidth="1"/>
    <col min="11547" max="11547" width="17.33203125" style="58" bestFit="1" customWidth="1"/>
    <col min="11548" max="11548" width="15.6640625" style="58" bestFit="1" customWidth="1"/>
    <col min="11549" max="11549" width="12.83203125" style="58" customWidth="1"/>
    <col min="11550" max="11551" width="12.1640625" style="58" bestFit="1" customWidth="1"/>
    <col min="11552" max="11552" width="17.6640625" style="58" bestFit="1" customWidth="1"/>
    <col min="11553" max="11776" width="9.33203125" style="58"/>
    <col min="11777" max="11777" width="2.83203125" style="58" customWidth="1"/>
    <col min="11778" max="11778" width="5.6640625" style="58" customWidth="1"/>
    <col min="11779" max="11779" width="45.6640625" style="58" customWidth="1"/>
    <col min="11780" max="11780" width="18" style="58" customWidth="1"/>
    <col min="11781" max="11781" width="17.33203125" style="58" bestFit="1" customWidth="1"/>
    <col min="11782" max="11782" width="15.6640625" style="58" bestFit="1" customWidth="1"/>
    <col min="11783" max="11783" width="16.33203125" style="58" bestFit="1" customWidth="1"/>
    <col min="11784" max="11784" width="14.6640625" style="58" customWidth="1"/>
    <col min="11785" max="11785" width="14.83203125" style="58" bestFit="1" customWidth="1"/>
    <col min="11786" max="11786" width="16" style="58" bestFit="1" customWidth="1"/>
    <col min="11787" max="11787" width="16.33203125" style="58" bestFit="1" customWidth="1"/>
    <col min="11788" max="11788" width="15.1640625" style="58" bestFit="1" customWidth="1"/>
    <col min="11789" max="11789" width="17.1640625" style="58" bestFit="1" customWidth="1"/>
    <col min="11790" max="11790" width="16" style="58" bestFit="1" customWidth="1"/>
    <col min="11791" max="11791" width="16" style="58" customWidth="1"/>
    <col min="11792" max="11792" width="16.5" style="58" bestFit="1" customWidth="1"/>
    <col min="11793" max="11793" width="13.6640625" style="58" customWidth="1"/>
    <col min="11794" max="11794" width="16.33203125" style="58" bestFit="1" customWidth="1"/>
    <col min="11795" max="11795" width="12.33203125" style="58" bestFit="1" customWidth="1"/>
    <col min="11796" max="11796" width="15.83203125" style="58" bestFit="1" customWidth="1"/>
    <col min="11797" max="11797" width="16.33203125" style="58" bestFit="1" customWidth="1"/>
    <col min="11798" max="11798" width="19.6640625" style="58" bestFit="1" customWidth="1"/>
    <col min="11799" max="11799" width="1.5" style="58" customWidth="1"/>
    <col min="11800" max="11800" width="1.1640625" style="58" customWidth="1"/>
    <col min="11801" max="11801" width="17" style="58" customWidth="1"/>
    <col min="11802" max="11802" width="18" style="58" bestFit="1" customWidth="1"/>
    <col min="11803" max="11803" width="17.33203125" style="58" bestFit="1" customWidth="1"/>
    <col min="11804" max="11804" width="15.6640625" style="58" bestFit="1" customWidth="1"/>
    <col min="11805" max="11805" width="12.83203125" style="58" customWidth="1"/>
    <col min="11806" max="11807" width="12.1640625" style="58" bestFit="1" customWidth="1"/>
    <col min="11808" max="11808" width="17.6640625" style="58" bestFit="1" customWidth="1"/>
    <col min="11809" max="12032" width="9.33203125" style="58"/>
    <col min="12033" max="12033" width="2.83203125" style="58" customWidth="1"/>
    <col min="12034" max="12034" width="5.6640625" style="58" customWidth="1"/>
    <col min="12035" max="12035" width="45.6640625" style="58" customWidth="1"/>
    <col min="12036" max="12036" width="18" style="58" customWidth="1"/>
    <col min="12037" max="12037" width="17.33203125" style="58" bestFit="1" customWidth="1"/>
    <col min="12038" max="12038" width="15.6640625" style="58" bestFit="1" customWidth="1"/>
    <col min="12039" max="12039" width="16.33203125" style="58" bestFit="1" customWidth="1"/>
    <col min="12040" max="12040" width="14.6640625" style="58" customWidth="1"/>
    <col min="12041" max="12041" width="14.83203125" style="58" bestFit="1" customWidth="1"/>
    <col min="12042" max="12042" width="16" style="58" bestFit="1" customWidth="1"/>
    <col min="12043" max="12043" width="16.33203125" style="58" bestFit="1" customWidth="1"/>
    <col min="12044" max="12044" width="15.1640625" style="58" bestFit="1" customWidth="1"/>
    <col min="12045" max="12045" width="17.1640625" style="58" bestFit="1" customWidth="1"/>
    <col min="12046" max="12046" width="16" style="58" bestFit="1" customWidth="1"/>
    <col min="12047" max="12047" width="16" style="58" customWidth="1"/>
    <col min="12048" max="12048" width="16.5" style="58" bestFit="1" customWidth="1"/>
    <col min="12049" max="12049" width="13.6640625" style="58" customWidth="1"/>
    <col min="12050" max="12050" width="16.33203125" style="58" bestFit="1" customWidth="1"/>
    <col min="12051" max="12051" width="12.33203125" style="58" bestFit="1" customWidth="1"/>
    <col min="12052" max="12052" width="15.83203125" style="58" bestFit="1" customWidth="1"/>
    <col min="12053" max="12053" width="16.33203125" style="58" bestFit="1" customWidth="1"/>
    <col min="12054" max="12054" width="19.6640625" style="58" bestFit="1" customWidth="1"/>
    <col min="12055" max="12055" width="1.5" style="58" customWidth="1"/>
    <col min="12056" max="12056" width="1.1640625" style="58" customWidth="1"/>
    <col min="12057" max="12057" width="17" style="58" customWidth="1"/>
    <col min="12058" max="12058" width="18" style="58" bestFit="1" customWidth="1"/>
    <col min="12059" max="12059" width="17.33203125" style="58" bestFit="1" customWidth="1"/>
    <col min="12060" max="12060" width="15.6640625" style="58" bestFit="1" customWidth="1"/>
    <col min="12061" max="12061" width="12.83203125" style="58" customWidth="1"/>
    <col min="12062" max="12063" width="12.1640625" style="58" bestFit="1" customWidth="1"/>
    <col min="12064" max="12064" width="17.6640625" style="58" bestFit="1" customWidth="1"/>
    <col min="12065" max="12288" width="9.33203125" style="58"/>
    <col min="12289" max="12289" width="2.83203125" style="58" customWidth="1"/>
    <col min="12290" max="12290" width="5.6640625" style="58" customWidth="1"/>
    <col min="12291" max="12291" width="45.6640625" style="58" customWidth="1"/>
    <col min="12292" max="12292" width="18" style="58" customWidth="1"/>
    <col min="12293" max="12293" width="17.33203125" style="58" bestFit="1" customWidth="1"/>
    <col min="12294" max="12294" width="15.6640625" style="58" bestFit="1" customWidth="1"/>
    <col min="12295" max="12295" width="16.33203125" style="58" bestFit="1" customWidth="1"/>
    <col min="12296" max="12296" width="14.6640625" style="58" customWidth="1"/>
    <col min="12297" max="12297" width="14.83203125" style="58" bestFit="1" customWidth="1"/>
    <col min="12298" max="12298" width="16" style="58" bestFit="1" customWidth="1"/>
    <col min="12299" max="12299" width="16.33203125" style="58" bestFit="1" customWidth="1"/>
    <col min="12300" max="12300" width="15.1640625" style="58" bestFit="1" customWidth="1"/>
    <col min="12301" max="12301" width="17.1640625" style="58" bestFit="1" customWidth="1"/>
    <col min="12302" max="12302" width="16" style="58" bestFit="1" customWidth="1"/>
    <col min="12303" max="12303" width="16" style="58" customWidth="1"/>
    <col min="12304" max="12304" width="16.5" style="58" bestFit="1" customWidth="1"/>
    <col min="12305" max="12305" width="13.6640625" style="58" customWidth="1"/>
    <col min="12306" max="12306" width="16.33203125" style="58" bestFit="1" customWidth="1"/>
    <col min="12307" max="12307" width="12.33203125" style="58" bestFit="1" customWidth="1"/>
    <col min="12308" max="12308" width="15.83203125" style="58" bestFit="1" customWidth="1"/>
    <col min="12309" max="12309" width="16.33203125" style="58" bestFit="1" customWidth="1"/>
    <col min="12310" max="12310" width="19.6640625" style="58" bestFit="1" customWidth="1"/>
    <col min="12311" max="12311" width="1.5" style="58" customWidth="1"/>
    <col min="12312" max="12312" width="1.1640625" style="58" customWidth="1"/>
    <col min="12313" max="12313" width="17" style="58" customWidth="1"/>
    <col min="12314" max="12314" width="18" style="58" bestFit="1" customWidth="1"/>
    <col min="12315" max="12315" width="17.33203125" style="58" bestFit="1" customWidth="1"/>
    <col min="12316" max="12316" width="15.6640625" style="58" bestFit="1" customWidth="1"/>
    <col min="12317" max="12317" width="12.83203125" style="58" customWidth="1"/>
    <col min="12318" max="12319" width="12.1640625" style="58" bestFit="1" customWidth="1"/>
    <col min="12320" max="12320" width="17.6640625" style="58" bestFit="1" customWidth="1"/>
    <col min="12321" max="12544" width="9.33203125" style="58"/>
    <col min="12545" max="12545" width="2.83203125" style="58" customWidth="1"/>
    <col min="12546" max="12546" width="5.6640625" style="58" customWidth="1"/>
    <col min="12547" max="12547" width="45.6640625" style="58" customWidth="1"/>
    <col min="12548" max="12548" width="18" style="58" customWidth="1"/>
    <col min="12549" max="12549" width="17.33203125" style="58" bestFit="1" customWidth="1"/>
    <col min="12550" max="12550" width="15.6640625" style="58" bestFit="1" customWidth="1"/>
    <col min="12551" max="12551" width="16.33203125" style="58" bestFit="1" customWidth="1"/>
    <col min="12552" max="12552" width="14.6640625" style="58" customWidth="1"/>
    <col min="12553" max="12553" width="14.83203125" style="58" bestFit="1" customWidth="1"/>
    <col min="12554" max="12554" width="16" style="58" bestFit="1" customWidth="1"/>
    <col min="12555" max="12555" width="16.33203125" style="58" bestFit="1" customWidth="1"/>
    <col min="12556" max="12556" width="15.1640625" style="58" bestFit="1" customWidth="1"/>
    <col min="12557" max="12557" width="17.1640625" style="58" bestFit="1" customWidth="1"/>
    <col min="12558" max="12558" width="16" style="58" bestFit="1" customWidth="1"/>
    <col min="12559" max="12559" width="16" style="58" customWidth="1"/>
    <col min="12560" max="12560" width="16.5" style="58" bestFit="1" customWidth="1"/>
    <col min="12561" max="12561" width="13.6640625" style="58" customWidth="1"/>
    <col min="12562" max="12562" width="16.33203125" style="58" bestFit="1" customWidth="1"/>
    <col min="12563" max="12563" width="12.33203125" style="58" bestFit="1" customWidth="1"/>
    <col min="12564" max="12564" width="15.83203125" style="58" bestFit="1" customWidth="1"/>
    <col min="12565" max="12565" width="16.33203125" style="58" bestFit="1" customWidth="1"/>
    <col min="12566" max="12566" width="19.6640625" style="58" bestFit="1" customWidth="1"/>
    <col min="12567" max="12567" width="1.5" style="58" customWidth="1"/>
    <col min="12568" max="12568" width="1.1640625" style="58" customWidth="1"/>
    <col min="12569" max="12569" width="17" style="58" customWidth="1"/>
    <col min="12570" max="12570" width="18" style="58" bestFit="1" customWidth="1"/>
    <col min="12571" max="12571" width="17.33203125" style="58" bestFit="1" customWidth="1"/>
    <col min="12572" max="12572" width="15.6640625" style="58" bestFit="1" customWidth="1"/>
    <col min="12573" max="12573" width="12.83203125" style="58" customWidth="1"/>
    <col min="12574" max="12575" width="12.1640625" style="58" bestFit="1" customWidth="1"/>
    <col min="12576" max="12576" width="17.6640625" style="58" bestFit="1" customWidth="1"/>
    <col min="12577" max="12800" width="9.33203125" style="58"/>
    <col min="12801" max="12801" width="2.83203125" style="58" customWidth="1"/>
    <col min="12802" max="12802" width="5.6640625" style="58" customWidth="1"/>
    <col min="12803" max="12803" width="45.6640625" style="58" customWidth="1"/>
    <col min="12804" max="12804" width="18" style="58" customWidth="1"/>
    <col min="12805" max="12805" width="17.33203125" style="58" bestFit="1" customWidth="1"/>
    <col min="12806" max="12806" width="15.6640625" style="58" bestFit="1" customWidth="1"/>
    <col min="12807" max="12807" width="16.33203125" style="58" bestFit="1" customWidth="1"/>
    <col min="12808" max="12808" width="14.6640625" style="58" customWidth="1"/>
    <col min="12809" max="12809" width="14.83203125" style="58" bestFit="1" customWidth="1"/>
    <col min="12810" max="12810" width="16" style="58" bestFit="1" customWidth="1"/>
    <col min="12811" max="12811" width="16.33203125" style="58" bestFit="1" customWidth="1"/>
    <col min="12812" max="12812" width="15.1640625" style="58" bestFit="1" customWidth="1"/>
    <col min="12813" max="12813" width="17.1640625" style="58" bestFit="1" customWidth="1"/>
    <col min="12814" max="12814" width="16" style="58" bestFit="1" customWidth="1"/>
    <col min="12815" max="12815" width="16" style="58" customWidth="1"/>
    <col min="12816" max="12816" width="16.5" style="58" bestFit="1" customWidth="1"/>
    <col min="12817" max="12817" width="13.6640625" style="58" customWidth="1"/>
    <col min="12818" max="12818" width="16.33203125" style="58" bestFit="1" customWidth="1"/>
    <col min="12819" max="12819" width="12.33203125" style="58" bestFit="1" customWidth="1"/>
    <col min="12820" max="12820" width="15.83203125" style="58" bestFit="1" customWidth="1"/>
    <col min="12821" max="12821" width="16.33203125" style="58" bestFit="1" customWidth="1"/>
    <col min="12822" max="12822" width="19.6640625" style="58" bestFit="1" customWidth="1"/>
    <col min="12823" max="12823" width="1.5" style="58" customWidth="1"/>
    <col min="12824" max="12824" width="1.1640625" style="58" customWidth="1"/>
    <col min="12825" max="12825" width="17" style="58" customWidth="1"/>
    <col min="12826" max="12826" width="18" style="58" bestFit="1" customWidth="1"/>
    <col min="12827" max="12827" width="17.33203125" style="58" bestFit="1" customWidth="1"/>
    <col min="12828" max="12828" width="15.6640625" style="58" bestFit="1" customWidth="1"/>
    <col min="12829" max="12829" width="12.83203125" style="58" customWidth="1"/>
    <col min="12830" max="12831" width="12.1640625" style="58" bestFit="1" customWidth="1"/>
    <col min="12832" max="12832" width="17.6640625" style="58" bestFit="1" customWidth="1"/>
    <col min="12833" max="13056" width="9.33203125" style="58"/>
    <col min="13057" max="13057" width="2.83203125" style="58" customWidth="1"/>
    <col min="13058" max="13058" width="5.6640625" style="58" customWidth="1"/>
    <col min="13059" max="13059" width="45.6640625" style="58" customWidth="1"/>
    <col min="13060" max="13060" width="18" style="58" customWidth="1"/>
    <col min="13061" max="13061" width="17.33203125" style="58" bestFit="1" customWidth="1"/>
    <col min="13062" max="13062" width="15.6640625" style="58" bestFit="1" customWidth="1"/>
    <col min="13063" max="13063" width="16.33203125" style="58" bestFit="1" customWidth="1"/>
    <col min="13064" max="13064" width="14.6640625" style="58" customWidth="1"/>
    <col min="13065" max="13065" width="14.83203125" style="58" bestFit="1" customWidth="1"/>
    <col min="13066" max="13066" width="16" style="58" bestFit="1" customWidth="1"/>
    <col min="13067" max="13067" width="16.33203125" style="58" bestFit="1" customWidth="1"/>
    <col min="13068" max="13068" width="15.1640625" style="58" bestFit="1" customWidth="1"/>
    <col min="13069" max="13069" width="17.1640625" style="58" bestFit="1" customWidth="1"/>
    <col min="13070" max="13070" width="16" style="58" bestFit="1" customWidth="1"/>
    <col min="13071" max="13071" width="16" style="58" customWidth="1"/>
    <col min="13072" max="13072" width="16.5" style="58" bestFit="1" customWidth="1"/>
    <col min="13073" max="13073" width="13.6640625" style="58" customWidth="1"/>
    <col min="13074" max="13074" width="16.33203125" style="58" bestFit="1" customWidth="1"/>
    <col min="13075" max="13075" width="12.33203125" style="58" bestFit="1" customWidth="1"/>
    <col min="13076" max="13076" width="15.83203125" style="58" bestFit="1" customWidth="1"/>
    <col min="13077" max="13077" width="16.33203125" style="58" bestFit="1" customWidth="1"/>
    <col min="13078" max="13078" width="19.6640625" style="58" bestFit="1" customWidth="1"/>
    <col min="13079" max="13079" width="1.5" style="58" customWidth="1"/>
    <col min="13080" max="13080" width="1.1640625" style="58" customWidth="1"/>
    <col min="13081" max="13081" width="17" style="58" customWidth="1"/>
    <col min="13082" max="13082" width="18" style="58" bestFit="1" customWidth="1"/>
    <col min="13083" max="13083" width="17.33203125" style="58" bestFit="1" customWidth="1"/>
    <col min="13084" max="13084" width="15.6640625" style="58" bestFit="1" customWidth="1"/>
    <col min="13085" max="13085" width="12.83203125" style="58" customWidth="1"/>
    <col min="13086" max="13087" width="12.1640625" style="58" bestFit="1" customWidth="1"/>
    <col min="13088" max="13088" width="17.6640625" style="58" bestFit="1" customWidth="1"/>
    <col min="13089" max="13312" width="9.33203125" style="58"/>
    <col min="13313" max="13313" width="2.83203125" style="58" customWidth="1"/>
    <col min="13314" max="13314" width="5.6640625" style="58" customWidth="1"/>
    <col min="13315" max="13315" width="45.6640625" style="58" customWidth="1"/>
    <col min="13316" max="13316" width="18" style="58" customWidth="1"/>
    <col min="13317" max="13317" width="17.33203125" style="58" bestFit="1" customWidth="1"/>
    <col min="13318" max="13318" width="15.6640625" style="58" bestFit="1" customWidth="1"/>
    <col min="13319" max="13319" width="16.33203125" style="58" bestFit="1" customWidth="1"/>
    <col min="13320" max="13320" width="14.6640625" style="58" customWidth="1"/>
    <col min="13321" max="13321" width="14.83203125" style="58" bestFit="1" customWidth="1"/>
    <col min="13322" max="13322" width="16" style="58" bestFit="1" customWidth="1"/>
    <col min="13323" max="13323" width="16.33203125" style="58" bestFit="1" customWidth="1"/>
    <col min="13324" max="13324" width="15.1640625" style="58" bestFit="1" customWidth="1"/>
    <col min="13325" max="13325" width="17.1640625" style="58" bestFit="1" customWidth="1"/>
    <col min="13326" max="13326" width="16" style="58" bestFit="1" customWidth="1"/>
    <col min="13327" max="13327" width="16" style="58" customWidth="1"/>
    <col min="13328" max="13328" width="16.5" style="58" bestFit="1" customWidth="1"/>
    <col min="13329" max="13329" width="13.6640625" style="58" customWidth="1"/>
    <col min="13330" max="13330" width="16.33203125" style="58" bestFit="1" customWidth="1"/>
    <col min="13331" max="13331" width="12.33203125" style="58" bestFit="1" customWidth="1"/>
    <col min="13332" max="13332" width="15.83203125" style="58" bestFit="1" customWidth="1"/>
    <col min="13333" max="13333" width="16.33203125" style="58" bestFit="1" customWidth="1"/>
    <col min="13334" max="13334" width="19.6640625" style="58" bestFit="1" customWidth="1"/>
    <col min="13335" max="13335" width="1.5" style="58" customWidth="1"/>
    <col min="13336" max="13336" width="1.1640625" style="58" customWidth="1"/>
    <col min="13337" max="13337" width="17" style="58" customWidth="1"/>
    <col min="13338" max="13338" width="18" style="58" bestFit="1" customWidth="1"/>
    <col min="13339" max="13339" width="17.33203125" style="58" bestFit="1" customWidth="1"/>
    <col min="13340" max="13340" width="15.6640625" style="58" bestFit="1" customWidth="1"/>
    <col min="13341" max="13341" width="12.83203125" style="58" customWidth="1"/>
    <col min="13342" max="13343" width="12.1640625" style="58" bestFit="1" customWidth="1"/>
    <col min="13344" max="13344" width="17.6640625" style="58" bestFit="1" customWidth="1"/>
    <col min="13345" max="13568" width="9.33203125" style="58"/>
    <col min="13569" max="13569" width="2.83203125" style="58" customWidth="1"/>
    <col min="13570" max="13570" width="5.6640625" style="58" customWidth="1"/>
    <col min="13571" max="13571" width="45.6640625" style="58" customWidth="1"/>
    <col min="13572" max="13572" width="18" style="58" customWidth="1"/>
    <col min="13573" max="13573" width="17.33203125" style="58" bestFit="1" customWidth="1"/>
    <col min="13574" max="13574" width="15.6640625" style="58" bestFit="1" customWidth="1"/>
    <col min="13575" max="13575" width="16.33203125" style="58" bestFit="1" customWidth="1"/>
    <col min="13576" max="13576" width="14.6640625" style="58" customWidth="1"/>
    <col min="13577" max="13577" width="14.83203125" style="58" bestFit="1" customWidth="1"/>
    <col min="13578" max="13578" width="16" style="58" bestFit="1" customWidth="1"/>
    <col min="13579" max="13579" width="16.33203125" style="58" bestFit="1" customWidth="1"/>
    <col min="13580" max="13580" width="15.1640625" style="58" bestFit="1" customWidth="1"/>
    <col min="13581" max="13581" width="17.1640625" style="58" bestFit="1" customWidth="1"/>
    <col min="13582" max="13582" width="16" style="58" bestFit="1" customWidth="1"/>
    <col min="13583" max="13583" width="16" style="58" customWidth="1"/>
    <col min="13584" max="13584" width="16.5" style="58" bestFit="1" customWidth="1"/>
    <col min="13585" max="13585" width="13.6640625" style="58" customWidth="1"/>
    <col min="13586" max="13586" width="16.33203125" style="58" bestFit="1" customWidth="1"/>
    <col min="13587" max="13587" width="12.33203125" style="58" bestFit="1" customWidth="1"/>
    <col min="13588" max="13588" width="15.83203125" style="58" bestFit="1" customWidth="1"/>
    <col min="13589" max="13589" width="16.33203125" style="58" bestFit="1" customWidth="1"/>
    <col min="13590" max="13590" width="19.6640625" style="58" bestFit="1" customWidth="1"/>
    <col min="13591" max="13591" width="1.5" style="58" customWidth="1"/>
    <col min="13592" max="13592" width="1.1640625" style="58" customWidth="1"/>
    <col min="13593" max="13593" width="17" style="58" customWidth="1"/>
    <col min="13594" max="13594" width="18" style="58" bestFit="1" customWidth="1"/>
    <col min="13595" max="13595" width="17.33203125" style="58" bestFit="1" customWidth="1"/>
    <col min="13596" max="13596" width="15.6640625" style="58" bestFit="1" customWidth="1"/>
    <col min="13597" max="13597" width="12.83203125" style="58" customWidth="1"/>
    <col min="13598" max="13599" width="12.1640625" style="58" bestFit="1" customWidth="1"/>
    <col min="13600" max="13600" width="17.6640625" style="58" bestFit="1" customWidth="1"/>
    <col min="13601" max="13824" width="9.33203125" style="58"/>
    <col min="13825" max="13825" width="2.83203125" style="58" customWidth="1"/>
    <col min="13826" max="13826" width="5.6640625" style="58" customWidth="1"/>
    <col min="13827" max="13827" width="45.6640625" style="58" customWidth="1"/>
    <col min="13828" max="13828" width="18" style="58" customWidth="1"/>
    <col min="13829" max="13829" width="17.33203125" style="58" bestFit="1" customWidth="1"/>
    <col min="13830" max="13830" width="15.6640625" style="58" bestFit="1" customWidth="1"/>
    <col min="13831" max="13831" width="16.33203125" style="58" bestFit="1" customWidth="1"/>
    <col min="13832" max="13832" width="14.6640625" style="58" customWidth="1"/>
    <col min="13833" max="13833" width="14.83203125" style="58" bestFit="1" customWidth="1"/>
    <col min="13834" max="13834" width="16" style="58" bestFit="1" customWidth="1"/>
    <col min="13835" max="13835" width="16.33203125" style="58" bestFit="1" customWidth="1"/>
    <col min="13836" max="13836" width="15.1640625" style="58" bestFit="1" customWidth="1"/>
    <col min="13837" max="13837" width="17.1640625" style="58" bestFit="1" customWidth="1"/>
    <col min="13838" max="13838" width="16" style="58" bestFit="1" customWidth="1"/>
    <col min="13839" max="13839" width="16" style="58" customWidth="1"/>
    <col min="13840" max="13840" width="16.5" style="58" bestFit="1" customWidth="1"/>
    <col min="13841" max="13841" width="13.6640625" style="58" customWidth="1"/>
    <col min="13842" max="13842" width="16.33203125" style="58" bestFit="1" customWidth="1"/>
    <col min="13843" max="13843" width="12.33203125" style="58" bestFit="1" customWidth="1"/>
    <col min="13844" max="13844" width="15.83203125" style="58" bestFit="1" customWidth="1"/>
    <col min="13845" max="13845" width="16.33203125" style="58" bestFit="1" customWidth="1"/>
    <col min="13846" max="13846" width="19.6640625" style="58" bestFit="1" customWidth="1"/>
    <col min="13847" max="13847" width="1.5" style="58" customWidth="1"/>
    <col min="13848" max="13848" width="1.1640625" style="58" customWidth="1"/>
    <col min="13849" max="13849" width="17" style="58" customWidth="1"/>
    <col min="13850" max="13850" width="18" style="58" bestFit="1" customWidth="1"/>
    <col min="13851" max="13851" width="17.33203125" style="58" bestFit="1" customWidth="1"/>
    <col min="13852" max="13852" width="15.6640625" style="58" bestFit="1" customWidth="1"/>
    <col min="13853" max="13853" width="12.83203125" style="58" customWidth="1"/>
    <col min="13854" max="13855" width="12.1640625" style="58" bestFit="1" customWidth="1"/>
    <col min="13856" max="13856" width="17.6640625" style="58" bestFit="1" customWidth="1"/>
    <col min="13857" max="14080" width="9.33203125" style="58"/>
    <col min="14081" max="14081" width="2.83203125" style="58" customWidth="1"/>
    <col min="14082" max="14082" width="5.6640625" style="58" customWidth="1"/>
    <col min="14083" max="14083" width="45.6640625" style="58" customWidth="1"/>
    <col min="14084" max="14084" width="18" style="58" customWidth="1"/>
    <col min="14085" max="14085" width="17.33203125" style="58" bestFit="1" customWidth="1"/>
    <col min="14086" max="14086" width="15.6640625" style="58" bestFit="1" customWidth="1"/>
    <col min="14087" max="14087" width="16.33203125" style="58" bestFit="1" customWidth="1"/>
    <col min="14088" max="14088" width="14.6640625" style="58" customWidth="1"/>
    <col min="14089" max="14089" width="14.83203125" style="58" bestFit="1" customWidth="1"/>
    <col min="14090" max="14090" width="16" style="58" bestFit="1" customWidth="1"/>
    <col min="14091" max="14091" width="16.33203125" style="58" bestFit="1" customWidth="1"/>
    <col min="14092" max="14092" width="15.1640625" style="58" bestFit="1" customWidth="1"/>
    <col min="14093" max="14093" width="17.1640625" style="58" bestFit="1" customWidth="1"/>
    <col min="14094" max="14094" width="16" style="58" bestFit="1" customWidth="1"/>
    <col min="14095" max="14095" width="16" style="58" customWidth="1"/>
    <col min="14096" max="14096" width="16.5" style="58" bestFit="1" customWidth="1"/>
    <col min="14097" max="14097" width="13.6640625" style="58" customWidth="1"/>
    <col min="14098" max="14098" width="16.33203125" style="58" bestFit="1" customWidth="1"/>
    <col min="14099" max="14099" width="12.33203125" style="58" bestFit="1" customWidth="1"/>
    <col min="14100" max="14100" width="15.83203125" style="58" bestFit="1" customWidth="1"/>
    <col min="14101" max="14101" width="16.33203125" style="58" bestFit="1" customWidth="1"/>
    <col min="14102" max="14102" width="19.6640625" style="58" bestFit="1" customWidth="1"/>
    <col min="14103" max="14103" width="1.5" style="58" customWidth="1"/>
    <col min="14104" max="14104" width="1.1640625" style="58" customWidth="1"/>
    <col min="14105" max="14105" width="17" style="58" customWidth="1"/>
    <col min="14106" max="14106" width="18" style="58" bestFit="1" customWidth="1"/>
    <col min="14107" max="14107" width="17.33203125" style="58" bestFit="1" customWidth="1"/>
    <col min="14108" max="14108" width="15.6640625" style="58" bestFit="1" customWidth="1"/>
    <col min="14109" max="14109" width="12.83203125" style="58" customWidth="1"/>
    <col min="14110" max="14111" width="12.1640625" style="58" bestFit="1" customWidth="1"/>
    <col min="14112" max="14112" width="17.6640625" style="58" bestFit="1" customWidth="1"/>
    <col min="14113" max="14336" width="9.33203125" style="58"/>
    <col min="14337" max="14337" width="2.83203125" style="58" customWidth="1"/>
    <col min="14338" max="14338" width="5.6640625" style="58" customWidth="1"/>
    <col min="14339" max="14339" width="45.6640625" style="58" customWidth="1"/>
    <col min="14340" max="14340" width="18" style="58" customWidth="1"/>
    <col min="14341" max="14341" width="17.33203125" style="58" bestFit="1" customWidth="1"/>
    <col min="14342" max="14342" width="15.6640625" style="58" bestFit="1" customWidth="1"/>
    <col min="14343" max="14343" width="16.33203125" style="58" bestFit="1" customWidth="1"/>
    <col min="14344" max="14344" width="14.6640625" style="58" customWidth="1"/>
    <col min="14345" max="14345" width="14.83203125" style="58" bestFit="1" customWidth="1"/>
    <col min="14346" max="14346" width="16" style="58" bestFit="1" customWidth="1"/>
    <col min="14347" max="14347" width="16.33203125" style="58" bestFit="1" customWidth="1"/>
    <col min="14348" max="14348" width="15.1640625" style="58" bestFit="1" customWidth="1"/>
    <col min="14349" max="14349" width="17.1640625" style="58" bestFit="1" customWidth="1"/>
    <col min="14350" max="14350" width="16" style="58" bestFit="1" customWidth="1"/>
    <col min="14351" max="14351" width="16" style="58" customWidth="1"/>
    <col min="14352" max="14352" width="16.5" style="58" bestFit="1" customWidth="1"/>
    <col min="14353" max="14353" width="13.6640625" style="58" customWidth="1"/>
    <col min="14354" max="14354" width="16.33203125" style="58" bestFit="1" customWidth="1"/>
    <col min="14355" max="14355" width="12.33203125" style="58" bestFit="1" customWidth="1"/>
    <col min="14356" max="14356" width="15.83203125" style="58" bestFit="1" customWidth="1"/>
    <col min="14357" max="14357" width="16.33203125" style="58" bestFit="1" customWidth="1"/>
    <col min="14358" max="14358" width="19.6640625" style="58" bestFit="1" customWidth="1"/>
    <col min="14359" max="14359" width="1.5" style="58" customWidth="1"/>
    <col min="14360" max="14360" width="1.1640625" style="58" customWidth="1"/>
    <col min="14361" max="14361" width="17" style="58" customWidth="1"/>
    <col min="14362" max="14362" width="18" style="58" bestFit="1" customWidth="1"/>
    <col min="14363" max="14363" width="17.33203125" style="58" bestFit="1" customWidth="1"/>
    <col min="14364" max="14364" width="15.6640625" style="58" bestFit="1" customWidth="1"/>
    <col min="14365" max="14365" width="12.83203125" style="58" customWidth="1"/>
    <col min="14366" max="14367" width="12.1640625" style="58" bestFit="1" customWidth="1"/>
    <col min="14368" max="14368" width="17.6640625" style="58" bestFit="1" customWidth="1"/>
    <col min="14369" max="14592" width="9.33203125" style="58"/>
    <col min="14593" max="14593" width="2.83203125" style="58" customWidth="1"/>
    <col min="14594" max="14594" width="5.6640625" style="58" customWidth="1"/>
    <col min="14595" max="14595" width="45.6640625" style="58" customWidth="1"/>
    <col min="14596" max="14596" width="18" style="58" customWidth="1"/>
    <col min="14597" max="14597" width="17.33203125" style="58" bestFit="1" customWidth="1"/>
    <col min="14598" max="14598" width="15.6640625" style="58" bestFit="1" customWidth="1"/>
    <col min="14599" max="14599" width="16.33203125" style="58" bestFit="1" customWidth="1"/>
    <col min="14600" max="14600" width="14.6640625" style="58" customWidth="1"/>
    <col min="14601" max="14601" width="14.83203125" style="58" bestFit="1" customWidth="1"/>
    <col min="14602" max="14602" width="16" style="58" bestFit="1" customWidth="1"/>
    <col min="14603" max="14603" width="16.33203125" style="58" bestFit="1" customWidth="1"/>
    <col min="14604" max="14604" width="15.1640625" style="58" bestFit="1" customWidth="1"/>
    <col min="14605" max="14605" width="17.1640625" style="58" bestFit="1" customWidth="1"/>
    <col min="14606" max="14606" width="16" style="58" bestFit="1" customWidth="1"/>
    <col min="14607" max="14607" width="16" style="58" customWidth="1"/>
    <col min="14608" max="14608" width="16.5" style="58" bestFit="1" customWidth="1"/>
    <col min="14609" max="14609" width="13.6640625" style="58" customWidth="1"/>
    <col min="14610" max="14610" width="16.33203125" style="58" bestFit="1" customWidth="1"/>
    <col min="14611" max="14611" width="12.33203125" style="58" bestFit="1" customWidth="1"/>
    <col min="14612" max="14612" width="15.83203125" style="58" bestFit="1" customWidth="1"/>
    <col min="14613" max="14613" width="16.33203125" style="58" bestFit="1" customWidth="1"/>
    <col min="14614" max="14614" width="19.6640625" style="58" bestFit="1" customWidth="1"/>
    <col min="14615" max="14615" width="1.5" style="58" customWidth="1"/>
    <col min="14616" max="14616" width="1.1640625" style="58" customWidth="1"/>
    <col min="14617" max="14617" width="17" style="58" customWidth="1"/>
    <col min="14618" max="14618" width="18" style="58" bestFit="1" customWidth="1"/>
    <col min="14619" max="14619" width="17.33203125" style="58" bestFit="1" customWidth="1"/>
    <col min="14620" max="14620" width="15.6640625" style="58" bestFit="1" customWidth="1"/>
    <col min="14621" max="14621" width="12.83203125" style="58" customWidth="1"/>
    <col min="14622" max="14623" width="12.1640625" style="58" bestFit="1" customWidth="1"/>
    <col min="14624" max="14624" width="17.6640625" style="58" bestFit="1" customWidth="1"/>
    <col min="14625" max="14848" width="9.33203125" style="58"/>
    <col min="14849" max="14849" width="2.83203125" style="58" customWidth="1"/>
    <col min="14850" max="14850" width="5.6640625" style="58" customWidth="1"/>
    <col min="14851" max="14851" width="45.6640625" style="58" customWidth="1"/>
    <col min="14852" max="14852" width="18" style="58" customWidth="1"/>
    <col min="14853" max="14853" width="17.33203125" style="58" bestFit="1" customWidth="1"/>
    <col min="14854" max="14854" width="15.6640625" style="58" bestFit="1" customWidth="1"/>
    <col min="14855" max="14855" width="16.33203125" style="58" bestFit="1" customWidth="1"/>
    <col min="14856" max="14856" width="14.6640625" style="58" customWidth="1"/>
    <col min="14857" max="14857" width="14.83203125" style="58" bestFit="1" customWidth="1"/>
    <col min="14858" max="14858" width="16" style="58" bestFit="1" customWidth="1"/>
    <col min="14859" max="14859" width="16.33203125" style="58" bestFit="1" customWidth="1"/>
    <col min="14860" max="14860" width="15.1640625" style="58" bestFit="1" customWidth="1"/>
    <col min="14861" max="14861" width="17.1640625" style="58" bestFit="1" customWidth="1"/>
    <col min="14862" max="14862" width="16" style="58" bestFit="1" customWidth="1"/>
    <col min="14863" max="14863" width="16" style="58" customWidth="1"/>
    <col min="14864" max="14864" width="16.5" style="58" bestFit="1" customWidth="1"/>
    <col min="14865" max="14865" width="13.6640625" style="58" customWidth="1"/>
    <col min="14866" max="14866" width="16.33203125" style="58" bestFit="1" customWidth="1"/>
    <col min="14867" max="14867" width="12.33203125" style="58" bestFit="1" customWidth="1"/>
    <col min="14868" max="14868" width="15.83203125" style="58" bestFit="1" customWidth="1"/>
    <col min="14869" max="14869" width="16.33203125" style="58" bestFit="1" customWidth="1"/>
    <col min="14870" max="14870" width="19.6640625" style="58" bestFit="1" customWidth="1"/>
    <col min="14871" max="14871" width="1.5" style="58" customWidth="1"/>
    <col min="14872" max="14872" width="1.1640625" style="58" customWidth="1"/>
    <col min="14873" max="14873" width="17" style="58" customWidth="1"/>
    <col min="14874" max="14874" width="18" style="58" bestFit="1" customWidth="1"/>
    <col min="14875" max="14875" width="17.33203125" style="58" bestFit="1" customWidth="1"/>
    <col min="14876" max="14876" width="15.6640625" style="58" bestFit="1" customWidth="1"/>
    <col min="14877" max="14877" width="12.83203125" style="58" customWidth="1"/>
    <col min="14878" max="14879" width="12.1640625" style="58" bestFit="1" customWidth="1"/>
    <col min="14880" max="14880" width="17.6640625" style="58" bestFit="1" customWidth="1"/>
    <col min="14881" max="15104" width="9.33203125" style="58"/>
    <col min="15105" max="15105" width="2.83203125" style="58" customWidth="1"/>
    <col min="15106" max="15106" width="5.6640625" style="58" customWidth="1"/>
    <col min="15107" max="15107" width="45.6640625" style="58" customWidth="1"/>
    <col min="15108" max="15108" width="18" style="58" customWidth="1"/>
    <col min="15109" max="15109" width="17.33203125" style="58" bestFit="1" customWidth="1"/>
    <col min="15110" max="15110" width="15.6640625" style="58" bestFit="1" customWidth="1"/>
    <col min="15111" max="15111" width="16.33203125" style="58" bestFit="1" customWidth="1"/>
    <col min="15112" max="15112" width="14.6640625" style="58" customWidth="1"/>
    <col min="15113" max="15113" width="14.83203125" style="58" bestFit="1" customWidth="1"/>
    <col min="15114" max="15114" width="16" style="58" bestFit="1" customWidth="1"/>
    <col min="15115" max="15115" width="16.33203125" style="58" bestFit="1" customWidth="1"/>
    <col min="15116" max="15116" width="15.1640625" style="58" bestFit="1" customWidth="1"/>
    <col min="15117" max="15117" width="17.1640625" style="58" bestFit="1" customWidth="1"/>
    <col min="15118" max="15118" width="16" style="58" bestFit="1" customWidth="1"/>
    <col min="15119" max="15119" width="16" style="58" customWidth="1"/>
    <col min="15120" max="15120" width="16.5" style="58" bestFit="1" customWidth="1"/>
    <col min="15121" max="15121" width="13.6640625" style="58" customWidth="1"/>
    <col min="15122" max="15122" width="16.33203125" style="58" bestFit="1" customWidth="1"/>
    <col min="15123" max="15123" width="12.33203125" style="58" bestFit="1" customWidth="1"/>
    <col min="15124" max="15124" width="15.83203125" style="58" bestFit="1" customWidth="1"/>
    <col min="15125" max="15125" width="16.33203125" style="58" bestFit="1" customWidth="1"/>
    <col min="15126" max="15126" width="19.6640625" style="58" bestFit="1" customWidth="1"/>
    <col min="15127" max="15127" width="1.5" style="58" customWidth="1"/>
    <col min="15128" max="15128" width="1.1640625" style="58" customWidth="1"/>
    <col min="15129" max="15129" width="17" style="58" customWidth="1"/>
    <col min="15130" max="15130" width="18" style="58" bestFit="1" customWidth="1"/>
    <col min="15131" max="15131" width="17.33203125" style="58" bestFit="1" customWidth="1"/>
    <col min="15132" max="15132" width="15.6640625" style="58" bestFit="1" customWidth="1"/>
    <col min="15133" max="15133" width="12.83203125" style="58" customWidth="1"/>
    <col min="15134" max="15135" width="12.1640625" style="58" bestFit="1" customWidth="1"/>
    <col min="15136" max="15136" width="17.6640625" style="58" bestFit="1" customWidth="1"/>
    <col min="15137" max="15360" width="9.33203125" style="58"/>
    <col min="15361" max="15361" width="2.83203125" style="58" customWidth="1"/>
    <col min="15362" max="15362" width="5.6640625" style="58" customWidth="1"/>
    <col min="15363" max="15363" width="45.6640625" style="58" customWidth="1"/>
    <col min="15364" max="15364" width="18" style="58" customWidth="1"/>
    <col min="15365" max="15365" width="17.33203125" style="58" bestFit="1" customWidth="1"/>
    <col min="15366" max="15366" width="15.6640625" style="58" bestFit="1" customWidth="1"/>
    <col min="15367" max="15367" width="16.33203125" style="58" bestFit="1" customWidth="1"/>
    <col min="15368" max="15368" width="14.6640625" style="58" customWidth="1"/>
    <col min="15369" max="15369" width="14.83203125" style="58" bestFit="1" customWidth="1"/>
    <col min="15370" max="15370" width="16" style="58" bestFit="1" customWidth="1"/>
    <col min="15371" max="15371" width="16.33203125" style="58" bestFit="1" customWidth="1"/>
    <col min="15372" max="15372" width="15.1640625" style="58" bestFit="1" customWidth="1"/>
    <col min="15373" max="15373" width="17.1640625" style="58" bestFit="1" customWidth="1"/>
    <col min="15374" max="15374" width="16" style="58" bestFit="1" customWidth="1"/>
    <col min="15375" max="15375" width="16" style="58" customWidth="1"/>
    <col min="15376" max="15376" width="16.5" style="58" bestFit="1" customWidth="1"/>
    <col min="15377" max="15377" width="13.6640625" style="58" customWidth="1"/>
    <col min="15378" max="15378" width="16.33203125" style="58" bestFit="1" customWidth="1"/>
    <col min="15379" max="15379" width="12.33203125" style="58" bestFit="1" customWidth="1"/>
    <col min="15380" max="15380" width="15.83203125" style="58" bestFit="1" customWidth="1"/>
    <col min="15381" max="15381" width="16.33203125" style="58" bestFit="1" customWidth="1"/>
    <col min="15382" max="15382" width="19.6640625" style="58" bestFit="1" customWidth="1"/>
    <col min="15383" max="15383" width="1.5" style="58" customWidth="1"/>
    <col min="15384" max="15384" width="1.1640625" style="58" customWidth="1"/>
    <col min="15385" max="15385" width="17" style="58" customWidth="1"/>
    <col min="15386" max="15386" width="18" style="58" bestFit="1" customWidth="1"/>
    <col min="15387" max="15387" width="17.33203125" style="58" bestFit="1" customWidth="1"/>
    <col min="15388" max="15388" width="15.6640625" style="58" bestFit="1" customWidth="1"/>
    <col min="15389" max="15389" width="12.83203125" style="58" customWidth="1"/>
    <col min="15390" max="15391" width="12.1640625" style="58" bestFit="1" customWidth="1"/>
    <col min="15392" max="15392" width="17.6640625" style="58" bestFit="1" customWidth="1"/>
    <col min="15393" max="15616" width="9.33203125" style="58"/>
    <col min="15617" max="15617" width="2.83203125" style="58" customWidth="1"/>
    <col min="15618" max="15618" width="5.6640625" style="58" customWidth="1"/>
    <col min="15619" max="15619" width="45.6640625" style="58" customWidth="1"/>
    <col min="15620" max="15620" width="18" style="58" customWidth="1"/>
    <col min="15621" max="15621" width="17.33203125" style="58" bestFit="1" customWidth="1"/>
    <col min="15622" max="15622" width="15.6640625" style="58" bestFit="1" customWidth="1"/>
    <col min="15623" max="15623" width="16.33203125" style="58" bestFit="1" customWidth="1"/>
    <col min="15624" max="15624" width="14.6640625" style="58" customWidth="1"/>
    <col min="15625" max="15625" width="14.83203125" style="58" bestFit="1" customWidth="1"/>
    <col min="15626" max="15626" width="16" style="58" bestFit="1" customWidth="1"/>
    <col min="15627" max="15627" width="16.33203125" style="58" bestFit="1" customWidth="1"/>
    <col min="15628" max="15628" width="15.1640625" style="58" bestFit="1" customWidth="1"/>
    <col min="15629" max="15629" width="17.1640625" style="58" bestFit="1" customWidth="1"/>
    <col min="15630" max="15630" width="16" style="58" bestFit="1" customWidth="1"/>
    <col min="15631" max="15631" width="16" style="58" customWidth="1"/>
    <col min="15632" max="15632" width="16.5" style="58" bestFit="1" customWidth="1"/>
    <col min="15633" max="15633" width="13.6640625" style="58" customWidth="1"/>
    <col min="15634" max="15634" width="16.33203125" style="58" bestFit="1" customWidth="1"/>
    <col min="15635" max="15635" width="12.33203125" style="58" bestFit="1" customWidth="1"/>
    <col min="15636" max="15636" width="15.83203125" style="58" bestFit="1" customWidth="1"/>
    <col min="15637" max="15637" width="16.33203125" style="58" bestFit="1" customWidth="1"/>
    <col min="15638" max="15638" width="19.6640625" style="58" bestFit="1" customWidth="1"/>
    <col min="15639" max="15639" width="1.5" style="58" customWidth="1"/>
    <col min="15640" max="15640" width="1.1640625" style="58" customWidth="1"/>
    <col min="15641" max="15641" width="17" style="58" customWidth="1"/>
    <col min="15642" max="15642" width="18" style="58" bestFit="1" customWidth="1"/>
    <col min="15643" max="15643" width="17.33203125" style="58" bestFit="1" customWidth="1"/>
    <col min="15644" max="15644" width="15.6640625" style="58" bestFit="1" customWidth="1"/>
    <col min="15645" max="15645" width="12.83203125" style="58" customWidth="1"/>
    <col min="15646" max="15647" width="12.1640625" style="58" bestFit="1" customWidth="1"/>
    <col min="15648" max="15648" width="17.6640625" style="58" bestFit="1" customWidth="1"/>
    <col min="15649" max="15872" width="9.33203125" style="58"/>
    <col min="15873" max="15873" width="2.83203125" style="58" customWidth="1"/>
    <col min="15874" max="15874" width="5.6640625" style="58" customWidth="1"/>
    <col min="15875" max="15875" width="45.6640625" style="58" customWidth="1"/>
    <col min="15876" max="15876" width="18" style="58" customWidth="1"/>
    <col min="15877" max="15877" width="17.33203125" style="58" bestFit="1" customWidth="1"/>
    <col min="15878" max="15878" width="15.6640625" style="58" bestFit="1" customWidth="1"/>
    <col min="15879" max="15879" width="16.33203125" style="58" bestFit="1" customWidth="1"/>
    <col min="15880" max="15880" width="14.6640625" style="58" customWidth="1"/>
    <col min="15881" max="15881" width="14.83203125" style="58" bestFit="1" customWidth="1"/>
    <col min="15882" max="15882" width="16" style="58" bestFit="1" customWidth="1"/>
    <col min="15883" max="15883" width="16.33203125" style="58" bestFit="1" customWidth="1"/>
    <col min="15884" max="15884" width="15.1640625" style="58" bestFit="1" customWidth="1"/>
    <col min="15885" max="15885" width="17.1640625" style="58" bestFit="1" customWidth="1"/>
    <col min="15886" max="15886" width="16" style="58" bestFit="1" customWidth="1"/>
    <col min="15887" max="15887" width="16" style="58" customWidth="1"/>
    <col min="15888" max="15888" width="16.5" style="58" bestFit="1" customWidth="1"/>
    <col min="15889" max="15889" width="13.6640625" style="58" customWidth="1"/>
    <col min="15890" max="15890" width="16.33203125" style="58" bestFit="1" customWidth="1"/>
    <col min="15891" max="15891" width="12.33203125" style="58" bestFit="1" customWidth="1"/>
    <col min="15892" max="15892" width="15.83203125" style="58" bestFit="1" customWidth="1"/>
    <col min="15893" max="15893" width="16.33203125" style="58" bestFit="1" customWidth="1"/>
    <col min="15894" max="15894" width="19.6640625" style="58" bestFit="1" customWidth="1"/>
    <col min="15895" max="15895" width="1.5" style="58" customWidth="1"/>
    <col min="15896" max="15896" width="1.1640625" style="58" customWidth="1"/>
    <col min="15897" max="15897" width="17" style="58" customWidth="1"/>
    <col min="15898" max="15898" width="18" style="58" bestFit="1" customWidth="1"/>
    <col min="15899" max="15899" width="17.33203125" style="58" bestFit="1" customWidth="1"/>
    <col min="15900" max="15900" width="15.6640625" style="58" bestFit="1" customWidth="1"/>
    <col min="15901" max="15901" width="12.83203125" style="58" customWidth="1"/>
    <col min="15902" max="15903" width="12.1640625" style="58" bestFit="1" customWidth="1"/>
    <col min="15904" max="15904" width="17.6640625" style="58" bestFit="1" customWidth="1"/>
    <col min="15905" max="16128" width="9.33203125" style="58"/>
    <col min="16129" max="16129" width="2.83203125" style="58" customWidth="1"/>
    <col min="16130" max="16130" width="5.6640625" style="58" customWidth="1"/>
    <col min="16131" max="16131" width="45.6640625" style="58" customWidth="1"/>
    <col min="16132" max="16132" width="18" style="58" customWidth="1"/>
    <col min="16133" max="16133" width="17.33203125" style="58" bestFit="1" customWidth="1"/>
    <col min="16134" max="16134" width="15.6640625" style="58" bestFit="1" customWidth="1"/>
    <col min="16135" max="16135" width="16.33203125" style="58" bestFit="1" customWidth="1"/>
    <col min="16136" max="16136" width="14.6640625" style="58" customWidth="1"/>
    <col min="16137" max="16137" width="14.83203125" style="58" bestFit="1" customWidth="1"/>
    <col min="16138" max="16138" width="16" style="58" bestFit="1" customWidth="1"/>
    <col min="16139" max="16139" width="16.33203125" style="58" bestFit="1" customWidth="1"/>
    <col min="16140" max="16140" width="15.1640625" style="58" bestFit="1" customWidth="1"/>
    <col min="16141" max="16141" width="17.1640625" style="58" bestFit="1" customWidth="1"/>
    <col min="16142" max="16142" width="16" style="58" bestFit="1" customWidth="1"/>
    <col min="16143" max="16143" width="16" style="58" customWidth="1"/>
    <col min="16144" max="16144" width="16.5" style="58" bestFit="1" customWidth="1"/>
    <col min="16145" max="16145" width="13.6640625" style="58" customWidth="1"/>
    <col min="16146" max="16146" width="16.33203125" style="58" bestFit="1" customWidth="1"/>
    <col min="16147" max="16147" width="12.33203125" style="58" bestFit="1" customWidth="1"/>
    <col min="16148" max="16148" width="15.83203125" style="58" bestFit="1" customWidth="1"/>
    <col min="16149" max="16149" width="16.33203125" style="58" bestFit="1" customWidth="1"/>
    <col min="16150" max="16150" width="19.6640625" style="58" bestFit="1" customWidth="1"/>
    <col min="16151" max="16151" width="1.5" style="58" customWidth="1"/>
    <col min="16152" max="16152" width="1.1640625" style="58" customWidth="1"/>
    <col min="16153" max="16153" width="17" style="58" customWidth="1"/>
    <col min="16154" max="16154" width="18" style="58" bestFit="1" customWidth="1"/>
    <col min="16155" max="16155" width="17.33203125" style="58" bestFit="1" customWidth="1"/>
    <col min="16156" max="16156" width="15.6640625" style="58" bestFit="1" customWidth="1"/>
    <col min="16157" max="16157" width="12.83203125" style="58" customWidth="1"/>
    <col min="16158" max="16159" width="12.1640625" style="58" bestFit="1" customWidth="1"/>
    <col min="16160" max="16160" width="17.6640625" style="58" bestFit="1" customWidth="1"/>
    <col min="16161" max="16384" width="9.33203125" style="58"/>
  </cols>
  <sheetData>
    <row r="1" spans="1:35">
      <c r="A1" s="54"/>
      <c r="B1" s="55" t="s">
        <v>266</v>
      </c>
      <c r="C1" s="54"/>
      <c r="D1" s="56"/>
      <c r="E1" s="54"/>
      <c r="F1" s="54"/>
      <c r="G1" s="54"/>
      <c r="H1" s="54"/>
      <c r="I1" s="54"/>
      <c r="J1" s="54"/>
      <c r="K1" s="56"/>
      <c r="L1" s="56"/>
      <c r="M1" s="54"/>
      <c r="N1" s="54"/>
      <c r="O1" s="54"/>
      <c r="P1" s="56"/>
      <c r="Q1" s="56"/>
      <c r="R1" s="54"/>
      <c r="S1" s="54"/>
      <c r="T1" s="56"/>
      <c r="U1" s="54"/>
      <c r="V1" s="54"/>
      <c r="W1" s="54"/>
      <c r="X1" s="57"/>
      <c r="Y1" s="57"/>
      <c r="Z1" s="57"/>
      <c r="AA1" s="57"/>
      <c r="AB1" s="57"/>
      <c r="AC1" s="57"/>
    </row>
    <row r="2" spans="1:35">
      <c r="A2" s="54"/>
      <c r="B2" s="1777" t="s">
        <v>2367</v>
      </c>
      <c r="C2" s="54"/>
      <c r="D2" s="56"/>
      <c r="E2" s="54"/>
      <c r="F2" s="54"/>
      <c r="G2" s="54"/>
      <c r="H2" s="54"/>
      <c r="I2" s="54"/>
      <c r="J2" s="54"/>
      <c r="K2" s="56"/>
      <c r="L2" s="56"/>
      <c r="M2" s="54"/>
      <c r="N2" s="54"/>
      <c r="O2" s="54"/>
      <c r="P2" s="56"/>
      <c r="Q2" s="56"/>
      <c r="R2" s="54"/>
      <c r="S2" s="54"/>
      <c r="T2" s="56"/>
      <c r="U2" s="54"/>
      <c r="V2" s="54"/>
      <c r="W2" s="54"/>
      <c r="X2" s="57"/>
      <c r="Y2" s="57"/>
      <c r="Z2" s="57"/>
      <c r="AA2" s="57"/>
      <c r="AB2" s="57"/>
      <c r="AC2" s="57"/>
    </row>
    <row r="3" spans="1:35">
      <c r="B3" s="60" t="s">
        <v>357</v>
      </c>
      <c r="C3" s="54"/>
      <c r="D3" s="56"/>
      <c r="E3" s="54"/>
      <c r="F3" s="61"/>
      <c r="G3" s="56"/>
      <c r="H3" s="56"/>
      <c r="I3" s="56"/>
      <c r="J3" s="56"/>
      <c r="K3" s="56"/>
      <c r="L3" s="56"/>
      <c r="N3" s="54"/>
      <c r="O3" s="54"/>
      <c r="P3" s="56"/>
      <c r="Q3" s="56"/>
      <c r="R3" s="54"/>
      <c r="S3" s="54"/>
      <c r="T3" s="56"/>
      <c r="U3" s="54"/>
      <c r="V3" s="54"/>
      <c r="W3" s="54"/>
      <c r="X3" s="57"/>
      <c r="Y3" s="57"/>
      <c r="Z3" s="57"/>
      <c r="AA3" s="57"/>
      <c r="AB3" s="57"/>
      <c r="AC3" s="57"/>
    </row>
    <row r="4" spans="1:35">
      <c r="B4" s="55" t="s">
        <v>2368</v>
      </c>
      <c r="C4" s="54"/>
      <c r="D4" s="56"/>
      <c r="E4" s="54"/>
      <c r="F4" s="54"/>
      <c r="G4" s="54"/>
      <c r="H4" s="54"/>
      <c r="I4" s="54"/>
      <c r="J4" s="54"/>
      <c r="K4" s="56"/>
      <c r="L4" s="56"/>
      <c r="N4" s="56"/>
      <c r="O4" s="56"/>
      <c r="P4" s="56"/>
      <c r="Q4" s="56"/>
      <c r="R4" s="54"/>
      <c r="S4" s="54"/>
      <c r="T4" s="56"/>
      <c r="U4" s="54"/>
      <c r="V4" s="54"/>
      <c r="W4" s="54"/>
      <c r="X4" s="57"/>
      <c r="Y4" s="57"/>
      <c r="Z4" s="57"/>
      <c r="AA4" s="57"/>
      <c r="AB4" s="57"/>
      <c r="AC4" s="57"/>
    </row>
    <row r="5" spans="1:35">
      <c r="B5" s="54"/>
      <c r="C5" s="54"/>
      <c r="D5" s="56"/>
      <c r="E5" s="54"/>
      <c r="F5" s="62"/>
      <c r="G5" s="56"/>
      <c r="H5" s="56"/>
      <c r="I5" s="56"/>
      <c r="J5" s="56"/>
      <c r="K5" s="56"/>
      <c r="L5" s="56"/>
      <c r="N5" s="56"/>
      <c r="O5" s="56"/>
      <c r="P5" s="56"/>
      <c r="Q5" s="56"/>
      <c r="S5" s="56"/>
      <c r="T5" s="56"/>
      <c r="U5" s="54"/>
      <c r="V5" s="54"/>
      <c r="W5" s="54"/>
      <c r="X5" s="63"/>
      <c r="Y5" s="63"/>
      <c r="Z5" s="63"/>
      <c r="AA5" s="63"/>
      <c r="AB5" s="63"/>
      <c r="AC5" s="63"/>
    </row>
    <row r="6" spans="1:35" ht="25.5" customHeight="1">
      <c r="B6" s="64" t="s">
        <v>358</v>
      </c>
      <c r="D6" s="56"/>
      <c r="E6" s="54"/>
      <c r="F6" s="65"/>
      <c r="G6" s="56"/>
      <c r="H6" s="56"/>
      <c r="I6" s="56"/>
      <c r="J6" s="56"/>
      <c r="K6" s="65"/>
      <c r="L6" s="65"/>
      <c r="M6" s="1778"/>
      <c r="N6" s="65"/>
      <c r="O6" s="65"/>
      <c r="P6" s="65"/>
      <c r="Q6" s="65"/>
      <c r="S6" s="65"/>
      <c r="T6" s="65"/>
      <c r="U6" s="66"/>
      <c r="V6" s="66"/>
      <c r="W6" s="67"/>
      <c r="X6" s="63"/>
      <c r="Y6" s="2933" t="s">
        <v>321</v>
      </c>
      <c r="Z6" s="2933"/>
      <c r="AA6" s="2933"/>
      <c r="AC6" s="63"/>
    </row>
    <row r="7" spans="1:35">
      <c r="C7" s="69"/>
      <c r="D7" s="70"/>
      <c r="E7" s="71"/>
      <c r="F7" s="70" t="s">
        <v>267</v>
      </c>
      <c r="G7" s="70"/>
      <c r="H7" s="70"/>
      <c r="I7" s="70"/>
      <c r="J7" s="70" t="s">
        <v>269</v>
      </c>
      <c r="U7" s="72"/>
      <c r="W7" s="73"/>
    </row>
    <row r="8" spans="1:35">
      <c r="C8" s="74"/>
      <c r="D8" s="74" t="s">
        <v>268</v>
      </c>
      <c r="E8" s="75" t="s">
        <v>269</v>
      </c>
      <c r="F8" s="74" t="s">
        <v>270</v>
      </c>
      <c r="G8" s="70" t="s">
        <v>269</v>
      </c>
      <c r="H8" s="70" t="s">
        <v>269</v>
      </c>
      <c r="I8" s="70" t="s">
        <v>269</v>
      </c>
      <c r="J8" s="74" t="s">
        <v>322</v>
      </c>
      <c r="K8" s="74" t="s">
        <v>260</v>
      </c>
      <c r="L8" s="1779" t="s">
        <v>404</v>
      </c>
      <c r="M8" s="2087" t="s">
        <v>2369</v>
      </c>
      <c r="N8" s="1779" t="s">
        <v>2370</v>
      </c>
      <c r="O8" s="74" t="s">
        <v>2371</v>
      </c>
      <c r="P8" s="74" t="s">
        <v>2372</v>
      </c>
      <c r="Q8" s="74" t="s">
        <v>2373</v>
      </c>
      <c r="R8" s="75" t="s">
        <v>272</v>
      </c>
      <c r="S8" s="75"/>
      <c r="T8" s="76" t="s">
        <v>269</v>
      </c>
      <c r="U8" s="77"/>
      <c r="V8" s="77"/>
      <c r="W8" s="78"/>
      <c r="X8" s="77"/>
      <c r="Y8" s="77" t="s">
        <v>280</v>
      </c>
      <c r="Z8" s="77" t="s">
        <v>280</v>
      </c>
      <c r="AA8" s="77"/>
      <c r="AC8" s="75"/>
      <c r="AE8" s="79"/>
      <c r="AF8" s="60"/>
    </row>
    <row r="9" spans="1:35" ht="13.5" thickBot="1">
      <c r="B9" s="75"/>
      <c r="C9" s="74"/>
      <c r="D9" s="74" t="s">
        <v>273</v>
      </c>
      <c r="E9" s="74" t="s">
        <v>274</v>
      </c>
      <c r="F9" s="74" t="s">
        <v>275</v>
      </c>
      <c r="G9" s="74" t="s">
        <v>278</v>
      </c>
      <c r="H9" s="74" t="s">
        <v>320</v>
      </c>
      <c r="I9" s="74" t="s">
        <v>360</v>
      </c>
      <c r="J9" s="74" t="s">
        <v>248</v>
      </c>
      <c r="K9" s="74" t="s">
        <v>276</v>
      </c>
      <c r="L9" s="74" t="s">
        <v>2374</v>
      </c>
      <c r="M9" s="2087" t="s">
        <v>2375</v>
      </c>
      <c r="N9" s="74" t="s">
        <v>2376</v>
      </c>
      <c r="O9" s="74" t="s">
        <v>2377</v>
      </c>
      <c r="P9" s="74" t="s">
        <v>2378</v>
      </c>
      <c r="Q9" s="74" t="s">
        <v>2378</v>
      </c>
      <c r="R9" s="75" t="s">
        <v>277</v>
      </c>
      <c r="S9" s="75" t="s">
        <v>2379</v>
      </c>
      <c r="T9" s="76" t="s">
        <v>362</v>
      </c>
      <c r="U9" s="77" t="s">
        <v>279</v>
      </c>
      <c r="V9" s="77" t="s">
        <v>280</v>
      </c>
      <c r="W9" s="78"/>
      <c r="X9" s="77"/>
      <c r="Y9" s="77" t="s">
        <v>312</v>
      </c>
      <c r="Z9" s="77" t="s">
        <v>312</v>
      </c>
      <c r="AA9" s="77" t="s">
        <v>280</v>
      </c>
      <c r="AC9" s="75"/>
      <c r="AE9" s="77"/>
      <c r="AF9" s="66"/>
      <c r="AI9" s="69"/>
    </row>
    <row r="10" spans="1:35">
      <c r="B10" s="80" t="s">
        <v>281</v>
      </c>
      <c r="C10" s="80" t="s">
        <v>282</v>
      </c>
      <c r="D10" s="81" t="s">
        <v>208</v>
      </c>
      <c r="E10" s="80" t="s">
        <v>284</v>
      </c>
      <c r="F10" s="81" t="s">
        <v>283</v>
      </c>
      <c r="G10" s="81" t="s">
        <v>323</v>
      </c>
      <c r="H10" s="81" t="s">
        <v>324</v>
      </c>
      <c r="I10" s="81" t="s">
        <v>363</v>
      </c>
      <c r="J10" s="81" t="s">
        <v>325</v>
      </c>
      <c r="K10" s="81" t="s">
        <v>286</v>
      </c>
      <c r="L10" s="81" t="s">
        <v>287</v>
      </c>
      <c r="M10" s="2088" t="s">
        <v>287</v>
      </c>
      <c r="N10" s="81" t="s">
        <v>287</v>
      </c>
      <c r="O10" s="81" t="s">
        <v>287</v>
      </c>
      <c r="P10" s="81" t="s">
        <v>287</v>
      </c>
      <c r="Q10" s="81" t="s">
        <v>287</v>
      </c>
      <c r="R10" s="80" t="s">
        <v>287</v>
      </c>
      <c r="S10" s="80" t="s">
        <v>287</v>
      </c>
      <c r="T10" s="82" t="s">
        <v>208</v>
      </c>
      <c r="U10" s="83" t="s">
        <v>286</v>
      </c>
      <c r="V10" s="83" t="s">
        <v>208</v>
      </c>
      <c r="W10" s="78"/>
      <c r="X10" s="77"/>
      <c r="Y10" s="83" t="s">
        <v>313</v>
      </c>
      <c r="Z10" s="83" t="s">
        <v>314</v>
      </c>
      <c r="AA10" s="84" t="s">
        <v>315</v>
      </c>
      <c r="AC10" s="75"/>
      <c r="AD10" s="1780" t="s">
        <v>1630</v>
      </c>
      <c r="AE10" s="1781" t="s">
        <v>1630</v>
      </c>
      <c r="AF10" s="1782" t="s">
        <v>1630</v>
      </c>
      <c r="AI10" s="69"/>
    </row>
    <row r="11" spans="1:35">
      <c r="B11" s="75"/>
      <c r="C11" s="75" t="s">
        <v>288</v>
      </c>
      <c r="D11" s="74" t="s">
        <v>289</v>
      </c>
      <c r="E11" s="74" t="s">
        <v>290</v>
      </c>
      <c r="F11" s="75" t="s">
        <v>291</v>
      </c>
      <c r="G11" s="75" t="s">
        <v>292</v>
      </c>
      <c r="H11" s="75" t="s">
        <v>293</v>
      </c>
      <c r="I11" s="75" t="s">
        <v>294</v>
      </c>
      <c r="J11" s="74" t="s">
        <v>296</v>
      </c>
      <c r="K11" s="75" t="s">
        <v>295</v>
      </c>
      <c r="L11" s="75" t="s">
        <v>297</v>
      </c>
      <c r="M11" s="2087" t="s">
        <v>298</v>
      </c>
      <c r="N11" s="75" t="s">
        <v>299</v>
      </c>
      <c r="O11" s="74" t="s">
        <v>326</v>
      </c>
      <c r="P11" s="76" t="s">
        <v>300</v>
      </c>
      <c r="Q11" s="74" t="s">
        <v>301</v>
      </c>
      <c r="R11" s="77" t="s">
        <v>327</v>
      </c>
      <c r="S11" s="76" t="s">
        <v>317</v>
      </c>
      <c r="T11" s="85" t="s">
        <v>318</v>
      </c>
      <c r="U11" s="76" t="s">
        <v>328</v>
      </c>
      <c r="V11" s="76" t="s">
        <v>364</v>
      </c>
      <c r="W11" s="78"/>
      <c r="X11" s="77"/>
      <c r="Y11" s="85" t="s">
        <v>356</v>
      </c>
      <c r="Z11" s="74" t="s">
        <v>2380</v>
      </c>
      <c r="AA11" s="74" t="s">
        <v>2381</v>
      </c>
      <c r="AC11" s="75"/>
      <c r="AD11" s="1783"/>
      <c r="AE11" s="77"/>
      <c r="AF11" s="1784"/>
    </row>
    <row r="12" spans="1:35">
      <c r="B12" s="86">
        <v>1</v>
      </c>
      <c r="C12" s="60" t="s">
        <v>223</v>
      </c>
      <c r="D12" s="87">
        <v>2642.5699999999997</v>
      </c>
      <c r="E12" s="88">
        <v>-448.14</v>
      </c>
      <c r="F12" s="88">
        <v>0</v>
      </c>
      <c r="G12" s="88">
        <v>-167.80242999999996</v>
      </c>
      <c r="H12" s="88">
        <v>0</v>
      </c>
      <c r="I12" s="88">
        <v>24.814959999999981</v>
      </c>
      <c r="J12" s="88">
        <v>-149.5387562692062</v>
      </c>
      <c r="K12" s="88">
        <v>14608.476226269207</v>
      </c>
      <c r="L12" s="88">
        <v>-1329.6599999999999</v>
      </c>
      <c r="M12" s="2089">
        <v>-337.67999999999847</v>
      </c>
      <c r="N12" s="88">
        <v>301.73999999999796</v>
      </c>
      <c r="O12" s="88">
        <v>0</v>
      </c>
      <c r="P12" s="88">
        <v>0</v>
      </c>
      <c r="Q12" s="88">
        <v>0</v>
      </c>
      <c r="R12" s="88">
        <v>0</v>
      </c>
      <c r="S12" s="88">
        <v>6.42</v>
      </c>
      <c r="T12" s="88"/>
      <c r="U12" s="89">
        <f t="shared" ref="U12:U25" si="0">V12-D12</f>
        <v>12508.630000000001</v>
      </c>
      <c r="V12" s="88">
        <v>15151.2</v>
      </c>
      <c r="W12" s="90"/>
      <c r="X12" s="91"/>
      <c r="Y12" s="88">
        <v>8782.56</v>
      </c>
      <c r="Z12" s="91">
        <v>8397.36</v>
      </c>
      <c r="AA12" s="92">
        <f t="shared" ref="AA12:AA25" si="1">V12-Y12</f>
        <v>6368.6400000000012</v>
      </c>
      <c r="AC12" s="91"/>
      <c r="AD12" s="1785">
        <f>V12-(U12+D12)</f>
        <v>0</v>
      </c>
      <c r="AE12" s="1786">
        <f t="shared" ref="AE12:AE33" si="2">U12-SUM(E12:T12)</f>
        <v>0</v>
      </c>
      <c r="AF12" s="1787">
        <f>V12-Y12-AA12</f>
        <v>0</v>
      </c>
    </row>
    <row r="13" spans="1:35">
      <c r="B13" s="58">
        <f t="shared" ref="B13:B26" si="3">B12+1</f>
        <v>2</v>
      </c>
      <c r="C13" s="60" t="s">
        <v>365</v>
      </c>
      <c r="D13" s="93">
        <v>648624933.80528879</v>
      </c>
      <c r="E13" s="94">
        <v>-26077621.550000001</v>
      </c>
      <c r="F13" s="94">
        <v>-905147.36</v>
      </c>
      <c r="G13" s="95">
        <v>-9516052.6484699976</v>
      </c>
      <c r="H13" s="95">
        <v>-2433458.2403744403</v>
      </c>
      <c r="I13" s="95">
        <v>2384034.6975000002</v>
      </c>
      <c r="J13" s="95">
        <v>36839900.092503712</v>
      </c>
      <c r="K13" s="95">
        <v>8378069.2035518885</v>
      </c>
      <c r="L13" s="95">
        <v>2436903</v>
      </c>
      <c r="M13" s="2090">
        <v>-12400502</v>
      </c>
      <c r="N13" s="95">
        <v>13036599</v>
      </c>
      <c r="O13" s="95"/>
      <c r="P13" s="98">
        <v>0</v>
      </c>
      <c r="Q13" s="98">
        <v>0</v>
      </c>
      <c r="R13" s="95">
        <v>23283584.670949817</v>
      </c>
      <c r="S13" s="95">
        <v>257571.72696999999</v>
      </c>
      <c r="T13" s="96"/>
      <c r="U13" s="96">
        <f t="shared" si="0"/>
        <v>35283880.592631102</v>
      </c>
      <c r="V13" s="95">
        <v>683908814.39791989</v>
      </c>
      <c r="W13" s="97"/>
      <c r="X13" s="98"/>
      <c r="Y13" s="94">
        <v>394687569.71019995</v>
      </c>
      <c r="Z13" s="98">
        <v>377375461.50811005</v>
      </c>
      <c r="AA13" s="99">
        <f t="shared" si="1"/>
        <v>289221244.68771994</v>
      </c>
      <c r="AC13" s="98"/>
      <c r="AD13" s="1785">
        <f>V13-(U13+D13)</f>
        <v>0</v>
      </c>
      <c r="AE13" s="1786">
        <f t="shared" si="2"/>
        <v>1.1920928955078125E-7</v>
      </c>
      <c r="AF13" s="1787">
        <f>V13-Y13-AA13</f>
        <v>0</v>
      </c>
    </row>
    <row r="14" spans="1:35">
      <c r="B14" s="58">
        <f t="shared" si="3"/>
        <v>3</v>
      </c>
      <c r="C14" s="60" t="s">
        <v>366</v>
      </c>
      <c r="D14" s="93">
        <v>16023.13</v>
      </c>
      <c r="E14" s="94">
        <v>0</v>
      </c>
      <c r="F14" s="94">
        <v>0</v>
      </c>
      <c r="G14" s="95">
        <v>0</v>
      </c>
      <c r="H14" s="95">
        <v>-17.2059100906454</v>
      </c>
      <c r="I14" s="95">
        <v>16.217000000000002</v>
      </c>
      <c r="J14" s="95">
        <v>0</v>
      </c>
      <c r="K14" s="95">
        <v>-6491.4459699093532</v>
      </c>
      <c r="L14" s="95">
        <v>9.3210200000012264</v>
      </c>
      <c r="M14" s="2090">
        <v>277.2571799999987</v>
      </c>
      <c r="N14" s="95">
        <v>52.321500000000015</v>
      </c>
      <c r="O14" s="95"/>
      <c r="P14" s="98">
        <v>0</v>
      </c>
      <c r="Q14" s="98">
        <v>0</v>
      </c>
      <c r="R14" s="95">
        <v>0</v>
      </c>
      <c r="S14" s="95">
        <v>0</v>
      </c>
      <c r="T14" s="96"/>
      <c r="U14" s="96">
        <f t="shared" si="0"/>
        <v>-6153.5351799999989</v>
      </c>
      <c r="V14" s="95">
        <v>9869.5948200000003</v>
      </c>
      <c r="W14" s="97"/>
      <c r="X14" s="98"/>
      <c r="Y14" s="94">
        <v>8469.5507400000006</v>
      </c>
      <c r="Z14" s="98">
        <v>8469.5507400000006</v>
      </c>
      <c r="AA14" s="99">
        <f t="shared" si="1"/>
        <v>1400.0440799999997</v>
      </c>
      <c r="AC14" s="98"/>
      <c r="AD14" s="1785"/>
      <c r="AE14" s="1786">
        <f t="shared" si="2"/>
        <v>0</v>
      </c>
      <c r="AF14" s="1787"/>
    </row>
    <row r="15" spans="1:35">
      <c r="B15" s="58">
        <f t="shared" si="3"/>
        <v>4</v>
      </c>
      <c r="C15" s="100" t="s">
        <v>329</v>
      </c>
      <c r="D15" s="93">
        <v>216058532.79465172</v>
      </c>
      <c r="E15" s="94">
        <v>-10884100.799999999</v>
      </c>
      <c r="F15" s="94">
        <v>-227755.08500000002</v>
      </c>
      <c r="G15" s="95">
        <v>-3482733.0757700005</v>
      </c>
      <c r="H15" s="95">
        <v>-711188.21465575451</v>
      </c>
      <c r="I15" s="95">
        <v>720468.79952000012</v>
      </c>
      <c r="J15" s="95">
        <v>13564974.700840699</v>
      </c>
      <c r="K15" s="95">
        <v>2498314.9280833602</v>
      </c>
      <c r="L15" s="95">
        <v>636174.41225004196</v>
      </c>
      <c r="M15" s="2090">
        <v>-4683388.1959200501</v>
      </c>
      <c r="N15" s="95">
        <v>3819257.426399976</v>
      </c>
      <c r="O15" s="95"/>
      <c r="P15" s="98">
        <v>-449441.5683974399</v>
      </c>
      <c r="Q15" s="98">
        <v>4604708.4533198765</v>
      </c>
      <c r="R15" s="95">
        <v>8285263.2910775924</v>
      </c>
      <c r="S15" s="95">
        <v>93098.043000000005</v>
      </c>
      <c r="T15" s="96"/>
      <c r="U15" s="96">
        <f t="shared" si="0"/>
        <v>13783653.114748299</v>
      </c>
      <c r="V15" s="95">
        <v>229842185.90940002</v>
      </c>
      <c r="W15" s="97"/>
      <c r="X15" s="98"/>
      <c r="Y15" s="94">
        <v>144583284.64950001</v>
      </c>
      <c r="Z15" s="98">
        <v>138242498.373</v>
      </c>
      <c r="AA15" s="99">
        <f t="shared" si="1"/>
        <v>85258901.259900004</v>
      </c>
      <c r="AC15" s="98"/>
      <c r="AD15" s="1785">
        <f>V15-(U15+D15)</f>
        <v>0</v>
      </c>
      <c r="AE15" s="1786">
        <f t="shared" si="2"/>
        <v>0</v>
      </c>
      <c r="AF15" s="1787">
        <f>V15-Y15-AA15</f>
        <v>0</v>
      </c>
    </row>
    <row r="16" spans="1:35">
      <c r="B16" s="58">
        <f t="shared" si="3"/>
        <v>5</v>
      </c>
      <c r="C16" s="60" t="s">
        <v>225</v>
      </c>
      <c r="D16" s="93">
        <v>71683485.465980619</v>
      </c>
      <c r="E16" s="94">
        <v>-3621856.7100000004</v>
      </c>
      <c r="F16" s="94">
        <v>-23187.49</v>
      </c>
      <c r="G16" s="95">
        <v>-1396552.76305</v>
      </c>
      <c r="H16" s="95">
        <v>-159362.80396732903</v>
      </c>
      <c r="I16" s="95">
        <v>119930.41885</v>
      </c>
      <c r="J16" s="95">
        <v>6237980.1200764226</v>
      </c>
      <c r="K16" s="95">
        <v>-1051028.1260797232</v>
      </c>
      <c r="L16" s="95">
        <v>96441.99457000196</v>
      </c>
      <c r="M16" s="2090">
        <v>-2444165.1319399774</v>
      </c>
      <c r="N16" s="95">
        <v>660646.69257998466</v>
      </c>
      <c r="O16" s="95"/>
      <c r="P16" s="98">
        <v>-959438.46074683196</v>
      </c>
      <c r="Q16" s="98">
        <v>-5020612.849079174</v>
      </c>
      <c r="R16" s="95">
        <v>759944.18946600426</v>
      </c>
      <c r="S16" s="95">
        <v>28522.985369999999</v>
      </c>
      <c r="T16" s="96"/>
      <c r="U16" s="96">
        <f t="shared" si="0"/>
        <v>-6772737.9339506179</v>
      </c>
      <c r="V16" s="95">
        <v>64910747.532030001</v>
      </c>
      <c r="W16" s="97"/>
      <c r="X16" s="98"/>
      <c r="Y16" s="94">
        <v>48349338.333330005</v>
      </c>
      <c r="Z16" s="98">
        <v>46211269.358629994</v>
      </c>
      <c r="AA16" s="99">
        <f t="shared" si="1"/>
        <v>16561409.198699996</v>
      </c>
      <c r="AC16" s="98"/>
      <c r="AD16" s="1785">
        <f>V16-(U16+D16)</f>
        <v>0</v>
      </c>
      <c r="AE16" s="1786">
        <f t="shared" si="2"/>
        <v>0</v>
      </c>
      <c r="AF16" s="1787">
        <f>V16-Y16-AA16</f>
        <v>0</v>
      </c>
    </row>
    <row r="17" spans="2:32">
      <c r="B17" s="58">
        <f t="shared" si="3"/>
        <v>6</v>
      </c>
      <c r="C17" s="60" t="s">
        <v>342</v>
      </c>
      <c r="D17" s="93">
        <v>1249750.9656922717</v>
      </c>
      <c r="E17" s="94">
        <v>-57184.99412615598</v>
      </c>
      <c r="F17" s="94">
        <v>-4567.33</v>
      </c>
      <c r="G17" s="95"/>
      <c r="H17" s="95">
        <v>-12669.142137071776</v>
      </c>
      <c r="I17" s="95">
        <v>9510.8103900000006</v>
      </c>
      <c r="J17" s="95">
        <v>0</v>
      </c>
      <c r="K17" s="95">
        <v>-35514.348009043839</v>
      </c>
      <c r="L17" s="95">
        <v>4766.9454500002321</v>
      </c>
      <c r="M17" s="2090">
        <v>0</v>
      </c>
      <c r="N17" s="95">
        <v>43114.429339999799</v>
      </c>
      <c r="O17" s="95"/>
      <c r="P17" s="98">
        <v>436763.93581574393</v>
      </c>
      <c r="Q17" s="98">
        <v>0</v>
      </c>
      <c r="R17" s="95">
        <v>2198.3353042562376</v>
      </c>
      <c r="S17" s="95">
        <v>0</v>
      </c>
      <c r="T17" s="96"/>
      <c r="U17" s="96">
        <f t="shared" si="0"/>
        <v>386418.64202772779</v>
      </c>
      <c r="V17" s="95">
        <v>1636169.6077199995</v>
      </c>
      <c r="W17" s="97"/>
      <c r="X17" s="98"/>
      <c r="Y17" s="94">
        <v>5470.2017999999989</v>
      </c>
      <c r="Z17" s="98">
        <v>5470.2017999999989</v>
      </c>
      <c r="AA17" s="99">
        <f t="shared" si="1"/>
        <v>1630699.4059199996</v>
      </c>
      <c r="AC17" s="98"/>
      <c r="AD17" s="1785"/>
      <c r="AE17" s="1786">
        <f t="shared" si="2"/>
        <v>-8.149072527885437E-10</v>
      </c>
      <c r="AF17" s="1787"/>
    </row>
    <row r="18" spans="2:32">
      <c r="B18" s="58">
        <f t="shared" si="3"/>
        <v>7</v>
      </c>
      <c r="C18" s="60" t="s">
        <v>330</v>
      </c>
      <c r="D18" s="93">
        <v>119839.05458908268</v>
      </c>
      <c r="E18" s="94">
        <v>-5089.13</v>
      </c>
      <c r="F18" s="94"/>
      <c r="G18" s="95"/>
      <c r="H18" s="95">
        <v>0</v>
      </c>
      <c r="I18" s="95">
        <v>0</v>
      </c>
      <c r="J18" s="95">
        <v>0</v>
      </c>
      <c r="K18" s="95">
        <v>561.67541091734893</v>
      </c>
      <c r="L18" s="95">
        <v>0</v>
      </c>
      <c r="M18" s="2090">
        <v>0</v>
      </c>
      <c r="N18" s="95">
        <v>0</v>
      </c>
      <c r="O18" s="95"/>
      <c r="P18" s="98">
        <v>0</v>
      </c>
      <c r="Q18" s="98">
        <v>0</v>
      </c>
      <c r="R18" s="95">
        <v>0</v>
      </c>
      <c r="S18" s="95">
        <v>0</v>
      </c>
      <c r="T18" s="96"/>
      <c r="U18" s="96">
        <f t="shared" si="0"/>
        <v>-4527.4545890826703</v>
      </c>
      <c r="V18" s="95">
        <v>115311.6</v>
      </c>
      <c r="W18" s="97"/>
      <c r="X18" s="98"/>
      <c r="Y18" s="94">
        <v>0</v>
      </c>
      <c r="Z18" s="98">
        <v>0</v>
      </c>
      <c r="AA18" s="99">
        <f t="shared" si="1"/>
        <v>115311.6</v>
      </c>
      <c r="AC18" s="98"/>
      <c r="AD18" s="1785">
        <f>V18-(U18+D18)</f>
        <v>0</v>
      </c>
      <c r="AE18" s="1786">
        <f t="shared" si="2"/>
        <v>-1.9099388737231493E-11</v>
      </c>
      <c r="AF18" s="1787">
        <f>V18-Y18-AA18</f>
        <v>0</v>
      </c>
    </row>
    <row r="19" spans="2:32">
      <c r="B19" s="58">
        <f t="shared" si="3"/>
        <v>8</v>
      </c>
      <c r="C19" s="60" t="s">
        <v>224</v>
      </c>
      <c r="D19" s="93">
        <v>13142638.370200474</v>
      </c>
      <c r="E19" s="94">
        <v>-510346.01000000007</v>
      </c>
      <c r="F19" s="94">
        <v>0</v>
      </c>
      <c r="G19" s="95">
        <v>-301283.13975000003</v>
      </c>
      <c r="H19" s="95">
        <v>-19552.46</v>
      </c>
      <c r="I19" s="95">
        <v>13983.982100000001</v>
      </c>
      <c r="J19" s="95">
        <v>1353295.0150042786</v>
      </c>
      <c r="K19" s="95">
        <v>-11744.864844750613</v>
      </c>
      <c r="L19" s="95">
        <v>6865.4583000000566</v>
      </c>
      <c r="M19" s="2090">
        <v>-521703.80142000131</v>
      </c>
      <c r="N19" s="95">
        <v>46068.265029998496</v>
      </c>
      <c r="O19" s="95">
        <v>-3601.7799999999997</v>
      </c>
      <c r="P19" s="98">
        <v>0</v>
      </c>
      <c r="Q19" s="98">
        <v>0</v>
      </c>
      <c r="R19" s="95">
        <v>253251.46997000158</v>
      </c>
      <c r="S19" s="95">
        <v>7259.6277600000003</v>
      </c>
      <c r="T19" s="96"/>
      <c r="U19" s="96">
        <f t="shared" si="0"/>
        <v>312491.76214952581</v>
      </c>
      <c r="V19" s="95">
        <v>13455130.13235</v>
      </c>
      <c r="W19" s="97"/>
      <c r="X19" s="98"/>
      <c r="Y19" s="94">
        <v>11563377.142759999</v>
      </c>
      <c r="Z19" s="98">
        <v>11055746.4342</v>
      </c>
      <c r="AA19" s="99">
        <f t="shared" si="1"/>
        <v>1891752.9895900004</v>
      </c>
      <c r="AC19" s="98"/>
      <c r="AD19" s="1785">
        <f>V19-(U19+D19)</f>
        <v>0</v>
      </c>
      <c r="AE19" s="1786">
        <f t="shared" si="2"/>
        <v>-9.8953023552894592E-10</v>
      </c>
      <c r="AF19" s="1787">
        <f>V19-Y19-AA19</f>
        <v>0</v>
      </c>
    </row>
    <row r="20" spans="2:32">
      <c r="B20" s="58">
        <f t="shared" si="3"/>
        <v>9</v>
      </c>
      <c r="C20" s="60" t="s">
        <v>343</v>
      </c>
      <c r="D20" s="93">
        <v>7467604.9590177173</v>
      </c>
      <c r="E20" s="94">
        <v>-372627.75300359027</v>
      </c>
      <c r="F20" s="94">
        <v>-10081.700000000001</v>
      </c>
      <c r="G20" s="95"/>
      <c r="H20" s="95">
        <v>-71921.942686992683</v>
      </c>
      <c r="I20" s="95">
        <v>53966.986980000001</v>
      </c>
      <c r="J20" s="95">
        <v>0</v>
      </c>
      <c r="K20" s="95">
        <v>-82654.268027133308</v>
      </c>
      <c r="L20" s="95">
        <v>21820.781400000677</v>
      </c>
      <c r="M20" s="2090">
        <v>0</v>
      </c>
      <c r="N20" s="95">
        <v>168728.1923299972</v>
      </c>
      <c r="O20" s="95">
        <v>-384886.69999999995</v>
      </c>
      <c r="P20" s="98">
        <v>-73143.361187650007</v>
      </c>
      <c r="Q20" s="98">
        <v>0</v>
      </c>
      <c r="R20" s="95">
        <v>-4.8102349159307778E-2</v>
      </c>
      <c r="S20" s="95">
        <v>0</v>
      </c>
      <c r="T20" s="96"/>
      <c r="U20" s="96">
        <f t="shared" si="0"/>
        <v>-750799.81229771674</v>
      </c>
      <c r="V20" s="95">
        <v>6716805.1467200005</v>
      </c>
      <c r="W20" s="97"/>
      <c r="X20" s="98"/>
      <c r="Y20" s="94">
        <v>45434.118799999997</v>
      </c>
      <c r="Z20" s="98">
        <v>45434.118799999997</v>
      </c>
      <c r="AA20" s="99">
        <f t="shared" si="1"/>
        <v>6671371.0279200003</v>
      </c>
      <c r="AC20" s="98"/>
      <c r="AD20" s="1785"/>
      <c r="AE20" s="1786">
        <f t="shared" si="2"/>
        <v>0</v>
      </c>
      <c r="AF20" s="1787"/>
    </row>
    <row r="21" spans="2:32">
      <c r="B21" s="58">
        <f t="shared" si="3"/>
        <v>10</v>
      </c>
      <c r="C21" s="60" t="s">
        <v>226</v>
      </c>
      <c r="D21" s="93">
        <v>11902949.430733029</v>
      </c>
      <c r="E21" s="94">
        <v>-621833.04999999993</v>
      </c>
      <c r="F21" s="94">
        <v>0</v>
      </c>
      <c r="G21" s="95">
        <v>-227417.50805999999</v>
      </c>
      <c r="H21" s="95">
        <v>-26666.853612165225</v>
      </c>
      <c r="I21" s="95">
        <v>24501.838290000007</v>
      </c>
      <c r="J21" s="95">
        <v>1032938.4223432078</v>
      </c>
      <c r="K21" s="95">
        <v>310086.01839593053</v>
      </c>
      <c r="L21" s="95">
        <v>12773.714999999851</v>
      </c>
      <c r="M21" s="2090">
        <v>-392694.18651000038</v>
      </c>
      <c r="N21" s="95">
        <v>70812.786369999871</v>
      </c>
      <c r="O21" s="95"/>
      <c r="P21" s="98">
        <v>0</v>
      </c>
      <c r="Q21" s="98">
        <v>0</v>
      </c>
      <c r="R21" s="95">
        <v>302794.3715500012</v>
      </c>
      <c r="S21" s="95">
        <v>5972.51854</v>
      </c>
      <c r="T21" s="96"/>
      <c r="U21" s="96">
        <f t="shared" si="0"/>
        <v>491268.072306972</v>
      </c>
      <c r="V21" s="95">
        <v>12394217.503040001</v>
      </c>
      <c r="W21" s="97"/>
      <c r="X21" s="98"/>
      <c r="Y21" s="94">
        <v>9365187.1980000008</v>
      </c>
      <c r="Z21" s="98">
        <v>8954009.3746199999</v>
      </c>
      <c r="AA21" s="99">
        <f t="shared" si="1"/>
        <v>3029030.30504</v>
      </c>
      <c r="AC21" s="98"/>
      <c r="AD21" s="1785">
        <f>V21-(U21+D21)</f>
        <v>0</v>
      </c>
      <c r="AE21" s="1786">
        <f t="shared" si="2"/>
        <v>-1.6880221664905548E-9</v>
      </c>
      <c r="AF21" s="1787">
        <f>V21-Y21-AA21</f>
        <v>0</v>
      </c>
    </row>
    <row r="22" spans="2:32">
      <c r="B22" s="58">
        <f t="shared" si="3"/>
        <v>11</v>
      </c>
      <c r="C22" s="60" t="s">
        <v>2382</v>
      </c>
      <c r="D22" s="93">
        <v>6923.7635238233515</v>
      </c>
      <c r="E22" s="94">
        <v>-396.48316629779589</v>
      </c>
      <c r="F22" s="94"/>
      <c r="G22" s="95"/>
      <c r="H22" s="95">
        <v>-41.82</v>
      </c>
      <c r="I22" s="95">
        <v>37.14</v>
      </c>
      <c r="J22" s="95">
        <v>0</v>
      </c>
      <c r="K22" s="95">
        <v>-192.18315752555463</v>
      </c>
      <c r="L22" s="95">
        <v>0</v>
      </c>
      <c r="M22" s="2090">
        <v>0</v>
      </c>
      <c r="N22" s="95">
        <v>153.33090999999877</v>
      </c>
      <c r="O22" s="95"/>
      <c r="P22" s="98">
        <v>10158.292411397</v>
      </c>
      <c r="Q22" s="98">
        <v>0</v>
      </c>
      <c r="R22" s="95">
        <v>1.9518602999596624E-2</v>
      </c>
      <c r="S22" s="95"/>
      <c r="T22" s="96"/>
      <c r="U22" s="96">
        <f t="shared" si="0"/>
        <v>9718.2965161766515</v>
      </c>
      <c r="V22" s="95">
        <v>16642.060040000004</v>
      </c>
      <c r="W22" s="97"/>
      <c r="X22" s="98"/>
      <c r="Y22" s="94">
        <v>50.94809999999999</v>
      </c>
      <c r="Z22" s="98">
        <v>50.94809999999999</v>
      </c>
      <c r="AA22" s="99">
        <f t="shared" si="1"/>
        <v>16591.111940000003</v>
      </c>
      <c r="AC22" s="98"/>
      <c r="AD22" s="1785">
        <f>V22-(U22+D22)</f>
        <v>0</v>
      </c>
      <c r="AE22" s="1786">
        <f t="shared" si="2"/>
        <v>0</v>
      </c>
      <c r="AF22" s="1787">
        <f>V22-Y22-AA22</f>
        <v>0</v>
      </c>
    </row>
    <row r="23" spans="2:32">
      <c r="B23" s="58">
        <f t="shared" si="3"/>
        <v>12</v>
      </c>
      <c r="C23" s="60" t="s">
        <v>227</v>
      </c>
      <c r="D23" s="93">
        <v>20554073.977480181</v>
      </c>
      <c r="E23" s="94">
        <v>-873287.60000000009</v>
      </c>
      <c r="F23" s="94">
        <v>0</v>
      </c>
      <c r="G23" s="95">
        <v>-514268.38449999993</v>
      </c>
      <c r="H23" s="95">
        <v>-15765.59</v>
      </c>
      <c r="I23" s="95">
        <v>19525.904840000003</v>
      </c>
      <c r="J23" s="95">
        <v>2260853.815104011</v>
      </c>
      <c r="K23" s="95">
        <v>612359.00296581164</v>
      </c>
      <c r="L23" s="95">
        <v>6288.8174699991941</v>
      </c>
      <c r="M23" s="2090">
        <v>-903480.43735999614</v>
      </c>
      <c r="N23" s="95">
        <v>39577.2384499982</v>
      </c>
      <c r="O23" s="95"/>
      <c r="P23" s="98">
        <v>0</v>
      </c>
      <c r="Q23" s="98">
        <v>0</v>
      </c>
      <c r="R23" s="95">
        <v>353348.31000000238</v>
      </c>
      <c r="S23" s="95">
        <v>12915.33165</v>
      </c>
      <c r="T23" s="96"/>
      <c r="U23" s="96">
        <f t="shared" si="0"/>
        <v>998066.40861982107</v>
      </c>
      <c r="V23" s="95">
        <v>21552140.386100002</v>
      </c>
      <c r="W23" s="97"/>
      <c r="X23" s="98"/>
      <c r="Y23" s="94">
        <v>19828433.3607</v>
      </c>
      <c r="Z23" s="98">
        <v>18958581.948450003</v>
      </c>
      <c r="AA23" s="99">
        <f t="shared" si="1"/>
        <v>1723707.0254000016</v>
      </c>
      <c r="AC23" s="98"/>
      <c r="AD23" s="1785">
        <f>V23-(U23+D23)</f>
        <v>0</v>
      </c>
      <c r="AE23" s="1786">
        <f t="shared" si="2"/>
        <v>-5.005858838558197E-9</v>
      </c>
      <c r="AF23" s="1787">
        <f>V23-Y23-AA23</f>
        <v>0</v>
      </c>
    </row>
    <row r="24" spans="2:32">
      <c r="B24" s="58">
        <f t="shared" si="3"/>
        <v>13</v>
      </c>
      <c r="C24" s="60" t="s">
        <v>344</v>
      </c>
      <c r="D24" s="93">
        <v>4354353.3662647102</v>
      </c>
      <c r="E24" s="94">
        <v>-262337.48970395594</v>
      </c>
      <c r="F24" s="94">
        <v>-36143.660000000003</v>
      </c>
      <c r="G24" s="95"/>
      <c r="H24" s="95">
        <v>-37526.461259156102</v>
      </c>
      <c r="I24" s="95">
        <v>67251.91915999999</v>
      </c>
      <c r="J24" s="95">
        <v>0</v>
      </c>
      <c r="K24" s="95">
        <v>-20001.042021598201</v>
      </c>
      <c r="L24" s="95">
        <v>13548.599409999792</v>
      </c>
      <c r="M24" s="2090">
        <v>0</v>
      </c>
      <c r="N24" s="95">
        <v>99110.023600000422</v>
      </c>
      <c r="O24" s="95"/>
      <c r="P24" s="98">
        <v>0</v>
      </c>
      <c r="Q24" s="98">
        <v>0</v>
      </c>
      <c r="R24" s="95">
        <v>12177.270360000432</v>
      </c>
      <c r="S24" s="95">
        <v>0</v>
      </c>
      <c r="T24" s="96"/>
      <c r="U24" s="96">
        <f t="shared" si="0"/>
        <v>-163920.84045470972</v>
      </c>
      <c r="V24" s="95">
        <v>4190432.5258100005</v>
      </c>
      <c r="W24" s="97"/>
      <c r="X24" s="98"/>
      <c r="Y24" s="94">
        <v>69705.002500000017</v>
      </c>
      <c r="Z24" s="98">
        <v>69705.002500000017</v>
      </c>
      <c r="AA24" s="99">
        <f t="shared" si="1"/>
        <v>4120727.5233100005</v>
      </c>
      <c r="AC24" s="98"/>
      <c r="AD24" s="1785"/>
      <c r="AE24" s="1786">
        <f t="shared" si="2"/>
        <v>0</v>
      </c>
      <c r="AF24" s="1787"/>
    </row>
    <row r="25" spans="2:32">
      <c r="B25" s="58">
        <f t="shared" si="3"/>
        <v>14</v>
      </c>
      <c r="C25" s="60" t="s">
        <v>319</v>
      </c>
      <c r="D25" s="93">
        <v>1633825.8565776236</v>
      </c>
      <c r="E25" s="94">
        <v>-84921.869999999981</v>
      </c>
      <c r="F25" s="95">
        <v>0</v>
      </c>
      <c r="G25" s="95"/>
      <c r="H25" s="95">
        <v>0</v>
      </c>
      <c r="I25" s="95">
        <v>16759.323349999999</v>
      </c>
      <c r="J25" s="95">
        <v>0</v>
      </c>
      <c r="K25" s="95">
        <f>28069.3650723763</f>
        <v>28069.365072376298</v>
      </c>
      <c r="L25" s="95">
        <v>39035.608259999892</v>
      </c>
      <c r="M25" s="2090">
        <v>0</v>
      </c>
      <c r="N25" s="95">
        <v>16967.159999999683</v>
      </c>
      <c r="O25" s="95"/>
      <c r="P25" s="98">
        <v>0</v>
      </c>
      <c r="Q25" s="98">
        <v>0</v>
      </c>
      <c r="R25" s="95">
        <v>8880.4138899999671</v>
      </c>
      <c r="S25" s="95">
        <v>0</v>
      </c>
      <c r="T25" s="96"/>
      <c r="U25" s="96">
        <f t="shared" si="0"/>
        <v>24790.000572376186</v>
      </c>
      <c r="V25" s="95">
        <v>1658615.8571499998</v>
      </c>
      <c r="W25" s="97"/>
      <c r="X25" s="98"/>
      <c r="Y25" s="101">
        <v>0</v>
      </c>
      <c r="Z25" s="98">
        <v>0</v>
      </c>
      <c r="AA25" s="99">
        <f t="shared" si="1"/>
        <v>1658615.8571499998</v>
      </c>
      <c r="AC25" s="98"/>
      <c r="AD25" s="1785">
        <f>V25-(U25+D25)</f>
        <v>0</v>
      </c>
      <c r="AE25" s="1786">
        <f t="shared" si="2"/>
        <v>3.2014213502407074E-10</v>
      </c>
      <c r="AF25" s="1787">
        <f>V25-Y25-AA25</f>
        <v>0</v>
      </c>
    </row>
    <row r="26" spans="2:32">
      <c r="B26" s="58">
        <f t="shared" si="3"/>
        <v>15</v>
      </c>
      <c r="C26" s="60" t="s">
        <v>304</v>
      </c>
      <c r="D26" s="102">
        <f t="shared" ref="D26:V26" si="4">SUM(D12:D25)</f>
        <v>996817577.51000023</v>
      </c>
      <c r="E26" s="102">
        <f t="shared" si="4"/>
        <v>-43372051.579999998</v>
      </c>
      <c r="F26" s="102">
        <f t="shared" si="4"/>
        <v>-1206882.625</v>
      </c>
      <c r="G26" s="102">
        <f t="shared" si="4"/>
        <v>-15438475.322029999</v>
      </c>
      <c r="H26" s="102">
        <f t="shared" si="4"/>
        <v>-3488170.7346030003</v>
      </c>
      <c r="I26" s="102">
        <f>SUM(I12:I25)</f>
        <v>3430012.8529400015</v>
      </c>
      <c r="J26" s="102">
        <f t="shared" si="4"/>
        <v>61289792.627116062</v>
      </c>
      <c r="K26" s="102">
        <f t="shared" si="4"/>
        <v>10634442.391596869</v>
      </c>
      <c r="L26" s="102">
        <f>SUM(L12:L25)</f>
        <v>3273298.9931300431</v>
      </c>
      <c r="M26" s="2091">
        <f t="shared" si="4"/>
        <v>-21345994.175970029</v>
      </c>
      <c r="N26" s="102">
        <f t="shared" si="4"/>
        <v>18001388.606509957</v>
      </c>
      <c r="O26" s="102">
        <f>SUM(O12:O25)</f>
        <v>-388488.48</v>
      </c>
      <c r="P26" s="102">
        <f>SUM(P12:P25)</f>
        <v>-1035101.1621047809</v>
      </c>
      <c r="Q26" s="102">
        <f>SUM(Q12:Q25)</f>
        <v>-415904.39575929753</v>
      </c>
      <c r="R26" s="102">
        <f t="shared" si="4"/>
        <v>33261442.293983929</v>
      </c>
      <c r="S26" s="102">
        <f t="shared" si="4"/>
        <v>405346.65329000005</v>
      </c>
      <c r="T26" s="102">
        <f t="shared" si="4"/>
        <v>0</v>
      </c>
      <c r="U26" s="103">
        <f>SUM(U12:U25)</f>
        <v>43604655.943099879</v>
      </c>
      <c r="V26" s="102">
        <f t="shared" si="4"/>
        <v>1040422233.4531</v>
      </c>
      <c r="W26" s="104"/>
      <c r="X26" s="105"/>
      <c r="Y26" s="102">
        <f>SUM(Y12:Y25)</f>
        <v>628515102.77643001</v>
      </c>
      <c r="Z26" s="114">
        <f>SUM(Z12:Z25)</f>
        <v>600935094.17895007</v>
      </c>
      <c r="AA26" s="103">
        <f>SUM(AA12:AA25)</f>
        <v>411907130.67667001</v>
      </c>
      <c r="AC26" s="105"/>
      <c r="AD26" s="1785">
        <f>V26-(U26+D26)</f>
        <v>0</v>
      </c>
      <c r="AE26" s="1786">
        <f t="shared" si="2"/>
        <v>1.2665987014770508E-7</v>
      </c>
      <c r="AF26" s="1787">
        <f>V26-Y26-AA26</f>
        <v>0</v>
      </c>
    </row>
    <row r="27" spans="2:32">
      <c r="C27" s="60"/>
      <c r="D27" s="107"/>
      <c r="E27" s="72"/>
      <c r="F27" s="72"/>
      <c r="G27" s="72"/>
      <c r="H27" s="72"/>
      <c r="I27" s="72"/>
      <c r="J27" s="72"/>
      <c r="K27" s="107"/>
      <c r="L27" s="107"/>
      <c r="M27" s="2092"/>
      <c r="N27" s="72"/>
      <c r="O27" s="72"/>
      <c r="P27" s="107"/>
      <c r="Q27" s="107"/>
      <c r="R27" s="72"/>
      <c r="S27" s="72"/>
      <c r="T27" s="107"/>
      <c r="U27" s="72"/>
      <c r="V27" s="72"/>
      <c r="W27" s="108"/>
      <c r="X27" s="72"/>
      <c r="Y27" s="72"/>
      <c r="Z27" s="72"/>
      <c r="AA27" s="72"/>
      <c r="AB27" s="72"/>
      <c r="AC27" s="72"/>
      <c r="AD27" s="1788"/>
      <c r="AE27" s="1786">
        <f t="shared" si="2"/>
        <v>0</v>
      </c>
      <c r="AF27" s="1789"/>
    </row>
    <row r="28" spans="2:32">
      <c r="B28" s="58">
        <f>B26+1</f>
        <v>16</v>
      </c>
      <c r="C28" s="60" t="s">
        <v>305</v>
      </c>
      <c r="D28" s="93">
        <v>8029154.1999999993</v>
      </c>
      <c r="E28" s="1790">
        <v>-389945.3</v>
      </c>
      <c r="F28" s="69"/>
      <c r="K28" s="95">
        <v>66948.070000001229</v>
      </c>
      <c r="L28" s="95">
        <v>51274.660000000149</v>
      </c>
      <c r="M28" s="2093"/>
      <c r="N28" s="109">
        <v>381349.90999999829</v>
      </c>
      <c r="O28" s="109"/>
      <c r="R28" s="69"/>
      <c r="U28" s="96">
        <f>V28-D28</f>
        <v>109627.33999999985</v>
      </c>
      <c r="V28" s="109">
        <v>8138781.5399999991</v>
      </c>
      <c r="W28" s="110"/>
      <c r="X28" s="111"/>
      <c r="Y28" s="111"/>
      <c r="Z28" s="111"/>
      <c r="AA28" s="111"/>
      <c r="AB28" s="111"/>
      <c r="AC28" s="111"/>
      <c r="AD28" s="1785">
        <f>V28-(U28+D28)</f>
        <v>0</v>
      </c>
      <c r="AE28" s="1786">
        <f t="shared" si="2"/>
        <v>1.7462298274040222E-10</v>
      </c>
      <c r="AF28" s="1791"/>
    </row>
    <row r="29" spans="2:32">
      <c r="B29" s="58">
        <f>B28+1</f>
        <v>17</v>
      </c>
      <c r="C29" s="60" t="s">
        <v>306</v>
      </c>
      <c r="D29" s="93">
        <v>6683784.5399999991</v>
      </c>
      <c r="E29" s="1792"/>
      <c r="F29" s="72">
        <f>-F26</f>
        <v>1206882.625</v>
      </c>
      <c r="K29" s="94"/>
      <c r="L29" s="94"/>
      <c r="M29" s="2094"/>
      <c r="N29" s="69"/>
      <c r="O29" s="69"/>
      <c r="P29" s="93"/>
      <c r="Q29" s="93"/>
      <c r="T29" s="93">
        <v>-1130625</v>
      </c>
      <c r="U29" s="96">
        <f>V29-D29</f>
        <v>76257.625</v>
      </c>
      <c r="V29" s="113">
        <f>SUM(D29:T29)</f>
        <v>6760042.1649999991</v>
      </c>
      <c r="W29" s="108"/>
      <c r="X29" s="105"/>
      <c r="Y29" s="105"/>
      <c r="Z29" s="105"/>
      <c r="AA29" s="105"/>
      <c r="AB29" s="105"/>
      <c r="AC29" s="105"/>
      <c r="AD29" s="1785">
        <f>V29-(U29+D29)</f>
        <v>0</v>
      </c>
      <c r="AE29" s="1786">
        <f t="shared" si="2"/>
        <v>0</v>
      </c>
      <c r="AF29" s="1791"/>
    </row>
    <row r="30" spans="2:32">
      <c r="B30" s="58">
        <f>B29+1</f>
        <v>18</v>
      </c>
      <c r="C30" s="60" t="s">
        <v>307</v>
      </c>
      <c r="D30" s="114">
        <f>SUM(D28:D29)</f>
        <v>14712938.739999998</v>
      </c>
      <c r="E30" s="114">
        <f t="shared" ref="E30:R30" si="5">SUM(E28:E29)</f>
        <v>-389945.3</v>
      </c>
      <c r="F30" s="114">
        <f t="shared" si="5"/>
        <v>1206882.625</v>
      </c>
      <c r="G30" s="114">
        <f t="shared" si="5"/>
        <v>0</v>
      </c>
      <c r="H30" s="114">
        <f t="shared" si="5"/>
        <v>0</v>
      </c>
      <c r="I30" s="114">
        <f t="shared" si="5"/>
        <v>0</v>
      </c>
      <c r="J30" s="114">
        <f t="shared" si="5"/>
        <v>0</v>
      </c>
      <c r="K30" s="114">
        <f t="shared" si="5"/>
        <v>66948.070000001229</v>
      </c>
      <c r="L30" s="114">
        <f t="shared" si="5"/>
        <v>51274.660000000149</v>
      </c>
      <c r="M30" s="2095">
        <f t="shared" si="5"/>
        <v>0</v>
      </c>
      <c r="N30" s="114">
        <f t="shared" si="5"/>
        <v>381349.90999999829</v>
      </c>
      <c r="O30" s="114">
        <f t="shared" si="5"/>
        <v>0</v>
      </c>
      <c r="P30" s="114">
        <f>SUM(P28:P29)</f>
        <v>0</v>
      </c>
      <c r="Q30" s="114">
        <f>SUM(Q28:Q29)</f>
        <v>0</v>
      </c>
      <c r="R30" s="114">
        <f t="shared" si="5"/>
        <v>0</v>
      </c>
      <c r="S30" s="114">
        <f>SUM(S28:S29)</f>
        <v>0</v>
      </c>
      <c r="T30" s="114">
        <f>SUM(T28:T29)</f>
        <v>-1130625</v>
      </c>
      <c r="U30" s="114">
        <f>SUM(U28:U29)</f>
        <v>185884.96499999985</v>
      </c>
      <c r="V30" s="114">
        <f>SUM(V28:V29)</f>
        <v>14898823.704999998</v>
      </c>
      <c r="W30" s="115"/>
      <c r="X30" s="105"/>
      <c r="Y30" s="105"/>
      <c r="Z30" s="105"/>
      <c r="AA30" s="105"/>
      <c r="AB30" s="105"/>
      <c r="AC30" s="105"/>
      <c r="AD30" s="1785">
        <f>V30-(U30+D30)</f>
        <v>0</v>
      </c>
      <c r="AE30" s="1786">
        <f t="shared" si="2"/>
        <v>2.3283064365386963E-10</v>
      </c>
      <c r="AF30" s="1791"/>
    </row>
    <row r="31" spans="2:32">
      <c r="B31" s="58">
        <f>B30+1</f>
        <v>19</v>
      </c>
      <c r="C31" s="60" t="s">
        <v>308</v>
      </c>
      <c r="D31" s="102">
        <f t="shared" ref="D31:V31" si="6">D26+D30</f>
        <v>1011530516.2500002</v>
      </c>
      <c r="E31" s="102">
        <f t="shared" si="6"/>
        <v>-43761996.879999995</v>
      </c>
      <c r="F31" s="102">
        <f t="shared" si="6"/>
        <v>0</v>
      </c>
      <c r="G31" s="102">
        <f t="shared" si="6"/>
        <v>-15438475.322029999</v>
      </c>
      <c r="H31" s="102">
        <f t="shared" si="6"/>
        <v>-3488170.7346030003</v>
      </c>
      <c r="I31" s="102">
        <f t="shared" si="6"/>
        <v>3430012.8529400015</v>
      </c>
      <c r="J31" s="102">
        <f t="shared" si="6"/>
        <v>61289792.627116062</v>
      </c>
      <c r="K31" s="102">
        <f t="shared" si="6"/>
        <v>10701390.461596869</v>
      </c>
      <c r="L31" s="102">
        <f t="shared" si="6"/>
        <v>3324573.6531300433</v>
      </c>
      <c r="M31" s="2091">
        <f t="shared" si="6"/>
        <v>-21345994.175970029</v>
      </c>
      <c r="N31" s="102">
        <f t="shared" si="6"/>
        <v>18382738.516509958</v>
      </c>
      <c r="O31" s="102">
        <f t="shared" si="6"/>
        <v>-388488.48</v>
      </c>
      <c r="P31" s="114">
        <f>P26+P30</f>
        <v>-1035101.1621047809</v>
      </c>
      <c r="Q31" s="114">
        <f>Q26+Q30</f>
        <v>-415904.39575929753</v>
      </c>
      <c r="R31" s="102">
        <f t="shared" si="6"/>
        <v>33261442.293983929</v>
      </c>
      <c r="S31" s="102">
        <f t="shared" si="6"/>
        <v>405346.65329000005</v>
      </c>
      <c r="T31" s="114">
        <f t="shared" si="6"/>
        <v>-1130625</v>
      </c>
      <c r="U31" s="114">
        <f t="shared" si="6"/>
        <v>43790540.908099875</v>
      </c>
      <c r="V31" s="114">
        <f t="shared" si="6"/>
        <v>1055321057.1581</v>
      </c>
      <c r="W31" s="104"/>
      <c r="X31" s="105"/>
      <c r="Y31" s="105"/>
      <c r="Z31" s="105"/>
      <c r="AA31" s="105"/>
      <c r="AB31" s="105"/>
      <c r="AC31" s="105"/>
      <c r="AD31" s="1785">
        <f>V31-(U31+D31)</f>
        <v>0</v>
      </c>
      <c r="AE31" s="1786">
        <f t="shared" si="2"/>
        <v>1.1920928955078125E-7</v>
      </c>
      <c r="AF31" s="1791"/>
    </row>
    <row r="32" spans="2:32">
      <c r="C32" s="60"/>
      <c r="D32" s="111"/>
      <c r="E32" s="105"/>
      <c r="F32" s="105"/>
      <c r="G32" s="105"/>
      <c r="H32" s="105"/>
      <c r="I32" s="105"/>
      <c r="J32" s="105"/>
      <c r="K32" s="111"/>
      <c r="L32" s="111"/>
      <c r="M32" s="2094"/>
      <c r="P32" s="111"/>
      <c r="Q32" s="111"/>
      <c r="R32" s="105"/>
      <c r="S32" s="105"/>
      <c r="T32" s="111"/>
      <c r="U32" s="105"/>
      <c r="V32" s="105"/>
      <c r="W32" s="108"/>
      <c r="X32" s="105"/>
      <c r="Y32" s="105"/>
      <c r="Z32" s="105"/>
      <c r="AA32" s="105"/>
      <c r="AB32" s="105"/>
      <c r="AC32" s="105"/>
      <c r="AD32" s="1788"/>
      <c r="AE32" s="1786">
        <f t="shared" si="2"/>
        <v>0</v>
      </c>
      <c r="AF32" s="1793"/>
    </row>
    <row r="33" spans="2:32" ht="13.5" thickBot="1">
      <c r="B33" s="58">
        <f>B31+1</f>
        <v>20</v>
      </c>
      <c r="C33" s="60" t="s">
        <v>309</v>
      </c>
      <c r="D33" s="116">
        <v>594574954.27000034</v>
      </c>
      <c r="E33" s="105"/>
      <c r="F33" s="105"/>
      <c r="G33" s="105"/>
      <c r="H33" s="105"/>
      <c r="I33" s="105"/>
      <c r="J33" s="105"/>
      <c r="K33" s="88">
        <v>6264490.2048597336</v>
      </c>
      <c r="L33" s="88">
        <v>0</v>
      </c>
      <c r="M33" s="2089">
        <v>-20443597.337499976</v>
      </c>
      <c r="N33" s="88">
        <v>0</v>
      </c>
      <c r="O33" s="88">
        <v>0</v>
      </c>
      <c r="P33" s="88">
        <v>-991036.41113688773</v>
      </c>
      <c r="Q33" s="88">
        <v>-39558.555377651472</v>
      </c>
      <c r="R33" s="88">
        <v>21569842.008104395</v>
      </c>
      <c r="S33" s="88">
        <v>0</v>
      </c>
      <c r="T33" s="88"/>
      <c r="U33" s="111">
        <f>V33-D33</f>
        <v>6360139.9089497328</v>
      </c>
      <c r="V33" s="117">
        <f>Z26</f>
        <v>600935094.17895007</v>
      </c>
      <c r="W33" s="115"/>
      <c r="X33" s="118"/>
      <c r="Y33" s="118"/>
      <c r="Z33" s="118"/>
      <c r="AA33" s="118"/>
      <c r="AB33" s="118"/>
      <c r="AC33" s="118"/>
      <c r="AD33" s="1794">
        <f>V33-(U33+D33)</f>
        <v>0</v>
      </c>
      <c r="AE33" s="1795">
        <f t="shared" si="2"/>
        <v>1.1920928955078125E-7</v>
      </c>
      <c r="AF33" s="1796"/>
    </row>
    <row r="34" spans="2:32">
      <c r="B34" s="58">
        <f>B33+1</f>
        <v>21</v>
      </c>
      <c r="C34" s="60" t="s">
        <v>310</v>
      </c>
      <c r="D34" s="117"/>
      <c r="E34" s="105" t="s">
        <v>18</v>
      </c>
      <c r="F34" s="105"/>
      <c r="G34" s="105"/>
      <c r="H34" s="105"/>
      <c r="I34" s="105"/>
      <c r="J34" s="105"/>
      <c r="K34" s="111"/>
      <c r="L34" s="111"/>
      <c r="M34" s="72"/>
      <c r="N34" s="111"/>
      <c r="O34" s="111"/>
      <c r="P34" s="111"/>
      <c r="Q34" s="111"/>
      <c r="R34" s="105"/>
      <c r="S34" s="105"/>
      <c r="T34" s="111"/>
      <c r="U34" s="111"/>
      <c r="V34" s="117">
        <f>Y26</f>
        <v>628515102.77643001</v>
      </c>
      <c r="W34" s="115"/>
      <c r="X34" s="118"/>
      <c r="Y34" s="118"/>
      <c r="Z34" s="118"/>
      <c r="AA34" s="118"/>
      <c r="AB34" s="118"/>
      <c r="AC34" s="118"/>
      <c r="AE34" s="119"/>
      <c r="AF34" s="69"/>
    </row>
    <row r="35" spans="2:32">
      <c r="C35" s="60"/>
      <c r="D35" s="111"/>
      <c r="E35" s="105"/>
      <c r="F35" s="105"/>
      <c r="G35" s="105"/>
      <c r="H35" s="105"/>
      <c r="I35" s="105"/>
      <c r="J35" s="105"/>
      <c r="K35" s="111"/>
      <c r="L35" s="111"/>
      <c r="M35" s="2096"/>
      <c r="N35" s="111"/>
      <c r="O35" s="111"/>
      <c r="P35" s="111"/>
      <c r="Q35" s="111"/>
      <c r="R35" s="111"/>
      <c r="S35" s="105"/>
      <c r="T35" s="111"/>
      <c r="U35" s="105"/>
      <c r="V35" s="105"/>
      <c r="W35" s="105"/>
      <c r="X35" s="105"/>
      <c r="Y35" s="105"/>
      <c r="Z35" s="1797"/>
      <c r="AA35" s="105"/>
      <c r="AB35" s="105"/>
      <c r="AC35" s="105"/>
    </row>
    <row r="36" spans="2:32">
      <c r="D36" s="120"/>
      <c r="E36" s="121"/>
      <c r="F36" s="72"/>
      <c r="G36" s="72"/>
      <c r="H36" s="72"/>
      <c r="I36" s="72"/>
      <c r="J36" s="72"/>
      <c r="K36" s="107"/>
      <c r="L36" s="107"/>
      <c r="M36" s="72"/>
      <c r="N36" s="72"/>
      <c r="O36" s="72"/>
      <c r="P36" s="107"/>
      <c r="Q36" s="107"/>
      <c r="R36" s="72"/>
      <c r="S36" s="72"/>
      <c r="T36" s="107"/>
      <c r="U36" s="72"/>
      <c r="V36" s="121"/>
      <c r="W36" s="121"/>
      <c r="X36" s="122"/>
      <c r="Y36" s="122"/>
      <c r="Z36" s="122"/>
      <c r="AA36" s="122"/>
      <c r="AB36" s="122"/>
      <c r="AC36" s="122"/>
      <c r="AD36" s="1798"/>
    </row>
    <row r="37" spans="2:32" ht="37.5" customHeight="1">
      <c r="B37" s="123" t="s">
        <v>331</v>
      </c>
      <c r="C37" s="124" t="s">
        <v>333</v>
      </c>
      <c r="V37" s="72"/>
      <c r="AA37" s="105"/>
    </row>
    <row r="38" spans="2:32">
      <c r="B38" s="123" t="s">
        <v>332</v>
      </c>
      <c r="C38" s="126" t="s">
        <v>368</v>
      </c>
      <c r="V38" s="72"/>
      <c r="AA38" s="105"/>
    </row>
    <row r="39" spans="2:32">
      <c r="B39" s="123" t="s">
        <v>334</v>
      </c>
      <c r="C39" s="125" t="s">
        <v>2383</v>
      </c>
      <c r="E39" s="69"/>
      <c r="F39" s="69"/>
      <c r="G39" s="69"/>
    </row>
    <row r="40" spans="2:32">
      <c r="B40" s="123" t="s">
        <v>335</v>
      </c>
      <c r="C40" s="126" t="s">
        <v>2384</v>
      </c>
      <c r="E40" s="69"/>
      <c r="F40" s="69"/>
      <c r="G40" s="69"/>
    </row>
    <row r="41" spans="2:32" ht="25.5" customHeight="1">
      <c r="B41" s="123" t="s">
        <v>2385</v>
      </c>
      <c r="C41" s="125" t="s">
        <v>336</v>
      </c>
    </row>
    <row r="42" spans="2:32">
      <c r="M42" s="72"/>
      <c r="N42" s="72"/>
      <c r="O42" s="72"/>
    </row>
    <row r="43" spans="2:32">
      <c r="M43" s="1799"/>
      <c r="U43" s="72"/>
      <c r="V43" s="72"/>
      <c r="Y43" s="105"/>
      <c r="Z43" s="105"/>
    </row>
    <row r="45" spans="2:32" ht="13.5" thickBot="1"/>
    <row r="46" spans="2:32">
      <c r="C46" s="1800" t="s">
        <v>1630</v>
      </c>
      <c r="D46" s="1801">
        <f>SUM(D12:D25)-D26</f>
        <v>0</v>
      </c>
      <c r="E46" s="1801">
        <f>SUM(E12:E25)-E26</f>
        <v>0</v>
      </c>
      <c r="F46" s="1801">
        <f>SUM(F12:F25)-F26</f>
        <v>0</v>
      </c>
      <c r="G46" s="1801">
        <f>SUM(G12:G25)-G26</f>
        <v>0</v>
      </c>
      <c r="H46" s="1801">
        <f>SUM(H12:H25)-H26</f>
        <v>0</v>
      </c>
      <c r="I46" s="1801"/>
      <c r="J46" s="1801">
        <f>SUM(J12:J25)-J26</f>
        <v>0</v>
      </c>
      <c r="K46" s="1802">
        <f>SUM(K12:K25)-K26</f>
        <v>0</v>
      </c>
      <c r="L46" s="1802"/>
      <c r="M46" s="1801">
        <f>SUM(M12:M25)-M26</f>
        <v>0</v>
      </c>
      <c r="N46" s="1801"/>
      <c r="O46" s="1801"/>
      <c r="P46" s="1802"/>
      <c r="Q46" s="1802"/>
      <c r="R46" s="1801">
        <f>SUM(R12:R25)-R26</f>
        <v>0</v>
      </c>
      <c r="S46" s="1801">
        <f>SUM(S12:S25)-S26</f>
        <v>0</v>
      </c>
      <c r="T46" s="1802"/>
      <c r="U46" s="1801">
        <f>SUM(U12:U25)-U26</f>
        <v>0</v>
      </c>
      <c r="V46" s="1803">
        <f>SUM(V12:V25)-V26</f>
        <v>0</v>
      </c>
      <c r="W46" s="1786"/>
    </row>
    <row r="47" spans="2:32">
      <c r="C47" s="1788" t="s">
        <v>1630</v>
      </c>
      <c r="D47" s="105">
        <f>SUM(D12:D25,D28:D29)-D31</f>
        <v>0</v>
      </c>
      <c r="E47" s="105">
        <v>0</v>
      </c>
      <c r="F47" s="105">
        <f>SUM(Z12:Z25)-Z26</f>
        <v>0</v>
      </c>
      <c r="G47" s="105">
        <v>0</v>
      </c>
      <c r="H47" s="105">
        <f t="shared" ref="H47:S47" si="7">SUM(H12:H25,H28:H29)-H31</f>
        <v>0</v>
      </c>
      <c r="I47" s="105"/>
      <c r="J47" s="105">
        <f t="shared" si="7"/>
        <v>0</v>
      </c>
      <c r="K47" s="105">
        <f t="shared" si="7"/>
        <v>0</v>
      </c>
      <c r="L47" s="105"/>
      <c r="M47" s="105">
        <f t="shared" si="7"/>
        <v>0</v>
      </c>
      <c r="N47" s="105"/>
      <c r="O47" s="105"/>
      <c r="P47" s="111"/>
      <c r="Q47" s="111"/>
      <c r="R47" s="105">
        <f t="shared" si="7"/>
        <v>0</v>
      </c>
      <c r="S47" s="105">
        <f t="shared" si="7"/>
        <v>0</v>
      </c>
      <c r="T47" s="111"/>
      <c r="U47" s="105">
        <f>SUM(U12:U25,U28:U29)-U31</f>
        <v>0</v>
      </c>
      <c r="V47" s="1804">
        <f>SUM(V12:V25,V28:V29)-V31</f>
        <v>0</v>
      </c>
      <c r="W47" s="68"/>
    </row>
    <row r="48" spans="2:32" ht="13.5" thickBot="1">
      <c r="C48" s="1805" t="s">
        <v>2386</v>
      </c>
      <c r="D48" s="1806"/>
      <c r="E48" s="1807"/>
      <c r="F48" s="1808"/>
      <c r="G48" s="1807"/>
      <c r="H48" s="1807"/>
      <c r="I48" s="1807"/>
      <c r="J48" s="1807"/>
      <c r="K48" s="1806"/>
      <c r="L48" s="1806"/>
      <c r="M48" s="1807"/>
      <c r="N48" s="1807"/>
      <c r="O48" s="1807"/>
      <c r="P48" s="1806"/>
      <c r="Q48" s="1806"/>
      <c r="R48" s="1807"/>
      <c r="S48" s="1807"/>
      <c r="T48" s="1806"/>
      <c r="U48" s="1807"/>
      <c r="V48" s="1809">
        <f>V34/V33</f>
        <v>1.0458951538437977</v>
      </c>
      <c r="W48" s="1810"/>
    </row>
    <row r="52" spans="8:8">
      <c r="H52" s="58">
        <v>405346.65329000005</v>
      </c>
    </row>
  </sheetData>
  <mergeCells count="1">
    <mergeCell ref="Y6:AA6"/>
  </mergeCells>
  <printOptions horizontalCentered="1"/>
  <pageMargins left="0" right="0" top="0.7" bottom="0.75" header="0.5" footer="0.5"/>
  <pageSetup scale="63" fitToWidth="2" orientation="landscape" blackAndWhite="1" horizontalDpi="300" verticalDpi="300" r:id="rId1"/>
  <headerFooter alignWithMargins="0"/>
  <colBreaks count="1" manualBreakCount="1">
    <brk id="15" max="40"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G39"/>
  <sheetViews>
    <sheetView topLeftCell="A2" workbookViewId="0">
      <selection activeCell="D28" sqref="D28"/>
    </sheetView>
  </sheetViews>
  <sheetFormatPr defaultRowHeight="12.75"/>
  <cols>
    <col min="1" max="1" width="7.83203125" style="58" customWidth="1"/>
    <col min="2" max="2" width="72.83203125" style="58" customWidth="1"/>
    <col min="3" max="3" width="15.83203125" style="58" bestFit="1" customWidth="1"/>
    <col min="4" max="4" width="16.1640625" style="58" customWidth="1"/>
    <col min="5" max="5" width="16.5" style="58" customWidth="1"/>
    <col min="6" max="6" width="0" style="58" hidden="1" customWidth="1"/>
    <col min="7" max="256" width="9.33203125" style="58"/>
    <col min="257" max="257" width="7.83203125" style="58" customWidth="1"/>
    <col min="258" max="258" width="72.83203125" style="58" customWidth="1"/>
    <col min="259" max="259" width="15.83203125" style="58" bestFit="1" customWidth="1"/>
    <col min="260" max="260" width="16.1640625" style="58" customWidth="1"/>
    <col min="261" max="261" width="16.5" style="58" customWidth="1"/>
    <col min="262" max="262" width="0" style="58" hidden="1" customWidth="1"/>
    <col min="263" max="512" width="9.33203125" style="58"/>
    <col min="513" max="513" width="7.83203125" style="58" customWidth="1"/>
    <col min="514" max="514" width="72.83203125" style="58" customWidth="1"/>
    <col min="515" max="515" width="15.83203125" style="58" bestFit="1" customWidth="1"/>
    <col min="516" max="516" width="16.1640625" style="58" customWidth="1"/>
    <col min="517" max="517" width="16.5" style="58" customWidth="1"/>
    <col min="518" max="518" width="0" style="58" hidden="1" customWidth="1"/>
    <col min="519" max="768" width="9.33203125" style="58"/>
    <col min="769" max="769" width="7.83203125" style="58" customWidth="1"/>
    <col min="770" max="770" width="72.83203125" style="58" customWidth="1"/>
    <col min="771" max="771" width="15.83203125" style="58" bestFit="1" customWidth="1"/>
    <col min="772" max="772" width="16.1640625" style="58" customWidth="1"/>
    <col min="773" max="773" width="16.5" style="58" customWidth="1"/>
    <col min="774" max="774" width="0" style="58" hidden="1" customWidth="1"/>
    <col min="775" max="1024" width="9.33203125" style="58"/>
    <col min="1025" max="1025" width="7.83203125" style="58" customWidth="1"/>
    <col min="1026" max="1026" width="72.83203125" style="58" customWidth="1"/>
    <col min="1027" max="1027" width="15.83203125" style="58" bestFit="1" customWidth="1"/>
    <col min="1028" max="1028" width="16.1640625" style="58" customWidth="1"/>
    <col min="1029" max="1029" width="16.5" style="58" customWidth="1"/>
    <col min="1030" max="1030" width="0" style="58" hidden="1" customWidth="1"/>
    <col min="1031" max="1280" width="9.33203125" style="58"/>
    <col min="1281" max="1281" width="7.83203125" style="58" customWidth="1"/>
    <col min="1282" max="1282" width="72.83203125" style="58" customWidth="1"/>
    <col min="1283" max="1283" width="15.83203125" style="58" bestFit="1" customWidth="1"/>
    <col min="1284" max="1284" width="16.1640625" style="58" customWidth="1"/>
    <col min="1285" max="1285" width="16.5" style="58" customWidth="1"/>
    <col min="1286" max="1286" width="0" style="58" hidden="1" customWidth="1"/>
    <col min="1287" max="1536" width="9.33203125" style="58"/>
    <col min="1537" max="1537" width="7.83203125" style="58" customWidth="1"/>
    <col min="1538" max="1538" width="72.83203125" style="58" customWidth="1"/>
    <col min="1539" max="1539" width="15.83203125" style="58" bestFit="1" customWidth="1"/>
    <col min="1540" max="1540" width="16.1640625" style="58" customWidth="1"/>
    <col min="1541" max="1541" width="16.5" style="58" customWidth="1"/>
    <col min="1542" max="1542" width="0" style="58" hidden="1" customWidth="1"/>
    <col min="1543" max="1792" width="9.33203125" style="58"/>
    <col min="1793" max="1793" width="7.83203125" style="58" customWidth="1"/>
    <col min="1794" max="1794" width="72.83203125" style="58" customWidth="1"/>
    <col min="1795" max="1795" width="15.83203125" style="58" bestFit="1" customWidth="1"/>
    <col min="1796" max="1796" width="16.1640625" style="58" customWidth="1"/>
    <col min="1797" max="1797" width="16.5" style="58" customWidth="1"/>
    <col min="1798" max="1798" width="0" style="58" hidden="1" customWidth="1"/>
    <col min="1799" max="2048" width="9.33203125" style="58"/>
    <col min="2049" max="2049" width="7.83203125" style="58" customWidth="1"/>
    <col min="2050" max="2050" width="72.83203125" style="58" customWidth="1"/>
    <col min="2051" max="2051" width="15.83203125" style="58" bestFit="1" customWidth="1"/>
    <col min="2052" max="2052" width="16.1640625" style="58" customWidth="1"/>
    <col min="2053" max="2053" width="16.5" style="58" customWidth="1"/>
    <col min="2054" max="2054" width="0" style="58" hidden="1" customWidth="1"/>
    <col min="2055" max="2304" width="9.33203125" style="58"/>
    <col min="2305" max="2305" width="7.83203125" style="58" customWidth="1"/>
    <col min="2306" max="2306" width="72.83203125" style="58" customWidth="1"/>
    <col min="2307" max="2307" width="15.83203125" style="58" bestFit="1" customWidth="1"/>
    <col min="2308" max="2308" width="16.1640625" style="58" customWidth="1"/>
    <col min="2309" max="2309" width="16.5" style="58" customWidth="1"/>
    <col min="2310" max="2310" width="0" style="58" hidden="1" customWidth="1"/>
    <col min="2311" max="2560" width="9.33203125" style="58"/>
    <col min="2561" max="2561" width="7.83203125" style="58" customWidth="1"/>
    <col min="2562" max="2562" width="72.83203125" style="58" customWidth="1"/>
    <col min="2563" max="2563" width="15.83203125" style="58" bestFit="1" customWidth="1"/>
    <col min="2564" max="2564" width="16.1640625" style="58" customWidth="1"/>
    <col min="2565" max="2565" width="16.5" style="58" customWidth="1"/>
    <col min="2566" max="2566" width="0" style="58" hidden="1" customWidth="1"/>
    <col min="2567" max="2816" width="9.33203125" style="58"/>
    <col min="2817" max="2817" width="7.83203125" style="58" customWidth="1"/>
    <col min="2818" max="2818" width="72.83203125" style="58" customWidth="1"/>
    <col min="2819" max="2819" width="15.83203125" style="58" bestFit="1" customWidth="1"/>
    <col min="2820" max="2820" width="16.1640625" style="58" customWidth="1"/>
    <col min="2821" max="2821" width="16.5" style="58" customWidth="1"/>
    <col min="2822" max="2822" width="0" style="58" hidden="1" customWidth="1"/>
    <col min="2823" max="3072" width="9.33203125" style="58"/>
    <col min="3073" max="3073" width="7.83203125" style="58" customWidth="1"/>
    <col min="3074" max="3074" width="72.83203125" style="58" customWidth="1"/>
    <col min="3075" max="3075" width="15.83203125" style="58" bestFit="1" customWidth="1"/>
    <col min="3076" max="3076" width="16.1640625" style="58" customWidth="1"/>
    <col min="3077" max="3077" width="16.5" style="58" customWidth="1"/>
    <col min="3078" max="3078" width="0" style="58" hidden="1" customWidth="1"/>
    <col min="3079" max="3328" width="9.33203125" style="58"/>
    <col min="3329" max="3329" width="7.83203125" style="58" customWidth="1"/>
    <col min="3330" max="3330" width="72.83203125" style="58" customWidth="1"/>
    <col min="3331" max="3331" width="15.83203125" style="58" bestFit="1" customWidth="1"/>
    <col min="3332" max="3332" width="16.1640625" style="58" customWidth="1"/>
    <col min="3333" max="3333" width="16.5" style="58" customWidth="1"/>
    <col min="3334" max="3334" width="0" style="58" hidden="1" customWidth="1"/>
    <col min="3335" max="3584" width="9.33203125" style="58"/>
    <col min="3585" max="3585" width="7.83203125" style="58" customWidth="1"/>
    <col min="3586" max="3586" width="72.83203125" style="58" customWidth="1"/>
    <col min="3587" max="3587" width="15.83203125" style="58" bestFit="1" customWidth="1"/>
    <col min="3588" max="3588" width="16.1640625" style="58" customWidth="1"/>
    <col min="3589" max="3589" width="16.5" style="58" customWidth="1"/>
    <col min="3590" max="3590" width="0" style="58" hidden="1" customWidth="1"/>
    <col min="3591" max="3840" width="9.33203125" style="58"/>
    <col min="3841" max="3841" width="7.83203125" style="58" customWidth="1"/>
    <col min="3842" max="3842" width="72.83203125" style="58" customWidth="1"/>
    <col min="3843" max="3843" width="15.83203125" style="58" bestFit="1" customWidth="1"/>
    <col min="3844" max="3844" width="16.1640625" style="58" customWidth="1"/>
    <col min="3845" max="3845" width="16.5" style="58" customWidth="1"/>
    <col min="3846" max="3846" width="0" style="58" hidden="1" customWidth="1"/>
    <col min="3847" max="4096" width="9.33203125" style="58"/>
    <col min="4097" max="4097" width="7.83203125" style="58" customWidth="1"/>
    <col min="4098" max="4098" width="72.83203125" style="58" customWidth="1"/>
    <col min="4099" max="4099" width="15.83203125" style="58" bestFit="1" customWidth="1"/>
    <col min="4100" max="4100" width="16.1640625" style="58" customWidth="1"/>
    <col min="4101" max="4101" width="16.5" style="58" customWidth="1"/>
    <col min="4102" max="4102" width="0" style="58" hidden="1" customWidth="1"/>
    <col min="4103" max="4352" width="9.33203125" style="58"/>
    <col min="4353" max="4353" width="7.83203125" style="58" customWidth="1"/>
    <col min="4354" max="4354" width="72.83203125" style="58" customWidth="1"/>
    <col min="4355" max="4355" width="15.83203125" style="58" bestFit="1" customWidth="1"/>
    <col min="4356" max="4356" width="16.1640625" style="58" customWidth="1"/>
    <col min="4357" max="4357" width="16.5" style="58" customWidth="1"/>
    <col min="4358" max="4358" width="0" style="58" hidden="1" customWidth="1"/>
    <col min="4359" max="4608" width="9.33203125" style="58"/>
    <col min="4609" max="4609" width="7.83203125" style="58" customWidth="1"/>
    <col min="4610" max="4610" width="72.83203125" style="58" customWidth="1"/>
    <col min="4611" max="4611" width="15.83203125" style="58" bestFit="1" customWidth="1"/>
    <col min="4612" max="4612" width="16.1640625" style="58" customWidth="1"/>
    <col min="4613" max="4613" width="16.5" style="58" customWidth="1"/>
    <col min="4614" max="4614" width="0" style="58" hidden="1" customWidth="1"/>
    <col min="4615" max="4864" width="9.33203125" style="58"/>
    <col min="4865" max="4865" width="7.83203125" style="58" customWidth="1"/>
    <col min="4866" max="4866" width="72.83203125" style="58" customWidth="1"/>
    <col min="4867" max="4867" width="15.83203125" style="58" bestFit="1" customWidth="1"/>
    <col min="4868" max="4868" width="16.1640625" style="58" customWidth="1"/>
    <col min="4869" max="4869" width="16.5" style="58" customWidth="1"/>
    <col min="4870" max="4870" width="0" style="58" hidden="1" customWidth="1"/>
    <col min="4871" max="5120" width="9.33203125" style="58"/>
    <col min="5121" max="5121" width="7.83203125" style="58" customWidth="1"/>
    <col min="5122" max="5122" width="72.83203125" style="58" customWidth="1"/>
    <col min="5123" max="5123" width="15.83203125" style="58" bestFit="1" customWidth="1"/>
    <col min="5124" max="5124" width="16.1640625" style="58" customWidth="1"/>
    <col min="5125" max="5125" width="16.5" style="58" customWidth="1"/>
    <col min="5126" max="5126" width="0" style="58" hidden="1" customWidth="1"/>
    <col min="5127" max="5376" width="9.33203125" style="58"/>
    <col min="5377" max="5377" width="7.83203125" style="58" customWidth="1"/>
    <col min="5378" max="5378" width="72.83203125" style="58" customWidth="1"/>
    <col min="5379" max="5379" width="15.83203125" style="58" bestFit="1" customWidth="1"/>
    <col min="5380" max="5380" width="16.1640625" style="58" customWidth="1"/>
    <col min="5381" max="5381" width="16.5" style="58" customWidth="1"/>
    <col min="5382" max="5382" width="0" style="58" hidden="1" customWidth="1"/>
    <col min="5383" max="5632" width="9.33203125" style="58"/>
    <col min="5633" max="5633" width="7.83203125" style="58" customWidth="1"/>
    <col min="5634" max="5634" width="72.83203125" style="58" customWidth="1"/>
    <col min="5635" max="5635" width="15.83203125" style="58" bestFit="1" customWidth="1"/>
    <col min="5636" max="5636" width="16.1640625" style="58" customWidth="1"/>
    <col min="5637" max="5637" width="16.5" style="58" customWidth="1"/>
    <col min="5638" max="5638" width="0" style="58" hidden="1" customWidth="1"/>
    <col min="5639" max="5888" width="9.33203125" style="58"/>
    <col min="5889" max="5889" width="7.83203125" style="58" customWidth="1"/>
    <col min="5890" max="5890" width="72.83203125" style="58" customWidth="1"/>
    <col min="5891" max="5891" width="15.83203125" style="58" bestFit="1" customWidth="1"/>
    <col min="5892" max="5892" width="16.1640625" style="58" customWidth="1"/>
    <col min="5893" max="5893" width="16.5" style="58" customWidth="1"/>
    <col min="5894" max="5894" width="0" style="58" hidden="1" customWidth="1"/>
    <col min="5895" max="6144" width="9.33203125" style="58"/>
    <col min="6145" max="6145" width="7.83203125" style="58" customWidth="1"/>
    <col min="6146" max="6146" width="72.83203125" style="58" customWidth="1"/>
    <col min="6147" max="6147" width="15.83203125" style="58" bestFit="1" customWidth="1"/>
    <col min="6148" max="6148" width="16.1640625" style="58" customWidth="1"/>
    <col min="6149" max="6149" width="16.5" style="58" customWidth="1"/>
    <col min="6150" max="6150" width="0" style="58" hidden="1" customWidth="1"/>
    <col min="6151" max="6400" width="9.33203125" style="58"/>
    <col min="6401" max="6401" width="7.83203125" style="58" customWidth="1"/>
    <col min="6402" max="6402" width="72.83203125" style="58" customWidth="1"/>
    <col min="6403" max="6403" width="15.83203125" style="58" bestFit="1" customWidth="1"/>
    <col min="6404" max="6404" width="16.1640625" style="58" customWidth="1"/>
    <col min="6405" max="6405" width="16.5" style="58" customWidth="1"/>
    <col min="6406" max="6406" width="0" style="58" hidden="1" customWidth="1"/>
    <col min="6407" max="6656" width="9.33203125" style="58"/>
    <col min="6657" max="6657" width="7.83203125" style="58" customWidth="1"/>
    <col min="6658" max="6658" width="72.83203125" style="58" customWidth="1"/>
    <col min="6659" max="6659" width="15.83203125" style="58" bestFit="1" customWidth="1"/>
    <col min="6660" max="6660" width="16.1640625" style="58" customWidth="1"/>
    <col min="6661" max="6661" width="16.5" style="58" customWidth="1"/>
    <col min="6662" max="6662" width="0" style="58" hidden="1" customWidth="1"/>
    <col min="6663" max="6912" width="9.33203125" style="58"/>
    <col min="6913" max="6913" width="7.83203125" style="58" customWidth="1"/>
    <col min="6914" max="6914" width="72.83203125" style="58" customWidth="1"/>
    <col min="6915" max="6915" width="15.83203125" style="58" bestFit="1" customWidth="1"/>
    <col min="6916" max="6916" width="16.1640625" style="58" customWidth="1"/>
    <col min="6917" max="6917" width="16.5" style="58" customWidth="1"/>
    <col min="6918" max="6918" width="0" style="58" hidden="1" customWidth="1"/>
    <col min="6919" max="7168" width="9.33203125" style="58"/>
    <col min="7169" max="7169" width="7.83203125" style="58" customWidth="1"/>
    <col min="7170" max="7170" width="72.83203125" style="58" customWidth="1"/>
    <col min="7171" max="7171" width="15.83203125" style="58" bestFit="1" customWidth="1"/>
    <col min="7172" max="7172" width="16.1640625" style="58" customWidth="1"/>
    <col min="7173" max="7173" width="16.5" style="58" customWidth="1"/>
    <col min="7174" max="7174" width="0" style="58" hidden="1" customWidth="1"/>
    <col min="7175" max="7424" width="9.33203125" style="58"/>
    <col min="7425" max="7425" width="7.83203125" style="58" customWidth="1"/>
    <col min="7426" max="7426" width="72.83203125" style="58" customWidth="1"/>
    <col min="7427" max="7427" width="15.83203125" style="58" bestFit="1" customWidth="1"/>
    <col min="7428" max="7428" width="16.1640625" style="58" customWidth="1"/>
    <col min="7429" max="7429" width="16.5" style="58" customWidth="1"/>
    <col min="7430" max="7430" width="0" style="58" hidden="1" customWidth="1"/>
    <col min="7431" max="7680" width="9.33203125" style="58"/>
    <col min="7681" max="7681" width="7.83203125" style="58" customWidth="1"/>
    <col min="7682" max="7682" width="72.83203125" style="58" customWidth="1"/>
    <col min="7683" max="7683" width="15.83203125" style="58" bestFit="1" customWidth="1"/>
    <col min="7684" max="7684" width="16.1640625" style="58" customWidth="1"/>
    <col min="7685" max="7685" width="16.5" style="58" customWidth="1"/>
    <col min="7686" max="7686" width="0" style="58" hidden="1" customWidth="1"/>
    <col min="7687" max="7936" width="9.33203125" style="58"/>
    <col min="7937" max="7937" width="7.83203125" style="58" customWidth="1"/>
    <col min="7938" max="7938" width="72.83203125" style="58" customWidth="1"/>
    <col min="7939" max="7939" width="15.83203125" style="58" bestFit="1" customWidth="1"/>
    <col min="7940" max="7940" width="16.1640625" style="58" customWidth="1"/>
    <col min="7941" max="7941" width="16.5" style="58" customWidth="1"/>
    <col min="7942" max="7942" width="0" style="58" hidden="1" customWidth="1"/>
    <col min="7943" max="8192" width="9.33203125" style="58"/>
    <col min="8193" max="8193" width="7.83203125" style="58" customWidth="1"/>
    <col min="8194" max="8194" width="72.83203125" style="58" customWidth="1"/>
    <col min="8195" max="8195" width="15.83203125" style="58" bestFit="1" customWidth="1"/>
    <col min="8196" max="8196" width="16.1640625" style="58" customWidth="1"/>
    <col min="8197" max="8197" width="16.5" style="58" customWidth="1"/>
    <col min="8198" max="8198" width="0" style="58" hidden="1" customWidth="1"/>
    <col min="8199" max="8448" width="9.33203125" style="58"/>
    <col min="8449" max="8449" width="7.83203125" style="58" customWidth="1"/>
    <col min="8450" max="8450" width="72.83203125" style="58" customWidth="1"/>
    <col min="8451" max="8451" width="15.83203125" style="58" bestFit="1" customWidth="1"/>
    <col min="8452" max="8452" width="16.1640625" style="58" customWidth="1"/>
    <col min="8453" max="8453" width="16.5" style="58" customWidth="1"/>
    <col min="8454" max="8454" width="0" style="58" hidden="1" customWidth="1"/>
    <col min="8455" max="8704" width="9.33203125" style="58"/>
    <col min="8705" max="8705" width="7.83203125" style="58" customWidth="1"/>
    <col min="8706" max="8706" width="72.83203125" style="58" customWidth="1"/>
    <col min="8707" max="8707" width="15.83203125" style="58" bestFit="1" customWidth="1"/>
    <col min="8708" max="8708" width="16.1640625" style="58" customWidth="1"/>
    <col min="8709" max="8709" width="16.5" style="58" customWidth="1"/>
    <col min="8710" max="8710" width="0" style="58" hidden="1" customWidth="1"/>
    <col min="8711" max="8960" width="9.33203125" style="58"/>
    <col min="8961" max="8961" width="7.83203125" style="58" customWidth="1"/>
    <col min="8962" max="8962" width="72.83203125" style="58" customWidth="1"/>
    <col min="8963" max="8963" width="15.83203125" style="58" bestFit="1" customWidth="1"/>
    <col min="8964" max="8964" width="16.1640625" style="58" customWidth="1"/>
    <col min="8965" max="8965" width="16.5" style="58" customWidth="1"/>
    <col min="8966" max="8966" width="0" style="58" hidden="1" customWidth="1"/>
    <col min="8967" max="9216" width="9.33203125" style="58"/>
    <col min="9217" max="9217" width="7.83203125" style="58" customWidth="1"/>
    <col min="9218" max="9218" width="72.83203125" style="58" customWidth="1"/>
    <col min="9219" max="9219" width="15.83203125" style="58" bestFit="1" customWidth="1"/>
    <col min="9220" max="9220" width="16.1640625" style="58" customWidth="1"/>
    <col min="9221" max="9221" width="16.5" style="58" customWidth="1"/>
    <col min="9222" max="9222" width="0" style="58" hidden="1" customWidth="1"/>
    <col min="9223" max="9472" width="9.33203125" style="58"/>
    <col min="9473" max="9473" width="7.83203125" style="58" customWidth="1"/>
    <col min="9474" max="9474" width="72.83203125" style="58" customWidth="1"/>
    <col min="9475" max="9475" width="15.83203125" style="58" bestFit="1" customWidth="1"/>
    <col min="9476" max="9476" width="16.1640625" style="58" customWidth="1"/>
    <col min="9477" max="9477" width="16.5" style="58" customWidth="1"/>
    <col min="9478" max="9478" width="0" style="58" hidden="1" customWidth="1"/>
    <col min="9479" max="9728" width="9.33203125" style="58"/>
    <col min="9729" max="9729" width="7.83203125" style="58" customWidth="1"/>
    <col min="9730" max="9730" width="72.83203125" style="58" customWidth="1"/>
    <col min="9731" max="9731" width="15.83203125" style="58" bestFit="1" customWidth="1"/>
    <col min="9732" max="9732" width="16.1640625" style="58" customWidth="1"/>
    <col min="9733" max="9733" width="16.5" style="58" customWidth="1"/>
    <col min="9734" max="9734" width="0" style="58" hidden="1" customWidth="1"/>
    <col min="9735" max="9984" width="9.33203125" style="58"/>
    <col min="9985" max="9985" width="7.83203125" style="58" customWidth="1"/>
    <col min="9986" max="9986" width="72.83203125" style="58" customWidth="1"/>
    <col min="9987" max="9987" width="15.83203125" style="58" bestFit="1" customWidth="1"/>
    <col min="9988" max="9988" width="16.1640625" style="58" customWidth="1"/>
    <col min="9989" max="9989" width="16.5" style="58" customWidth="1"/>
    <col min="9990" max="9990" width="0" style="58" hidden="1" customWidth="1"/>
    <col min="9991" max="10240" width="9.33203125" style="58"/>
    <col min="10241" max="10241" width="7.83203125" style="58" customWidth="1"/>
    <col min="10242" max="10242" width="72.83203125" style="58" customWidth="1"/>
    <col min="10243" max="10243" width="15.83203125" style="58" bestFit="1" customWidth="1"/>
    <col min="10244" max="10244" width="16.1640625" style="58" customWidth="1"/>
    <col min="10245" max="10245" width="16.5" style="58" customWidth="1"/>
    <col min="10246" max="10246" width="0" style="58" hidden="1" customWidth="1"/>
    <col min="10247" max="10496" width="9.33203125" style="58"/>
    <col min="10497" max="10497" width="7.83203125" style="58" customWidth="1"/>
    <col min="10498" max="10498" width="72.83203125" style="58" customWidth="1"/>
    <col min="10499" max="10499" width="15.83203125" style="58" bestFit="1" customWidth="1"/>
    <col min="10500" max="10500" width="16.1640625" style="58" customWidth="1"/>
    <col min="10501" max="10501" width="16.5" style="58" customWidth="1"/>
    <col min="10502" max="10502" width="0" style="58" hidden="1" customWidth="1"/>
    <col min="10503" max="10752" width="9.33203125" style="58"/>
    <col min="10753" max="10753" width="7.83203125" style="58" customWidth="1"/>
    <col min="10754" max="10754" width="72.83203125" style="58" customWidth="1"/>
    <col min="10755" max="10755" width="15.83203125" style="58" bestFit="1" customWidth="1"/>
    <col min="10756" max="10756" width="16.1640625" style="58" customWidth="1"/>
    <col min="10757" max="10757" width="16.5" style="58" customWidth="1"/>
    <col min="10758" max="10758" width="0" style="58" hidden="1" customWidth="1"/>
    <col min="10759" max="11008" width="9.33203125" style="58"/>
    <col min="11009" max="11009" width="7.83203125" style="58" customWidth="1"/>
    <col min="11010" max="11010" width="72.83203125" style="58" customWidth="1"/>
    <col min="11011" max="11011" width="15.83203125" style="58" bestFit="1" customWidth="1"/>
    <col min="11012" max="11012" width="16.1640625" style="58" customWidth="1"/>
    <col min="11013" max="11013" width="16.5" style="58" customWidth="1"/>
    <col min="11014" max="11014" width="0" style="58" hidden="1" customWidth="1"/>
    <col min="11015" max="11264" width="9.33203125" style="58"/>
    <col min="11265" max="11265" width="7.83203125" style="58" customWidth="1"/>
    <col min="11266" max="11266" width="72.83203125" style="58" customWidth="1"/>
    <col min="11267" max="11267" width="15.83203125" style="58" bestFit="1" customWidth="1"/>
    <col min="11268" max="11268" width="16.1640625" style="58" customWidth="1"/>
    <col min="11269" max="11269" width="16.5" style="58" customWidth="1"/>
    <col min="11270" max="11270" width="0" style="58" hidden="1" customWidth="1"/>
    <col min="11271" max="11520" width="9.33203125" style="58"/>
    <col min="11521" max="11521" width="7.83203125" style="58" customWidth="1"/>
    <col min="11522" max="11522" width="72.83203125" style="58" customWidth="1"/>
    <col min="11523" max="11523" width="15.83203125" style="58" bestFit="1" customWidth="1"/>
    <col min="11524" max="11524" width="16.1640625" style="58" customWidth="1"/>
    <col min="11525" max="11525" width="16.5" style="58" customWidth="1"/>
    <col min="11526" max="11526" width="0" style="58" hidden="1" customWidth="1"/>
    <col min="11527" max="11776" width="9.33203125" style="58"/>
    <col min="11777" max="11777" width="7.83203125" style="58" customWidth="1"/>
    <col min="11778" max="11778" width="72.83203125" style="58" customWidth="1"/>
    <col min="11779" max="11779" width="15.83203125" style="58" bestFit="1" customWidth="1"/>
    <col min="11780" max="11780" width="16.1640625" style="58" customWidth="1"/>
    <col min="11781" max="11781" width="16.5" style="58" customWidth="1"/>
    <col min="11782" max="11782" width="0" style="58" hidden="1" customWidth="1"/>
    <col min="11783" max="12032" width="9.33203125" style="58"/>
    <col min="12033" max="12033" width="7.83203125" style="58" customWidth="1"/>
    <col min="12034" max="12034" width="72.83203125" style="58" customWidth="1"/>
    <col min="12035" max="12035" width="15.83203125" style="58" bestFit="1" customWidth="1"/>
    <col min="12036" max="12036" width="16.1640625" style="58" customWidth="1"/>
    <col min="12037" max="12037" width="16.5" style="58" customWidth="1"/>
    <col min="12038" max="12038" width="0" style="58" hidden="1" customWidth="1"/>
    <col min="12039" max="12288" width="9.33203125" style="58"/>
    <col min="12289" max="12289" width="7.83203125" style="58" customWidth="1"/>
    <col min="12290" max="12290" width="72.83203125" style="58" customWidth="1"/>
    <col min="12291" max="12291" width="15.83203125" style="58" bestFit="1" customWidth="1"/>
    <col min="12292" max="12292" width="16.1640625" style="58" customWidth="1"/>
    <col min="12293" max="12293" width="16.5" style="58" customWidth="1"/>
    <col min="12294" max="12294" width="0" style="58" hidden="1" customWidth="1"/>
    <col min="12295" max="12544" width="9.33203125" style="58"/>
    <col min="12545" max="12545" width="7.83203125" style="58" customWidth="1"/>
    <col min="12546" max="12546" width="72.83203125" style="58" customWidth="1"/>
    <col min="12547" max="12547" width="15.83203125" style="58" bestFit="1" customWidth="1"/>
    <col min="12548" max="12548" width="16.1640625" style="58" customWidth="1"/>
    <col min="12549" max="12549" width="16.5" style="58" customWidth="1"/>
    <col min="12550" max="12550" width="0" style="58" hidden="1" customWidth="1"/>
    <col min="12551" max="12800" width="9.33203125" style="58"/>
    <col min="12801" max="12801" width="7.83203125" style="58" customWidth="1"/>
    <col min="12802" max="12802" width="72.83203125" style="58" customWidth="1"/>
    <col min="12803" max="12803" width="15.83203125" style="58" bestFit="1" customWidth="1"/>
    <col min="12804" max="12804" width="16.1640625" style="58" customWidth="1"/>
    <col min="12805" max="12805" width="16.5" style="58" customWidth="1"/>
    <col min="12806" max="12806" width="0" style="58" hidden="1" customWidth="1"/>
    <col min="12807" max="13056" width="9.33203125" style="58"/>
    <col min="13057" max="13057" width="7.83203125" style="58" customWidth="1"/>
    <col min="13058" max="13058" width="72.83203125" style="58" customWidth="1"/>
    <col min="13059" max="13059" width="15.83203125" style="58" bestFit="1" customWidth="1"/>
    <col min="13060" max="13060" width="16.1640625" style="58" customWidth="1"/>
    <col min="13061" max="13061" width="16.5" style="58" customWidth="1"/>
    <col min="13062" max="13062" width="0" style="58" hidden="1" customWidth="1"/>
    <col min="13063" max="13312" width="9.33203125" style="58"/>
    <col min="13313" max="13313" width="7.83203125" style="58" customWidth="1"/>
    <col min="13314" max="13314" width="72.83203125" style="58" customWidth="1"/>
    <col min="13315" max="13315" width="15.83203125" style="58" bestFit="1" customWidth="1"/>
    <col min="13316" max="13316" width="16.1640625" style="58" customWidth="1"/>
    <col min="13317" max="13317" width="16.5" style="58" customWidth="1"/>
    <col min="13318" max="13318" width="0" style="58" hidden="1" customWidth="1"/>
    <col min="13319" max="13568" width="9.33203125" style="58"/>
    <col min="13569" max="13569" width="7.83203125" style="58" customWidth="1"/>
    <col min="13570" max="13570" width="72.83203125" style="58" customWidth="1"/>
    <col min="13571" max="13571" width="15.83203125" style="58" bestFit="1" customWidth="1"/>
    <col min="13572" max="13572" width="16.1640625" style="58" customWidth="1"/>
    <col min="13573" max="13573" width="16.5" style="58" customWidth="1"/>
    <col min="13574" max="13574" width="0" style="58" hidden="1" customWidth="1"/>
    <col min="13575" max="13824" width="9.33203125" style="58"/>
    <col min="13825" max="13825" width="7.83203125" style="58" customWidth="1"/>
    <col min="13826" max="13826" width="72.83203125" style="58" customWidth="1"/>
    <col min="13827" max="13827" width="15.83203125" style="58" bestFit="1" customWidth="1"/>
    <col min="13828" max="13828" width="16.1640625" style="58" customWidth="1"/>
    <col min="13829" max="13829" width="16.5" style="58" customWidth="1"/>
    <col min="13830" max="13830" width="0" style="58" hidden="1" customWidth="1"/>
    <col min="13831" max="14080" width="9.33203125" style="58"/>
    <col min="14081" max="14081" width="7.83203125" style="58" customWidth="1"/>
    <col min="14082" max="14082" width="72.83203125" style="58" customWidth="1"/>
    <col min="14083" max="14083" width="15.83203125" style="58" bestFit="1" customWidth="1"/>
    <col min="14084" max="14084" width="16.1640625" style="58" customWidth="1"/>
    <col min="14085" max="14085" width="16.5" style="58" customWidth="1"/>
    <col min="14086" max="14086" width="0" style="58" hidden="1" customWidth="1"/>
    <col min="14087" max="14336" width="9.33203125" style="58"/>
    <col min="14337" max="14337" width="7.83203125" style="58" customWidth="1"/>
    <col min="14338" max="14338" width="72.83203125" style="58" customWidth="1"/>
    <col min="14339" max="14339" width="15.83203125" style="58" bestFit="1" customWidth="1"/>
    <col min="14340" max="14340" width="16.1640625" style="58" customWidth="1"/>
    <col min="14341" max="14341" width="16.5" style="58" customWidth="1"/>
    <col min="14342" max="14342" width="0" style="58" hidden="1" customWidth="1"/>
    <col min="14343" max="14592" width="9.33203125" style="58"/>
    <col min="14593" max="14593" width="7.83203125" style="58" customWidth="1"/>
    <col min="14594" max="14594" width="72.83203125" style="58" customWidth="1"/>
    <col min="14595" max="14595" width="15.83203125" style="58" bestFit="1" customWidth="1"/>
    <col min="14596" max="14596" width="16.1640625" style="58" customWidth="1"/>
    <col min="14597" max="14597" width="16.5" style="58" customWidth="1"/>
    <col min="14598" max="14598" width="0" style="58" hidden="1" customWidth="1"/>
    <col min="14599" max="14848" width="9.33203125" style="58"/>
    <col min="14849" max="14849" width="7.83203125" style="58" customWidth="1"/>
    <col min="14850" max="14850" width="72.83203125" style="58" customWidth="1"/>
    <col min="14851" max="14851" width="15.83203125" style="58" bestFit="1" customWidth="1"/>
    <col min="14852" max="14852" width="16.1640625" style="58" customWidth="1"/>
    <col min="14853" max="14853" width="16.5" style="58" customWidth="1"/>
    <col min="14854" max="14854" width="0" style="58" hidden="1" customWidth="1"/>
    <col min="14855" max="15104" width="9.33203125" style="58"/>
    <col min="15105" max="15105" width="7.83203125" style="58" customWidth="1"/>
    <col min="15106" max="15106" width="72.83203125" style="58" customWidth="1"/>
    <col min="15107" max="15107" width="15.83203125" style="58" bestFit="1" customWidth="1"/>
    <col min="15108" max="15108" width="16.1640625" style="58" customWidth="1"/>
    <col min="15109" max="15109" width="16.5" style="58" customWidth="1"/>
    <col min="15110" max="15110" width="0" style="58" hidden="1" customWidth="1"/>
    <col min="15111" max="15360" width="9.33203125" style="58"/>
    <col min="15361" max="15361" width="7.83203125" style="58" customWidth="1"/>
    <col min="15362" max="15362" width="72.83203125" style="58" customWidth="1"/>
    <col min="15363" max="15363" width="15.83203125" style="58" bestFit="1" customWidth="1"/>
    <col min="15364" max="15364" width="16.1640625" style="58" customWidth="1"/>
    <col min="15365" max="15365" width="16.5" style="58" customWidth="1"/>
    <col min="15366" max="15366" width="0" style="58" hidden="1" customWidth="1"/>
    <col min="15367" max="15616" width="9.33203125" style="58"/>
    <col min="15617" max="15617" width="7.83203125" style="58" customWidth="1"/>
    <col min="15618" max="15618" width="72.83203125" style="58" customWidth="1"/>
    <col min="15619" max="15619" width="15.83203125" style="58" bestFit="1" customWidth="1"/>
    <col min="15620" max="15620" width="16.1640625" style="58" customWidth="1"/>
    <col min="15621" max="15621" width="16.5" style="58" customWidth="1"/>
    <col min="15622" max="15622" width="0" style="58" hidden="1" customWidth="1"/>
    <col min="15623" max="15872" width="9.33203125" style="58"/>
    <col min="15873" max="15873" width="7.83203125" style="58" customWidth="1"/>
    <col min="15874" max="15874" width="72.83203125" style="58" customWidth="1"/>
    <col min="15875" max="15875" width="15.83203125" style="58" bestFit="1" customWidth="1"/>
    <col min="15876" max="15876" width="16.1640625" style="58" customWidth="1"/>
    <col min="15877" max="15877" width="16.5" style="58" customWidth="1"/>
    <col min="15878" max="15878" width="0" style="58" hidden="1" customWidth="1"/>
    <col min="15879" max="16128" width="9.33203125" style="58"/>
    <col min="16129" max="16129" width="7.83203125" style="58" customWidth="1"/>
    <col min="16130" max="16130" width="72.83203125" style="58" customWidth="1"/>
    <col min="16131" max="16131" width="15.83203125" style="58" bestFit="1" customWidth="1"/>
    <col min="16132" max="16132" width="16.1640625" style="58" customWidth="1"/>
    <col min="16133" max="16133" width="16.5" style="58" customWidth="1"/>
    <col min="16134" max="16134" width="0" style="58" hidden="1" customWidth="1"/>
    <col min="16135" max="16384" width="9.33203125" style="58"/>
  </cols>
  <sheetData>
    <row r="2" spans="1:7">
      <c r="E2" s="1811" t="s">
        <v>2361</v>
      </c>
    </row>
    <row r="3" spans="1:7" ht="13.5" thickBot="1">
      <c r="E3" s="1811" t="s">
        <v>2362</v>
      </c>
    </row>
    <row r="4" spans="1:7" s="1812" customFormat="1" ht="13.5" thickBot="1">
      <c r="B4" s="2934" t="s">
        <v>1063</v>
      </c>
      <c r="C4" s="2934"/>
      <c r="D4" s="2935"/>
      <c r="E4" s="1813" t="s">
        <v>2387</v>
      </c>
    </row>
    <row r="5" spans="1:7">
      <c r="B5" s="2934" t="s">
        <v>986</v>
      </c>
      <c r="C5" s="2934"/>
      <c r="D5" s="2934"/>
      <c r="E5" s="1814"/>
    </row>
    <row r="6" spans="1:7" s="60" customFormat="1">
      <c r="B6" s="2934" t="s">
        <v>2388</v>
      </c>
      <c r="C6" s="2934"/>
      <c r="D6" s="2934"/>
      <c r="E6" s="1814"/>
    </row>
    <row r="7" spans="1:7">
      <c r="B7" s="2934" t="s">
        <v>2389</v>
      </c>
      <c r="C7" s="2934"/>
      <c r="D7" s="2934"/>
      <c r="E7" s="1814"/>
    </row>
    <row r="8" spans="1:7">
      <c r="A8" s="1815"/>
      <c r="B8" s="1815"/>
      <c r="C8" s="1815"/>
      <c r="D8" s="1815"/>
      <c r="E8" s="1816"/>
    </row>
    <row r="9" spans="1:7">
      <c r="A9" s="1817"/>
      <c r="B9" s="2936"/>
      <c r="C9" s="2936"/>
      <c r="D9" s="2936"/>
      <c r="E9" s="2936"/>
    </row>
    <row r="10" spans="1:7">
      <c r="A10" s="1818" t="s">
        <v>24</v>
      </c>
      <c r="B10" s="1819"/>
      <c r="C10" s="1819"/>
      <c r="D10" s="1820"/>
      <c r="E10" s="1821"/>
    </row>
    <row r="11" spans="1:7">
      <c r="A11" s="1822" t="s">
        <v>38</v>
      </c>
      <c r="B11" s="1823" t="s">
        <v>39</v>
      </c>
      <c r="C11" s="1824"/>
      <c r="D11" s="1825"/>
      <c r="E11" s="1822" t="s">
        <v>42</v>
      </c>
    </row>
    <row r="12" spans="1:7">
      <c r="A12" s="1826"/>
      <c r="B12" s="1827" t="s">
        <v>249</v>
      </c>
      <c r="C12" s="1828"/>
      <c r="E12" s="1828"/>
    </row>
    <row r="13" spans="1:7">
      <c r="A13" s="1829">
        <v>1</v>
      </c>
      <c r="B13" s="219" t="s">
        <v>2390</v>
      </c>
      <c r="C13" s="1830"/>
      <c r="E13" s="224">
        <f>'6.03G - LowInc Rev 12ME 12-2010'!E24</f>
        <v>3488170.7346030003</v>
      </c>
    </row>
    <row r="14" spans="1:7">
      <c r="A14" s="1829">
        <f>A13+1</f>
        <v>2</v>
      </c>
      <c r="B14" s="219" t="s">
        <v>2391</v>
      </c>
      <c r="C14" s="1831"/>
      <c r="E14" s="51">
        <f>'6.03G - ConsvRev 12ME 12-210'!B15</f>
        <v>15438475.33</v>
      </c>
    </row>
    <row r="15" spans="1:7">
      <c r="A15" s="1829">
        <f t="shared" ref="A15:A38" si="0">A14+1</f>
        <v>3</v>
      </c>
      <c r="B15" s="219" t="s">
        <v>256</v>
      </c>
      <c r="C15" s="1831"/>
      <c r="E15" s="51">
        <f>-'6.02G - Revenue'!J31</f>
        <v>-61289792.627116062</v>
      </c>
      <c r="G15" s="72"/>
    </row>
    <row r="16" spans="1:7">
      <c r="A16" s="1829">
        <f t="shared" si="0"/>
        <v>4</v>
      </c>
      <c r="B16" s="219" t="s">
        <v>403</v>
      </c>
      <c r="E16" s="51">
        <f>-'6.02G - Revenue'!E26-'6.02G - Revenue'!E28</f>
        <v>43761996.879999995</v>
      </c>
    </row>
    <row r="17" spans="1:7">
      <c r="A17" s="1829">
        <f t="shared" si="0"/>
        <v>5</v>
      </c>
      <c r="B17" s="1832" t="s">
        <v>250</v>
      </c>
      <c r="C17" s="219"/>
      <c r="E17" s="1833">
        <f>SUM(E13:E16)</f>
        <v>1398850.3174869344</v>
      </c>
    </row>
    <row r="18" spans="1:7">
      <c r="A18" s="1829">
        <f t="shared" si="0"/>
        <v>6</v>
      </c>
      <c r="B18" s="1832"/>
      <c r="C18" s="219"/>
      <c r="D18" s="52"/>
      <c r="E18" s="52"/>
    </row>
    <row r="19" spans="1:7">
      <c r="A19" s="1829">
        <f t="shared" si="0"/>
        <v>7</v>
      </c>
      <c r="B19" s="1834" t="s">
        <v>2392</v>
      </c>
      <c r="C19" s="1831"/>
      <c r="D19" s="1831"/>
      <c r="E19" s="53"/>
    </row>
    <row r="20" spans="1:7">
      <c r="A20" s="1829">
        <f t="shared" si="0"/>
        <v>8</v>
      </c>
      <c r="B20" s="219" t="s">
        <v>217</v>
      </c>
      <c r="C20" s="1835">
        <f>'Exhibit No._(CTM-2), Pg. 10-30'!D45</f>
        <v>3.4749999999999998E-3</v>
      </c>
      <c r="E20" s="1836">
        <f>-E17*C20</f>
        <v>-4861.0048532670962</v>
      </c>
    </row>
    <row r="21" spans="1:7">
      <c r="A21" s="1829">
        <f t="shared" si="0"/>
        <v>9</v>
      </c>
      <c r="B21" s="1837" t="s">
        <v>251</v>
      </c>
      <c r="C21" s="1835">
        <f>'Exhibit No._(CTM-2), Pg. 10-30'!D46</f>
        <v>2E-3</v>
      </c>
      <c r="E21" s="1838">
        <f>-E17*C21</f>
        <v>-2797.700634973869</v>
      </c>
    </row>
    <row r="22" spans="1:7">
      <c r="A22" s="1829">
        <f t="shared" si="0"/>
        <v>10</v>
      </c>
      <c r="B22" s="1839" t="s">
        <v>2393</v>
      </c>
      <c r="C22" s="1840">
        <f>'Exhibit No._(CTM-2), Pg. 10-30'!D49</f>
        <v>3.8386000000000003E-2</v>
      </c>
      <c r="D22" s="1841"/>
      <c r="E22" s="1838">
        <f>-E17*C22</f>
        <v>-53696.26828705347</v>
      </c>
    </row>
    <row r="23" spans="1:7">
      <c r="A23" s="1829">
        <f t="shared" si="0"/>
        <v>11</v>
      </c>
      <c r="B23" s="1842" t="s">
        <v>2394</v>
      </c>
      <c r="C23" s="1843"/>
      <c r="D23" s="68"/>
      <c r="E23" s="1844">
        <f>SUM(E20:E22)</f>
        <v>-61354.973775294435</v>
      </c>
      <c r="F23" s="68"/>
      <c r="G23" s="68"/>
    </row>
    <row r="24" spans="1:7" hidden="1">
      <c r="A24" s="1829">
        <f t="shared" si="0"/>
        <v>12</v>
      </c>
      <c r="B24" s="1845" t="s">
        <v>2395</v>
      </c>
      <c r="E24" s="68"/>
    </row>
    <row r="25" spans="1:7" hidden="1">
      <c r="A25" s="1829">
        <f t="shared" si="0"/>
        <v>13</v>
      </c>
      <c r="E25" s="68"/>
    </row>
    <row r="26" spans="1:7" hidden="1">
      <c r="A26" s="1829">
        <f t="shared" si="0"/>
        <v>14</v>
      </c>
      <c r="B26" s="1846" t="s">
        <v>2396</v>
      </c>
      <c r="C26" s="1846"/>
      <c r="D26" s="1846"/>
      <c r="E26" s="1847"/>
    </row>
    <row r="27" spans="1:7" hidden="1">
      <c r="A27" s="1829">
        <f t="shared" si="0"/>
        <v>15</v>
      </c>
      <c r="B27" s="1846" t="s">
        <v>2397</v>
      </c>
      <c r="E27" s="68"/>
    </row>
    <row r="28" spans="1:7">
      <c r="A28" s="1829">
        <f t="shared" si="0"/>
        <v>16</v>
      </c>
      <c r="B28" s="69"/>
      <c r="E28" s="68"/>
    </row>
    <row r="29" spans="1:7">
      <c r="A29" s="1829">
        <f t="shared" si="0"/>
        <v>17</v>
      </c>
      <c r="B29" s="1848" t="s">
        <v>253</v>
      </c>
      <c r="C29" s="1832"/>
      <c r="D29" s="1832"/>
      <c r="E29" s="68"/>
    </row>
    <row r="30" spans="1:7">
      <c r="A30" s="1829">
        <f t="shared" si="0"/>
        <v>18</v>
      </c>
      <c r="B30" s="219" t="s">
        <v>257</v>
      </c>
      <c r="C30" s="1832"/>
      <c r="E30" s="224">
        <f>-'6.03G - LowIncExp 12ME 12-2010'!B10</f>
        <v>-3337444</v>
      </c>
    </row>
    <row r="31" spans="1:7">
      <c r="A31" s="1829">
        <f t="shared" si="0"/>
        <v>19</v>
      </c>
      <c r="B31" s="219" t="s">
        <v>258</v>
      </c>
      <c r="C31" s="1832"/>
      <c r="E31" s="52">
        <f>-'6.03G - Cons Expense Dec 2010'!B9</f>
        <v>-14771681.630000001</v>
      </c>
    </row>
    <row r="32" spans="1:7">
      <c r="A32" s="1829">
        <f t="shared" si="0"/>
        <v>20</v>
      </c>
      <c r="B32" s="219" t="s">
        <v>232</v>
      </c>
      <c r="C32" s="1832"/>
      <c r="E32" s="52">
        <f>-'6.03G - PGA Amort Dec 2010'!B13</f>
        <v>58642444</v>
      </c>
    </row>
    <row r="33" spans="1:5">
      <c r="A33" s="1829">
        <f t="shared" si="0"/>
        <v>21</v>
      </c>
      <c r="B33" s="219" t="s">
        <v>403</v>
      </c>
      <c r="C33" s="1832"/>
      <c r="E33" s="52">
        <f>-'6.03G - MuniTax Exp 12-2010'!B9</f>
        <v>-42108850.130000003</v>
      </c>
    </row>
    <row r="34" spans="1:5">
      <c r="A34" s="1829">
        <f t="shared" si="0"/>
        <v>22</v>
      </c>
      <c r="B34" s="1832" t="s">
        <v>176</v>
      </c>
      <c r="C34" s="1832"/>
      <c r="E34" s="1849">
        <f>SUM(E30:E33)</f>
        <v>-1575531.7600000054</v>
      </c>
    </row>
    <row r="35" spans="1:5">
      <c r="A35" s="1829">
        <f t="shared" si="0"/>
        <v>23</v>
      </c>
      <c r="E35" s="1850"/>
    </row>
    <row r="36" spans="1:5">
      <c r="A36" s="1829">
        <f t="shared" si="0"/>
        <v>24</v>
      </c>
      <c r="B36" s="1851" t="s">
        <v>2398</v>
      </c>
      <c r="C36" s="1851"/>
      <c r="E36" s="1852">
        <f>-E17-E23-E34</f>
        <v>238036.41628836538</v>
      </c>
    </row>
    <row r="37" spans="1:5">
      <c r="A37" s="1829">
        <f t="shared" si="0"/>
        <v>25</v>
      </c>
      <c r="B37" s="1851" t="s">
        <v>2399</v>
      </c>
      <c r="C37" s="1851"/>
      <c r="D37" s="2007">
        <f>'Exhibit No._(CTM-2), Pg. 10-30'!D54</f>
        <v>0.35</v>
      </c>
      <c r="E37" s="1853">
        <f>E36*D37</f>
        <v>83312.745700927873</v>
      </c>
    </row>
    <row r="38" spans="1:5" ht="13.5" thickBot="1">
      <c r="A38" s="1829">
        <f t="shared" si="0"/>
        <v>26</v>
      </c>
      <c r="B38" s="1851" t="s">
        <v>74</v>
      </c>
      <c r="C38" s="1851"/>
      <c r="E38" s="1854">
        <f>E36-E37</f>
        <v>154723.67058743752</v>
      </c>
    </row>
    <row r="39" spans="1:5" ht="13.5" thickTop="1"/>
  </sheetData>
  <mergeCells count="5">
    <mergeCell ref="B4:D4"/>
    <mergeCell ref="B5:D5"/>
    <mergeCell ref="B6:D6"/>
    <mergeCell ref="B7:D7"/>
    <mergeCell ref="B9:E9"/>
  </mergeCells>
  <pageMargins left="0.64" right="0.61" top="0.9" bottom="1" header="0.5" footer="0.5"/>
  <pageSetup scale="85"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L26"/>
  <sheetViews>
    <sheetView zoomScaleNormal="100" workbookViewId="0">
      <selection activeCell="G23" sqref="G23"/>
    </sheetView>
  </sheetViews>
  <sheetFormatPr defaultColWidth="13.33203125" defaultRowHeight="12.75"/>
  <cols>
    <col min="1" max="1" width="18.5" style="787" bestFit="1" customWidth="1"/>
    <col min="2" max="2" width="12.5" style="787" bestFit="1" customWidth="1"/>
    <col min="3" max="3" width="34.6640625" style="787" customWidth="1"/>
    <col min="4" max="4" width="7" style="787" customWidth="1"/>
    <col min="5" max="5" width="17" style="787" customWidth="1"/>
    <col min="6" max="6" width="14" style="787" customWidth="1"/>
    <col min="7" max="7" width="23.83203125" style="787" bestFit="1" customWidth="1"/>
    <col min="8" max="8" width="8" style="787" bestFit="1" customWidth="1"/>
    <col min="9" max="9" width="11.6640625" style="787" bestFit="1" customWidth="1"/>
    <col min="10" max="10" width="11.83203125" style="787" bestFit="1" customWidth="1"/>
    <col min="11" max="11" width="13" style="787" bestFit="1" customWidth="1"/>
    <col min="12" max="12" width="20.1640625" style="787" bestFit="1" customWidth="1"/>
    <col min="13" max="256" width="13.33203125" style="787"/>
    <col min="257" max="257" width="18.5" style="787" bestFit="1" customWidth="1"/>
    <col min="258" max="258" width="12.5" style="787" bestFit="1" customWidth="1"/>
    <col min="259" max="259" width="34.6640625" style="787" customWidth="1"/>
    <col min="260" max="260" width="7" style="787" customWidth="1"/>
    <col min="261" max="261" width="17" style="787" customWidth="1"/>
    <col min="262" max="262" width="14" style="787" customWidth="1"/>
    <col min="263" max="263" width="23.83203125" style="787" bestFit="1" customWidth="1"/>
    <col min="264" max="264" width="8" style="787" bestFit="1" customWidth="1"/>
    <col min="265" max="265" width="11.6640625" style="787" bestFit="1" customWidth="1"/>
    <col min="266" max="266" width="11.83203125" style="787" bestFit="1" customWidth="1"/>
    <col min="267" max="267" width="13" style="787" bestFit="1" customWidth="1"/>
    <col min="268" max="268" width="20.1640625" style="787" bestFit="1" customWidth="1"/>
    <col min="269" max="512" width="13.33203125" style="787"/>
    <col min="513" max="513" width="18.5" style="787" bestFit="1" customWidth="1"/>
    <col min="514" max="514" width="12.5" style="787" bestFit="1" customWidth="1"/>
    <col min="515" max="515" width="34.6640625" style="787" customWidth="1"/>
    <col min="516" max="516" width="7" style="787" customWidth="1"/>
    <col min="517" max="517" width="17" style="787" customWidth="1"/>
    <col min="518" max="518" width="14" style="787" customWidth="1"/>
    <col min="519" max="519" width="23.83203125" style="787" bestFit="1" customWidth="1"/>
    <col min="520" max="520" width="8" style="787" bestFit="1" customWidth="1"/>
    <col min="521" max="521" width="11.6640625" style="787" bestFit="1" customWidth="1"/>
    <col min="522" max="522" width="11.83203125" style="787" bestFit="1" customWidth="1"/>
    <col min="523" max="523" width="13" style="787" bestFit="1" customWidth="1"/>
    <col min="524" max="524" width="20.1640625" style="787" bestFit="1" customWidth="1"/>
    <col min="525" max="768" width="13.33203125" style="787"/>
    <col min="769" max="769" width="18.5" style="787" bestFit="1" customWidth="1"/>
    <col min="770" max="770" width="12.5" style="787" bestFit="1" customWidth="1"/>
    <col min="771" max="771" width="34.6640625" style="787" customWidth="1"/>
    <col min="772" max="772" width="7" style="787" customWidth="1"/>
    <col min="773" max="773" width="17" style="787" customWidth="1"/>
    <col min="774" max="774" width="14" style="787" customWidth="1"/>
    <col min="775" max="775" width="23.83203125" style="787" bestFit="1" customWidth="1"/>
    <col min="776" max="776" width="8" style="787" bestFit="1" customWidth="1"/>
    <col min="777" max="777" width="11.6640625" style="787" bestFit="1" customWidth="1"/>
    <col min="778" max="778" width="11.83203125" style="787" bestFit="1" customWidth="1"/>
    <col min="779" max="779" width="13" style="787" bestFit="1" customWidth="1"/>
    <col min="780" max="780" width="20.1640625" style="787" bestFit="1" customWidth="1"/>
    <col min="781" max="1024" width="13.33203125" style="787"/>
    <col min="1025" max="1025" width="18.5" style="787" bestFit="1" customWidth="1"/>
    <col min="1026" max="1026" width="12.5" style="787" bestFit="1" customWidth="1"/>
    <col min="1027" max="1027" width="34.6640625" style="787" customWidth="1"/>
    <col min="1028" max="1028" width="7" style="787" customWidth="1"/>
    <col min="1029" max="1029" width="17" style="787" customWidth="1"/>
    <col min="1030" max="1030" width="14" style="787" customWidth="1"/>
    <col min="1031" max="1031" width="23.83203125" style="787" bestFit="1" customWidth="1"/>
    <col min="1032" max="1032" width="8" style="787" bestFit="1" customWidth="1"/>
    <col min="1033" max="1033" width="11.6640625" style="787" bestFit="1" customWidth="1"/>
    <col min="1034" max="1034" width="11.83203125" style="787" bestFit="1" customWidth="1"/>
    <col min="1035" max="1035" width="13" style="787" bestFit="1" customWidth="1"/>
    <col min="1036" max="1036" width="20.1640625" style="787" bestFit="1" customWidth="1"/>
    <col min="1037" max="1280" width="13.33203125" style="787"/>
    <col min="1281" max="1281" width="18.5" style="787" bestFit="1" customWidth="1"/>
    <col min="1282" max="1282" width="12.5" style="787" bestFit="1" customWidth="1"/>
    <col min="1283" max="1283" width="34.6640625" style="787" customWidth="1"/>
    <col min="1284" max="1284" width="7" style="787" customWidth="1"/>
    <col min="1285" max="1285" width="17" style="787" customWidth="1"/>
    <col min="1286" max="1286" width="14" style="787" customWidth="1"/>
    <col min="1287" max="1287" width="23.83203125" style="787" bestFit="1" customWidth="1"/>
    <col min="1288" max="1288" width="8" style="787" bestFit="1" customWidth="1"/>
    <col min="1289" max="1289" width="11.6640625" style="787" bestFit="1" customWidth="1"/>
    <col min="1290" max="1290" width="11.83203125" style="787" bestFit="1" customWidth="1"/>
    <col min="1291" max="1291" width="13" style="787" bestFit="1" customWidth="1"/>
    <col min="1292" max="1292" width="20.1640625" style="787" bestFit="1" customWidth="1"/>
    <col min="1293" max="1536" width="13.33203125" style="787"/>
    <col min="1537" max="1537" width="18.5" style="787" bestFit="1" customWidth="1"/>
    <col min="1538" max="1538" width="12.5" style="787" bestFit="1" customWidth="1"/>
    <col min="1539" max="1539" width="34.6640625" style="787" customWidth="1"/>
    <col min="1540" max="1540" width="7" style="787" customWidth="1"/>
    <col min="1541" max="1541" width="17" style="787" customWidth="1"/>
    <col min="1542" max="1542" width="14" style="787" customWidth="1"/>
    <col min="1543" max="1543" width="23.83203125" style="787" bestFit="1" customWidth="1"/>
    <col min="1544" max="1544" width="8" style="787" bestFit="1" customWidth="1"/>
    <col min="1545" max="1545" width="11.6640625" style="787" bestFit="1" customWidth="1"/>
    <col min="1546" max="1546" width="11.83203125" style="787" bestFit="1" customWidth="1"/>
    <col min="1547" max="1547" width="13" style="787" bestFit="1" customWidth="1"/>
    <col min="1548" max="1548" width="20.1640625" style="787" bestFit="1" customWidth="1"/>
    <col min="1549" max="1792" width="13.33203125" style="787"/>
    <col min="1793" max="1793" width="18.5" style="787" bestFit="1" customWidth="1"/>
    <col min="1794" max="1794" width="12.5" style="787" bestFit="1" customWidth="1"/>
    <col min="1795" max="1795" width="34.6640625" style="787" customWidth="1"/>
    <col min="1796" max="1796" width="7" style="787" customWidth="1"/>
    <col min="1797" max="1797" width="17" style="787" customWidth="1"/>
    <col min="1798" max="1798" width="14" style="787" customWidth="1"/>
    <col min="1799" max="1799" width="23.83203125" style="787" bestFit="1" customWidth="1"/>
    <col min="1800" max="1800" width="8" style="787" bestFit="1" customWidth="1"/>
    <col min="1801" max="1801" width="11.6640625" style="787" bestFit="1" customWidth="1"/>
    <col min="1802" max="1802" width="11.83203125" style="787" bestFit="1" customWidth="1"/>
    <col min="1803" max="1803" width="13" style="787" bestFit="1" customWidth="1"/>
    <col min="1804" max="1804" width="20.1640625" style="787" bestFit="1" customWidth="1"/>
    <col min="1805" max="2048" width="13.33203125" style="787"/>
    <col min="2049" max="2049" width="18.5" style="787" bestFit="1" customWidth="1"/>
    <col min="2050" max="2050" width="12.5" style="787" bestFit="1" customWidth="1"/>
    <col min="2051" max="2051" width="34.6640625" style="787" customWidth="1"/>
    <col min="2052" max="2052" width="7" style="787" customWidth="1"/>
    <col min="2053" max="2053" width="17" style="787" customWidth="1"/>
    <col min="2054" max="2054" width="14" style="787" customWidth="1"/>
    <col min="2055" max="2055" width="23.83203125" style="787" bestFit="1" customWidth="1"/>
    <col min="2056" max="2056" width="8" style="787" bestFit="1" customWidth="1"/>
    <col min="2057" max="2057" width="11.6640625" style="787" bestFit="1" customWidth="1"/>
    <col min="2058" max="2058" width="11.83203125" style="787" bestFit="1" customWidth="1"/>
    <col min="2059" max="2059" width="13" style="787" bestFit="1" customWidth="1"/>
    <col min="2060" max="2060" width="20.1640625" style="787" bestFit="1" customWidth="1"/>
    <col min="2061" max="2304" width="13.33203125" style="787"/>
    <col min="2305" max="2305" width="18.5" style="787" bestFit="1" customWidth="1"/>
    <col min="2306" max="2306" width="12.5" style="787" bestFit="1" customWidth="1"/>
    <col min="2307" max="2307" width="34.6640625" style="787" customWidth="1"/>
    <col min="2308" max="2308" width="7" style="787" customWidth="1"/>
    <col min="2309" max="2309" width="17" style="787" customWidth="1"/>
    <col min="2310" max="2310" width="14" style="787" customWidth="1"/>
    <col min="2311" max="2311" width="23.83203125" style="787" bestFit="1" customWidth="1"/>
    <col min="2312" max="2312" width="8" style="787" bestFit="1" customWidth="1"/>
    <col min="2313" max="2313" width="11.6640625" style="787" bestFit="1" customWidth="1"/>
    <col min="2314" max="2314" width="11.83203125" style="787" bestFit="1" customWidth="1"/>
    <col min="2315" max="2315" width="13" style="787" bestFit="1" customWidth="1"/>
    <col min="2316" max="2316" width="20.1640625" style="787" bestFit="1" customWidth="1"/>
    <col min="2317" max="2560" width="13.33203125" style="787"/>
    <col min="2561" max="2561" width="18.5" style="787" bestFit="1" customWidth="1"/>
    <col min="2562" max="2562" width="12.5" style="787" bestFit="1" customWidth="1"/>
    <col min="2563" max="2563" width="34.6640625" style="787" customWidth="1"/>
    <col min="2564" max="2564" width="7" style="787" customWidth="1"/>
    <col min="2565" max="2565" width="17" style="787" customWidth="1"/>
    <col min="2566" max="2566" width="14" style="787" customWidth="1"/>
    <col min="2567" max="2567" width="23.83203125" style="787" bestFit="1" customWidth="1"/>
    <col min="2568" max="2568" width="8" style="787" bestFit="1" customWidth="1"/>
    <col min="2569" max="2569" width="11.6640625" style="787" bestFit="1" customWidth="1"/>
    <col min="2570" max="2570" width="11.83203125" style="787" bestFit="1" customWidth="1"/>
    <col min="2571" max="2571" width="13" style="787" bestFit="1" customWidth="1"/>
    <col min="2572" max="2572" width="20.1640625" style="787" bestFit="1" customWidth="1"/>
    <col min="2573" max="2816" width="13.33203125" style="787"/>
    <col min="2817" max="2817" width="18.5" style="787" bestFit="1" customWidth="1"/>
    <col min="2818" max="2818" width="12.5" style="787" bestFit="1" customWidth="1"/>
    <col min="2819" max="2819" width="34.6640625" style="787" customWidth="1"/>
    <col min="2820" max="2820" width="7" style="787" customWidth="1"/>
    <col min="2821" max="2821" width="17" style="787" customWidth="1"/>
    <col min="2822" max="2822" width="14" style="787" customWidth="1"/>
    <col min="2823" max="2823" width="23.83203125" style="787" bestFit="1" customWidth="1"/>
    <col min="2824" max="2824" width="8" style="787" bestFit="1" customWidth="1"/>
    <col min="2825" max="2825" width="11.6640625" style="787" bestFit="1" customWidth="1"/>
    <col min="2826" max="2826" width="11.83203125" style="787" bestFit="1" customWidth="1"/>
    <col min="2827" max="2827" width="13" style="787" bestFit="1" customWidth="1"/>
    <col min="2828" max="2828" width="20.1640625" style="787" bestFit="1" customWidth="1"/>
    <col min="2829" max="3072" width="13.33203125" style="787"/>
    <col min="3073" max="3073" width="18.5" style="787" bestFit="1" customWidth="1"/>
    <col min="3074" max="3074" width="12.5" style="787" bestFit="1" customWidth="1"/>
    <col min="3075" max="3075" width="34.6640625" style="787" customWidth="1"/>
    <col min="3076" max="3076" width="7" style="787" customWidth="1"/>
    <col min="3077" max="3077" width="17" style="787" customWidth="1"/>
    <col min="3078" max="3078" width="14" style="787" customWidth="1"/>
    <col min="3079" max="3079" width="23.83203125" style="787" bestFit="1" customWidth="1"/>
    <col min="3080" max="3080" width="8" style="787" bestFit="1" customWidth="1"/>
    <col min="3081" max="3081" width="11.6640625" style="787" bestFit="1" customWidth="1"/>
    <col min="3082" max="3082" width="11.83203125" style="787" bestFit="1" customWidth="1"/>
    <col min="3083" max="3083" width="13" style="787" bestFit="1" customWidth="1"/>
    <col min="3084" max="3084" width="20.1640625" style="787" bestFit="1" customWidth="1"/>
    <col min="3085" max="3328" width="13.33203125" style="787"/>
    <col min="3329" max="3329" width="18.5" style="787" bestFit="1" customWidth="1"/>
    <col min="3330" max="3330" width="12.5" style="787" bestFit="1" customWidth="1"/>
    <col min="3331" max="3331" width="34.6640625" style="787" customWidth="1"/>
    <col min="3332" max="3332" width="7" style="787" customWidth="1"/>
    <col min="3333" max="3333" width="17" style="787" customWidth="1"/>
    <col min="3334" max="3334" width="14" style="787" customWidth="1"/>
    <col min="3335" max="3335" width="23.83203125" style="787" bestFit="1" customWidth="1"/>
    <col min="3336" max="3336" width="8" style="787" bestFit="1" customWidth="1"/>
    <col min="3337" max="3337" width="11.6640625" style="787" bestFit="1" customWidth="1"/>
    <col min="3338" max="3338" width="11.83203125" style="787" bestFit="1" customWidth="1"/>
    <col min="3339" max="3339" width="13" style="787" bestFit="1" customWidth="1"/>
    <col min="3340" max="3340" width="20.1640625" style="787" bestFit="1" customWidth="1"/>
    <col min="3341" max="3584" width="13.33203125" style="787"/>
    <col min="3585" max="3585" width="18.5" style="787" bestFit="1" customWidth="1"/>
    <col min="3586" max="3586" width="12.5" style="787" bestFit="1" customWidth="1"/>
    <col min="3587" max="3587" width="34.6640625" style="787" customWidth="1"/>
    <col min="3588" max="3588" width="7" style="787" customWidth="1"/>
    <col min="3589" max="3589" width="17" style="787" customWidth="1"/>
    <col min="3590" max="3590" width="14" style="787" customWidth="1"/>
    <col min="3591" max="3591" width="23.83203125" style="787" bestFit="1" customWidth="1"/>
    <col min="3592" max="3592" width="8" style="787" bestFit="1" customWidth="1"/>
    <col min="3593" max="3593" width="11.6640625" style="787" bestFit="1" customWidth="1"/>
    <col min="3594" max="3594" width="11.83203125" style="787" bestFit="1" customWidth="1"/>
    <col min="3595" max="3595" width="13" style="787" bestFit="1" customWidth="1"/>
    <col min="3596" max="3596" width="20.1640625" style="787" bestFit="1" customWidth="1"/>
    <col min="3597" max="3840" width="13.33203125" style="787"/>
    <col min="3841" max="3841" width="18.5" style="787" bestFit="1" customWidth="1"/>
    <col min="3842" max="3842" width="12.5" style="787" bestFit="1" customWidth="1"/>
    <col min="3843" max="3843" width="34.6640625" style="787" customWidth="1"/>
    <col min="3844" max="3844" width="7" style="787" customWidth="1"/>
    <col min="3845" max="3845" width="17" style="787" customWidth="1"/>
    <col min="3846" max="3846" width="14" style="787" customWidth="1"/>
    <col min="3847" max="3847" width="23.83203125" style="787" bestFit="1" customWidth="1"/>
    <col min="3848" max="3848" width="8" style="787" bestFit="1" customWidth="1"/>
    <col min="3849" max="3849" width="11.6640625" style="787" bestFit="1" customWidth="1"/>
    <col min="3850" max="3850" width="11.83203125" style="787" bestFit="1" customWidth="1"/>
    <col min="3851" max="3851" width="13" style="787" bestFit="1" customWidth="1"/>
    <col min="3852" max="3852" width="20.1640625" style="787" bestFit="1" customWidth="1"/>
    <col min="3853" max="4096" width="13.33203125" style="787"/>
    <col min="4097" max="4097" width="18.5" style="787" bestFit="1" customWidth="1"/>
    <col min="4098" max="4098" width="12.5" style="787" bestFit="1" customWidth="1"/>
    <col min="4099" max="4099" width="34.6640625" style="787" customWidth="1"/>
    <col min="4100" max="4100" width="7" style="787" customWidth="1"/>
    <col min="4101" max="4101" width="17" style="787" customWidth="1"/>
    <col min="4102" max="4102" width="14" style="787" customWidth="1"/>
    <col min="4103" max="4103" width="23.83203125" style="787" bestFit="1" customWidth="1"/>
    <col min="4104" max="4104" width="8" style="787" bestFit="1" customWidth="1"/>
    <col min="4105" max="4105" width="11.6640625" style="787" bestFit="1" customWidth="1"/>
    <col min="4106" max="4106" width="11.83203125" style="787" bestFit="1" customWidth="1"/>
    <col min="4107" max="4107" width="13" style="787" bestFit="1" customWidth="1"/>
    <col min="4108" max="4108" width="20.1640625" style="787" bestFit="1" customWidth="1"/>
    <col min="4109" max="4352" width="13.33203125" style="787"/>
    <col min="4353" max="4353" width="18.5" style="787" bestFit="1" customWidth="1"/>
    <col min="4354" max="4354" width="12.5" style="787" bestFit="1" customWidth="1"/>
    <col min="4355" max="4355" width="34.6640625" style="787" customWidth="1"/>
    <col min="4356" max="4356" width="7" style="787" customWidth="1"/>
    <col min="4357" max="4357" width="17" style="787" customWidth="1"/>
    <col min="4358" max="4358" width="14" style="787" customWidth="1"/>
    <col min="4359" max="4359" width="23.83203125" style="787" bestFit="1" customWidth="1"/>
    <col min="4360" max="4360" width="8" style="787" bestFit="1" customWidth="1"/>
    <col min="4361" max="4361" width="11.6640625" style="787" bestFit="1" customWidth="1"/>
    <col min="4362" max="4362" width="11.83203125" style="787" bestFit="1" customWidth="1"/>
    <col min="4363" max="4363" width="13" style="787" bestFit="1" customWidth="1"/>
    <col min="4364" max="4364" width="20.1640625" style="787" bestFit="1" customWidth="1"/>
    <col min="4365" max="4608" width="13.33203125" style="787"/>
    <col min="4609" max="4609" width="18.5" style="787" bestFit="1" customWidth="1"/>
    <col min="4610" max="4610" width="12.5" style="787" bestFit="1" customWidth="1"/>
    <col min="4611" max="4611" width="34.6640625" style="787" customWidth="1"/>
    <col min="4612" max="4612" width="7" style="787" customWidth="1"/>
    <col min="4613" max="4613" width="17" style="787" customWidth="1"/>
    <col min="4614" max="4614" width="14" style="787" customWidth="1"/>
    <col min="4615" max="4615" width="23.83203125" style="787" bestFit="1" customWidth="1"/>
    <col min="4616" max="4616" width="8" style="787" bestFit="1" customWidth="1"/>
    <col min="4617" max="4617" width="11.6640625" style="787" bestFit="1" customWidth="1"/>
    <col min="4618" max="4618" width="11.83203125" style="787" bestFit="1" customWidth="1"/>
    <col min="4619" max="4619" width="13" style="787" bestFit="1" customWidth="1"/>
    <col min="4620" max="4620" width="20.1640625" style="787" bestFit="1" customWidth="1"/>
    <col min="4621" max="4864" width="13.33203125" style="787"/>
    <col min="4865" max="4865" width="18.5" style="787" bestFit="1" customWidth="1"/>
    <col min="4866" max="4866" width="12.5" style="787" bestFit="1" customWidth="1"/>
    <col min="4867" max="4867" width="34.6640625" style="787" customWidth="1"/>
    <col min="4868" max="4868" width="7" style="787" customWidth="1"/>
    <col min="4869" max="4869" width="17" style="787" customWidth="1"/>
    <col min="4870" max="4870" width="14" style="787" customWidth="1"/>
    <col min="4871" max="4871" width="23.83203125" style="787" bestFit="1" customWidth="1"/>
    <col min="4872" max="4872" width="8" style="787" bestFit="1" customWidth="1"/>
    <col min="4873" max="4873" width="11.6640625" style="787" bestFit="1" customWidth="1"/>
    <col min="4874" max="4874" width="11.83203125" style="787" bestFit="1" customWidth="1"/>
    <col min="4875" max="4875" width="13" style="787" bestFit="1" customWidth="1"/>
    <col min="4876" max="4876" width="20.1640625" style="787" bestFit="1" customWidth="1"/>
    <col min="4877" max="5120" width="13.33203125" style="787"/>
    <col min="5121" max="5121" width="18.5" style="787" bestFit="1" customWidth="1"/>
    <col min="5122" max="5122" width="12.5" style="787" bestFit="1" customWidth="1"/>
    <col min="5123" max="5123" width="34.6640625" style="787" customWidth="1"/>
    <col min="5124" max="5124" width="7" style="787" customWidth="1"/>
    <col min="5125" max="5125" width="17" style="787" customWidth="1"/>
    <col min="5126" max="5126" width="14" style="787" customWidth="1"/>
    <col min="5127" max="5127" width="23.83203125" style="787" bestFit="1" customWidth="1"/>
    <col min="5128" max="5128" width="8" style="787" bestFit="1" customWidth="1"/>
    <col min="5129" max="5129" width="11.6640625" style="787" bestFit="1" customWidth="1"/>
    <col min="5130" max="5130" width="11.83203125" style="787" bestFit="1" customWidth="1"/>
    <col min="5131" max="5131" width="13" style="787" bestFit="1" customWidth="1"/>
    <col min="5132" max="5132" width="20.1640625" style="787" bestFit="1" customWidth="1"/>
    <col min="5133" max="5376" width="13.33203125" style="787"/>
    <col min="5377" max="5377" width="18.5" style="787" bestFit="1" customWidth="1"/>
    <col min="5378" max="5378" width="12.5" style="787" bestFit="1" customWidth="1"/>
    <col min="5379" max="5379" width="34.6640625" style="787" customWidth="1"/>
    <col min="5380" max="5380" width="7" style="787" customWidth="1"/>
    <col min="5381" max="5381" width="17" style="787" customWidth="1"/>
    <col min="5382" max="5382" width="14" style="787" customWidth="1"/>
    <col min="5383" max="5383" width="23.83203125" style="787" bestFit="1" customWidth="1"/>
    <col min="5384" max="5384" width="8" style="787" bestFit="1" customWidth="1"/>
    <col min="5385" max="5385" width="11.6640625" style="787" bestFit="1" customWidth="1"/>
    <col min="5386" max="5386" width="11.83203125" style="787" bestFit="1" customWidth="1"/>
    <col min="5387" max="5387" width="13" style="787" bestFit="1" customWidth="1"/>
    <col min="5388" max="5388" width="20.1640625" style="787" bestFit="1" customWidth="1"/>
    <col min="5389" max="5632" width="13.33203125" style="787"/>
    <col min="5633" max="5633" width="18.5" style="787" bestFit="1" customWidth="1"/>
    <col min="5634" max="5634" width="12.5" style="787" bestFit="1" customWidth="1"/>
    <col min="5635" max="5635" width="34.6640625" style="787" customWidth="1"/>
    <col min="5636" max="5636" width="7" style="787" customWidth="1"/>
    <col min="5637" max="5637" width="17" style="787" customWidth="1"/>
    <col min="5638" max="5638" width="14" style="787" customWidth="1"/>
    <col min="5639" max="5639" width="23.83203125" style="787" bestFit="1" customWidth="1"/>
    <col min="5640" max="5640" width="8" style="787" bestFit="1" customWidth="1"/>
    <col min="5641" max="5641" width="11.6640625" style="787" bestFit="1" customWidth="1"/>
    <col min="5642" max="5642" width="11.83203125" style="787" bestFit="1" customWidth="1"/>
    <col min="5643" max="5643" width="13" style="787" bestFit="1" customWidth="1"/>
    <col min="5644" max="5644" width="20.1640625" style="787" bestFit="1" customWidth="1"/>
    <col min="5645" max="5888" width="13.33203125" style="787"/>
    <col min="5889" max="5889" width="18.5" style="787" bestFit="1" customWidth="1"/>
    <col min="5890" max="5890" width="12.5" style="787" bestFit="1" customWidth="1"/>
    <col min="5891" max="5891" width="34.6640625" style="787" customWidth="1"/>
    <col min="5892" max="5892" width="7" style="787" customWidth="1"/>
    <col min="5893" max="5893" width="17" style="787" customWidth="1"/>
    <col min="5894" max="5894" width="14" style="787" customWidth="1"/>
    <col min="5895" max="5895" width="23.83203125" style="787" bestFit="1" customWidth="1"/>
    <col min="5896" max="5896" width="8" style="787" bestFit="1" customWidth="1"/>
    <col min="5897" max="5897" width="11.6640625" style="787" bestFit="1" customWidth="1"/>
    <col min="5898" max="5898" width="11.83203125" style="787" bestFit="1" customWidth="1"/>
    <col min="5899" max="5899" width="13" style="787" bestFit="1" customWidth="1"/>
    <col min="5900" max="5900" width="20.1640625" style="787" bestFit="1" customWidth="1"/>
    <col min="5901" max="6144" width="13.33203125" style="787"/>
    <col min="6145" max="6145" width="18.5" style="787" bestFit="1" customWidth="1"/>
    <col min="6146" max="6146" width="12.5" style="787" bestFit="1" customWidth="1"/>
    <col min="6147" max="6147" width="34.6640625" style="787" customWidth="1"/>
    <col min="6148" max="6148" width="7" style="787" customWidth="1"/>
    <col min="6149" max="6149" width="17" style="787" customWidth="1"/>
    <col min="6150" max="6150" width="14" style="787" customWidth="1"/>
    <col min="6151" max="6151" width="23.83203125" style="787" bestFit="1" customWidth="1"/>
    <col min="6152" max="6152" width="8" style="787" bestFit="1" customWidth="1"/>
    <col min="6153" max="6153" width="11.6640625" style="787" bestFit="1" customWidth="1"/>
    <col min="6154" max="6154" width="11.83203125" style="787" bestFit="1" customWidth="1"/>
    <col min="6155" max="6155" width="13" style="787" bestFit="1" customWidth="1"/>
    <col min="6156" max="6156" width="20.1640625" style="787" bestFit="1" customWidth="1"/>
    <col min="6157" max="6400" width="13.33203125" style="787"/>
    <col min="6401" max="6401" width="18.5" style="787" bestFit="1" customWidth="1"/>
    <col min="6402" max="6402" width="12.5" style="787" bestFit="1" customWidth="1"/>
    <col min="6403" max="6403" width="34.6640625" style="787" customWidth="1"/>
    <col min="6404" max="6404" width="7" style="787" customWidth="1"/>
    <col min="6405" max="6405" width="17" style="787" customWidth="1"/>
    <col min="6406" max="6406" width="14" style="787" customWidth="1"/>
    <col min="6407" max="6407" width="23.83203125" style="787" bestFit="1" customWidth="1"/>
    <col min="6408" max="6408" width="8" style="787" bestFit="1" customWidth="1"/>
    <col min="6409" max="6409" width="11.6640625" style="787" bestFit="1" customWidth="1"/>
    <col min="6410" max="6410" width="11.83203125" style="787" bestFit="1" customWidth="1"/>
    <col min="6411" max="6411" width="13" style="787" bestFit="1" customWidth="1"/>
    <col min="6412" max="6412" width="20.1640625" style="787" bestFit="1" customWidth="1"/>
    <col min="6413" max="6656" width="13.33203125" style="787"/>
    <col min="6657" max="6657" width="18.5" style="787" bestFit="1" customWidth="1"/>
    <col min="6658" max="6658" width="12.5" style="787" bestFit="1" customWidth="1"/>
    <col min="6659" max="6659" width="34.6640625" style="787" customWidth="1"/>
    <col min="6660" max="6660" width="7" style="787" customWidth="1"/>
    <col min="6661" max="6661" width="17" style="787" customWidth="1"/>
    <col min="6662" max="6662" width="14" style="787" customWidth="1"/>
    <col min="6663" max="6663" width="23.83203125" style="787" bestFit="1" customWidth="1"/>
    <col min="6664" max="6664" width="8" style="787" bestFit="1" customWidth="1"/>
    <col min="6665" max="6665" width="11.6640625" style="787" bestFit="1" customWidth="1"/>
    <col min="6666" max="6666" width="11.83203125" style="787" bestFit="1" customWidth="1"/>
    <col min="6667" max="6667" width="13" style="787" bestFit="1" customWidth="1"/>
    <col min="6668" max="6668" width="20.1640625" style="787" bestFit="1" customWidth="1"/>
    <col min="6669" max="6912" width="13.33203125" style="787"/>
    <col min="6913" max="6913" width="18.5" style="787" bestFit="1" customWidth="1"/>
    <col min="6914" max="6914" width="12.5" style="787" bestFit="1" customWidth="1"/>
    <col min="6915" max="6915" width="34.6640625" style="787" customWidth="1"/>
    <col min="6916" max="6916" width="7" style="787" customWidth="1"/>
    <col min="6917" max="6917" width="17" style="787" customWidth="1"/>
    <col min="6918" max="6918" width="14" style="787" customWidth="1"/>
    <col min="6919" max="6919" width="23.83203125" style="787" bestFit="1" customWidth="1"/>
    <col min="6920" max="6920" width="8" style="787" bestFit="1" customWidth="1"/>
    <col min="6921" max="6921" width="11.6640625" style="787" bestFit="1" customWidth="1"/>
    <col min="6922" max="6922" width="11.83203125" style="787" bestFit="1" customWidth="1"/>
    <col min="6923" max="6923" width="13" style="787" bestFit="1" customWidth="1"/>
    <col min="6924" max="6924" width="20.1640625" style="787" bestFit="1" customWidth="1"/>
    <col min="6925" max="7168" width="13.33203125" style="787"/>
    <col min="7169" max="7169" width="18.5" style="787" bestFit="1" customWidth="1"/>
    <col min="7170" max="7170" width="12.5" style="787" bestFit="1" customWidth="1"/>
    <col min="7171" max="7171" width="34.6640625" style="787" customWidth="1"/>
    <col min="7172" max="7172" width="7" style="787" customWidth="1"/>
    <col min="7173" max="7173" width="17" style="787" customWidth="1"/>
    <col min="7174" max="7174" width="14" style="787" customWidth="1"/>
    <col min="7175" max="7175" width="23.83203125" style="787" bestFit="1" customWidth="1"/>
    <col min="7176" max="7176" width="8" style="787" bestFit="1" customWidth="1"/>
    <col min="7177" max="7177" width="11.6640625" style="787" bestFit="1" customWidth="1"/>
    <col min="7178" max="7178" width="11.83203125" style="787" bestFit="1" customWidth="1"/>
    <col min="7179" max="7179" width="13" style="787" bestFit="1" customWidth="1"/>
    <col min="7180" max="7180" width="20.1640625" style="787" bestFit="1" customWidth="1"/>
    <col min="7181" max="7424" width="13.33203125" style="787"/>
    <col min="7425" max="7425" width="18.5" style="787" bestFit="1" customWidth="1"/>
    <col min="7426" max="7426" width="12.5" style="787" bestFit="1" customWidth="1"/>
    <col min="7427" max="7427" width="34.6640625" style="787" customWidth="1"/>
    <col min="7428" max="7428" width="7" style="787" customWidth="1"/>
    <col min="7429" max="7429" width="17" style="787" customWidth="1"/>
    <col min="7430" max="7430" width="14" style="787" customWidth="1"/>
    <col min="7431" max="7431" width="23.83203125" style="787" bestFit="1" customWidth="1"/>
    <col min="7432" max="7432" width="8" style="787" bestFit="1" customWidth="1"/>
    <col min="7433" max="7433" width="11.6640625" style="787" bestFit="1" customWidth="1"/>
    <col min="7434" max="7434" width="11.83203125" style="787" bestFit="1" customWidth="1"/>
    <col min="7435" max="7435" width="13" style="787" bestFit="1" customWidth="1"/>
    <col min="7436" max="7436" width="20.1640625" style="787" bestFit="1" customWidth="1"/>
    <col min="7437" max="7680" width="13.33203125" style="787"/>
    <col min="7681" max="7681" width="18.5" style="787" bestFit="1" customWidth="1"/>
    <col min="7682" max="7682" width="12.5" style="787" bestFit="1" customWidth="1"/>
    <col min="7683" max="7683" width="34.6640625" style="787" customWidth="1"/>
    <col min="7684" max="7684" width="7" style="787" customWidth="1"/>
    <col min="7685" max="7685" width="17" style="787" customWidth="1"/>
    <col min="7686" max="7686" width="14" style="787" customWidth="1"/>
    <col min="7687" max="7687" width="23.83203125" style="787" bestFit="1" customWidth="1"/>
    <col min="7688" max="7688" width="8" style="787" bestFit="1" customWidth="1"/>
    <col min="7689" max="7689" width="11.6640625" style="787" bestFit="1" customWidth="1"/>
    <col min="7690" max="7690" width="11.83203125" style="787" bestFit="1" customWidth="1"/>
    <col min="7691" max="7691" width="13" style="787" bestFit="1" customWidth="1"/>
    <col min="7692" max="7692" width="20.1640625" style="787" bestFit="1" customWidth="1"/>
    <col min="7693" max="7936" width="13.33203125" style="787"/>
    <col min="7937" max="7937" width="18.5" style="787" bestFit="1" customWidth="1"/>
    <col min="7938" max="7938" width="12.5" style="787" bestFit="1" customWidth="1"/>
    <col min="7939" max="7939" width="34.6640625" style="787" customWidth="1"/>
    <col min="7940" max="7940" width="7" style="787" customWidth="1"/>
    <col min="7941" max="7941" width="17" style="787" customWidth="1"/>
    <col min="7942" max="7942" width="14" style="787" customWidth="1"/>
    <col min="7943" max="7943" width="23.83203125" style="787" bestFit="1" customWidth="1"/>
    <col min="7944" max="7944" width="8" style="787" bestFit="1" customWidth="1"/>
    <col min="7945" max="7945" width="11.6640625" style="787" bestFit="1" customWidth="1"/>
    <col min="7946" max="7946" width="11.83203125" style="787" bestFit="1" customWidth="1"/>
    <col min="7947" max="7947" width="13" style="787" bestFit="1" customWidth="1"/>
    <col min="7948" max="7948" width="20.1640625" style="787" bestFit="1" customWidth="1"/>
    <col min="7949" max="8192" width="13.33203125" style="787"/>
    <col min="8193" max="8193" width="18.5" style="787" bestFit="1" customWidth="1"/>
    <col min="8194" max="8194" width="12.5" style="787" bestFit="1" customWidth="1"/>
    <col min="8195" max="8195" width="34.6640625" style="787" customWidth="1"/>
    <col min="8196" max="8196" width="7" style="787" customWidth="1"/>
    <col min="8197" max="8197" width="17" style="787" customWidth="1"/>
    <col min="8198" max="8198" width="14" style="787" customWidth="1"/>
    <col min="8199" max="8199" width="23.83203125" style="787" bestFit="1" customWidth="1"/>
    <col min="8200" max="8200" width="8" style="787" bestFit="1" customWidth="1"/>
    <col min="8201" max="8201" width="11.6640625" style="787" bestFit="1" customWidth="1"/>
    <col min="8202" max="8202" width="11.83203125" style="787" bestFit="1" customWidth="1"/>
    <col min="8203" max="8203" width="13" style="787" bestFit="1" customWidth="1"/>
    <col min="8204" max="8204" width="20.1640625" style="787" bestFit="1" customWidth="1"/>
    <col min="8205" max="8448" width="13.33203125" style="787"/>
    <col min="8449" max="8449" width="18.5" style="787" bestFit="1" customWidth="1"/>
    <col min="8450" max="8450" width="12.5" style="787" bestFit="1" customWidth="1"/>
    <col min="8451" max="8451" width="34.6640625" style="787" customWidth="1"/>
    <col min="8452" max="8452" width="7" style="787" customWidth="1"/>
    <col min="8453" max="8453" width="17" style="787" customWidth="1"/>
    <col min="8454" max="8454" width="14" style="787" customWidth="1"/>
    <col min="8455" max="8455" width="23.83203125" style="787" bestFit="1" customWidth="1"/>
    <col min="8456" max="8456" width="8" style="787" bestFit="1" customWidth="1"/>
    <col min="8457" max="8457" width="11.6640625" style="787" bestFit="1" customWidth="1"/>
    <col min="8458" max="8458" width="11.83203125" style="787" bestFit="1" customWidth="1"/>
    <col min="8459" max="8459" width="13" style="787" bestFit="1" customWidth="1"/>
    <col min="8460" max="8460" width="20.1640625" style="787" bestFit="1" customWidth="1"/>
    <col min="8461" max="8704" width="13.33203125" style="787"/>
    <col min="8705" max="8705" width="18.5" style="787" bestFit="1" customWidth="1"/>
    <col min="8706" max="8706" width="12.5" style="787" bestFit="1" customWidth="1"/>
    <col min="8707" max="8707" width="34.6640625" style="787" customWidth="1"/>
    <col min="8708" max="8708" width="7" style="787" customWidth="1"/>
    <col min="8709" max="8709" width="17" style="787" customWidth="1"/>
    <col min="8710" max="8710" width="14" style="787" customWidth="1"/>
    <col min="8711" max="8711" width="23.83203125" style="787" bestFit="1" customWidth="1"/>
    <col min="8712" max="8712" width="8" style="787" bestFit="1" customWidth="1"/>
    <col min="8713" max="8713" width="11.6640625" style="787" bestFit="1" customWidth="1"/>
    <col min="8714" max="8714" width="11.83203125" style="787" bestFit="1" customWidth="1"/>
    <col min="8715" max="8715" width="13" style="787" bestFit="1" customWidth="1"/>
    <col min="8716" max="8716" width="20.1640625" style="787" bestFit="1" customWidth="1"/>
    <col min="8717" max="8960" width="13.33203125" style="787"/>
    <col min="8961" max="8961" width="18.5" style="787" bestFit="1" customWidth="1"/>
    <col min="8962" max="8962" width="12.5" style="787" bestFit="1" customWidth="1"/>
    <col min="8963" max="8963" width="34.6640625" style="787" customWidth="1"/>
    <col min="8964" max="8964" width="7" style="787" customWidth="1"/>
    <col min="8965" max="8965" width="17" style="787" customWidth="1"/>
    <col min="8966" max="8966" width="14" style="787" customWidth="1"/>
    <col min="8967" max="8967" width="23.83203125" style="787" bestFit="1" customWidth="1"/>
    <col min="8968" max="8968" width="8" style="787" bestFit="1" customWidth="1"/>
    <col min="8969" max="8969" width="11.6640625" style="787" bestFit="1" customWidth="1"/>
    <col min="8970" max="8970" width="11.83203125" style="787" bestFit="1" customWidth="1"/>
    <col min="8971" max="8971" width="13" style="787" bestFit="1" customWidth="1"/>
    <col min="8972" max="8972" width="20.1640625" style="787" bestFit="1" customWidth="1"/>
    <col min="8973" max="9216" width="13.33203125" style="787"/>
    <col min="9217" max="9217" width="18.5" style="787" bestFit="1" customWidth="1"/>
    <col min="9218" max="9218" width="12.5" style="787" bestFit="1" customWidth="1"/>
    <col min="9219" max="9219" width="34.6640625" style="787" customWidth="1"/>
    <col min="9220" max="9220" width="7" style="787" customWidth="1"/>
    <col min="9221" max="9221" width="17" style="787" customWidth="1"/>
    <col min="9222" max="9222" width="14" style="787" customWidth="1"/>
    <col min="9223" max="9223" width="23.83203125" style="787" bestFit="1" customWidth="1"/>
    <col min="9224" max="9224" width="8" style="787" bestFit="1" customWidth="1"/>
    <col min="9225" max="9225" width="11.6640625" style="787" bestFit="1" customWidth="1"/>
    <col min="9226" max="9226" width="11.83203125" style="787" bestFit="1" customWidth="1"/>
    <col min="9227" max="9227" width="13" style="787" bestFit="1" customWidth="1"/>
    <col min="9228" max="9228" width="20.1640625" style="787" bestFit="1" customWidth="1"/>
    <col min="9229" max="9472" width="13.33203125" style="787"/>
    <col min="9473" max="9473" width="18.5" style="787" bestFit="1" customWidth="1"/>
    <col min="9474" max="9474" width="12.5" style="787" bestFit="1" customWidth="1"/>
    <col min="9475" max="9475" width="34.6640625" style="787" customWidth="1"/>
    <col min="9476" max="9476" width="7" style="787" customWidth="1"/>
    <col min="9477" max="9477" width="17" style="787" customWidth="1"/>
    <col min="9478" max="9478" width="14" style="787" customWidth="1"/>
    <col min="9479" max="9479" width="23.83203125" style="787" bestFit="1" customWidth="1"/>
    <col min="9480" max="9480" width="8" style="787" bestFit="1" customWidth="1"/>
    <col min="9481" max="9481" width="11.6640625" style="787" bestFit="1" customWidth="1"/>
    <col min="9482" max="9482" width="11.83203125" style="787" bestFit="1" customWidth="1"/>
    <col min="9483" max="9483" width="13" style="787" bestFit="1" customWidth="1"/>
    <col min="9484" max="9484" width="20.1640625" style="787" bestFit="1" customWidth="1"/>
    <col min="9485" max="9728" width="13.33203125" style="787"/>
    <col min="9729" max="9729" width="18.5" style="787" bestFit="1" customWidth="1"/>
    <col min="9730" max="9730" width="12.5" style="787" bestFit="1" customWidth="1"/>
    <col min="9731" max="9731" width="34.6640625" style="787" customWidth="1"/>
    <col min="9732" max="9732" width="7" style="787" customWidth="1"/>
    <col min="9733" max="9733" width="17" style="787" customWidth="1"/>
    <col min="9734" max="9734" width="14" style="787" customWidth="1"/>
    <col min="9735" max="9735" width="23.83203125" style="787" bestFit="1" customWidth="1"/>
    <col min="9736" max="9736" width="8" style="787" bestFit="1" customWidth="1"/>
    <col min="9737" max="9737" width="11.6640625" style="787" bestFit="1" customWidth="1"/>
    <col min="9738" max="9738" width="11.83203125" style="787" bestFit="1" customWidth="1"/>
    <col min="9739" max="9739" width="13" style="787" bestFit="1" customWidth="1"/>
    <col min="9740" max="9740" width="20.1640625" style="787" bestFit="1" customWidth="1"/>
    <col min="9741" max="9984" width="13.33203125" style="787"/>
    <col min="9985" max="9985" width="18.5" style="787" bestFit="1" customWidth="1"/>
    <col min="9986" max="9986" width="12.5" style="787" bestFit="1" customWidth="1"/>
    <col min="9987" max="9987" width="34.6640625" style="787" customWidth="1"/>
    <col min="9988" max="9988" width="7" style="787" customWidth="1"/>
    <col min="9989" max="9989" width="17" style="787" customWidth="1"/>
    <col min="9990" max="9990" width="14" style="787" customWidth="1"/>
    <col min="9991" max="9991" width="23.83203125" style="787" bestFit="1" customWidth="1"/>
    <col min="9992" max="9992" width="8" style="787" bestFit="1" customWidth="1"/>
    <col min="9993" max="9993" width="11.6640625" style="787" bestFit="1" customWidth="1"/>
    <col min="9994" max="9994" width="11.83203125" style="787" bestFit="1" customWidth="1"/>
    <col min="9995" max="9995" width="13" style="787" bestFit="1" customWidth="1"/>
    <col min="9996" max="9996" width="20.1640625" style="787" bestFit="1" customWidth="1"/>
    <col min="9997" max="10240" width="13.33203125" style="787"/>
    <col min="10241" max="10241" width="18.5" style="787" bestFit="1" customWidth="1"/>
    <col min="10242" max="10242" width="12.5" style="787" bestFit="1" customWidth="1"/>
    <col min="10243" max="10243" width="34.6640625" style="787" customWidth="1"/>
    <col min="10244" max="10244" width="7" style="787" customWidth="1"/>
    <col min="10245" max="10245" width="17" style="787" customWidth="1"/>
    <col min="10246" max="10246" width="14" style="787" customWidth="1"/>
    <col min="10247" max="10247" width="23.83203125" style="787" bestFit="1" customWidth="1"/>
    <col min="10248" max="10248" width="8" style="787" bestFit="1" customWidth="1"/>
    <col min="10249" max="10249" width="11.6640625" style="787" bestFit="1" customWidth="1"/>
    <col min="10250" max="10250" width="11.83203125" style="787" bestFit="1" customWidth="1"/>
    <col min="10251" max="10251" width="13" style="787" bestFit="1" customWidth="1"/>
    <col min="10252" max="10252" width="20.1640625" style="787" bestFit="1" customWidth="1"/>
    <col min="10253" max="10496" width="13.33203125" style="787"/>
    <col min="10497" max="10497" width="18.5" style="787" bestFit="1" customWidth="1"/>
    <col min="10498" max="10498" width="12.5" style="787" bestFit="1" customWidth="1"/>
    <col min="10499" max="10499" width="34.6640625" style="787" customWidth="1"/>
    <col min="10500" max="10500" width="7" style="787" customWidth="1"/>
    <col min="10501" max="10501" width="17" style="787" customWidth="1"/>
    <col min="10502" max="10502" width="14" style="787" customWidth="1"/>
    <col min="10503" max="10503" width="23.83203125" style="787" bestFit="1" customWidth="1"/>
    <col min="10504" max="10504" width="8" style="787" bestFit="1" customWidth="1"/>
    <col min="10505" max="10505" width="11.6640625" style="787" bestFit="1" customWidth="1"/>
    <col min="10506" max="10506" width="11.83203125" style="787" bestFit="1" customWidth="1"/>
    <col min="10507" max="10507" width="13" style="787" bestFit="1" customWidth="1"/>
    <col min="10508" max="10508" width="20.1640625" style="787" bestFit="1" customWidth="1"/>
    <col min="10509" max="10752" width="13.33203125" style="787"/>
    <col min="10753" max="10753" width="18.5" style="787" bestFit="1" customWidth="1"/>
    <col min="10754" max="10754" width="12.5" style="787" bestFit="1" customWidth="1"/>
    <col min="10755" max="10755" width="34.6640625" style="787" customWidth="1"/>
    <col min="10756" max="10756" width="7" style="787" customWidth="1"/>
    <col min="10757" max="10757" width="17" style="787" customWidth="1"/>
    <col min="10758" max="10758" width="14" style="787" customWidth="1"/>
    <col min="10759" max="10759" width="23.83203125" style="787" bestFit="1" customWidth="1"/>
    <col min="10760" max="10760" width="8" style="787" bestFit="1" customWidth="1"/>
    <col min="10761" max="10761" width="11.6640625" style="787" bestFit="1" customWidth="1"/>
    <col min="10762" max="10762" width="11.83203125" style="787" bestFit="1" customWidth="1"/>
    <col min="10763" max="10763" width="13" style="787" bestFit="1" customWidth="1"/>
    <col min="10764" max="10764" width="20.1640625" style="787" bestFit="1" customWidth="1"/>
    <col min="10765" max="11008" width="13.33203125" style="787"/>
    <col min="11009" max="11009" width="18.5" style="787" bestFit="1" customWidth="1"/>
    <col min="11010" max="11010" width="12.5" style="787" bestFit="1" customWidth="1"/>
    <col min="11011" max="11011" width="34.6640625" style="787" customWidth="1"/>
    <col min="11012" max="11012" width="7" style="787" customWidth="1"/>
    <col min="11013" max="11013" width="17" style="787" customWidth="1"/>
    <col min="11014" max="11014" width="14" style="787" customWidth="1"/>
    <col min="11015" max="11015" width="23.83203125" style="787" bestFit="1" customWidth="1"/>
    <col min="11016" max="11016" width="8" style="787" bestFit="1" customWidth="1"/>
    <col min="11017" max="11017" width="11.6640625" style="787" bestFit="1" customWidth="1"/>
    <col min="11018" max="11018" width="11.83203125" style="787" bestFit="1" customWidth="1"/>
    <col min="11019" max="11019" width="13" style="787" bestFit="1" customWidth="1"/>
    <col min="11020" max="11020" width="20.1640625" style="787" bestFit="1" customWidth="1"/>
    <col min="11021" max="11264" width="13.33203125" style="787"/>
    <col min="11265" max="11265" width="18.5" style="787" bestFit="1" customWidth="1"/>
    <col min="11266" max="11266" width="12.5" style="787" bestFit="1" customWidth="1"/>
    <col min="11267" max="11267" width="34.6640625" style="787" customWidth="1"/>
    <col min="11268" max="11268" width="7" style="787" customWidth="1"/>
    <col min="11269" max="11269" width="17" style="787" customWidth="1"/>
    <col min="11270" max="11270" width="14" style="787" customWidth="1"/>
    <col min="11271" max="11271" width="23.83203125" style="787" bestFit="1" customWidth="1"/>
    <col min="11272" max="11272" width="8" style="787" bestFit="1" customWidth="1"/>
    <col min="11273" max="11273" width="11.6640625" style="787" bestFit="1" customWidth="1"/>
    <col min="11274" max="11274" width="11.83203125" style="787" bestFit="1" customWidth="1"/>
    <col min="11275" max="11275" width="13" style="787" bestFit="1" customWidth="1"/>
    <col min="11276" max="11276" width="20.1640625" style="787" bestFit="1" customWidth="1"/>
    <col min="11277" max="11520" width="13.33203125" style="787"/>
    <col min="11521" max="11521" width="18.5" style="787" bestFit="1" customWidth="1"/>
    <col min="11522" max="11522" width="12.5" style="787" bestFit="1" customWidth="1"/>
    <col min="11523" max="11523" width="34.6640625" style="787" customWidth="1"/>
    <col min="11524" max="11524" width="7" style="787" customWidth="1"/>
    <col min="11525" max="11525" width="17" style="787" customWidth="1"/>
    <col min="11526" max="11526" width="14" style="787" customWidth="1"/>
    <col min="11527" max="11527" width="23.83203125" style="787" bestFit="1" customWidth="1"/>
    <col min="11528" max="11528" width="8" style="787" bestFit="1" customWidth="1"/>
    <col min="11529" max="11529" width="11.6640625" style="787" bestFit="1" customWidth="1"/>
    <col min="11530" max="11530" width="11.83203125" style="787" bestFit="1" customWidth="1"/>
    <col min="11531" max="11531" width="13" style="787" bestFit="1" customWidth="1"/>
    <col min="11532" max="11532" width="20.1640625" style="787" bestFit="1" customWidth="1"/>
    <col min="11533" max="11776" width="13.33203125" style="787"/>
    <col min="11777" max="11777" width="18.5" style="787" bestFit="1" customWidth="1"/>
    <col min="11778" max="11778" width="12.5" style="787" bestFit="1" customWidth="1"/>
    <col min="11779" max="11779" width="34.6640625" style="787" customWidth="1"/>
    <col min="11780" max="11780" width="7" style="787" customWidth="1"/>
    <col min="11781" max="11781" width="17" style="787" customWidth="1"/>
    <col min="11782" max="11782" width="14" style="787" customWidth="1"/>
    <col min="11783" max="11783" width="23.83203125" style="787" bestFit="1" customWidth="1"/>
    <col min="11784" max="11784" width="8" style="787" bestFit="1" customWidth="1"/>
    <col min="11785" max="11785" width="11.6640625" style="787" bestFit="1" customWidth="1"/>
    <col min="11786" max="11786" width="11.83203125" style="787" bestFit="1" customWidth="1"/>
    <col min="11787" max="11787" width="13" style="787" bestFit="1" customWidth="1"/>
    <col min="11788" max="11788" width="20.1640625" style="787" bestFit="1" customWidth="1"/>
    <col min="11789" max="12032" width="13.33203125" style="787"/>
    <col min="12033" max="12033" width="18.5" style="787" bestFit="1" customWidth="1"/>
    <col min="12034" max="12034" width="12.5" style="787" bestFit="1" customWidth="1"/>
    <col min="12035" max="12035" width="34.6640625" style="787" customWidth="1"/>
    <col min="12036" max="12036" width="7" style="787" customWidth="1"/>
    <col min="12037" max="12037" width="17" style="787" customWidth="1"/>
    <col min="12038" max="12038" width="14" style="787" customWidth="1"/>
    <col min="12039" max="12039" width="23.83203125" style="787" bestFit="1" customWidth="1"/>
    <col min="12040" max="12040" width="8" style="787" bestFit="1" customWidth="1"/>
    <col min="12041" max="12041" width="11.6640625" style="787" bestFit="1" customWidth="1"/>
    <col min="12042" max="12042" width="11.83203125" style="787" bestFit="1" customWidth="1"/>
    <col min="12043" max="12043" width="13" style="787" bestFit="1" customWidth="1"/>
    <col min="12044" max="12044" width="20.1640625" style="787" bestFit="1" customWidth="1"/>
    <col min="12045" max="12288" width="13.33203125" style="787"/>
    <col min="12289" max="12289" width="18.5" style="787" bestFit="1" customWidth="1"/>
    <col min="12290" max="12290" width="12.5" style="787" bestFit="1" customWidth="1"/>
    <col min="12291" max="12291" width="34.6640625" style="787" customWidth="1"/>
    <col min="12292" max="12292" width="7" style="787" customWidth="1"/>
    <col min="12293" max="12293" width="17" style="787" customWidth="1"/>
    <col min="12294" max="12294" width="14" style="787" customWidth="1"/>
    <col min="12295" max="12295" width="23.83203125" style="787" bestFit="1" customWidth="1"/>
    <col min="12296" max="12296" width="8" style="787" bestFit="1" customWidth="1"/>
    <col min="12297" max="12297" width="11.6640625" style="787" bestFit="1" customWidth="1"/>
    <col min="12298" max="12298" width="11.83203125" style="787" bestFit="1" customWidth="1"/>
    <col min="12299" max="12299" width="13" style="787" bestFit="1" customWidth="1"/>
    <col min="12300" max="12300" width="20.1640625" style="787" bestFit="1" customWidth="1"/>
    <col min="12301" max="12544" width="13.33203125" style="787"/>
    <col min="12545" max="12545" width="18.5" style="787" bestFit="1" customWidth="1"/>
    <col min="12546" max="12546" width="12.5" style="787" bestFit="1" customWidth="1"/>
    <col min="12547" max="12547" width="34.6640625" style="787" customWidth="1"/>
    <col min="12548" max="12548" width="7" style="787" customWidth="1"/>
    <col min="12549" max="12549" width="17" style="787" customWidth="1"/>
    <col min="12550" max="12550" width="14" style="787" customWidth="1"/>
    <col min="12551" max="12551" width="23.83203125" style="787" bestFit="1" customWidth="1"/>
    <col min="12552" max="12552" width="8" style="787" bestFit="1" customWidth="1"/>
    <col min="12553" max="12553" width="11.6640625" style="787" bestFit="1" customWidth="1"/>
    <col min="12554" max="12554" width="11.83203125" style="787" bestFit="1" customWidth="1"/>
    <col min="12555" max="12555" width="13" style="787" bestFit="1" customWidth="1"/>
    <col min="12556" max="12556" width="20.1640625" style="787" bestFit="1" customWidth="1"/>
    <col min="12557" max="12800" width="13.33203125" style="787"/>
    <col min="12801" max="12801" width="18.5" style="787" bestFit="1" customWidth="1"/>
    <col min="12802" max="12802" width="12.5" style="787" bestFit="1" customWidth="1"/>
    <col min="12803" max="12803" width="34.6640625" style="787" customWidth="1"/>
    <col min="12804" max="12804" width="7" style="787" customWidth="1"/>
    <col min="12805" max="12805" width="17" style="787" customWidth="1"/>
    <col min="12806" max="12806" width="14" style="787" customWidth="1"/>
    <col min="12807" max="12807" width="23.83203125" style="787" bestFit="1" customWidth="1"/>
    <col min="12808" max="12808" width="8" style="787" bestFit="1" customWidth="1"/>
    <col min="12809" max="12809" width="11.6640625" style="787" bestFit="1" customWidth="1"/>
    <col min="12810" max="12810" width="11.83203125" style="787" bestFit="1" customWidth="1"/>
    <col min="12811" max="12811" width="13" style="787" bestFit="1" customWidth="1"/>
    <col min="12812" max="12812" width="20.1640625" style="787" bestFit="1" customWidth="1"/>
    <col min="12813" max="13056" width="13.33203125" style="787"/>
    <col min="13057" max="13057" width="18.5" style="787" bestFit="1" customWidth="1"/>
    <col min="13058" max="13058" width="12.5" style="787" bestFit="1" customWidth="1"/>
    <col min="13059" max="13059" width="34.6640625" style="787" customWidth="1"/>
    <col min="13060" max="13060" width="7" style="787" customWidth="1"/>
    <col min="13061" max="13061" width="17" style="787" customWidth="1"/>
    <col min="13062" max="13062" width="14" style="787" customWidth="1"/>
    <col min="13063" max="13063" width="23.83203125" style="787" bestFit="1" customWidth="1"/>
    <col min="13064" max="13064" width="8" style="787" bestFit="1" customWidth="1"/>
    <col min="13065" max="13065" width="11.6640625" style="787" bestFit="1" customWidth="1"/>
    <col min="13066" max="13066" width="11.83203125" style="787" bestFit="1" customWidth="1"/>
    <col min="13067" max="13067" width="13" style="787" bestFit="1" customWidth="1"/>
    <col min="13068" max="13068" width="20.1640625" style="787" bestFit="1" customWidth="1"/>
    <col min="13069" max="13312" width="13.33203125" style="787"/>
    <col min="13313" max="13313" width="18.5" style="787" bestFit="1" customWidth="1"/>
    <col min="13314" max="13314" width="12.5" style="787" bestFit="1" customWidth="1"/>
    <col min="13315" max="13315" width="34.6640625" style="787" customWidth="1"/>
    <col min="13316" max="13316" width="7" style="787" customWidth="1"/>
    <col min="13317" max="13317" width="17" style="787" customWidth="1"/>
    <col min="13318" max="13318" width="14" style="787" customWidth="1"/>
    <col min="13319" max="13319" width="23.83203125" style="787" bestFit="1" customWidth="1"/>
    <col min="13320" max="13320" width="8" style="787" bestFit="1" customWidth="1"/>
    <col min="13321" max="13321" width="11.6640625" style="787" bestFit="1" customWidth="1"/>
    <col min="13322" max="13322" width="11.83203125" style="787" bestFit="1" customWidth="1"/>
    <col min="13323" max="13323" width="13" style="787" bestFit="1" customWidth="1"/>
    <col min="13324" max="13324" width="20.1640625" style="787" bestFit="1" customWidth="1"/>
    <col min="13325" max="13568" width="13.33203125" style="787"/>
    <col min="13569" max="13569" width="18.5" style="787" bestFit="1" customWidth="1"/>
    <col min="13570" max="13570" width="12.5" style="787" bestFit="1" customWidth="1"/>
    <col min="13571" max="13571" width="34.6640625" style="787" customWidth="1"/>
    <col min="13572" max="13572" width="7" style="787" customWidth="1"/>
    <col min="13573" max="13573" width="17" style="787" customWidth="1"/>
    <col min="13574" max="13574" width="14" style="787" customWidth="1"/>
    <col min="13575" max="13575" width="23.83203125" style="787" bestFit="1" customWidth="1"/>
    <col min="13576" max="13576" width="8" style="787" bestFit="1" customWidth="1"/>
    <col min="13577" max="13577" width="11.6640625" style="787" bestFit="1" customWidth="1"/>
    <col min="13578" max="13578" width="11.83203125" style="787" bestFit="1" customWidth="1"/>
    <col min="13579" max="13579" width="13" style="787" bestFit="1" customWidth="1"/>
    <col min="13580" max="13580" width="20.1640625" style="787" bestFit="1" customWidth="1"/>
    <col min="13581" max="13824" width="13.33203125" style="787"/>
    <col min="13825" max="13825" width="18.5" style="787" bestFit="1" customWidth="1"/>
    <col min="13826" max="13826" width="12.5" style="787" bestFit="1" customWidth="1"/>
    <col min="13827" max="13827" width="34.6640625" style="787" customWidth="1"/>
    <col min="13828" max="13828" width="7" style="787" customWidth="1"/>
    <col min="13829" max="13829" width="17" style="787" customWidth="1"/>
    <col min="13830" max="13830" width="14" style="787" customWidth="1"/>
    <col min="13831" max="13831" width="23.83203125" style="787" bestFit="1" customWidth="1"/>
    <col min="13832" max="13832" width="8" style="787" bestFit="1" customWidth="1"/>
    <col min="13833" max="13833" width="11.6640625" style="787" bestFit="1" customWidth="1"/>
    <col min="13834" max="13834" width="11.83203125" style="787" bestFit="1" customWidth="1"/>
    <col min="13835" max="13835" width="13" style="787" bestFit="1" customWidth="1"/>
    <col min="13836" max="13836" width="20.1640625" style="787" bestFit="1" customWidth="1"/>
    <col min="13837" max="14080" width="13.33203125" style="787"/>
    <col min="14081" max="14081" width="18.5" style="787" bestFit="1" customWidth="1"/>
    <col min="14082" max="14082" width="12.5" style="787" bestFit="1" customWidth="1"/>
    <col min="14083" max="14083" width="34.6640625" style="787" customWidth="1"/>
    <col min="14084" max="14084" width="7" style="787" customWidth="1"/>
    <col min="14085" max="14085" width="17" style="787" customWidth="1"/>
    <col min="14086" max="14086" width="14" style="787" customWidth="1"/>
    <col min="14087" max="14087" width="23.83203125" style="787" bestFit="1" customWidth="1"/>
    <col min="14088" max="14088" width="8" style="787" bestFit="1" customWidth="1"/>
    <col min="14089" max="14089" width="11.6640625" style="787" bestFit="1" customWidth="1"/>
    <col min="14090" max="14090" width="11.83203125" style="787" bestFit="1" customWidth="1"/>
    <col min="14091" max="14091" width="13" style="787" bestFit="1" customWidth="1"/>
    <col min="14092" max="14092" width="20.1640625" style="787" bestFit="1" customWidth="1"/>
    <col min="14093" max="14336" width="13.33203125" style="787"/>
    <col min="14337" max="14337" width="18.5" style="787" bestFit="1" customWidth="1"/>
    <col min="14338" max="14338" width="12.5" style="787" bestFit="1" customWidth="1"/>
    <col min="14339" max="14339" width="34.6640625" style="787" customWidth="1"/>
    <col min="14340" max="14340" width="7" style="787" customWidth="1"/>
    <col min="14341" max="14341" width="17" style="787" customWidth="1"/>
    <col min="14342" max="14342" width="14" style="787" customWidth="1"/>
    <col min="14343" max="14343" width="23.83203125" style="787" bestFit="1" customWidth="1"/>
    <col min="14344" max="14344" width="8" style="787" bestFit="1" customWidth="1"/>
    <col min="14345" max="14345" width="11.6640625" style="787" bestFit="1" customWidth="1"/>
    <col min="14346" max="14346" width="11.83203125" style="787" bestFit="1" customWidth="1"/>
    <col min="14347" max="14347" width="13" style="787" bestFit="1" customWidth="1"/>
    <col min="14348" max="14348" width="20.1640625" style="787" bestFit="1" customWidth="1"/>
    <col min="14349" max="14592" width="13.33203125" style="787"/>
    <col min="14593" max="14593" width="18.5" style="787" bestFit="1" customWidth="1"/>
    <col min="14594" max="14594" width="12.5" style="787" bestFit="1" customWidth="1"/>
    <col min="14595" max="14595" width="34.6640625" style="787" customWidth="1"/>
    <col min="14596" max="14596" width="7" style="787" customWidth="1"/>
    <col min="14597" max="14597" width="17" style="787" customWidth="1"/>
    <col min="14598" max="14598" width="14" style="787" customWidth="1"/>
    <col min="14599" max="14599" width="23.83203125" style="787" bestFit="1" customWidth="1"/>
    <col min="14600" max="14600" width="8" style="787" bestFit="1" customWidth="1"/>
    <col min="14601" max="14601" width="11.6640625" style="787" bestFit="1" customWidth="1"/>
    <col min="14602" max="14602" width="11.83203125" style="787" bestFit="1" customWidth="1"/>
    <col min="14603" max="14603" width="13" style="787" bestFit="1" customWidth="1"/>
    <col min="14604" max="14604" width="20.1640625" style="787" bestFit="1" customWidth="1"/>
    <col min="14605" max="14848" width="13.33203125" style="787"/>
    <col min="14849" max="14849" width="18.5" style="787" bestFit="1" customWidth="1"/>
    <col min="14850" max="14850" width="12.5" style="787" bestFit="1" customWidth="1"/>
    <col min="14851" max="14851" width="34.6640625" style="787" customWidth="1"/>
    <col min="14852" max="14852" width="7" style="787" customWidth="1"/>
    <col min="14853" max="14853" width="17" style="787" customWidth="1"/>
    <col min="14854" max="14854" width="14" style="787" customWidth="1"/>
    <col min="14855" max="14855" width="23.83203125" style="787" bestFit="1" customWidth="1"/>
    <col min="14856" max="14856" width="8" style="787" bestFit="1" customWidth="1"/>
    <col min="14857" max="14857" width="11.6640625" style="787" bestFit="1" customWidth="1"/>
    <col min="14858" max="14858" width="11.83203125" style="787" bestFit="1" customWidth="1"/>
    <col min="14859" max="14859" width="13" style="787" bestFit="1" customWidth="1"/>
    <col min="14860" max="14860" width="20.1640625" style="787" bestFit="1" customWidth="1"/>
    <col min="14861" max="15104" width="13.33203125" style="787"/>
    <col min="15105" max="15105" width="18.5" style="787" bestFit="1" customWidth="1"/>
    <col min="15106" max="15106" width="12.5" style="787" bestFit="1" customWidth="1"/>
    <col min="15107" max="15107" width="34.6640625" style="787" customWidth="1"/>
    <col min="15108" max="15108" width="7" style="787" customWidth="1"/>
    <col min="15109" max="15109" width="17" style="787" customWidth="1"/>
    <col min="15110" max="15110" width="14" style="787" customWidth="1"/>
    <col min="15111" max="15111" width="23.83203125" style="787" bestFit="1" customWidth="1"/>
    <col min="15112" max="15112" width="8" style="787" bestFit="1" customWidth="1"/>
    <col min="15113" max="15113" width="11.6640625" style="787" bestFit="1" customWidth="1"/>
    <col min="15114" max="15114" width="11.83203125" style="787" bestFit="1" customWidth="1"/>
    <col min="15115" max="15115" width="13" style="787" bestFit="1" customWidth="1"/>
    <col min="15116" max="15116" width="20.1640625" style="787" bestFit="1" customWidth="1"/>
    <col min="15117" max="15360" width="13.33203125" style="787"/>
    <col min="15361" max="15361" width="18.5" style="787" bestFit="1" customWidth="1"/>
    <col min="15362" max="15362" width="12.5" style="787" bestFit="1" customWidth="1"/>
    <col min="15363" max="15363" width="34.6640625" style="787" customWidth="1"/>
    <col min="15364" max="15364" width="7" style="787" customWidth="1"/>
    <col min="15365" max="15365" width="17" style="787" customWidth="1"/>
    <col min="15366" max="15366" width="14" style="787" customWidth="1"/>
    <col min="15367" max="15367" width="23.83203125" style="787" bestFit="1" customWidth="1"/>
    <col min="15368" max="15368" width="8" style="787" bestFit="1" customWidth="1"/>
    <col min="15369" max="15369" width="11.6640625" style="787" bestFit="1" customWidth="1"/>
    <col min="15370" max="15370" width="11.83203125" style="787" bestFit="1" customWidth="1"/>
    <col min="15371" max="15371" width="13" style="787" bestFit="1" customWidth="1"/>
    <col min="15372" max="15372" width="20.1640625" style="787" bestFit="1" customWidth="1"/>
    <col min="15373" max="15616" width="13.33203125" style="787"/>
    <col min="15617" max="15617" width="18.5" style="787" bestFit="1" customWidth="1"/>
    <col min="15618" max="15618" width="12.5" style="787" bestFit="1" customWidth="1"/>
    <col min="15619" max="15619" width="34.6640625" style="787" customWidth="1"/>
    <col min="15620" max="15620" width="7" style="787" customWidth="1"/>
    <col min="15621" max="15621" width="17" style="787" customWidth="1"/>
    <col min="15622" max="15622" width="14" style="787" customWidth="1"/>
    <col min="15623" max="15623" width="23.83203125" style="787" bestFit="1" customWidth="1"/>
    <col min="15624" max="15624" width="8" style="787" bestFit="1" customWidth="1"/>
    <col min="15625" max="15625" width="11.6640625" style="787" bestFit="1" customWidth="1"/>
    <col min="15626" max="15626" width="11.83203125" style="787" bestFit="1" customWidth="1"/>
    <col min="15627" max="15627" width="13" style="787" bestFit="1" customWidth="1"/>
    <col min="15628" max="15628" width="20.1640625" style="787" bestFit="1" customWidth="1"/>
    <col min="15629" max="15872" width="13.33203125" style="787"/>
    <col min="15873" max="15873" width="18.5" style="787" bestFit="1" customWidth="1"/>
    <col min="15874" max="15874" width="12.5" style="787" bestFit="1" customWidth="1"/>
    <col min="15875" max="15875" width="34.6640625" style="787" customWidth="1"/>
    <col min="15876" max="15876" width="7" style="787" customWidth="1"/>
    <col min="15877" max="15877" width="17" style="787" customWidth="1"/>
    <col min="15878" max="15878" width="14" style="787" customWidth="1"/>
    <col min="15879" max="15879" width="23.83203125" style="787" bestFit="1" customWidth="1"/>
    <col min="15880" max="15880" width="8" style="787" bestFit="1" customWidth="1"/>
    <col min="15881" max="15881" width="11.6640625" style="787" bestFit="1" customWidth="1"/>
    <col min="15882" max="15882" width="11.83203125" style="787" bestFit="1" customWidth="1"/>
    <col min="15883" max="15883" width="13" style="787" bestFit="1" customWidth="1"/>
    <col min="15884" max="15884" width="20.1640625" style="787" bestFit="1" customWidth="1"/>
    <col min="15885" max="16128" width="13.33203125" style="787"/>
    <col min="16129" max="16129" width="18.5" style="787" bestFit="1" customWidth="1"/>
    <col min="16130" max="16130" width="12.5" style="787" bestFit="1" customWidth="1"/>
    <col min="16131" max="16131" width="34.6640625" style="787" customWidth="1"/>
    <col min="16132" max="16132" width="7" style="787" customWidth="1"/>
    <col min="16133" max="16133" width="17" style="787" customWidth="1"/>
    <col min="16134" max="16134" width="14" style="787" customWidth="1"/>
    <col min="16135" max="16135" width="23.83203125" style="787" bestFit="1" customWidth="1"/>
    <col min="16136" max="16136" width="8" style="787" bestFit="1" customWidth="1"/>
    <col min="16137" max="16137" width="11.6640625" style="787" bestFit="1" customWidth="1"/>
    <col min="16138" max="16138" width="11.83203125" style="787" bestFit="1" customWidth="1"/>
    <col min="16139" max="16139" width="13" style="787" bestFit="1" customWidth="1"/>
    <col min="16140" max="16140" width="20.1640625" style="787" bestFit="1" customWidth="1"/>
    <col min="16141" max="16384" width="13.33203125" style="787"/>
  </cols>
  <sheetData>
    <row r="2" spans="1:12">
      <c r="A2" s="1855" t="s">
        <v>2400</v>
      </c>
      <c r="B2" s="1855" t="s">
        <v>661</v>
      </c>
      <c r="C2" s="1855" t="s">
        <v>2401</v>
      </c>
      <c r="D2" s="1855" t="s">
        <v>2402</v>
      </c>
      <c r="E2" s="1855" t="s">
        <v>712</v>
      </c>
      <c r="F2" s="1855" t="s">
        <v>2403</v>
      </c>
      <c r="G2" s="1855" t="s">
        <v>2404</v>
      </c>
      <c r="H2" s="1855" t="s">
        <v>2405</v>
      </c>
      <c r="I2" s="1855" t="s">
        <v>2406</v>
      </c>
      <c r="J2" s="1855" t="s">
        <v>2407</v>
      </c>
      <c r="K2" s="1855" t="s">
        <v>2408</v>
      </c>
      <c r="L2" s="1855" t="s">
        <v>2409</v>
      </c>
    </row>
    <row r="3" spans="1:12">
      <c r="A3" s="787" t="s">
        <v>2410</v>
      </c>
      <c r="B3" s="787" t="s">
        <v>2411</v>
      </c>
      <c r="C3" s="787" t="s">
        <v>2412</v>
      </c>
      <c r="D3" s="787" t="s">
        <v>57</v>
      </c>
      <c r="E3" s="787" t="s">
        <v>1031</v>
      </c>
      <c r="F3" s="787" t="s">
        <v>2413</v>
      </c>
      <c r="G3" s="789">
        <v>-424239.2</v>
      </c>
      <c r="H3" s="787" t="s">
        <v>2414</v>
      </c>
      <c r="I3" s="787" t="s">
        <v>2415</v>
      </c>
      <c r="J3" s="791">
        <v>40213</v>
      </c>
      <c r="K3" s="791">
        <v>40209</v>
      </c>
    </row>
    <row r="4" spans="1:12">
      <c r="A4" s="787" t="s">
        <v>2410</v>
      </c>
      <c r="B4" s="787" t="s">
        <v>2411</v>
      </c>
      <c r="C4" s="787" t="s">
        <v>2412</v>
      </c>
      <c r="D4" s="787" t="s">
        <v>689</v>
      </c>
      <c r="E4" s="787" t="s">
        <v>1031</v>
      </c>
      <c r="F4" s="787" t="s">
        <v>2413</v>
      </c>
      <c r="G4" s="789">
        <v>-346737.63</v>
      </c>
      <c r="H4" s="787" t="s">
        <v>2414</v>
      </c>
      <c r="I4" s="787" t="s">
        <v>2416</v>
      </c>
      <c r="J4" s="791">
        <v>40242</v>
      </c>
      <c r="K4" s="791">
        <v>40237</v>
      </c>
    </row>
    <row r="5" spans="1:12">
      <c r="A5" s="2015" t="s">
        <v>2410</v>
      </c>
      <c r="B5" s="2015" t="s">
        <v>2411</v>
      </c>
      <c r="C5" s="2015" t="s">
        <v>2412</v>
      </c>
      <c r="D5" s="2015" t="s">
        <v>689</v>
      </c>
      <c r="E5" s="2015" t="s">
        <v>1031</v>
      </c>
      <c r="F5" s="2015" t="s">
        <v>2413</v>
      </c>
      <c r="G5" s="2016">
        <v>266.79000000000002</v>
      </c>
      <c r="H5" s="2015" t="s">
        <v>2414</v>
      </c>
      <c r="I5" s="2015" t="s">
        <v>2417</v>
      </c>
      <c r="J5" s="2017">
        <v>40245</v>
      </c>
      <c r="K5" s="2017">
        <v>40237</v>
      </c>
      <c r="L5" s="2015" t="s">
        <v>2418</v>
      </c>
    </row>
    <row r="6" spans="1:12">
      <c r="A6" s="787" t="s">
        <v>2410</v>
      </c>
      <c r="B6" s="787" t="s">
        <v>2411</v>
      </c>
      <c r="C6" s="787" t="s">
        <v>2412</v>
      </c>
      <c r="D6" s="787" t="s">
        <v>690</v>
      </c>
      <c r="E6" s="787" t="s">
        <v>1031</v>
      </c>
      <c r="F6" s="787" t="s">
        <v>2413</v>
      </c>
      <c r="G6" s="789">
        <v>-386636.89</v>
      </c>
      <c r="H6" s="787" t="s">
        <v>2414</v>
      </c>
      <c r="I6" s="787" t="s">
        <v>2419</v>
      </c>
      <c r="J6" s="791">
        <v>40274</v>
      </c>
      <c r="K6" s="791">
        <v>40268</v>
      </c>
    </row>
    <row r="7" spans="1:12">
      <c r="A7" s="787" t="s">
        <v>2410</v>
      </c>
      <c r="B7" s="787" t="s">
        <v>2411</v>
      </c>
      <c r="C7" s="787" t="s">
        <v>2412</v>
      </c>
      <c r="D7" s="787" t="s">
        <v>691</v>
      </c>
      <c r="E7" s="787" t="s">
        <v>1031</v>
      </c>
      <c r="F7" s="787" t="s">
        <v>2413</v>
      </c>
      <c r="G7" s="789">
        <v>-299234.99</v>
      </c>
      <c r="H7" s="787" t="s">
        <v>2414</v>
      </c>
      <c r="I7" s="787" t="s">
        <v>2420</v>
      </c>
      <c r="J7" s="791">
        <v>40305</v>
      </c>
      <c r="K7" s="791">
        <v>40298</v>
      </c>
    </row>
    <row r="8" spans="1:12">
      <c r="A8" s="787" t="s">
        <v>2410</v>
      </c>
      <c r="B8" s="787" t="s">
        <v>2411</v>
      </c>
      <c r="C8" s="787" t="s">
        <v>2412</v>
      </c>
      <c r="D8" s="787" t="s">
        <v>692</v>
      </c>
      <c r="E8" s="787" t="s">
        <v>1031</v>
      </c>
      <c r="F8" s="787" t="s">
        <v>2413</v>
      </c>
      <c r="G8" s="789">
        <v>-231809.89</v>
      </c>
      <c r="H8" s="787" t="s">
        <v>2414</v>
      </c>
      <c r="I8" s="787" t="s">
        <v>2421</v>
      </c>
      <c r="J8" s="791">
        <v>40333</v>
      </c>
      <c r="K8" s="791">
        <v>40329</v>
      </c>
    </row>
    <row r="9" spans="1:12">
      <c r="A9" s="787" t="s">
        <v>2410</v>
      </c>
      <c r="B9" s="787" t="s">
        <v>2411</v>
      </c>
      <c r="C9" s="787" t="s">
        <v>2412</v>
      </c>
      <c r="D9" s="787" t="s">
        <v>693</v>
      </c>
      <c r="E9" s="787" t="s">
        <v>1031</v>
      </c>
      <c r="F9" s="787" t="s">
        <v>2413</v>
      </c>
      <c r="G9" s="789">
        <v>-148886.42000000001</v>
      </c>
      <c r="H9" s="787" t="s">
        <v>2414</v>
      </c>
      <c r="I9" s="787" t="s">
        <v>2422</v>
      </c>
      <c r="J9" s="791">
        <v>40365</v>
      </c>
      <c r="K9" s="791">
        <v>40359</v>
      </c>
    </row>
    <row r="10" spans="1:12">
      <c r="A10" s="787" t="s">
        <v>2410</v>
      </c>
      <c r="B10" s="787" t="s">
        <v>2411</v>
      </c>
      <c r="C10" s="787" t="s">
        <v>2412</v>
      </c>
      <c r="D10" s="787" t="s">
        <v>694</v>
      </c>
      <c r="E10" s="787" t="s">
        <v>1031</v>
      </c>
      <c r="F10" s="787" t="s">
        <v>2413</v>
      </c>
      <c r="G10" s="789">
        <v>-114915.2</v>
      </c>
      <c r="H10" s="787" t="s">
        <v>2414</v>
      </c>
      <c r="I10" s="787" t="s">
        <v>2423</v>
      </c>
      <c r="J10" s="791">
        <v>40395</v>
      </c>
      <c r="K10" s="791">
        <v>40390</v>
      </c>
    </row>
    <row r="11" spans="1:12">
      <c r="A11" s="787" t="s">
        <v>2410</v>
      </c>
      <c r="B11" s="787" t="s">
        <v>2411</v>
      </c>
      <c r="C11" s="787" t="s">
        <v>2412</v>
      </c>
      <c r="D11" s="787" t="s">
        <v>695</v>
      </c>
      <c r="E11" s="787" t="s">
        <v>1031</v>
      </c>
      <c r="F11" s="787" t="s">
        <v>2413</v>
      </c>
      <c r="G11" s="789">
        <v>-123519.83</v>
      </c>
      <c r="H11" s="787" t="s">
        <v>2414</v>
      </c>
      <c r="I11" s="787" t="s">
        <v>2424</v>
      </c>
      <c r="J11" s="791">
        <v>40429</v>
      </c>
      <c r="K11" s="791">
        <v>40421</v>
      </c>
    </row>
    <row r="12" spans="1:12">
      <c r="A12" s="787" t="s">
        <v>2410</v>
      </c>
      <c r="B12" s="787" t="s">
        <v>2411</v>
      </c>
      <c r="C12" s="787" t="s">
        <v>2412</v>
      </c>
      <c r="D12" s="787" t="s">
        <v>696</v>
      </c>
      <c r="E12" s="787" t="s">
        <v>1031</v>
      </c>
      <c r="F12" s="787" t="s">
        <v>2413</v>
      </c>
      <c r="G12" s="789">
        <v>-126906.09</v>
      </c>
      <c r="H12" s="787" t="s">
        <v>2414</v>
      </c>
      <c r="I12" s="787" t="s">
        <v>2425</v>
      </c>
      <c r="J12" s="791">
        <v>40458</v>
      </c>
      <c r="K12" s="791">
        <v>40451</v>
      </c>
    </row>
    <row r="13" spans="1:12">
      <c r="A13" s="787" t="s">
        <v>2410</v>
      </c>
      <c r="B13" s="787" t="s">
        <v>2411</v>
      </c>
      <c r="C13" s="787" t="s">
        <v>2412</v>
      </c>
      <c r="D13" s="787" t="s">
        <v>697</v>
      </c>
      <c r="E13" s="787" t="s">
        <v>1031</v>
      </c>
      <c r="F13" s="787" t="s">
        <v>2426</v>
      </c>
      <c r="G13" s="789">
        <v>-253116.78</v>
      </c>
      <c r="H13" s="787" t="s">
        <v>2414</v>
      </c>
      <c r="I13" s="787" t="s">
        <v>2427</v>
      </c>
      <c r="J13" s="791">
        <v>40486</v>
      </c>
      <c r="K13" s="791">
        <v>40482</v>
      </c>
    </row>
    <row r="14" spans="1:12">
      <c r="A14" s="787" t="s">
        <v>2410</v>
      </c>
      <c r="B14" s="787" t="s">
        <v>2411</v>
      </c>
      <c r="C14" s="787" t="s">
        <v>2412</v>
      </c>
      <c r="D14" s="787" t="s">
        <v>698</v>
      </c>
      <c r="E14" s="787" t="s">
        <v>1031</v>
      </c>
      <c r="F14" s="787" t="s">
        <v>2426</v>
      </c>
      <c r="G14" s="789">
        <v>-492544.6</v>
      </c>
      <c r="H14" s="787" t="s">
        <v>2414</v>
      </c>
      <c r="I14" s="787" t="s">
        <v>2428</v>
      </c>
      <c r="J14" s="791">
        <v>40519</v>
      </c>
      <c r="K14" s="791">
        <v>40512</v>
      </c>
    </row>
    <row r="15" spans="1:12">
      <c r="A15" s="787" t="s">
        <v>2410</v>
      </c>
      <c r="B15" s="787" t="s">
        <v>2411</v>
      </c>
      <c r="C15" s="787" t="s">
        <v>2412</v>
      </c>
      <c r="D15" s="787" t="s">
        <v>699</v>
      </c>
      <c r="E15" s="787" t="s">
        <v>1031</v>
      </c>
      <c r="F15" s="787" t="s">
        <v>2426</v>
      </c>
      <c r="G15" s="789">
        <v>-539886.87</v>
      </c>
      <c r="H15" s="787" t="s">
        <v>2414</v>
      </c>
      <c r="I15" s="787" t="s">
        <v>2429</v>
      </c>
      <c r="J15" s="791">
        <v>40549</v>
      </c>
      <c r="K15" s="791">
        <v>40543</v>
      </c>
    </row>
    <row r="16" spans="1:12" ht="13.5" thickBot="1">
      <c r="A16" s="792"/>
      <c r="B16" s="792"/>
      <c r="C16" s="792"/>
      <c r="D16" s="792"/>
      <c r="E16" s="792"/>
      <c r="F16" s="792"/>
      <c r="G16" s="1856">
        <v>-3488167.6</v>
      </c>
      <c r="H16" s="792"/>
      <c r="I16" s="792"/>
      <c r="J16" s="794"/>
      <c r="K16" s="794"/>
      <c r="L16" s="792"/>
    </row>
    <row r="17" spans="1:6" ht="13.5" thickTop="1"/>
    <row r="18" spans="1:6">
      <c r="A18" s="58" t="s">
        <v>2430</v>
      </c>
    </row>
    <row r="19" spans="1:6">
      <c r="A19" s="58" t="s">
        <v>2431</v>
      </c>
    </row>
    <row r="20" spans="1:6">
      <c r="A20" s="58"/>
    </row>
    <row r="21" spans="1:6">
      <c r="A21" s="58" t="s">
        <v>659</v>
      </c>
    </row>
    <row r="23" spans="1:6">
      <c r="B23" s="2937" t="s">
        <v>2432</v>
      </c>
      <c r="C23" s="2938"/>
      <c r="D23" s="2939"/>
      <c r="E23" s="1857">
        <f>'6.03G - LoInBilled 12ME 12-2010'!T52</f>
        <v>3512485.6900000009</v>
      </c>
    </row>
    <row r="24" spans="1:6">
      <c r="B24" s="2940" t="s">
        <v>2433</v>
      </c>
      <c r="C24" s="2941"/>
      <c r="D24" s="2942"/>
      <c r="E24" s="1857">
        <f>-'6.02G - Revenue'!H31</f>
        <v>3488170.7346030003</v>
      </c>
    </row>
    <row r="25" spans="1:6">
      <c r="B25" s="2937" t="s">
        <v>2434</v>
      </c>
      <c r="C25" s="2938"/>
      <c r="D25" s="2939"/>
      <c r="E25" s="1857">
        <f>E26-E24</f>
        <v>-3.1346030002459884</v>
      </c>
    </row>
    <row r="26" spans="1:6">
      <c r="B26" s="2937" t="s">
        <v>2435</v>
      </c>
      <c r="C26" s="2938"/>
      <c r="D26" s="2939"/>
      <c r="E26" s="1857">
        <f>'6.03G - 12ME 12-31-2010 SOG '!E39</f>
        <v>3488167.6</v>
      </c>
      <c r="F26" s="2014">
        <f>E26+G16</f>
        <v>0</v>
      </c>
    </row>
  </sheetData>
  <mergeCells count="4">
    <mergeCell ref="B23:D23"/>
    <mergeCell ref="B24:D24"/>
    <mergeCell ref="B25:D25"/>
    <mergeCell ref="B26:D26"/>
  </mergeCells>
  <pageMargins left="0.75" right="0.75" top="1" bottom="1" header="0.5" footer="0.5"/>
  <pageSetup paperSize="9" scale="8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T91"/>
  <sheetViews>
    <sheetView zoomScale="85" zoomScaleNormal="85" workbookViewId="0">
      <selection activeCell="A54" sqref="A54"/>
    </sheetView>
  </sheetViews>
  <sheetFormatPr defaultRowHeight="12.75" customHeight="1"/>
  <cols>
    <col min="1" max="1" width="12" style="1858" customWidth="1"/>
    <col min="2" max="7" width="14.83203125" style="1858" hidden="1" customWidth="1"/>
    <col min="8" max="19" width="14.6640625" style="1858" customWidth="1"/>
    <col min="20" max="20" width="16.6640625" style="1858" bestFit="1" customWidth="1"/>
    <col min="21" max="256" width="9.33203125" style="1858"/>
    <col min="257" max="257" width="12" style="1858" customWidth="1"/>
    <col min="258" max="263" width="0" style="1858" hidden="1" customWidth="1"/>
    <col min="264" max="275" width="14.6640625" style="1858" customWidth="1"/>
    <col min="276" max="276" width="16.6640625" style="1858" bestFit="1" customWidth="1"/>
    <col min="277" max="512" width="9.33203125" style="1858"/>
    <col min="513" max="513" width="12" style="1858" customWidth="1"/>
    <col min="514" max="519" width="0" style="1858" hidden="1" customWidth="1"/>
    <col min="520" max="531" width="14.6640625" style="1858" customWidth="1"/>
    <col min="532" max="532" width="16.6640625" style="1858" bestFit="1" customWidth="1"/>
    <col min="533" max="768" width="9.33203125" style="1858"/>
    <col min="769" max="769" width="12" style="1858" customWidth="1"/>
    <col min="770" max="775" width="0" style="1858" hidden="1" customWidth="1"/>
    <col min="776" max="787" width="14.6640625" style="1858" customWidth="1"/>
    <col min="788" max="788" width="16.6640625" style="1858" bestFit="1" customWidth="1"/>
    <col min="789" max="1024" width="9.33203125" style="1858"/>
    <col min="1025" max="1025" width="12" style="1858" customWidth="1"/>
    <col min="1026" max="1031" width="0" style="1858" hidden="1" customWidth="1"/>
    <col min="1032" max="1043" width="14.6640625" style="1858" customWidth="1"/>
    <col min="1044" max="1044" width="16.6640625" style="1858" bestFit="1" customWidth="1"/>
    <col min="1045" max="1280" width="9.33203125" style="1858"/>
    <col min="1281" max="1281" width="12" style="1858" customWidth="1"/>
    <col min="1282" max="1287" width="0" style="1858" hidden="1" customWidth="1"/>
    <col min="1288" max="1299" width="14.6640625" style="1858" customWidth="1"/>
    <col min="1300" max="1300" width="16.6640625" style="1858" bestFit="1" customWidth="1"/>
    <col min="1301" max="1536" width="9.33203125" style="1858"/>
    <col min="1537" max="1537" width="12" style="1858" customWidth="1"/>
    <col min="1538" max="1543" width="0" style="1858" hidden="1" customWidth="1"/>
    <col min="1544" max="1555" width="14.6640625" style="1858" customWidth="1"/>
    <col min="1556" max="1556" width="16.6640625" style="1858" bestFit="1" customWidth="1"/>
    <col min="1557" max="1792" width="9.33203125" style="1858"/>
    <col min="1793" max="1793" width="12" style="1858" customWidth="1"/>
    <col min="1794" max="1799" width="0" style="1858" hidden="1" customWidth="1"/>
    <col min="1800" max="1811" width="14.6640625" style="1858" customWidth="1"/>
    <col min="1812" max="1812" width="16.6640625" style="1858" bestFit="1" customWidth="1"/>
    <col min="1813" max="2048" width="9.33203125" style="1858"/>
    <col min="2049" max="2049" width="12" style="1858" customWidth="1"/>
    <col min="2050" max="2055" width="0" style="1858" hidden="1" customWidth="1"/>
    <col min="2056" max="2067" width="14.6640625" style="1858" customWidth="1"/>
    <col min="2068" max="2068" width="16.6640625" style="1858" bestFit="1" customWidth="1"/>
    <col min="2069" max="2304" width="9.33203125" style="1858"/>
    <col min="2305" max="2305" width="12" style="1858" customWidth="1"/>
    <col min="2306" max="2311" width="0" style="1858" hidden="1" customWidth="1"/>
    <col min="2312" max="2323" width="14.6640625" style="1858" customWidth="1"/>
    <col min="2324" max="2324" width="16.6640625" style="1858" bestFit="1" customWidth="1"/>
    <col min="2325" max="2560" width="9.33203125" style="1858"/>
    <col min="2561" max="2561" width="12" style="1858" customWidth="1"/>
    <col min="2562" max="2567" width="0" style="1858" hidden="1" customWidth="1"/>
    <col min="2568" max="2579" width="14.6640625" style="1858" customWidth="1"/>
    <col min="2580" max="2580" width="16.6640625" style="1858" bestFit="1" customWidth="1"/>
    <col min="2581" max="2816" width="9.33203125" style="1858"/>
    <col min="2817" max="2817" width="12" style="1858" customWidth="1"/>
    <col min="2818" max="2823" width="0" style="1858" hidden="1" customWidth="1"/>
    <col min="2824" max="2835" width="14.6640625" style="1858" customWidth="1"/>
    <col min="2836" max="2836" width="16.6640625" style="1858" bestFit="1" customWidth="1"/>
    <col min="2837" max="3072" width="9.33203125" style="1858"/>
    <col min="3073" max="3073" width="12" style="1858" customWidth="1"/>
    <col min="3074" max="3079" width="0" style="1858" hidden="1" customWidth="1"/>
    <col min="3080" max="3091" width="14.6640625" style="1858" customWidth="1"/>
    <col min="3092" max="3092" width="16.6640625" style="1858" bestFit="1" customWidth="1"/>
    <col min="3093" max="3328" width="9.33203125" style="1858"/>
    <col min="3329" max="3329" width="12" style="1858" customWidth="1"/>
    <col min="3330" max="3335" width="0" style="1858" hidden="1" customWidth="1"/>
    <col min="3336" max="3347" width="14.6640625" style="1858" customWidth="1"/>
    <col min="3348" max="3348" width="16.6640625" style="1858" bestFit="1" customWidth="1"/>
    <col min="3349" max="3584" width="9.33203125" style="1858"/>
    <col min="3585" max="3585" width="12" style="1858" customWidth="1"/>
    <col min="3586" max="3591" width="0" style="1858" hidden="1" customWidth="1"/>
    <col min="3592" max="3603" width="14.6640625" style="1858" customWidth="1"/>
    <col min="3604" max="3604" width="16.6640625" style="1858" bestFit="1" customWidth="1"/>
    <col min="3605" max="3840" width="9.33203125" style="1858"/>
    <col min="3841" max="3841" width="12" style="1858" customWidth="1"/>
    <col min="3842" max="3847" width="0" style="1858" hidden="1" customWidth="1"/>
    <col min="3848" max="3859" width="14.6640625" style="1858" customWidth="1"/>
    <col min="3860" max="3860" width="16.6640625" style="1858" bestFit="1" customWidth="1"/>
    <col min="3861" max="4096" width="9.33203125" style="1858"/>
    <col min="4097" max="4097" width="12" style="1858" customWidth="1"/>
    <col min="4098" max="4103" width="0" style="1858" hidden="1" customWidth="1"/>
    <col min="4104" max="4115" width="14.6640625" style="1858" customWidth="1"/>
    <col min="4116" max="4116" width="16.6640625" style="1858" bestFit="1" customWidth="1"/>
    <col min="4117" max="4352" width="9.33203125" style="1858"/>
    <col min="4353" max="4353" width="12" style="1858" customWidth="1"/>
    <col min="4354" max="4359" width="0" style="1858" hidden="1" customWidth="1"/>
    <col min="4360" max="4371" width="14.6640625" style="1858" customWidth="1"/>
    <col min="4372" max="4372" width="16.6640625" style="1858" bestFit="1" customWidth="1"/>
    <col min="4373" max="4608" width="9.33203125" style="1858"/>
    <col min="4609" max="4609" width="12" style="1858" customWidth="1"/>
    <col min="4610" max="4615" width="0" style="1858" hidden="1" customWidth="1"/>
    <col min="4616" max="4627" width="14.6640625" style="1858" customWidth="1"/>
    <col min="4628" max="4628" width="16.6640625" style="1858" bestFit="1" customWidth="1"/>
    <col min="4629" max="4864" width="9.33203125" style="1858"/>
    <col min="4865" max="4865" width="12" style="1858" customWidth="1"/>
    <col min="4866" max="4871" width="0" style="1858" hidden="1" customWidth="1"/>
    <col min="4872" max="4883" width="14.6640625" style="1858" customWidth="1"/>
    <col min="4884" max="4884" width="16.6640625" style="1858" bestFit="1" customWidth="1"/>
    <col min="4885" max="5120" width="9.33203125" style="1858"/>
    <col min="5121" max="5121" width="12" style="1858" customWidth="1"/>
    <col min="5122" max="5127" width="0" style="1858" hidden="1" customWidth="1"/>
    <col min="5128" max="5139" width="14.6640625" style="1858" customWidth="1"/>
    <col min="5140" max="5140" width="16.6640625" style="1858" bestFit="1" customWidth="1"/>
    <col min="5141" max="5376" width="9.33203125" style="1858"/>
    <col min="5377" max="5377" width="12" style="1858" customWidth="1"/>
    <col min="5378" max="5383" width="0" style="1858" hidden="1" customWidth="1"/>
    <col min="5384" max="5395" width="14.6640625" style="1858" customWidth="1"/>
    <col min="5396" max="5396" width="16.6640625" style="1858" bestFit="1" customWidth="1"/>
    <col min="5397" max="5632" width="9.33203125" style="1858"/>
    <col min="5633" max="5633" width="12" style="1858" customWidth="1"/>
    <col min="5634" max="5639" width="0" style="1858" hidden="1" customWidth="1"/>
    <col min="5640" max="5651" width="14.6640625" style="1858" customWidth="1"/>
    <col min="5652" max="5652" width="16.6640625" style="1858" bestFit="1" customWidth="1"/>
    <col min="5653" max="5888" width="9.33203125" style="1858"/>
    <col min="5889" max="5889" width="12" style="1858" customWidth="1"/>
    <col min="5890" max="5895" width="0" style="1858" hidden="1" customWidth="1"/>
    <col min="5896" max="5907" width="14.6640625" style="1858" customWidth="1"/>
    <col min="5908" max="5908" width="16.6640625" style="1858" bestFit="1" customWidth="1"/>
    <col min="5909" max="6144" width="9.33203125" style="1858"/>
    <col min="6145" max="6145" width="12" style="1858" customWidth="1"/>
    <col min="6146" max="6151" width="0" style="1858" hidden="1" customWidth="1"/>
    <col min="6152" max="6163" width="14.6640625" style="1858" customWidth="1"/>
    <col min="6164" max="6164" width="16.6640625" style="1858" bestFit="1" customWidth="1"/>
    <col min="6165" max="6400" width="9.33203125" style="1858"/>
    <col min="6401" max="6401" width="12" style="1858" customWidth="1"/>
    <col min="6402" max="6407" width="0" style="1858" hidden="1" customWidth="1"/>
    <col min="6408" max="6419" width="14.6640625" style="1858" customWidth="1"/>
    <col min="6420" max="6420" width="16.6640625" style="1858" bestFit="1" customWidth="1"/>
    <col min="6421" max="6656" width="9.33203125" style="1858"/>
    <col min="6657" max="6657" width="12" style="1858" customWidth="1"/>
    <col min="6658" max="6663" width="0" style="1858" hidden="1" customWidth="1"/>
    <col min="6664" max="6675" width="14.6640625" style="1858" customWidth="1"/>
    <col min="6676" max="6676" width="16.6640625" style="1858" bestFit="1" customWidth="1"/>
    <col min="6677" max="6912" width="9.33203125" style="1858"/>
    <col min="6913" max="6913" width="12" style="1858" customWidth="1"/>
    <col min="6914" max="6919" width="0" style="1858" hidden="1" customWidth="1"/>
    <col min="6920" max="6931" width="14.6640625" style="1858" customWidth="1"/>
    <col min="6932" max="6932" width="16.6640625" style="1858" bestFit="1" customWidth="1"/>
    <col min="6933" max="7168" width="9.33203125" style="1858"/>
    <col min="7169" max="7169" width="12" style="1858" customWidth="1"/>
    <col min="7170" max="7175" width="0" style="1858" hidden="1" customWidth="1"/>
    <col min="7176" max="7187" width="14.6640625" style="1858" customWidth="1"/>
    <col min="7188" max="7188" width="16.6640625" style="1858" bestFit="1" customWidth="1"/>
    <col min="7189" max="7424" width="9.33203125" style="1858"/>
    <col min="7425" max="7425" width="12" style="1858" customWidth="1"/>
    <col min="7426" max="7431" width="0" style="1858" hidden="1" customWidth="1"/>
    <col min="7432" max="7443" width="14.6640625" style="1858" customWidth="1"/>
    <col min="7444" max="7444" width="16.6640625" style="1858" bestFit="1" customWidth="1"/>
    <col min="7445" max="7680" width="9.33203125" style="1858"/>
    <col min="7681" max="7681" width="12" style="1858" customWidth="1"/>
    <col min="7682" max="7687" width="0" style="1858" hidden="1" customWidth="1"/>
    <col min="7688" max="7699" width="14.6640625" style="1858" customWidth="1"/>
    <col min="7700" max="7700" width="16.6640625" style="1858" bestFit="1" customWidth="1"/>
    <col min="7701" max="7936" width="9.33203125" style="1858"/>
    <col min="7937" max="7937" width="12" style="1858" customWidth="1"/>
    <col min="7938" max="7943" width="0" style="1858" hidden="1" customWidth="1"/>
    <col min="7944" max="7955" width="14.6640625" style="1858" customWidth="1"/>
    <col min="7956" max="7956" width="16.6640625" style="1858" bestFit="1" customWidth="1"/>
    <col min="7957" max="8192" width="9.33203125" style="1858"/>
    <col min="8193" max="8193" width="12" style="1858" customWidth="1"/>
    <col min="8194" max="8199" width="0" style="1858" hidden="1" customWidth="1"/>
    <col min="8200" max="8211" width="14.6640625" style="1858" customWidth="1"/>
    <col min="8212" max="8212" width="16.6640625" style="1858" bestFit="1" customWidth="1"/>
    <col min="8213" max="8448" width="9.33203125" style="1858"/>
    <col min="8449" max="8449" width="12" style="1858" customWidth="1"/>
    <col min="8450" max="8455" width="0" style="1858" hidden="1" customWidth="1"/>
    <col min="8456" max="8467" width="14.6640625" style="1858" customWidth="1"/>
    <col min="8468" max="8468" width="16.6640625" style="1858" bestFit="1" customWidth="1"/>
    <col min="8469" max="8704" width="9.33203125" style="1858"/>
    <col min="8705" max="8705" width="12" style="1858" customWidth="1"/>
    <col min="8706" max="8711" width="0" style="1858" hidden="1" customWidth="1"/>
    <col min="8712" max="8723" width="14.6640625" style="1858" customWidth="1"/>
    <col min="8724" max="8724" width="16.6640625" style="1858" bestFit="1" customWidth="1"/>
    <col min="8725" max="8960" width="9.33203125" style="1858"/>
    <col min="8961" max="8961" width="12" style="1858" customWidth="1"/>
    <col min="8962" max="8967" width="0" style="1858" hidden="1" customWidth="1"/>
    <col min="8968" max="8979" width="14.6640625" style="1858" customWidth="1"/>
    <col min="8980" max="8980" width="16.6640625" style="1858" bestFit="1" customWidth="1"/>
    <col min="8981" max="9216" width="9.33203125" style="1858"/>
    <col min="9217" max="9217" width="12" style="1858" customWidth="1"/>
    <col min="9218" max="9223" width="0" style="1858" hidden="1" customWidth="1"/>
    <col min="9224" max="9235" width="14.6640625" style="1858" customWidth="1"/>
    <col min="9236" max="9236" width="16.6640625" style="1858" bestFit="1" customWidth="1"/>
    <col min="9237" max="9472" width="9.33203125" style="1858"/>
    <col min="9473" max="9473" width="12" style="1858" customWidth="1"/>
    <col min="9474" max="9479" width="0" style="1858" hidden="1" customWidth="1"/>
    <col min="9480" max="9491" width="14.6640625" style="1858" customWidth="1"/>
    <col min="9492" max="9492" width="16.6640625" style="1858" bestFit="1" customWidth="1"/>
    <col min="9493" max="9728" width="9.33203125" style="1858"/>
    <col min="9729" max="9729" width="12" style="1858" customWidth="1"/>
    <col min="9730" max="9735" width="0" style="1858" hidden="1" customWidth="1"/>
    <col min="9736" max="9747" width="14.6640625" style="1858" customWidth="1"/>
    <col min="9748" max="9748" width="16.6640625" style="1858" bestFit="1" customWidth="1"/>
    <col min="9749" max="9984" width="9.33203125" style="1858"/>
    <col min="9985" max="9985" width="12" style="1858" customWidth="1"/>
    <col min="9986" max="9991" width="0" style="1858" hidden="1" customWidth="1"/>
    <col min="9992" max="10003" width="14.6640625" style="1858" customWidth="1"/>
    <col min="10004" max="10004" width="16.6640625" style="1858" bestFit="1" customWidth="1"/>
    <col min="10005" max="10240" width="9.33203125" style="1858"/>
    <col min="10241" max="10241" width="12" style="1858" customWidth="1"/>
    <col min="10242" max="10247" width="0" style="1858" hidden="1" customWidth="1"/>
    <col min="10248" max="10259" width="14.6640625" style="1858" customWidth="1"/>
    <col min="10260" max="10260" width="16.6640625" style="1858" bestFit="1" customWidth="1"/>
    <col min="10261" max="10496" width="9.33203125" style="1858"/>
    <col min="10497" max="10497" width="12" style="1858" customWidth="1"/>
    <col min="10498" max="10503" width="0" style="1858" hidden="1" customWidth="1"/>
    <col min="10504" max="10515" width="14.6640625" style="1858" customWidth="1"/>
    <col min="10516" max="10516" width="16.6640625" style="1858" bestFit="1" customWidth="1"/>
    <col min="10517" max="10752" width="9.33203125" style="1858"/>
    <col min="10753" max="10753" width="12" style="1858" customWidth="1"/>
    <col min="10754" max="10759" width="0" style="1858" hidden="1" customWidth="1"/>
    <col min="10760" max="10771" width="14.6640625" style="1858" customWidth="1"/>
    <col min="10772" max="10772" width="16.6640625" style="1858" bestFit="1" customWidth="1"/>
    <col min="10773" max="11008" width="9.33203125" style="1858"/>
    <col min="11009" max="11009" width="12" style="1858" customWidth="1"/>
    <col min="11010" max="11015" width="0" style="1858" hidden="1" customWidth="1"/>
    <col min="11016" max="11027" width="14.6640625" style="1858" customWidth="1"/>
    <col min="11028" max="11028" width="16.6640625" style="1858" bestFit="1" customWidth="1"/>
    <col min="11029" max="11264" width="9.33203125" style="1858"/>
    <col min="11265" max="11265" width="12" style="1858" customWidth="1"/>
    <col min="11266" max="11271" width="0" style="1858" hidden="1" customWidth="1"/>
    <col min="11272" max="11283" width="14.6640625" style="1858" customWidth="1"/>
    <col min="11284" max="11284" width="16.6640625" style="1858" bestFit="1" customWidth="1"/>
    <col min="11285" max="11520" width="9.33203125" style="1858"/>
    <col min="11521" max="11521" width="12" style="1858" customWidth="1"/>
    <col min="11522" max="11527" width="0" style="1858" hidden="1" customWidth="1"/>
    <col min="11528" max="11539" width="14.6640625" style="1858" customWidth="1"/>
    <col min="11540" max="11540" width="16.6640625" style="1858" bestFit="1" customWidth="1"/>
    <col min="11541" max="11776" width="9.33203125" style="1858"/>
    <col min="11777" max="11777" width="12" style="1858" customWidth="1"/>
    <col min="11778" max="11783" width="0" style="1858" hidden="1" customWidth="1"/>
    <col min="11784" max="11795" width="14.6640625" style="1858" customWidth="1"/>
    <col min="11796" max="11796" width="16.6640625" style="1858" bestFit="1" customWidth="1"/>
    <col min="11797" max="12032" width="9.33203125" style="1858"/>
    <col min="12033" max="12033" width="12" style="1858" customWidth="1"/>
    <col min="12034" max="12039" width="0" style="1858" hidden="1" customWidth="1"/>
    <col min="12040" max="12051" width="14.6640625" style="1858" customWidth="1"/>
    <col min="12052" max="12052" width="16.6640625" style="1858" bestFit="1" customWidth="1"/>
    <col min="12053" max="12288" width="9.33203125" style="1858"/>
    <col min="12289" max="12289" width="12" style="1858" customWidth="1"/>
    <col min="12290" max="12295" width="0" style="1858" hidden="1" customWidth="1"/>
    <col min="12296" max="12307" width="14.6640625" style="1858" customWidth="1"/>
    <col min="12308" max="12308" width="16.6640625" style="1858" bestFit="1" customWidth="1"/>
    <col min="12309" max="12544" width="9.33203125" style="1858"/>
    <col min="12545" max="12545" width="12" style="1858" customWidth="1"/>
    <col min="12546" max="12551" width="0" style="1858" hidden="1" customWidth="1"/>
    <col min="12552" max="12563" width="14.6640625" style="1858" customWidth="1"/>
    <col min="12564" max="12564" width="16.6640625" style="1858" bestFit="1" customWidth="1"/>
    <col min="12565" max="12800" width="9.33203125" style="1858"/>
    <col min="12801" max="12801" width="12" style="1858" customWidth="1"/>
    <col min="12802" max="12807" width="0" style="1858" hidden="1" customWidth="1"/>
    <col min="12808" max="12819" width="14.6640625" style="1858" customWidth="1"/>
    <col min="12820" max="12820" width="16.6640625" style="1858" bestFit="1" customWidth="1"/>
    <col min="12821" max="13056" width="9.33203125" style="1858"/>
    <col min="13057" max="13057" width="12" style="1858" customWidth="1"/>
    <col min="13058" max="13063" width="0" style="1858" hidden="1" customWidth="1"/>
    <col min="13064" max="13075" width="14.6640625" style="1858" customWidth="1"/>
    <col min="13076" max="13076" width="16.6640625" style="1858" bestFit="1" customWidth="1"/>
    <col min="13077" max="13312" width="9.33203125" style="1858"/>
    <col min="13313" max="13313" width="12" style="1858" customWidth="1"/>
    <col min="13314" max="13319" width="0" style="1858" hidden="1" customWidth="1"/>
    <col min="13320" max="13331" width="14.6640625" style="1858" customWidth="1"/>
    <col min="13332" max="13332" width="16.6640625" style="1858" bestFit="1" customWidth="1"/>
    <col min="13333" max="13568" width="9.33203125" style="1858"/>
    <col min="13569" max="13569" width="12" style="1858" customWidth="1"/>
    <col min="13570" max="13575" width="0" style="1858" hidden="1" customWidth="1"/>
    <col min="13576" max="13587" width="14.6640625" style="1858" customWidth="1"/>
    <col min="13588" max="13588" width="16.6640625" style="1858" bestFit="1" customWidth="1"/>
    <col min="13589" max="13824" width="9.33203125" style="1858"/>
    <col min="13825" max="13825" width="12" style="1858" customWidth="1"/>
    <col min="13826" max="13831" width="0" style="1858" hidden="1" customWidth="1"/>
    <col min="13832" max="13843" width="14.6640625" style="1858" customWidth="1"/>
    <col min="13844" max="13844" width="16.6640625" style="1858" bestFit="1" customWidth="1"/>
    <col min="13845" max="14080" width="9.33203125" style="1858"/>
    <col min="14081" max="14081" width="12" style="1858" customWidth="1"/>
    <col min="14082" max="14087" width="0" style="1858" hidden="1" customWidth="1"/>
    <col min="14088" max="14099" width="14.6640625" style="1858" customWidth="1"/>
    <col min="14100" max="14100" width="16.6640625" style="1858" bestFit="1" customWidth="1"/>
    <col min="14101" max="14336" width="9.33203125" style="1858"/>
    <col min="14337" max="14337" width="12" style="1858" customWidth="1"/>
    <col min="14338" max="14343" width="0" style="1858" hidden="1" customWidth="1"/>
    <col min="14344" max="14355" width="14.6640625" style="1858" customWidth="1"/>
    <col min="14356" max="14356" width="16.6640625" style="1858" bestFit="1" customWidth="1"/>
    <col min="14357" max="14592" width="9.33203125" style="1858"/>
    <col min="14593" max="14593" width="12" style="1858" customWidth="1"/>
    <col min="14594" max="14599" width="0" style="1858" hidden="1" customWidth="1"/>
    <col min="14600" max="14611" width="14.6640625" style="1858" customWidth="1"/>
    <col min="14612" max="14612" width="16.6640625" style="1858" bestFit="1" customWidth="1"/>
    <col min="14613" max="14848" width="9.33203125" style="1858"/>
    <col min="14849" max="14849" width="12" style="1858" customWidth="1"/>
    <col min="14850" max="14855" width="0" style="1858" hidden="1" customWidth="1"/>
    <col min="14856" max="14867" width="14.6640625" style="1858" customWidth="1"/>
    <col min="14868" max="14868" width="16.6640625" style="1858" bestFit="1" customWidth="1"/>
    <col min="14869" max="15104" width="9.33203125" style="1858"/>
    <col min="15105" max="15105" width="12" style="1858" customWidth="1"/>
    <col min="15106" max="15111" width="0" style="1858" hidden="1" customWidth="1"/>
    <col min="15112" max="15123" width="14.6640625" style="1858" customWidth="1"/>
    <col min="15124" max="15124" width="16.6640625" style="1858" bestFit="1" customWidth="1"/>
    <col min="15125" max="15360" width="9.33203125" style="1858"/>
    <col min="15361" max="15361" width="12" style="1858" customWidth="1"/>
    <col min="15362" max="15367" width="0" style="1858" hidden="1" customWidth="1"/>
    <col min="15368" max="15379" width="14.6640625" style="1858" customWidth="1"/>
    <col min="15380" max="15380" width="16.6640625" style="1858" bestFit="1" customWidth="1"/>
    <col min="15381" max="15616" width="9.33203125" style="1858"/>
    <col min="15617" max="15617" width="12" style="1858" customWidth="1"/>
    <col min="15618" max="15623" width="0" style="1858" hidden="1" customWidth="1"/>
    <col min="15624" max="15635" width="14.6640625" style="1858" customWidth="1"/>
    <col min="15636" max="15636" width="16.6640625" style="1858" bestFit="1" customWidth="1"/>
    <col min="15637" max="15872" width="9.33203125" style="1858"/>
    <col min="15873" max="15873" width="12" style="1858" customWidth="1"/>
    <col min="15874" max="15879" width="0" style="1858" hidden="1" customWidth="1"/>
    <col min="15880" max="15891" width="14.6640625" style="1858" customWidth="1"/>
    <col min="15892" max="15892" width="16.6640625" style="1858" bestFit="1" customWidth="1"/>
    <col min="15893" max="16128" width="9.33203125" style="1858"/>
    <col min="16129" max="16129" width="12" style="1858" customWidth="1"/>
    <col min="16130" max="16135" width="0" style="1858" hidden="1" customWidth="1"/>
    <col min="16136" max="16147" width="14.6640625" style="1858" customWidth="1"/>
    <col min="16148" max="16148" width="16.6640625" style="1858" bestFit="1" customWidth="1"/>
    <col min="16149" max="16384" width="9.33203125" style="1858"/>
  </cols>
  <sheetData>
    <row r="1" spans="1:20" ht="12.75" customHeight="1">
      <c r="B1" s="1859"/>
      <c r="C1" s="1859"/>
      <c r="D1" s="1859"/>
      <c r="E1" s="1859"/>
      <c r="F1" s="1859"/>
      <c r="G1" s="1859"/>
      <c r="H1" s="1859"/>
      <c r="I1" s="1859"/>
      <c r="J1" s="1859"/>
      <c r="K1" s="1859"/>
      <c r="L1" s="1859"/>
      <c r="M1" s="1859"/>
      <c r="N1" s="1859"/>
      <c r="O1" s="1859"/>
      <c r="P1" s="1859"/>
      <c r="Q1" s="1859"/>
      <c r="R1" s="1859"/>
      <c r="S1" s="1859"/>
      <c r="T1" s="1859"/>
    </row>
    <row r="2" spans="1:20" ht="12.75" customHeight="1">
      <c r="A2" s="2943" t="s">
        <v>2436</v>
      </c>
      <c r="B2" s="1860"/>
      <c r="C2" s="1860"/>
      <c r="D2" s="1860"/>
      <c r="E2" s="1860"/>
      <c r="F2" s="1860"/>
      <c r="G2" s="1860"/>
      <c r="H2" s="1860"/>
      <c r="I2" s="1860"/>
      <c r="J2" s="1860"/>
      <c r="K2" s="1860"/>
      <c r="L2" s="1860"/>
      <c r="M2" s="1860"/>
      <c r="N2" s="1860"/>
      <c r="O2" s="1860"/>
      <c r="P2" s="1860"/>
      <c r="Q2" s="1860"/>
      <c r="R2" s="1860"/>
      <c r="S2" s="1860"/>
      <c r="T2" s="1860"/>
    </row>
    <row r="3" spans="1:20" ht="12.75" customHeight="1">
      <c r="A3" s="2943"/>
      <c r="B3" s="1861">
        <v>39995</v>
      </c>
      <c r="C3" s="1861">
        <v>40026</v>
      </c>
      <c r="D3" s="1861">
        <v>40057</v>
      </c>
      <c r="E3" s="1861">
        <v>40088</v>
      </c>
      <c r="F3" s="1861">
        <v>40119</v>
      </c>
      <c r="G3" s="1861">
        <v>40150</v>
      </c>
      <c r="H3" s="1861">
        <v>40181</v>
      </c>
      <c r="I3" s="1861">
        <v>40212</v>
      </c>
      <c r="J3" s="1861">
        <v>40243</v>
      </c>
      <c r="K3" s="1861">
        <v>40274</v>
      </c>
      <c r="L3" s="1861">
        <v>40305</v>
      </c>
      <c r="M3" s="1861">
        <v>40336</v>
      </c>
      <c r="N3" s="1861">
        <v>40366</v>
      </c>
      <c r="O3" s="1861">
        <v>40397</v>
      </c>
      <c r="P3" s="1861">
        <v>40428</v>
      </c>
      <c r="Q3" s="1861">
        <v>40458</v>
      </c>
      <c r="R3" s="1861">
        <v>40489</v>
      </c>
      <c r="S3" s="1861">
        <v>40519</v>
      </c>
      <c r="T3" s="1861" t="s">
        <v>279</v>
      </c>
    </row>
    <row r="4" spans="1:20" ht="12.75" customHeight="1">
      <c r="A4" s="1858" t="s">
        <v>2437</v>
      </c>
      <c r="B4" s="1862">
        <v>60458.15</v>
      </c>
      <c r="C4" s="1862">
        <v>48412.63</v>
      </c>
      <c r="D4" s="1862">
        <v>58787.71</v>
      </c>
      <c r="E4" s="1862">
        <v>118321.08</v>
      </c>
      <c r="F4" s="1863">
        <v>226585.29</v>
      </c>
      <c r="G4" s="1863">
        <v>376354.78</v>
      </c>
      <c r="H4" s="1863">
        <v>366736.33</v>
      </c>
      <c r="I4" s="1863">
        <v>292763.73</v>
      </c>
      <c r="J4" s="1863">
        <v>269286.81</v>
      </c>
      <c r="K4" s="1863">
        <v>238831.13</v>
      </c>
      <c r="L4" s="1863">
        <v>176711.71</v>
      </c>
      <c r="M4" s="1863">
        <v>124139.12</v>
      </c>
      <c r="N4" s="1863">
        <v>78284.31</v>
      </c>
      <c r="O4" s="1863">
        <v>58509.67</v>
      </c>
      <c r="P4" s="1863">
        <v>71801.58</v>
      </c>
      <c r="Q4" s="1863">
        <v>110466.01</v>
      </c>
      <c r="R4" s="1863">
        <v>240483.72</v>
      </c>
      <c r="S4" s="1863">
        <v>403529.69</v>
      </c>
      <c r="T4" s="1863">
        <f>SUM(H4:S4)</f>
        <v>2431543.81</v>
      </c>
    </row>
    <row r="5" spans="1:20" ht="12.75" customHeight="1">
      <c r="A5" s="1858" t="s">
        <v>2438</v>
      </c>
      <c r="B5" s="1864">
        <v>56.14</v>
      </c>
      <c r="C5" s="1864">
        <v>196.07</v>
      </c>
      <c r="D5" s="1864">
        <v>97.6</v>
      </c>
      <c r="E5" s="1864">
        <v>169.48</v>
      </c>
      <c r="F5" s="1865">
        <v>236.13</v>
      </c>
      <c r="G5" s="1865">
        <v>304.95999999999998</v>
      </c>
      <c r="H5" s="1865">
        <v>328.73</v>
      </c>
      <c r="I5" s="1865">
        <v>247.26</v>
      </c>
      <c r="J5" s="1865">
        <v>228</v>
      </c>
      <c r="K5" s="1865">
        <v>191.33</v>
      </c>
      <c r="L5" s="1865">
        <v>161.33000000000001</v>
      </c>
      <c r="M5" s="1865">
        <v>117.14</v>
      </c>
      <c r="N5" s="1865">
        <v>84.62</v>
      </c>
      <c r="O5" s="1865">
        <v>63.21</v>
      </c>
      <c r="P5" s="1865">
        <v>77.72</v>
      </c>
      <c r="Q5" s="1865">
        <v>104.94</v>
      </c>
      <c r="R5" s="1865">
        <v>211.62</v>
      </c>
      <c r="S5" s="1865">
        <v>369.5</v>
      </c>
      <c r="T5" s="1865">
        <f t="shared" ref="T5:T51" si="0">SUM(H5:S5)</f>
        <v>2185.4000000000005</v>
      </c>
    </row>
    <row r="6" spans="1:20" ht="12.75" customHeight="1">
      <c r="A6" s="1858" t="s">
        <v>2439</v>
      </c>
      <c r="B6" s="1864">
        <v>39.729999999999997</v>
      </c>
      <c r="C6" s="1864">
        <v>34.9</v>
      </c>
      <c r="D6" s="1864">
        <v>51.1</v>
      </c>
      <c r="E6" s="1864">
        <v>72.19</v>
      </c>
      <c r="F6" s="1865">
        <v>164.85</v>
      </c>
      <c r="G6" s="1865">
        <v>300.70999999999998</v>
      </c>
      <c r="H6" s="1865">
        <v>354.4</v>
      </c>
      <c r="I6" s="1865">
        <v>284.23</v>
      </c>
      <c r="J6" s="1865">
        <v>222.18</v>
      </c>
      <c r="K6" s="1865">
        <v>183.41</v>
      </c>
      <c r="L6" s="1865">
        <v>143.93</v>
      </c>
      <c r="M6" s="1865">
        <v>98.45</v>
      </c>
      <c r="N6" s="1865">
        <v>54.81</v>
      </c>
      <c r="O6" s="1865">
        <v>40.04</v>
      </c>
      <c r="P6" s="1865">
        <v>47.88</v>
      </c>
      <c r="Q6" s="1865">
        <v>63.78</v>
      </c>
      <c r="R6" s="1865">
        <v>158.24</v>
      </c>
      <c r="S6" s="1865">
        <v>351.83</v>
      </c>
      <c r="T6" s="1865">
        <f t="shared" si="0"/>
        <v>2003.18</v>
      </c>
    </row>
    <row r="7" spans="1:20" ht="12.75" customHeight="1">
      <c r="A7" s="1858" t="s">
        <v>2440</v>
      </c>
      <c r="B7" s="1864">
        <v>442.85</v>
      </c>
      <c r="C7" s="1864">
        <v>1317.75</v>
      </c>
      <c r="D7" s="1864">
        <v>746.18</v>
      </c>
      <c r="E7" s="1864">
        <v>1070.56</v>
      </c>
      <c r="F7" s="1865">
        <v>1663.97</v>
      </c>
      <c r="G7" s="1865">
        <v>2725.99</v>
      </c>
      <c r="H7" s="1865">
        <v>2658.69</v>
      </c>
      <c r="I7" s="1865">
        <v>2148.86</v>
      </c>
      <c r="J7" s="1865">
        <v>1979.12</v>
      </c>
      <c r="K7" s="1865">
        <v>1732.23</v>
      </c>
      <c r="L7" s="1865">
        <v>1283.5999999999999</v>
      </c>
      <c r="M7" s="1865">
        <v>924.7</v>
      </c>
      <c r="N7" s="1865">
        <v>602.51</v>
      </c>
      <c r="O7" s="1865">
        <v>468.33</v>
      </c>
      <c r="P7" s="1865">
        <v>562.45000000000005</v>
      </c>
      <c r="Q7" s="1865">
        <v>834.8</v>
      </c>
      <c r="R7" s="1865">
        <v>1779.73</v>
      </c>
      <c r="S7" s="1865">
        <v>2982.62</v>
      </c>
      <c r="T7" s="1865">
        <f t="shared" si="0"/>
        <v>17957.64</v>
      </c>
    </row>
    <row r="8" spans="1:20" ht="12.75" customHeight="1">
      <c r="A8" s="1858" t="s">
        <v>2441</v>
      </c>
      <c r="B8" s="1864">
        <v>41.02</v>
      </c>
      <c r="C8" s="1864">
        <v>28.4</v>
      </c>
      <c r="D8" s="1864">
        <v>41.55</v>
      </c>
      <c r="E8" s="1864">
        <v>75.64</v>
      </c>
      <c r="F8" s="1865">
        <v>123.34</v>
      </c>
      <c r="G8" s="1865">
        <v>222.95</v>
      </c>
      <c r="H8" s="1865">
        <v>313.77999999999997</v>
      </c>
      <c r="I8" s="1865">
        <v>224.57</v>
      </c>
      <c r="J8" s="1865">
        <v>173.07</v>
      </c>
      <c r="K8" s="1865">
        <v>150.66</v>
      </c>
      <c r="L8" s="1865">
        <v>124.8</v>
      </c>
      <c r="M8" s="1865">
        <v>72.77</v>
      </c>
      <c r="N8" s="1865">
        <v>53.02</v>
      </c>
      <c r="O8" s="1865">
        <v>40.89</v>
      </c>
      <c r="P8" s="1865">
        <v>44.92</v>
      </c>
      <c r="Q8" s="1865">
        <v>55.62</v>
      </c>
      <c r="R8" s="1865">
        <v>122.8</v>
      </c>
      <c r="S8" s="1865">
        <v>294.31</v>
      </c>
      <c r="T8" s="1865">
        <f t="shared" si="0"/>
        <v>1671.2099999999998</v>
      </c>
    </row>
    <row r="9" spans="1:20" ht="12.75" customHeight="1">
      <c r="A9" s="1858" t="s">
        <v>2442</v>
      </c>
      <c r="B9" s="1864">
        <v>21964.02</v>
      </c>
      <c r="C9" s="1864">
        <v>17631.84</v>
      </c>
      <c r="D9" s="1864">
        <v>20203.38</v>
      </c>
      <c r="E9" s="1864">
        <v>32662.68</v>
      </c>
      <c r="F9" s="1865">
        <v>57414.85</v>
      </c>
      <c r="G9" s="1865">
        <v>94667.19</v>
      </c>
      <c r="H9" s="1865">
        <v>93302.32</v>
      </c>
      <c r="I9" s="1865">
        <v>74686.23</v>
      </c>
      <c r="J9" s="1865">
        <v>68949.45</v>
      </c>
      <c r="K9" s="1865">
        <v>60678.73</v>
      </c>
      <c r="L9" s="1865">
        <v>46900.63</v>
      </c>
      <c r="M9" s="1865">
        <v>38074.699999999997</v>
      </c>
      <c r="N9" s="1865">
        <v>26177.21</v>
      </c>
      <c r="O9" s="1865">
        <v>23898.22</v>
      </c>
      <c r="P9" s="1865">
        <v>27093.89</v>
      </c>
      <c r="Q9" s="1865">
        <v>34117.35</v>
      </c>
      <c r="R9" s="1865">
        <v>62906.35</v>
      </c>
      <c r="S9" s="1865">
        <v>103489.45</v>
      </c>
      <c r="T9" s="1865">
        <f t="shared" si="0"/>
        <v>660274.52999999991</v>
      </c>
    </row>
    <row r="10" spans="1:20" ht="12.75" customHeight="1">
      <c r="A10" s="1858" t="s">
        <v>2443</v>
      </c>
      <c r="B10" s="1864">
        <v>0.16</v>
      </c>
      <c r="C10" s="1864">
        <v>10.69</v>
      </c>
      <c r="D10" s="1864">
        <v>0.22</v>
      </c>
      <c r="E10" s="1864">
        <v>1.47</v>
      </c>
      <c r="F10" s="1865">
        <v>3.38</v>
      </c>
      <c r="G10" s="1865">
        <v>6.56</v>
      </c>
      <c r="H10" s="1865">
        <v>5.25</v>
      </c>
      <c r="I10" s="1865">
        <v>5.66</v>
      </c>
      <c r="J10" s="1865">
        <v>6.04</v>
      </c>
      <c r="K10" s="1865">
        <v>4</v>
      </c>
      <c r="L10" s="1865">
        <v>2.02</v>
      </c>
      <c r="M10" s="1865">
        <v>0.7</v>
      </c>
      <c r="N10" s="1865">
        <v>2.0099999999999998</v>
      </c>
      <c r="O10" s="1865">
        <v>-0.42</v>
      </c>
      <c r="P10" s="1865">
        <v>0.84</v>
      </c>
      <c r="Q10" s="1865">
        <v>1.03</v>
      </c>
      <c r="R10" s="1865">
        <v>5.1100000000000003</v>
      </c>
      <c r="S10" s="1865">
        <v>2.4900000000000002</v>
      </c>
      <c r="T10" s="1865">
        <f t="shared" si="0"/>
        <v>34.730000000000004</v>
      </c>
    </row>
    <row r="11" spans="1:20" ht="12.75" customHeight="1">
      <c r="A11" s="1858" t="s">
        <v>2444</v>
      </c>
      <c r="B11" s="1864">
        <v>50.01</v>
      </c>
      <c r="C11" s="1864">
        <v>39.58</v>
      </c>
      <c r="D11" s="1864">
        <v>51.12</v>
      </c>
      <c r="E11" s="1864">
        <v>57.72</v>
      </c>
      <c r="F11" s="1865">
        <v>84.99</v>
      </c>
      <c r="G11" s="1865">
        <v>120.25</v>
      </c>
      <c r="H11" s="1865">
        <v>164.83</v>
      </c>
      <c r="I11" s="1865">
        <v>114.79</v>
      </c>
      <c r="J11" s="1865">
        <v>82.49</v>
      </c>
      <c r="K11" s="1865">
        <v>93.56</v>
      </c>
      <c r="L11" s="1865">
        <v>115.26</v>
      </c>
      <c r="M11" s="1865">
        <v>63.56</v>
      </c>
      <c r="N11" s="1865">
        <v>29.4</v>
      </c>
      <c r="O11" s="1865">
        <v>87.68</v>
      </c>
      <c r="P11" s="1865">
        <v>69.86</v>
      </c>
      <c r="Q11" s="1865">
        <v>69.23</v>
      </c>
      <c r="R11" s="1865">
        <v>46.16</v>
      </c>
      <c r="S11" s="1865">
        <v>199.65</v>
      </c>
      <c r="T11" s="1865">
        <f t="shared" si="0"/>
        <v>1136.47</v>
      </c>
    </row>
    <row r="12" spans="1:20" ht="12.75" customHeight="1">
      <c r="A12" s="1858" t="s">
        <v>2445</v>
      </c>
      <c r="B12" s="1864">
        <v>23.39</v>
      </c>
      <c r="C12" s="1864">
        <v>681.66</v>
      </c>
      <c r="D12" s="1864">
        <v>137.6</v>
      </c>
      <c r="E12" s="1864">
        <v>74.03</v>
      </c>
      <c r="F12" s="1865">
        <v>102.51</v>
      </c>
      <c r="G12" s="1865">
        <v>225.65</v>
      </c>
      <c r="H12" s="1865">
        <v>252.98</v>
      </c>
      <c r="I12" s="1865">
        <v>177.4</v>
      </c>
      <c r="J12" s="1865">
        <v>154.63999999999999</v>
      </c>
      <c r="K12" s="1865">
        <v>236.14</v>
      </c>
      <c r="L12" s="1865">
        <v>149.09</v>
      </c>
      <c r="M12" s="1865">
        <v>108.96</v>
      </c>
      <c r="N12" s="1865">
        <v>72.790000000000006</v>
      </c>
      <c r="O12" s="1865">
        <v>29.05</v>
      </c>
      <c r="P12" s="1865">
        <v>36.11</v>
      </c>
      <c r="Q12" s="1865">
        <v>52.53</v>
      </c>
      <c r="R12" s="1865">
        <v>126.24</v>
      </c>
      <c r="S12" s="1865">
        <v>272.86</v>
      </c>
      <c r="T12" s="1865">
        <f t="shared" si="0"/>
        <v>1668.79</v>
      </c>
    </row>
    <row r="13" spans="1:20" ht="12.75" customHeight="1">
      <c r="A13" s="1858" t="s">
        <v>2446</v>
      </c>
      <c r="B13" s="1864">
        <v>56.73</v>
      </c>
      <c r="C13" s="1864">
        <v>32.39</v>
      </c>
      <c r="D13" s="1864">
        <v>56.88</v>
      </c>
      <c r="E13" s="1864">
        <v>63.6</v>
      </c>
      <c r="F13" s="1865">
        <v>77.94</v>
      </c>
      <c r="G13" s="1865">
        <v>89.4</v>
      </c>
      <c r="H13" s="1865">
        <v>107.44</v>
      </c>
      <c r="I13" s="1865">
        <v>74.2</v>
      </c>
      <c r="J13" s="1865">
        <v>39.71</v>
      </c>
      <c r="K13" s="1865">
        <v>118.46</v>
      </c>
      <c r="L13" s="1865">
        <v>77.23</v>
      </c>
      <c r="M13" s="1865">
        <v>83.39</v>
      </c>
      <c r="N13" s="1865">
        <v>71.55</v>
      </c>
      <c r="O13" s="1865">
        <v>62.55</v>
      </c>
      <c r="P13" s="1865">
        <v>77.84</v>
      </c>
      <c r="Q13" s="1865">
        <v>84.02</v>
      </c>
      <c r="R13" s="1865">
        <v>38.79</v>
      </c>
      <c r="S13" s="1865">
        <v>201.98</v>
      </c>
      <c r="T13" s="1865">
        <f t="shared" si="0"/>
        <v>1037.1599999999999</v>
      </c>
    </row>
    <row r="14" spans="1:20" ht="12.75" customHeight="1">
      <c r="A14" s="1858" t="s">
        <v>2447</v>
      </c>
      <c r="B14" s="1864">
        <v>1320.49</v>
      </c>
      <c r="C14" s="1864">
        <v>1055.3699999999999</v>
      </c>
      <c r="D14" s="1864">
        <v>1620.93</v>
      </c>
      <c r="E14" s="1864">
        <v>2671.15</v>
      </c>
      <c r="F14" s="1865">
        <v>4826.17</v>
      </c>
      <c r="G14" s="1865">
        <v>8205.6200000000008</v>
      </c>
      <c r="H14" s="1865">
        <v>7414.61</v>
      </c>
      <c r="I14" s="1865">
        <v>6176.58</v>
      </c>
      <c r="J14" s="1865">
        <v>4899.12</v>
      </c>
      <c r="K14" s="1865">
        <v>4651.21</v>
      </c>
      <c r="L14" s="1865">
        <v>3514.35</v>
      </c>
      <c r="M14" s="1865">
        <v>2500.64</v>
      </c>
      <c r="N14" s="1865">
        <v>1811.18</v>
      </c>
      <c r="O14" s="1865">
        <v>1542.12</v>
      </c>
      <c r="P14" s="1865">
        <v>1744.24</v>
      </c>
      <c r="Q14" s="1865">
        <v>2387.25</v>
      </c>
      <c r="R14" s="1865">
        <v>4590.47</v>
      </c>
      <c r="S14" s="1865">
        <v>8168.41</v>
      </c>
      <c r="T14" s="1865">
        <f t="shared" si="0"/>
        <v>49400.179999999993</v>
      </c>
    </row>
    <row r="15" spans="1:20" ht="12.75" customHeight="1">
      <c r="A15" s="1858" t="s">
        <v>2448</v>
      </c>
      <c r="B15" s="1864">
        <v>0</v>
      </c>
      <c r="C15" s="1864">
        <v>0</v>
      </c>
      <c r="D15" s="1864">
        <v>0</v>
      </c>
      <c r="E15" s="1864">
        <v>0.03</v>
      </c>
      <c r="F15" s="1865">
        <v>11.77</v>
      </c>
      <c r="G15" s="1865">
        <v>24.16</v>
      </c>
      <c r="H15" s="1865">
        <v>27.17</v>
      </c>
      <c r="I15" s="1865">
        <v>22</v>
      </c>
      <c r="J15" s="1865">
        <v>21.22</v>
      </c>
      <c r="K15" s="1865">
        <v>13.87</v>
      </c>
      <c r="L15" s="1865">
        <v>11.54</v>
      </c>
      <c r="M15" s="1865">
        <v>8.01</v>
      </c>
      <c r="N15" s="1865">
        <v>2.38</v>
      </c>
      <c r="O15" s="1865">
        <v>0</v>
      </c>
      <c r="P15" s="1865">
        <v>0</v>
      </c>
      <c r="Q15" s="1865">
        <v>0</v>
      </c>
      <c r="R15" s="1865">
        <v>10.19</v>
      </c>
      <c r="S15" s="1865">
        <v>20.39</v>
      </c>
      <c r="T15" s="1865">
        <f t="shared" si="0"/>
        <v>136.77000000000001</v>
      </c>
    </row>
    <row r="16" spans="1:20" ht="12.75" customHeight="1">
      <c r="A16" s="1858" t="s">
        <v>2449</v>
      </c>
      <c r="B16" s="1864">
        <v>0</v>
      </c>
      <c r="C16" s="1864">
        <v>146.94999999999999</v>
      </c>
      <c r="D16" s="1864">
        <v>0.28000000000000003</v>
      </c>
      <c r="E16" s="1864">
        <v>0.08</v>
      </c>
      <c r="F16" s="1865">
        <v>4.8099999999999996</v>
      </c>
      <c r="G16" s="1865">
        <v>13.76</v>
      </c>
      <c r="H16" s="1865">
        <v>10.16</v>
      </c>
      <c r="I16" s="1865">
        <v>7.23</v>
      </c>
      <c r="J16" s="1865">
        <v>4.74</v>
      </c>
      <c r="K16" s="1865">
        <v>3.35</v>
      </c>
      <c r="L16" s="1865">
        <v>0.39</v>
      </c>
      <c r="M16" s="1865">
        <v>0.04</v>
      </c>
      <c r="N16" s="1865">
        <v>0</v>
      </c>
      <c r="O16" s="1865">
        <v>0</v>
      </c>
      <c r="P16" s="1865">
        <v>0</v>
      </c>
      <c r="Q16" s="1865">
        <v>0.12</v>
      </c>
      <c r="R16" s="1865">
        <v>5.41</v>
      </c>
      <c r="S16" s="1865">
        <v>24.76</v>
      </c>
      <c r="T16" s="1865">
        <f t="shared" si="0"/>
        <v>56.2</v>
      </c>
    </row>
    <row r="17" spans="1:20" ht="12.75" customHeight="1">
      <c r="A17" s="1858" t="s">
        <v>2450</v>
      </c>
      <c r="B17" s="1864">
        <v>0.17</v>
      </c>
      <c r="C17" s="1864">
        <v>-0.41</v>
      </c>
      <c r="D17" s="1864">
        <v>1.98</v>
      </c>
      <c r="E17" s="1864">
        <v>19.37</v>
      </c>
      <c r="F17" s="1865">
        <v>7.97</v>
      </c>
      <c r="G17" s="1865">
        <v>-0.32</v>
      </c>
      <c r="H17" s="1865">
        <v>0</v>
      </c>
      <c r="I17" s="1865">
        <v>0</v>
      </c>
      <c r="J17" s="1865">
        <v>0</v>
      </c>
      <c r="K17" s="1865">
        <v>2.17</v>
      </c>
      <c r="L17" s="1865">
        <v>8.4700000000000006</v>
      </c>
      <c r="M17" s="1865">
        <v>0</v>
      </c>
      <c r="N17" s="1865">
        <v>0.77</v>
      </c>
      <c r="O17" s="1865">
        <v>0</v>
      </c>
      <c r="P17" s="1865">
        <v>0</v>
      </c>
      <c r="Q17" s="1865">
        <v>0</v>
      </c>
      <c r="R17" s="1865">
        <v>24.13</v>
      </c>
      <c r="S17" s="1865">
        <v>-2.67</v>
      </c>
      <c r="T17" s="1865">
        <f t="shared" si="0"/>
        <v>32.869999999999997</v>
      </c>
    </row>
    <row r="18" spans="1:20" ht="12.75" customHeight="1">
      <c r="A18" s="1858" t="s">
        <v>2451</v>
      </c>
      <c r="B18" s="1864">
        <v>0</v>
      </c>
      <c r="C18" s="1864">
        <v>0</v>
      </c>
      <c r="D18" s="1864">
        <v>0</v>
      </c>
      <c r="E18" s="1864">
        <v>0</v>
      </c>
      <c r="F18" s="1865">
        <v>0</v>
      </c>
      <c r="G18" s="1865">
        <v>0</v>
      </c>
      <c r="H18" s="1865">
        <v>0</v>
      </c>
      <c r="I18" s="1865">
        <v>0</v>
      </c>
      <c r="J18" s="1865">
        <v>0</v>
      </c>
      <c r="K18" s="1865">
        <v>0</v>
      </c>
      <c r="L18" s="1865">
        <v>0</v>
      </c>
      <c r="M18" s="1865">
        <v>0</v>
      </c>
      <c r="N18" s="1865">
        <v>0</v>
      </c>
      <c r="O18" s="1865">
        <v>0</v>
      </c>
      <c r="P18" s="1865">
        <v>0</v>
      </c>
      <c r="Q18" s="1865">
        <v>0</v>
      </c>
      <c r="R18" s="1865">
        <v>0</v>
      </c>
      <c r="S18" s="1865">
        <v>0</v>
      </c>
      <c r="T18" s="1865">
        <f t="shared" si="0"/>
        <v>0</v>
      </c>
    </row>
    <row r="19" spans="1:20" ht="12.75" customHeight="1">
      <c r="A19" s="1858" t="s">
        <v>2452</v>
      </c>
      <c r="B19" s="1864">
        <v>0</v>
      </c>
      <c r="C19" s="1864">
        <v>0.41</v>
      </c>
      <c r="D19" s="1864">
        <v>0</v>
      </c>
      <c r="E19" s="1864">
        <v>0</v>
      </c>
      <c r="F19" s="1865">
        <v>0</v>
      </c>
      <c r="G19" s="1865">
        <v>0</v>
      </c>
      <c r="H19" s="1865">
        <v>0</v>
      </c>
      <c r="I19" s="1865">
        <v>0</v>
      </c>
      <c r="J19" s="1865">
        <v>0</v>
      </c>
      <c r="K19" s="1865">
        <v>0</v>
      </c>
      <c r="L19" s="1865">
        <v>0</v>
      </c>
      <c r="M19" s="1865">
        <v>0</v>
      </c>
      <c r="N19" s="1865">
        <v>0</v>
      </c>
      <c r="O19" s="1865">
        <v>0</v>
      </c>
      <c r="P19" s="1865">
        <v>0</v>
      </c>
      <c r="Q19" s="1865">
        <v>0</v>
      </c>
      <c r="R19" s="1865">
        <v>0</v>
      </c>
      <c r="S19" s="1865">
        <v>0</v>
      </c>
      <c r="T19" s="1865">
        <f t="shared" si="0"/>
        <v>0</v>
      </c>
    </row>
    <row r="20" spans="1:20" ht="12.75" customHeight="1">
      <c r="A20" s="1858" t="s">
        <v>2453</v>
      </c>
      <c r="B20" s="1864">
        <v>4.3499999999999996</v>
      </c>
      <c r="C20" s="1864">
        <v>2.97</v>
      </c>
      <c r="D20" s="1864">
        <v>4.01</v>
      </c>
      <c r="E20" s="1864">
        <v>7.9</v>
      </c>
      <c r="F20" s="1865">
        <v>25.7</v>
      </c>
      <c r="G20" s="1865">
        <v>42.74</v>
      </c>
      <c r="H20" s="1865">
        <v>63.09</v>
      </c>
      <c r="I20" s="1865">
        <v>47.23</v>
      </c>
      <c r="J20" s="1865">
        <v>31.43</v>
      </c>
      <c r="K20" s="1865">
        <v>37.49</v>
      </c>
      <c r="L20" s="1865">
        <v>16.59</v>
      </c>
      <c r="M20" s="1865">
        <v>16.89</v>
      </c>
      <c r="N20" s="1865">
        <v>4.79</v>
      </c>
      <c r="O20" s="1865">
        <v>4.84</v>
      </c>
      <c r="P20" s="1865">
        <v>6.83</v>
      </c>
      <c r="Q20" s="1865">
        <v>10.06</v>
      </c>
      <c r="R20" s="1865">
        <v>12.39</v>
      </c>
      <c r="S20" s="1865">
        <v>60.59</v>
      </c>
      <c r="T20" s="1865">
        <f t="shared" si="0"/>
        <v>312.22000000000003</v>
      </c>
    </row>
    <row r="21" spans="1:20" ht="12.75" customHeight="1">
      <c r="A21" s="1858" t="s">
        <v>2454</v>
      </c>
      <c r="B21" s="1864">
        <v>5559.13</v>
      </c>
      <c r="C21" s="1864">
        <v>5814.74</v>
      </c>
      <c r="D21" s="1864">
        <v>5776.74</v>
      </c>
      <c r="E21" s="1864">
        <v>7243.08</v>
      </c>
      <c r="F21" s="1865">
        <v>10468.14</v>
      </c>
      <c r="G21" s="1865">
        <v>15014.88</v>
      </c>
      <c r="H21" s="1865">
        <v>14746.03</v>
      </c>
      <c r="I21" s="1865">
        <v>12808.82</v>
      </c>
      <c r="J21" s="1865">
        <v>13067.71</v>
      </c>
      <c r="K21" s="1865">
        <v>12355.35</v>
      </c>
      <c r="L21" s="1865">
        <v>10065.4</v>
      </c>
      <c r="M21" s="1865">
        <v>8779.01</v>
      </c>
      <c r="N21" s="1865">
        <v>7291.21</v>
      </c>
      <c r="O21" s="1865">
        <v>5694.73</v>
      </c>
      <c r="P21" s="1865">
        <v>6281.2</v>
      </c>
      <c r="Q21" s="1865">
        <v>7383.69</v>
      </c>
      <c r="R21" s="1865">
        <v>11051.65</v>
      </c>
      <c r="S21" s="1865">
        <v>16066.73</v>
      </c>
      <c r="T21" s="1865">
        <f t="shared" si="0"/>
        <v>125591.52999999998</v>
      </c>
    </row>
    <row r="22" spans="1:20" ht="12.75" customHeight="1">
      <c r="A22" s="1858" t="s">
        <v>2455</v>
      </c>
      <c r="B22" s="1864">
        <v>2510.7399999999998</v>
      </c>
      <c r="C22" s="1864">
        <v>2216.41</v>
      </c>
      <c r="D22" s="1864">
        <v>2084.16</v>
      </c>
      <c r="E22" s="1864">
        <v>2161.23</v>
      </c>
      <c r="F22" s="1865">
        <v>2584.88</v>
      </c>
      <c r="G22" s="1865">
        <v>2695.98</v>
      </c>
      <c r="H22" s="1865">
        <v>2599.92</v>
      </c>
      <c r="I22" s="1865">
        <v>3151.14</v>
      </c>
      <c r="J22" s="1865">
        <v>2752.59</v>
      </c>
      <c r="K22" s="1865">
        <v>3118.64</v>
      </c>
      <c r="L22" s="1865">
        <v>2617.14</v>
      </c>
      <c r="M22" s="1865">
        <v>2718.65</v>
      </c>
      <c r="N22" s="1865">
        <v>2544.81</v>
      </c>
      <c r="O22" s="1865">
        <v>2406.94</v>
      </c>
      <c r="P22" s="1865">
        <v>2539.37</v>
      </c>
      <c r="Q22" s="1865">
        <v>2625.12</v>
      </c>
      <c r="R22" s="1865">
        <v>2996.52</v>
      </c>
      <c r="S22" s="1865">
        <v>3408.32</v>
      </c>
      <c r="T22" s="1865">
        <f t="shared" si="0"/>
        <v>33479.159999999996</v>
      </c>
    </row>
    <row r="23" spans="1:20" ht="12.75" customHeight="1">
      <c r="A23" s="1858" t="s">
        <v>2456</v>
      </c>
      <c r="B23" s="1864">
        <v>0</v>
      </c>
      <c r="C23" s="1864">
        <v>0</v>
      </c>
      <c r="D23" s="1864">
        <v>0</v>
      </c>
      <c r="E23" s="1864">
        <v>0</v>
      </c>
      <c r="F23" s="1865">
        <v>0</v>
      </c>
      <c r="G23" s="1865">
        <v>0</v>
      </c>
      <c r="H23" s="1865">
        <v>0</v>
      </c>
      <c r="I23" s="1865">
        <v>0</v>
      </c>
      <c r="J23" s="1865">
        <v>0</v>
      </c>
      <c r="K23" s="1865">
        <v>0</v>
      </c>
      <c r="L23" s="1865">
        <v>0</v>
      </c>
      <c r="M23" s="1865">
        <v>0</v>
      </c>
      <c r="N23" s="1865">
        <v>0</v>
      </c>
      <c r="O23" s="1865">
        <v>0</v>
      </c>
      <c r="P23" s="1865">
        <v>0</v>
      </c>
      <c r="Q23" s="1865">
        <v>0</v>
      </c>
      <c r="R23" s="1865">
        <v>0</v>
      </c>
      <c r="S23" s="1865">
        <v>0</v>
      </c>
      <c r="T23" s="1865">
        <f t="shared" si="0"/>
        <v>0</v>
      </c>
    </row>
    <row r="24" spans="1:20" ht="12.75" customHeight="1">
      <c r="A24" s="1858" t="s">
        <v>2457</v>
      </c>
      <c r="B24" s="1864">
        <v>0</v>
      </c>
      <c r="C24" s="1864">
        <v>0</v>
      </c>
      <c r="D24" s="1864">
        <v>0</v>
      </c>
      <c r="E24" s="1864">
        <v>0</v>
      </c>
      <c r="F24" s="1865">
        <v>0</v>
      </c>
      <c r="G24" s="1865">
        <v>0</v>
      </c>
      <c r="H24" s="1865">
        <v>0</v>
      </c>
      <c r="I24" s="1865">
        <v>0</v>
      </c>
      <c r="J24" s="1865">
        <v>0</v>
      </c>
      <c r="K24" s="1865">
        <v>0</v>
      </c>
      <c r="L24" s="1865">
        <v>0</v>
      </c>
      <c r="M24" s="1865">
        <v>0</v>
      </c>
      <c r="N24" s="1865">
        <v>0</v>
      </c>
      <c r="O24" s="1865">
        <v>0</v>
      </c>
      <c r="P24" s="1865">
        <v>0</v>
      </c>
      <c r="Q24" s="1865">
        <v>0</v>
      </c>
      <c r="R24" s="1865">
        <v>0</v>
      </c>
      <c r="S24" s="1865">
        <v>0</v>
      </c>
      <c r="T24" s="1865">
        <f t="shared" si="0"/>
        <v>0</v>
      </c>
    </row>
    <row r="25" spans="1:20" ht="12.75" customHeight="1">
      <c r="A25" s="1858" t="s">
        <v>2458</v>
      </c>
      <c r="B25" s="1864">
        <v>0</v>
      </c>
      <c r="C25" s="1864">
        <v>0</v>
      </c>
      <c r="D25" s="1864">
        <v>0</v>
      </c>
      <c r="E25" s="1864">
        <v>0</v>
      </c>
      <c r="F25" s="1865">
        <v>0</v>
      </c>
      <c r="G25" s="1865">
        <v>0</v>
      </c>
      <c r="H25" s="1865">
        <v>0</v>
      </c>
      <c r="I25" s="1865">
        <v>0</v>
      </c>
      <c r="J25" s="1865">
        <v>0</v>
      </c>
      <c r="K25" s="1865">
        <v>0</v>
      </c>
      <c r="L25" s="1865">
        <v>0</v>
      </c>
      <c r="M25" s="1865">
        <v>0</v>
      </c>
      <c r="N25" s="1865">
        <v>0</v>
      </c>
      <c r="O25" s="1865">
        <v>0</v>
      </c>
      <c r="P25" s="1865">
        <v>0</v>
      </c>
      <c r="Q25" s="1865">
        <v>0</v>
      </c>
      <c r="R25" s="1865">
        <v>0</v>
      </c>
      <c r="S25" s="1865">
        <v>0</v>
      </c>
      <c r="T25" s="1865">
        <f t="shared" si="0"/>
        <v>0</v>
      </c>
    </row>
    <row r="26" spans="1:20" ht="12.75" customHeight="1">
      <c r="A26" s="1858" t="s">
        <v>2459</v>
      </c>
      <c r="B26" s="1864">
        <v>0</v>
      </c>
      <c r="C26" s="1864">
        <v>0</v>
      </c>
      <c r="D26" s="1864">
        <v>0</v>
      </c>
      <c r="E26" s="1864">
        <v>0</v>
      </c>
      <c r="F26" s="1865">
        <v>0</v>
      </c>
      <c r="G26" s="1865">
        <v>0</v>
      </c>
      <c r="H26" s="1865">
        <v>0</v>
      </c>
      <c r="I26" s="1865">
        <v>0</v>
      </c>
      <c r="J26" s="1865">
        <v>0</v>
      </c>
      <c r="K26" s="1865">
        <v>0</v>
      </c>
      <c r="L26" s="1865">
        <v>0</v>
      </c>
      <c r="M26" s="1865">
        <v>0</v>
      </c>
      <c r="N26" s="1865">
        <v>0</v>
      </c>
      <c r="O26" s="1865">
        <v>0</v>
      </c>
      <c r="P26" s="1865">
        <v>0</v>
      </c>
      <c r="Q26" s="1865">
        <v>0</v>
      </c>
      <c r="R26" s="1865">
        <v>0</v>
      </c>
      <c r="S26" s="1865">
        <v>0</v>
      </c>
      <c r="T26" s="1865">
        <f t="shared" si="0"/>
        <v>0</v>
      </c>
    </row>
    <row r="27" spans="1:20" ht="12.75" customHeight="1">
      <c r="A27" s="1858" t="s">
        <v>2460</v>
      </c>
      <c r="B27" s="1864">
        <v>0</v>
      </c>
      <c r="C27" s="1864">
        <v>0</v>
      </c>
      <c r="D27" s="1864">
        <v>0</v>
      </c>
      <c r="E27" s="1864">
        <v>0</v>
      </c>
      <c r="F27" s="1865">
        <v>0</v>
      </c>
      <c r="G27" s="1865">
        <v>0</v>
      </c>
      <c r="H27" s="1865">
        <v>0</v>
      </c>
      <c r="I27" s="1865">
        <v>0</v>
      </c>
      <c r="J27" s="1865">
        <v>0</v>
      </c>
      <c r="K27" s="1865">
        <v>0</v>
      </c>
      <c r="L27" s="1865">
        <v>0</v>
      </c>
      <c r="M27" s="1865">
        <v>0</v>
      </c>
      <c r="N27" s="1865">
        <v>0</v>
      </c>
      <c r="O27" s="1865">
        <v>0</v>
      </c>
      <c r="P27" s="1865">
        <v>0</v>
      </c>
      <c r="Q27" s="1865">
        <v>0</v>
      </c>
      <c r="R27" s="1865">
        <v>0</v>
      </c>
      <c r="S27" s="1865">
        <v>0</v>
      </c>
      <c r="T27" s="1865">
        <f t="shared" si="0"/>
        <v>0</v>
      </c>
    </row>
    <row r="28" spans="1:20" ht="12.75" customHeight="1">
      <c r="A28" s="1858" t="s">
        <v>2461</v>
      </c>
      <c r="B28" s="1864">
        <v>0</v>
      </c>
      <c r="C28" s="1864">
        <v>0</v>
      </c>
      <c r="D28" s="1864">
        <v>0</v>
      </c>
      <c r="E28" s="1864">
        <v>0</v>
      </c>
      <c r="F28" s="1865">
        <v>0</v>
      </c>
      <c r="G28" s="1865">
        <v>0</v>
      </c>
      <c r="H28" s="1865">
        <v>0</v>
      </c>
      <c r="I28" s="1865">
        <v>0</v>
      </c>
      <c r="J28" s="1865">
        <v>0</v>
      </c>
      <c r="K28" s="1865">
        <v>0</v>
      </c>
      <c r="L28" s="1865">
        <v>0</v>
      </c>
      <c r="M28" s="1865">
        <v>0</v>
      </c>
      <c r="N28" s="1865">
        <v>0</v>
      </c>
      <c r="O28" s="1865">
        <v>0</v>
      </c>
      <c r="P28" s="1865">
        <v>0</v>
      </c>
      <c r="Q28" s="1865">
        <v>0</v>
      </c>
      <c r="R28" s="1865">
        <v>0</v>
      </c>
      <c r="S28" s="1865">
        <v>0</v>
      </c>
      <c r="T28" s="1865">
        <f t="shared" si="0"/>
        <v>0</v>
      </c>
    </row>
    <row r="29" spans="1:20" ht="12.75" customHeight="1">
      <c r="A29" s="1858" t="s">
        <v>2462</v>
      </c>
      <c r="B29" s="1864">
        <v>0</v>
      </c>
      <c r="C29" s="1864">
        <v>0</v>
      </c>
      <c r="D29" s="1864">
        <v>0</v>
      </c>
      <c r="E29" s="1864">
        <v>0</v>
      </c>
      <c r="F29" s="1865">
        <v>0</v>
      </c>
      <c r="G29" s="1865">
        <v>0</v>
      </c>
      <c r="H29" s="1865">
        <v>0</v>
      </c>
      <c r="I29" s="1865">
        <v>0</v>
      </c>
      <c r="J29" s="1865">
        <v>0</v>
      </c>
      <c r="K29" s="1865">
        <v>0</v>
      </c>
      <c r="L29" s="1865">
        <v>0</v>
      </c>
      <c r="M29" s="1865">
        <v>0</v>
      </c>
      <c r="N29" s="1865">
        <v>0</v>
      </c>
      <c r="O29" s="1865">
        <v>0</v>
      </c>
      <c r="P29" s="1865">
        <v>0</v>
      </c>
      <c r="Q29" s="1865">
        <v>0</v>
      </c>
      <c r="R29" s="1865">
        <v>0</v>
      </c>
      <c r="S29" s="1865">
        <v>0</v>
      </c>
      <c r="T29" s="1865">
        <f t="shared" si="0"/>
        <v>0</v>
      </c>
    </row>
    <row r="30" spans="1:20" ht="12.75" customHeight="1">
      <c r="A30" s="1858" t="s">
        <v>2463</v>
      </c>
      <c r="B30" s="1864">
        <v>639.39</v>
      </c>
      <c r="C30" s="1864">
        <v>687.32</v>
      </c>
      <c r="D30" s="1864">
        <v>1347.94</v>
      </c>
      <c r="E30" s="1864">
        <v>808.87</v>
      </c>
      <c r="F30" s="1865">
        <v>1660.38</v>
      </c>
      <c r="G30" s="1865">
        <v>1522.07</v>
      </c>
      <c r="H30" s="1865">
        <v>3883.44</v>
      </c>
      <c r="I30" s="1865">
        <v>-228.66</v>
      </c>
      <c r="J30" s="1865">
        <v>1313.5</v>
      </c>
      <c r="K30" s="1865">
        <v>1375.83</v>
      </c>
      <c r="L30" s="1865">
        <v>1384.26</v>
      </c>
      <c r="M30" s="1865">
        <v>1209.3499999999999</v>
      </c>
      <c r="N30" s="1865">
        <v>971.67</v>
      </c>
      <c r="O30" s="1865">
        <v>919.5</v>
      </c>
      <c r="P30" s="1865">
        <v>1007.76</v>
      </c>
      <c r="Q30" s="1865">
        <v>884.96</v>
      </c>
      <c r="R30" s="1865">
        <v>1066.3699999999999</v>
      </c>
      <c r="S30" s="1865">
        <v>2040.6</v>
      </c>
      <c r="T30" s="1865">
        <f t="shared" si="0"/>
        <v>15828.58</v>
      </c>
    </row>
    <row r="31" spans="1:20" ht="12.75" customHeight="1">
      <c r="A31" s="1858" t="s">
        <v>2464</v>
      </c>
      <c r="B31" s="1864">
        <v>0</v>
      </c>
      <c r="C31" s="1864">
        <v>0</v>
      </c>
      <c r="D31" s="1864">
        <v>0</v>
      </c>
      <c r="E31" s="1864">
        <v>0</v>
      </c>
      <c r="F31" s="1865">
        <v>0</v>
      </c>
      <c r="G31" s="1865">
        <v>0</v>
      </c>
      <c r="H31" s="1865">
        <v>0</v>
      </c>
      <c r="I31" s="1865">
        <v>0</v>
      </c>
      <c r="J31" s="1865">
        <v>0</v>
      </c>
      <c r="K31" s="1865">
        <v>0</v>
      </c>
      <c r="L31" s="1865">
        <v>0</v>
      </c>
      <c r="M31" s="1865">
        <v>0</v>
      </c>
      <c r="N31" s="1865">
        <v>0</v>
      </c>
      <c r="O31" s="1865">
        <v>0</v>
      </c>
      <c r="P31" s="1865">
        <v>0</v>
      </c>
      <c r="Q31" s="1865">
        <v>0</v>
      </c>
      <c r="R31" s="1865">
        <v>0</v>
      </c>
      <c r="S31" s="1865">
        <v>0</v>
      </c>
      <c r="T31" s="1865">
        <f t="shared" si="0"/>
        <v>0</v>
      </c>
    </row>
    <row r="32" spans="1:20" ht="12.75" customHeight="1">
      <c r="A32" s="1858" t="s">
        <v>2465</v>
      </c>
      <c r="B32" s="1864">
        <v>182.33</v>
      </c>
      <c r="C32" s="1864">
        <v>175.6</v>
      </c>
      <c r="D32" s="1864">
        <v>301.62</v>
      </c>
      <c r="E32" s="1864">
        <v>189.14</v>
      </c>
      <c r="F32" s="1865">
        <v>268.69</v>
      </c>
      <c r="G32" s="1865">
        <v>444.95</v>
      </c>
      <c r="H32" s="1865">
        <v>264.58</v>
      </c>
      <c r="I32" s="1865">
        <v>645.9</v>
      </c>
      <c r="J32" s="1865">
        <v>163</v>
      </c>
      <c r="K32" s="1865">
        <v>331.34</v>
      </c>
      <c r="L32" s="1865">
        <v>232.26</v>
      </c>
      <c r="M32" s="1865">
        <v>310.33</v>
      </c>
      <c r="N32" s="1865">
        <v>303.06</v>
      </c>
      <c r="O32" s="1865">
        <v>334.66</v>
      </c>
      <c r="P32" s="1865">
        <v>341.68</v>
      </c>
      <c r="Q32" s="1865">
        <v>247.65</v>
      </c>
      <c r="R32" s="1865">
        <v>159.27000000000001</v>
      </c>
      <c r="S32" s="1865">
        <v>390.15</v>
      </c>
      <c r="T32" s="1865">
        <f t="shared" si="0"/>
        <v>3723.8799999999997</v>
      </c>
    </row>
    <row r="33" spans="1:20" ht="12.75" customHeight="1">
      <c r="A33" s="1858" t="s">
        <v>2466</v>
      </c>
      <c r="B33" s="1864">
        <v>697.84</v>
      </c>
      <c r="C33" s="1864">
        <v>607.41</v>
      </c>
      <c r="D33" s="1864">
        <v>940.74</v>
      </c>
      <c r="E33" s="1864">
        <v>1551.26</v>
      </c>
      <c r="F33" s="1865">
        <v>2209.39</v>
      </c>
      <c r="G33" s="1865">
        <v>4121.57</v>
      </c>
      <c r="H33" s="1865">
        <v>3371.42</v>
      </c>
      <c r="I33" s="1865">
        <v>3038.93</v>
      </c>
      <c r="J33" s="1865">
        <v>2883.93</v>
      </c>
      <c r="K33" s="1865">
        <v>2653.48</v>
      </c>
      <c r="L33" s="1865">
        <v>2123.16</v>
      </c>
      <c r="M33" s="1865">
        <v>1634.42</v>
      </c>
      <c r="N33" s="1865">
        <v>902.13</v>
      </c>
      <c r="O33" s="1865">
        <v>649.14</v>
      </c>
      <c r="P33" s="1865">
        <v>1411.74</v>
      </c>
      <c r="Q33" s="1865">
        <v>1103.8599999999999</v>
      </c>
      <c r="R33" s="1865">
        <v>2113.9499999999998</v>
      </c>
      <c r="S33" s="1865">
        <v>3740.25</v>
      </c>
      <c r="T33" s="1865">
        <f t="shared" si="0"/>
        <v>25626.410000000003</v>
      </c>
    </row>
    <row r="34" spans="1:20" ht="12.75" customHeight="1">
      <c r="A34" s="1858" t="s">
        <v>2467</v>
      </c>
      <c r="B34" s="1864">
        <v>71.48</v>
      </c>
      <c r="C34" s="1864">
        <v>191.68</v>
      </c>
      <c r="D34" s="1864">
        <v>76.8</v>
      </c>
      <c r="E34" s="1864">
        <v>126.91</v>
      </c>
      <c r="F34" s="1865">
        <v>58.92</v>
      </c>
      <c r="G34" s="1865">
        <v>94.12</v>
      </c>
      <c r="H34" s="1865">
        <v>169.19</v>
      </c>
      <c r="I34" s="1865">
        <v>481.88</v>
      </c>
      <c r="J34" s="1865">
        <v>112.21</v>
      </c>
      <c r="K34" s="1865">
        <v>145.18</v>
      </c>
      <c r="L34" s="1865">
        <v>64.14</v>
      </c>
      <c r="M34" s="1865">
        <v>157.99</v>
      </c>
      <c r="N34" s="1865">
        <v>188.2</v>
      </c>
      <c r="O34" s="1865">
        <v>52.72</v>
      </c>
      <c r="P34" s="1865">
        <v>71.77</v>
      </c>
      <c r="Q34" s="1865">
        <v>41.87</v>
      </c>
      <c r="R34" s="1865">
        <v>67.86</v>
      </c>
      <c r="S34" s="1865">
        <v>155.15</v>
      </c>
      <c r="T34" s="1865">
        <f t="shared" si="0"/>
        <v>1708.16</v>
      </c>
    </row>
    <row r="35" spans="1:20" ht="12.75" customHeight="1">
      <c r="A35" s="1858" t="s">
        <v>2468</v>
      </c>
      <c r="B35" s="1864">
        <v>0</v>
      </c>
      <c r="C35" s="1864">
        <v>0</v>
      </c>
      <c r="D35" s="1864">
        <v>0</v>
      </c>
      <c r="E35" s="1864">
        <v>0</v>
      </c>
      <c r="F35" s="1865">
        <v>0</v>
      </c>
      <c r="G35" s="1865">
        <v>0</v>
      </c>
      <c r="H35" s="1865">
        <v>0</v>
      </c>
      <c r="I35" s="1865">
        <v>0</v>
      </c>
      <c r="J35" s="1865">
        <v>0</v>
      </c>
      <c r="K35" s="1865">
        <v>0</v>
      </c>
      <c r="L35" s="1865">
        <v>0</v>
      </c>
      <c r="M35" s="1865">
        <v>0</v>
      </c>
      <c r="N35" s="1865">
        <v>0</v>
      </c>
      <c r="O35" s="1865">
        <v>0</v>
      </c>
      <c r="P35" s="1865">
        <v>0</v>
      </c>
      <c r="Q35" s="1865">
        <v>0</v>
      </c>
      <c r="R35" s="1865">
        <v>0</v>
      </c>
      <c r="S35" s="1865">
        <v>0</v>
      </c>
      <c r="T35" s="1865">
        <f t="shared" si="0"/>
        <v>0</v>
      </c>
    </row>
    <row r="36" spans="1:20" ht="12.75" customHeight="1">
      <c r="A36" s="1858" t="s">
        <v>2469</v>
      </c>
      <c r="B36" s="1864">
        <v>1090.49</v>
      </c>
      <c r="C36" s="1864">
        <v>1011.25</v>
      </c>
      <c r="D36" s="1864">
        <v>1155.51</v>
      </c>
      <c r="E36" s="1864">
        <v>992.46</v>
      </c>
      <c r="F36" s="1865">
        <v>1400.18</v>
      </c>
      <c r="G36" s="1865">
        <v>1399.16</v>
      </c>
      <c r="H36" s="1865">
        <v>1369.52</v>
      </c>
      <c r="I36" s="1865">
        <v>1886.41</v>
      </c>
      <c r="J36" s="1865">
        <v>669.56</v>
      </c>
      <c r="K36" s="1865">
        <v>1252.0899999999999</v>
      </c>
      <c r="L36" s="1865">
        <v>988.33</v>
      </c>
      <c r="M36" s="1865">
        <v>1152.46</v>
      </c>
      <c r="N36" s="1865">
        <v>1052.31</v>
      </c>
      <c r="O36" s="1865">
        <v>876.47</v>
      </c>
      <c r="P36" s="1865">
        <v>857.84</v>
      </c>
      <c r="Q36" s="1865">
        <v>1063.52</v>
      </c>
      <c r="R36" s="1865">
        <v>985.69</v>
      </c>
      <c r="S36" s="1865">
        <v>1701.72</v>
      </c>
      <c r="T36" s="1865">
        <f t="shared" si="0"/>
        <v>13855.92</v>
      </c>
    </row>
    <row r="37" spans="1:20" ht="12.75" customHeight="1">
      <c r="A37" s="1858" t="s">
        <v>2470</v>
      </c>
      <c r="B37" s="1864">
        <v>0</v>
      </c>
      <c r="C37" s="1864">
        <v>0</v>
      </c>
      <c r="D37" s="1864">
        <v>0</v>
      </c>
      <c r="E37" s="1864">
        <v>0</v>
      </c>
      <c r="F37" s="1865">
        <v>0</v>
      </c>
      <c r="G37" s="1865">
        <v>0</v>
      </c>
      <c r="H37" s="1865">
        <v>0</v>
      </c>
      <c r="I37" s="1865">
        <v>0</v>
      </c>
      <c r="J37" s="1865">
        <v>0</v>
      </c>
      <c r="K37" s="1865">
        <v>0</v>
      </c>
      <c r="L37" s="1865">
        <v>0</v>
      </c>
      <c r="M37" s="1865">
        <v>0</v>
      </c>
      <c r="N37" s="1865">
        <v>0</v>
      </c>
      <c r="O37" s="1865">
        <v>0</v>
      </c>
      <c r="P37" s="1865">
        <v>0</v>
      </c>
      <c r="Q37" s="1865">
        <v>0</v>
      </c>
      <c r="R37" s="1865">
        <v>0</v>
      </c>
      <c r="S37" s="1865">
        <v>0</v>
      </c>
      <c r="T37" s="1865">
        <f t="shared" si="0"/>
        <v>0</v>
      </c>
    </row>
    <row r="38" spans="1:20" ht="12.75" customHeight="1">
      <c r="A38" s="1858" t="s">
        <v>2471</v>
      </c>
      <c r="B38" s="1864">
        <v>82.95</v>
      </c>
      <c r="C38" s="1864">
        <v>75.400000000000006</v>
      </c>
      <c r="D38" s="1864">
        <v>48.43</v>
      </c>
      <c r="E38" s="1864">
        <v>55.44</v>
      </c>
      <c r="F38" s="1865">
        <v>67.63</v>
      </c>
      <c r="G38" s="1865">
        <v>61.56</v>
      </c>
      <c r="H38" s="1865">
        <v>679.55</v>
      </c>
      <c r="I38" s="1865">
        <v>96.52</v>
      </c>
      <c r="J38" s="1865">
        <v>97.63</v>
      </c>
      <c r="K38" s="1865">
        <v>90.07</v>
      </c>
      <c r="L38" s="1865">
        <v>124.65</v>
      </c>
      <c r="M38" s="1865">
        <v>108.56</v>
      </c>
      <c r="N38" s="1865">
        <v>95.5</v>
      </c>
      <c r="O38" s="1865">
        <v>83.55</v>
      </c>
      <c r="P38" s="1865">
        <v>129.71</v>
      </c>
      <c r="Q38" s="1865">
        <v>128.84</v>
      </c>
      <c r="R38" s="1865">
        <v>148.09</v>
      </c>
      <c r="S38" s="1865">
        <v>127</v>
      </c>
      <c r="T38" s="1865">
        <f t="shared" si="0"/>
        <v>1909.6699999999998</v>
      </c>
    </row>
    <row r="39" spans="1:20" ht="12.75" customHeight="1">
      <c r="A39" s="1858" t="s">
        <v>2472</v>
      </c>
      <c r="B39" s="1864">
        <v>0</v>
      </c>
      <c r="C39" s="1864">
        <v>0</v>
      </c>
      <c r="D39" s="1864">
        <v>0</v>
      </c>
      <c r="E39" s="1864">
        <v>0</v>
      </c>
      <c r="F39" s="1865">
        <v>0</v>
      </c>
      <c r="G39" s="1865">
        <v>0</v>
      </c>
      <c r="H39" s="1865">
        <v>0</v>
      </c>
      <c r="I39" s="1865">
        <v>0</v>
      </c>
      <c r="J39" s="1865">
        <v>0</v>
      </c>
      <c r="K39" s="1865">
        <v>0</v>
      </c>
      <c r="L39" s="1865">
        <v>0</v>
      </c>
      <c r="M39" s="1865">
        <v>0</v>
      </c>
      <c r="N39" s="1865">
        <v>0</v>
      </c>
      <c r="O39" s="1865">
        <v>0</v>
      </c>
      <c r="P39" s="1865">
        <v>0</v>
      </c>
      <c r="Q39" s="1865"/>
      <c r="R39" s="1865">
        <v>0</v>
      </c>
      <c r="S39" s="1865">
        <v>0</v>
      </c>
      <c r="T39" s="1865">
        <f t="shared" si="0"/>
        <v>0</v>
      </c>
    </row>
    <row r="40" spans="1:20" ht="12.75" customHeight="1">
      <c r="A40" s="1858" t="s">
        <v>2473</v>
      </c>
      <c r="B40" s="1864">
        <v>0</v>
      </c>
      <c r="C40" s="1864">
        <v>0</v>
      </c>
      <c r="D40" s="1864">
        <v>0</v>
      </c>
      <c r="E40" s="1864">
        <v>0</v>
      </c>
      <c r="F40" s="1865">
        <v>0</v>
      </c>
      <c r="G40" s="1865">
        <v>0</v>
      </c>
      <c r="H40" s="1865">
        <v>0</v>
      </c>
      <c r="I40" s="1865">
        <v>0</v>
      </c>
      <c r="J40" s="1865">
        <v>0</v>
      </c>
      <c r="K40" s="1865">
        <v>0</v>
      </c>
      <c r="L40" s="1865">
        <v>0</v>
      </c>
      <c r="M40" s="1865">
        <v>0</v>
      </c>
      <c r="N40" s="1865">
        <v>0</v>
      </c>
      <c r="O40" s="1865">
        <v>0</v>
      </c>
      <c r="P40" s="1865">
        <v>0</v>
      </c>
      <c r="Q40" s="1865">
        <v>0</v>
      </c>
      <c r="R40" s="1865">
        <v>0</v>
      </c>
      <c r="S40" s="1865">
        <v>0</v>
      </c>
      <c r="T40" s="1865">
        <f t="shared" si="0"/>
        <v>0</v>
      </c>
    </row>
    <row r="41" spans="1:20" ht="12.75" customHeight="1">
      <c r="A41" s="1858" t="s">
        <v>2474</v>
      </c>
      <c r="B41" s="1864">
        <v>272.07</v>
      </c>
      <c r="C41" s="1864">
        <v>136.44</v>
      </c>
      <c r="D41" s="1864">
        <v>110.78</v>
      </c>
      <c r="E41" s="1864">
        <v>123.46</v>
      </c>
      <c r="F41" s="1865">
        <v>171.96</v>
      </c>
      <c r="G41" s="1865">
        <v>182.28</v>
      </c>
      <c r="H41" s="1865">
        <v>242.13</v>
      </c>
      <c r="I41" s="1865">
        <v>208.12</v>
      </c>
      <c r="J41" s="1865">
        <v>201.34</v>
      </c>
      <c r="K41" s="1865">
        <v>243.75</v>
      </c>
      <c r="L41" s="1865">
        <v>237.35</v>
      </c>
      <c r="M41" s="1865">
        <v>212.8</v>
      </c>
      <c r="N41" s="1865">
        <v>185.3</v>
      </c>
      <c r="O41" s="1865">
        <v>199.6</v>
      </c>
      <c r="P41" s="1865">
        <v>187.57</v>
      </c>
      <c r="Q41" s="1865">
        <v>283.68</v>
      </c>
      <c r="R41" s="1865">
        <v>311.63</v>
      </c>
      <c r="S41" s="1865">
        <v>520.37</v>
      </c>
      <c r="T41" s="1865">
        <f t="shared" si="0"/>
        <v>3033.64</v>
      </c>
    </row>
    <row r="42" spans="1:20" ht="12.75" customHeight="1">
      <c r="A42" s="1858" t="s">
        <v>2475</v>
      </c>
      <c r="B42" s="1864">
        <v>407.14</v>
      </c>
      <c r="C42" s="1864">
        <v>396.24</v>
      </c>
      <c r="D42" s="1864">
        <v>495.47</v>
      </c>
      <c r="E42" s="1864">
        <v>465.88</v>
      </c>
      <c r="F42" s="1865">
        <v>487.07</v>
      </c>
      <c r="G42" s="1865">
        <v>580.73</v>
      </c>
      <c r="H42" s="1865">
        <v>627.76</v>
      </c>
      <c r="I42" s="1865">
        <v>639.91</v>
      </c>
      <c r="J42" s="1865">
        <v>596.74</v>
      </c>
      <c r="K42" s="1865">
        <v>679.42</v>
      </c>
      <c r="L42" s="1865">
        <v>644.45000000000005</v>
      </c>
      <c r="M42" s="1865">
        <v>595.14</v>
      </c>
      <c r="N42" s="1865">
        <v>642.12</v>
      </c>
      <c r="O42" s="1865">
        <v>834.89</v>
      </c>
      <c r="P42" s="1865">
        <v>865.19</v>
      </c>
      <c r="Q42" s="1865">
        <v>825.99</v>
      </c>
      <c r="R42" s="1865">
        <v>976.43</v>
      </c>
      <c r="S42" s="1865">
        <v>1090.02</v>
      </c>
      <c r="T42" s="1865">
        <f t="shared" si="0"/>
        <v>9018.0600000000013</v>
      </c>
    </row>
    <row r="43" spans="1:20" ht="12.75" customHeight="1">
      <c r="A43" s="1858" t="s">
        <v>2476</v>
      </c>
      <c r="B43" s="1864">
        <v>1872.67</v>
      </c>
      <c r="C43" s="1864">
        <v>1808.43</v>
      </c>
      <c r="D43" s="1864">
        <v>1863.08</v>
      </c>
      <c r="E43" s="1864">
        <v>2011.03</v>
      </c>
      <c r="F43" s="1865">
        <v>1946.13</v>
      </c>
      <c r="G43" s="1865">
        <v>2027.29</v>
      </c>
      <c r="H43" s="1865">
        <v>2276.7199999999998</v>
      </c>
      <c r="I43" s="1865">
        <v>2087.96</v>
      </c>
      <c r="J43" s="1865">
        <v>2114.94</v>
      </c>
      <c r="K43" s="1865">
        <v>2128.6999999999998</v>
      </c>
      <c r="L43" s="1865">
        <v>2037.47</v>
      </c>
      <c r="M43" s="1865">
        <v>2253.4699999999998</v>
      </c>
      <c r="N43" s="1865">
        <v>1908.4</v>
      </c>
      <c r="O43" s="1865">
        <v>1834.27</v>
      </c>
      <c r="P43" s="1865">
        <v>1881.79</v>
      </c>
      <c r="Q43" s="1865">
        <v>1710.44</v>
      </c>
      <c r="R43" s="1865">
        <v>2125.06</v>
      </c>
      <c r="S43" s="1865">
        <v>2215.89</v>
      </c>
      <c r="T43" s="1865">
        <f t="shared" si="0"/>
        <v>24575.109999999997</v>
      </c>
    </row>
    <row r="44" spans="1:20" ht="12.75" customHeight="1">
      <c r="A44" s="1858" t="s">
        <v>2477</v>
      </c>
      <c r="B44" s="1864">
        <v>0</v>
      </c>
      <c r="C44" s="1864">
        <v>0</v>
      </c>
      <c r="D44" s="1864">
        <v>0</v>
      </c>
      <c r="E44" s="1864">
        <v>3830.37</v>
      </c>
      <c r="F44" s="1865">
        <v>4549.1000000000004</v>
      </c>
      <c r="G44" s="1865">
        <v>3359.73</v>
      </c>
      <c r="H44" s="1865">
        <v>3345.61</v>
      </c>
      <c r="I44" s="1865">
        <v>3083.1</v>
      </c>
      <c r="J44" s="1865">
        <v>3328.54</v>
      </c>
      <c r="K44" s="1865">
        <v>6503.89</v>
      </c>
      <c r="L44" s="1865">
        <v>5318.7</v>
      </c>
      <c r="M44" s="1865">
        <v>3533.77</v>
      </c>
      <c r="N44" s="1865">
        <v>3927.3</v>
      </c>
      <c r="O44" s="1865">
        <v>3447.63</v>
      </c>
      <c r="P44" s="1865">
        <v>3803.8</v>
      </c>
      <c r="Q44" s="1865">
        <v>3287.71</v>
      </c>
      <c r="R44" s="1865">
        <v>3991.78</v>
      </c>
      <c r="S44" s="1865">
        <v>3670.06</v>
      </c>
      <c r="T44" s="1865">
        <f t="shared" si="0"/>
        <v>47241.89</v>
      </c>
    </row>
    <row r="45" spans="1:20" ht="12.75" customHeight="1">
      <c r="A45" s="1858" t="s">
        <v>2478</v>
      </c>
      <c r="B45" s="1864">
        <v>0</v>
      </c>
      <c r="C45" s="1864">
        <v>0</v>
      </c>
      <c r="D45" s="1864">
        <v>0</v>
      </c>
      <c r="E45" s="1864">
        <v>0</v>
      </c>
      <c r="F45" s="1865">
        <v>0</v>
      </c>
      <c r="G45" s="1865">
        <v>0</v>
      </c>
      <c r="H45" s="1865">
        <v>0</v>
      </c>
      <c r="I45" s="1865">
        <v>0</v>
      </c>
      <c r="J45" s="1865">
        <v>0</v>
      </c>
      <c r="K45" s="1865">
        <v>0</v>
      </c>
      <c r="L45" s="1865">
        <v>0</v>
      </c>
      <c r="M45" s="1865">
        <v>0</v>
      </c>
      <c r="N45" s="1865">
        <v>0</v>
      </c>
      <c r="O45" s="1865">
        <v>0</v>
      </c>
      <c r="P45" s="1865">
        <v>0</v>
      </c>
      <c r="Q45" s="1865">
        <v>0</v>
      </c>
      <c r="R45" s="1865">
        <v>0</v>
      </c>
      <c r="S45" s="1865">
        <v>0</v>
      </c>
      <c r="T45" s="1865">
        <f t="shared" si="0"/>
        <v>0</v>
      </c>
    </row>
    <row r="46" spans="1:20" ht="12.75" customHeight="1">
      <c r="A46" s="1858" t="s">
        <v>2479</v>
      </c>
      <c r="B46" s="1864">
        <v>0</v>
      </c>
      <c r="C46" s="1864">
        <v>0</v>
      </c>
      <c r="D46" s="1864">
        <v>0</v>
      </c>
      <c r="E46" s="1864">
        <v>0</v>
      </c>
      <c r="F46" s="1865">
        <v>0</v>
      </c>
      <c r="G46" s="1865">
        <v>0</v>
      </c>
      <c r="H46" s="1865">
        <v>0</v>
      </c>
      <c r="I46" s="1865">
        <v>0</v>
      </c>
      <c r="J46" s="1865">
        <v>0</v>
      </c>
      <c r="K46" s="1865">
        <v>0</v>
      </c>
      <c r="L46" s="1865">
        <v>0</v>
      </c>
      <c r="M46" s="1865">
        <v>0</v>
      </c>
      <c r="N46" s="1865">
        <v>0</v>
      </c>
      <c r="O46" s="1865">
        <v>0</v>
      </c>
      <c r="P46" s="1865">
        <v>4.92</v>
      </c>
      <c r="Q46" s="1865">
        <v>17.86</v>
      </c>
      <c r="R46" s="1865">
        <v>17.14</v>
      </c>
      <c r="S46" s="1865">
        <v>1.9</v>
      </c>
      <c r="T46" s="1865">
        <f t="shared" si="0"/>
        <v>41.82</v>
      </c>
    </row>
    <row r="47" spans="1:20" ht="12.75" customHeight="1">
      <c r="A47" s="1858" t="s">
        <v>2480</v>
      </c>
      <c r="B47" s="1864">
        <v>527.45000000000005</v>
      </c>
      <c r="C47" s="1864">
        <v>517.44000000000005</v>
      </c>
      <c r="D47" s="1864">
        <v>516.78</v>
      </c>
      <c r="E47" s="1864">
        <v>526.92999999999995</v>
      </c>
      <c r="F47" s="1865">
        <v>552.95000000000005</v>
      </c>
      <c r="G47" s="1865">
        <v>610.16</v>
      </c>
      <c r="H47" s="1865">
        <v>726.68</v>
      </c>
      <c r="I47" s="1865">
        <v>631.29</v>
      </c>
      <c r="J47" s="1865">
        <v>578.1</v>
      </c>
      <c r="K47" s="1865">
        <v>606.44000000000005</v>
      </c>
      <c r="L47" s="1865">
        <v>572.86</v>
      </c>
      <c r="M47" s="1865">
        <v>541.46</v>
      </c>
      <c r="N47" s="1865">
        <v>484.55</v>
      </c>
      <c r="O47" s="1865">
        <v>462.21</v>
      </c>
      <c r="P47" s="1865">
        <v>455.33</v>
      </c>
      <c r="Q47" s="1865">
        <v>473.37</v>
      </c>
      <c r="R47" s="1865">
        <v>559.41999999999996</v>
      </c>
      <c r="S47" s="1865">
        <v>677.95</v>
      </c>
      <c r="T47" s="1865">
        <f t="shared" si="0"/>
        <v>6769.66</v>
      </c>
    </row>
    <row r="48" spans="1:20" ht="12.75" customHeight="1">
      <c r="A48" s="1858" t="s">
        <v>2481</v>
      </c>
      <c r="B48" s="1864">
        <v>2525.16</v>
      </c>
      <c r="C48" s="1864">
        <v>2917.37</v>
      </c>
      <c r="D48" s="1864">
        <v>3004.17</v>
      </c>
      <c r="E48" s="1864">
        <v>2937.33</v>
      </c>
      <c r="F48" s="1865">
        <v>2702.28</v>
      </c>
      <c r="G48" s="1865">
        <v>2459.81</v>
      </c>
      <c r="H48" s="1865">
        <v>2231.34</v>
      </c>
      <c r="I48" s="1865">
        <v>2557.13</v>
      </c>
      <c r="J48" s="1865">
        <v>2202.5</v>
      </c>
      <c r="K48" s="1865">
        <v>2487.13</v>
      </c>
      <c r="L48" s="1865">
        <v>2706.7</v>
      </c>
      <c r="M48" s="1865">
        <v>2744.51</v>
      </c>
      <c r="N48" s="1865">
        <v>2780.97</v>
      </c>
      <c r="O48" s="1865">
        <v>2614.87</v>
      </c>
      <c r="P48" s="1865">
        <v>2773.89</v>
      </c>
      <c r="Q48" s="1865">
        <v>3221.9</v>
      </c>
      <c r="R48" s="1865">
        <v>2085.88</v>
      </c>
      <c r="S48" s="1865">
        <v>2209.4299999999998</v>
      </c>
      <c r="T48" s="1865">
        <f t="shared" si="0"/>
        <v>30616.25</v>
      </c>
    </row>
    <row r="49" spans="1:20" ht="12.75" customHeight="1">
      <c r="A49" s="1858" t="s">
        <v>2482</v>
      </c>
      <c r="B49" s="1864">
        <v>0.28000000000000003</v>
      </c>
      <c r="C49" s="1864">
        <v>0.27</v>
      </c>
      <c r="D49" s="1864">
        <v>0.46</v>
      </c>
      <c r="E49" s="1864">
        <v>0.49</v>
      </c>
      <c r="F49" s="1865">
        <v>0.82</v>
      </c>
      <c r="G49" s="1865">
        <v>1.67</v>
      </c>
      <c r="H49" s="1865">
        <v>0.98</v>
      </c>
      <c r="I49" s="1865">
        <v>0.92</v>
      </c>
      <c r="J49" s="1865">
        <v>1.3</v>
      </c>
      <c r="K49" s="1865">
        <v>1.25</v>
      </c>
      <c r="L49" s="1865">
        <v>0.73</v>
      </c>
      <c r="M49" s="1865">
        <v>0.56000000000000005</v>
      </c>
      <c r="N49" s="1865">
        <v>0.39</v>
      </c>
      <c r="O49" s="1865">
        <v>0.4</v>
      </c>
      <c r="P49" s="1865">
        <v>0.38</v>
      </c>
      <c r="Q49" s="1865">
        <v>0.4</v>
      </c>
      <c r="R49" s="1865">
        <v>1.1000000000000001</v>
      </c>
      <c r="S49" s="1865">
        <v>6.38</v>
      </c>
      <c r="T49" s="1865">
        <f t="shared" si="0"/>
        <v>14.79</v>
      </c>
    </row>
    <row r="50" spans="1:20" ht="12.75" customHeight="1">
      <c r="A50" s="1858" t="s">
        <v>2483</v>
      </c>
      <c r="B50" s="1865">
        <v>0</v>
      </c>
      <c r="C50" s="1865">
        <v>0</v>
      </c>
      <c r="D50" s="1865">
        <v>0</v>
      </c>
      <c r="E50" s="1865">
        <v>0</v>
      </c>
      <c r="F50" s="1865">
        <v>0</v>
      </c>
      <c r="G50" s="1865">
        <v>0</v>
      </c>
      <c r="H50" s="1865">
        <v>0</v>
      </c>
      <c r="I50" s="1865">
        <v>0</v>
      </c>
      <c r="J50" s="1865">
        <v>0</v>
      </c>
      <c r="K50" s="1865">
        <v>0</v>
      </c>
      <c r="L50" s="1865">
        <v>0</v>
      </c>
      <c r="M50" s="1865">
        <v>0</v>
      </c>
      <c r="N50" s="1865">
        <v>0</v>
      </c>
      <c r="O50" s="1865">
        <v>0</v>
      </c>
      <c r="P50" s="1865">
        <v>0</v>
      </c>
      <c r="Q50" s="1865">
        <v>0</v>
      </c>
      <c r="R50" s="1865">
        <v>0</v>
      </c>
      <c r="S50" s="1865">
        <v>0</v>
      </c>
      <c r="T50" s="1865">
        <f t="shared" si="0"/>
        <v>0</v>
      </c>
    </row>
    <row r="51" spans="1:20" ht="12.75" customHeight="1">
      <c r="A51" s="1858" t="s">
        <v>2484</v>
      </c>
      <c r="B51" s="1865">
        <v>0</v>
      </c>
      <c r="C51" s="1865">
        <v>0</v>
      </c>
      <c r="D51" s="1865">
        <v>0</v>
      </c>
      <c r="E51" s="1865">
        <v>0</v>
      </c>
      <c r="F51" s="1865">
        <v>0</v>
      </c>
      <c r="G51" s="1865">
        <v>0</v>
      </c>
      <c r="H51" s="1865">
        <v>0</v>
      </c>
      <c r="I51" s="1865">
        <v>0</v>
      </c>
      <c r="J51" s="1865">
        <v>0</v>
      </c>
      <c r="K51" s="1865">
        <v>0</v>
      </c>
      <c r="L51" s="1865">
        <v>0</v>
      </c>
      <c r="M51" s="1865">
        <v>0</v>
      </c>
      <c r="N51" s="1865">
        <v>0</v>
      </c>
      <c r="O51" s="1865">
        <v>0</v>
      </c>
      <c r="P51" s="1865">
        <v>0</v>
      </c>
      <c r="Q51" s="1865">
        <v>0</v>
      </c>
      <c r="R51" s="1865">
        <v>0</v>
      </c>
      <c r="S51" s="1865">
        <v>0</v>
      </c>
      <c r="T51" s="1865">
        <f t="shared" si="0"/>
        <v>0</v>
      </c>
    </row>
    <row r="52" spans="1:20" ht="12.75" customHeight="1" thickBot="1">
      <c r="A52" s="1858" t="s">
        <v>279</v>
      </c>
      <c r="B52" s="1866">
        <v>100896.33</v>
      </c>
      <c r="C52" s="1866">
        <v>86147.199999999997</v>
      </c>
      <c r="D52" s="1866">
        <v>99523.22</v>
      </c>
      <c r="E52" s="1866">
        <v>178290.86</v>
      </c>
      <c r="F52" s="1866">
        <v>320462.19</v>
      </c>
      <c r="G52" s="1866">
        <v>517880.36</v>
      </c>
      <c r="H52" s="1866">
        <v>508274.65</v>
      </c>
      <c r="I52" s="1866">
        <v>408069.34</v>
      </c>
      <c r="J52" s="1866">
        <v>376161.61</v>
      </c>
      <c r="K52" s="1866">
        <v>340900.3</v>
      </c>
      <c r="L52" s="1866">
        <v>258338.54</v>
      </c>
      <c r="M52" s="1866">
        <v>192161.55</v>
      </c>
      <c r="N52" s="1866">
        <f t="shared" ref="N52:R52" si="1">SUM(N4:N51)</f>
        <v>130529.26999999996</v>
      </c>
      <c r="O52" s="1866">
        <f t="shared" si="1"/>
        <v>105157.76000000001</v>
      </c>
      <c r="P52" s="1866">
        <f t="shared" si="1"/>
        <v>124178.1</v>
      </c>
      <c r="Q52" s="1866">
        <f t="shared" si="1"/>
        <v>171547.59999999989</v>
      </c>
      <c r="R52" s="1866">
        <f t="shared" si="1"/>
        <v>339179.18999999994</v>
      </c>
      <c r="S52" s="1866">
        <f>SUM(S4:S51)</f>
        <v>557987.78000000014</v>
      </c>
      <c r="T52" s="2013">
        <f>SUM(H52:S52)</f>
        <v>3512485.6900000009</v>
      </c>
    </row>
    <row r="53" spans="1:20" ht="12.75" customHeight="1" thickTop="1"/>
    <row r="54" spans="1:20" ht="12.75" customHeight="1">
      <c r="E54" s="1867"/>
    </row>
    <row r="57" spans="1:20" ht="7.5" customHeight="1"/>
    <row r="58" spans="1:20" ht="12.75" customHeight="1">
      <c r="B58" s="1868"/>
      <c r="C58" s="1868"/>
      <c r="D58" s="1868"/>
      <c r="E58" s="1868"/>
    </row>
    <row r="59" spans="1:20" ht="12.75" customHeight="1">
      <c r="B59" s="1869"/>
      <c r="C59" s="1869"/>
      <c r="D59" s="1869"/>
      <c r="E59" s="1869"/>
    </row>
    <row r="60" spans="1:20" ht="12.75" customHeight="1">
      <c r="B60" s="1869"/>
      <c r="C60" s="1869"/>
      <c r="D60" s="1869"/>
      <c r="E60" s="1869"/>
    </row>
    <row r="61" spans="1:20" ht="12.75" customHeight="1">
      <c r="B61" s="1869"/>
      <c r="C61" s="1869"/>
      <c r="D61" s="1869"/>
      <c r="E61" s="1869"/>
    </row>
    <row r="62" spans="1:20" ht="12.75" customHeight="1">
      <c r="B62" s="1869"/>
      <c r="C62" s="1869"/>
      <c r="D62" s="1869"/>
      <c r="E62" s="1869"/>
    </row>
    <row r="63" spans="1:20" ht="12.75" customHeight="1">
      <c r="B63" s="1868"/>
      <c r="C63" s="1868"/>
      <c r="D63" s="1868"/>
      <c r="E63" s="1868"/>
    </row>
    <row r="64" spans="1:20" ht="12.75" customHeight="1">
      <c r="B64" s="1868"/>
      <c r="C64" s="1868"/>
      <c r="D64" s="1869"/>
      <c r="E64" s="1869"/>
    </row>
    <row r="65" spans="2:5" ht="12.75" customHeight="1">
      <c r="B65" s="1869"/>
      <c r="C65" s="1869"/>
      <c r="D65" s="1869"/>
      <c r="E65" s="1869"/>
    </row>
    <row r="66" spans="2:5" ht="12.75" customHeight="1">
      <c r="B66" s="1869"/>
      <c r="C66" s="1869"/>
      <c r="D66" s="1869"/>
      <c r="E66" s="1869"/>
    </row>
    <row r="67" spans="2:5" ht="12.75" customHeight="1">
      <c r="B67" s="1869"/>
      <c r="C67" s="1869"/>
      <c r="D67" s="1869"/>
      <c r="E67" s="1869"/>
    </row>
    <row r="68" spans="2:5" ht="12.75" customHeight="1">
      <c r="B68" s="1870"/>
      <c r="C68" s="1870"/>
      <c r="D68" s="1870"/>
      <c r="E68" s="1870"/>
    </row>
    <row r="69" spans="2:5" ht="12.75" customHeight="1">
      <c r="B69" s="1869"/>
      <c r="C69" s="1869"/>
      <c r="D69" s="1869"/>
      <c r="E69" s="1869"/>
    </row>
    <row r="70" spans="2:5" ht="12.75" customHeight="1">
      <c r="B70" s="1871"/>
      <c r="C70" s="1871"/>
      <c r="D70" s="1871"/>
      <c r="E70" s="1871"/>
    </row>
    <row r="71" spans="2:5" ht="12.75" customHeight="1">
      <c r="B71" s="1870"/>
      <c r="C71" s="1870"/>
      <c r="D71" s="1870"/>
      <c r="E71" s="1870"/>
    </row>
    <row r="72" spans="2:5" ht="12.75" customHeight="1">
      <c r="B72" s="1869"/>
      <c r="C72" s="1869"/>
      <c r="D72" s="1869"/>
      <c r="E72" s="1869"/>
    </row>
    <row r="73" spans="2:5" ht="12.75" customHeight="1">
      <c r="B73" s="1869"/>
      <c r="C73" s="1869"/>
      <c r="D73" s="1869"/>
      <c r="E73" s="1869"/>
    </row>
    <row r="74" spans="2:5" ht="12.75" customHeight="1">
      <c r="B74" s="1870"/>
      <c r="C74" s="1870"/>
      <c r="D74" s="1870"/>
      <c r="E74" s="1870"/>
    </row>
    <row r="75" spans="2:5" ht="12.75" customHeight="1">
      <c r="B75" s="1870"/>
      <c r="C75" s="1870"/>
      <c r="D75" s="1870"/>
      <c r="E75" s="1870"/>
    </row>
    <row r="76" spans="2:5" ht="12.75" customHeight="1">
      <c r="B76" s="1870"/>
      <c r="C76" s="1870"/>
      <c r="D76" s="1870"/>
      <c r="E76" s="1870"/>
    </row>
    <row r="77" spans="2:5" ht="12.75" customHeight="1">
      <c r="B77" s="1870"/>
      <c r="C77" s="1870"/>
      <c r="D77" s="1870"/>
      <c r="E77" s="1870"/>
    </row>
    <row r="78" spans="2:5" ht="12.75" customHeight="1">
      <c r="B78" s="1869"/>
      <c r="C78" s="1869"/>
      <c r="D78" s="1869"/>
      <c r="E78" s="1869"/>
    </row>
    <row r="79" spans="2:5" ht="12.75" customHeight="1">
      <c r="B79" s="1869"/>
      <c r="C79" s="1869"/>
      <c r="D79" s="1869"/>
      <c r="E79" s="1869"/>
    </row>
    <row r="80" spans="2:5" ht="12.75" customHeight="1">
      <c r="B80" s="1870"/>
      <c r="C80" s="1870"/>
      <c r="D80" s="1870"/>
      <c r="E80" s="1870"/>
    </row>
    <row r="81" spans="2:5" ht="12.75" customHeight="1">
      <c r="B81" s="1868"/>
      <c r="C81" s="1868"/>
      <c r="D81" s="1868"/>
      <c r="E81" s="1868"/>
    </row>
    <row r="82" spans="2:5" ht="12.75" customHeight="1">
      <c r="B82" s="1870"/>
      <c r="C82" s="1870"/>
      <c r="D82" s="1870"/>
      <c r="E82" s="1870"/>
    </row>
    <row r="83" spans="2:5" ht="12.75" customHeight="1">
      <c r="B83" s="1868"/>
      <c r="C83" s="1868"/>
      <c r="D83" s="1868"/>
      <c r="E83" s="1868"/>
    </row>
    <row r="84" spans="2:5" ht="12.75" customHeight="1">
      <c r="B84" s="1870"/>
      <c r="C84" s="1870"/>
      <c r="D84" s="1870"/>
      <c r="E84" s="1870"/>
    </row>
    <row r="85" spans="2:5" ht="12.75" customHeight="1">
      <c r="B85" s="1870"/>
      <c r="C85" s="1870"/>
      <c r="D85" s="1870"/>
      <c r="E85" s="1870"/>
    </row>
    <row r="86" spans="2:5" ht="12.75" customHeight="1">
      <c r="B86" s="1870"/>
      <c r="C86" s="1870"/>
      <c r="D86" s="1870"/>
      <c r="E86" s="1870"/>
    </row>
    <row r="87" spans="2:5" ht="12.75" customHeight="1">
      <c r="B87" s="1868"/>
      <c r="C87" s="1868"/>
      <c r="D87" s="1868"/>
      <c r="E87" s="1868"/>
    </row>
    <row r="88" spans="2:5" ht="12.75" customHeight="1">
      <c r="B88" s="1870"/>
      <c r="C88" s="1870"/>
      <c r="D88" s="1870"/>
      <c r="E88" s="1870"/>
    </row>
    <row r="89" spans="2:5" ht="12.75" customHeight="1">
      <c r="B89" s="1870"/>
      <c r="C89" s="1870"/>
      <c r="D89" s="1870"/>
      <c r="E89" s="1870"/>
    </row>
    <row r="90" spans="2:5" ht="12.75" customHeight="1">
      <c r="B90" s="1872"/>
      <c r="C90" s="1872"/>
      <c r="D90" s="1872"/>
      <c r="E90" s="1872"/>
    </row>
    <row r="91" spans="2:5" ht="12.75" customHeight="1">
      <c r="B91" s="1872"/>
      <c r="C91" s="1872"/>
      <c r="D91" s="1872"/>
      <c r="E91" s="1872"/>
    </row>
  </sheetData>
  <mergeCells count="1">
    <mergeCell ref="A2:A3"/>
  </mergeCells>
  <printOptions horizontalCentered="1"/>
  <pageMargins left="0.2" right="0.22" top="0.5" bottom="0.5" header="0.5" footer="0.25"/>
  <pageSetup scale="78" pageOrder="overThenDown" orientation="landscape" r:id="rId1"/>
  <headerFooter alignWithMargins="0">
    <oddFooter xml:space="preserve">&amp;L
Source: $PSEA65A Monthly Report&amp;R&amp;
</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10"/>
  <sheetViews>
    <sheetView workbookViewId="0">
      <selection activeCell="B12" sqref="B12"/>
    </sheetView>
  </sheetViews>
  <sheetFormatPr defaultRowHeight="15"/>
  <cols>
    <col min="1" max="1" width="51.33203125" style="1873" customWidth="1"/>
    <col min="2" max="2" width="16.83203125" style="1873" customWidth="1"/>
    <col min="3" max="256" width="9.33203125" style="1873"/>
    <col min="257" max="257" width="51.33203125" style="1873" customWidth="1"/>
    <col min="258" max="258" width="16.83203125" style="1873" customWidth="1"/>
    <col min="259" max="512" width="9.33203125" style="1873"/>
    <col min="513" max="513" width="51.33203125" style="1873" customWidth="1"/>
    <col min="514" max="514" width="16.83203125" style="1873" customWidth="1"/>
    <col min="515" max="768" width="9.33203125" style="1873"/>
    <col min="769" max="769" width="51.33203125" style="1873" customWidth="1"/>
    <col min="770" max="770" width="16.83203125" style="1873" customWidth="1"/>
    <col min="771" max="1024" width="9.33203125" style="1873"/>
    <col min="1025" max="1025" width="51.33203125" style="1873" customWidth="1"/>
    <col min="1026" max="1026" width="16.83203125" style="1873" customWidth="1"/>
    <col min="1027" max="1280" width="9.33203125" style="1873"/>
    <col min="1281" max="1281" width="51.33203125" style="1873" customWidth="1"/>
    <col min="1282" max="1282" width="16.83203125" style="1873" customWidth="1"/>
    <col min="1283" max="1536" width="9.33203125" style="1873"/>
    <col min="1537" max="1537" width="51.33203125" style="1873" customWidth="1"/>
    <col min="1538" max="1538" width="16.83203125" style="1873" customWidth="1"/>
    <col min="1539" max="1792" width="9.33203125" style="1873"/>
    <col min="1793" max="1793" width="51.33203125" style="1873" customWidth="1"/>
    <col min="1794" max="1794" width="16.83203125" style="1873" customWidth="1"/>
    <col min="1795" max="2048" width="9.33203125" style="1873"/>
    <col min="2049" max="2049" width="51.33203125" style="1873" customWidth="1"/>
    <col min="2050" max="2050" width="16.83203125" style="1873" customWidth="1"/>
    <col min="2051" max="2304" width="9.33203125" style="1873"/>
    <col min="2305" max="2305" width="51.33203125" style="1873" customWidth="1"/>
    <col min="2306" max="2306" width="16.83203125" style="1873" customWidth="1"/>
    <col min="2307" max="2560" width="9.33203125" style="1873"/>
    <col min="2561" max="2561" width="51.33203125" style="1873" customWidth="1"/>
    <col min="2562" max="2562" width="16.83203125" style="1873" customWidth="1"/>
    <col min="2563" max="2816" width="9.33203125" style="1873"/>
    <col min="2817" max="2817" width="51.33203125" style="1873" customWidth="1"/>
    <col min="2818" max="2818" width="16.83203125" style="1873" customWidth="1"/>
    <col min="2819" max="3072" width="9.33203125" style="1873"/>
    <col min="3073" max="3073" width="51.33203125" style="1873" customWidth="1"/>
    <col min="3074" max="3074" width="16.83203125" style="1873" customWidth="1"/>
    <col min="3075" max="3328" width="9.33203125" style="1873"/>
    <col min="3329" max="3329" width="51.33203125" style="1873" customWidth="1"/>
    <col min="3330" max="3330" width="16.83203125" style="1873" customWidth="1"/>
    <col min="3331" max="3584" width="9.33203125" style="1873"/>
    <col min="3585" max="3585" width="51.33203125" style="1873" customWidth="1"/>
    <col min="3586" max="3586" width="16.83203125" style="1873" customWidth="1"/>
    <col min="3587" max="3840" width="9.33203125" style="1873"/>
    <col min="3841" max="3841" width="51.33203125" style="1873" customWidth="1"/>
    <col min="3842" max="3842" width="16.83203125" style="1873" customWidth="1"/>
    <col min="3843" max="4096" width="9.33203125" style="1873"/>
    <col min="4097" max="4097" width="51.33203125" style="1873" customWidth="1"/>
    <col min="4098" max="4098" width="16.83203125" style="1873" customWidth="1"/>
    <col min="4099" max="4352" width="9.33203125" style="1873"/>
    <col min="4353" max="4353" width="51.33203125" style="1873" customWidth="1"/>
    <col min="4354" max="4354" width="16.83203125" style="1873" customWidth="1"/>
    <col min="4355" max="4608" width="9.33203125" style="1873"/>
    <col min="4609" max="4609" width="51.33203125" style="1873" customWidth="1"/>
    <col min="4610" max="4610" width="16.83203125" style="1873" customWidth="1"/>
    <col min="4611" max="4864" width="9.33203125" style="1873"/>
    <col min="4865" max="4865" width="51.33203125" style="1873" customWidth="1"/>
    <col min="4866" max="4866" width="16.83203125" style="1873" customWidth="1"/>
    <col min="4867" max="5120" width="9.33203125" style="1873"/>
    <col min="5121" max="5121" width="51.33203125" style="1873" customWidth="1"/>
    <col min="5122" max="5122" width="16.83203125" style="1873" customWidth="1"/>
    <col min="5123" max="5376" width="9.33203125" style="1873"/>
    <col min="5377" max="5377" width="51.33203125" style="1873" customWidth="1"/>
    <col min="5378" max="5378" width="16.83203125" style="1873" customWidth="1"/>
    <col min="5379" max="5632" width="9.33203125" style="1873"/>
    <col min="5633" max="5633" width="51.33203125" style="1873" customWidth="1"/>
    <col min="5634" max="5634" width="16.83203125" style="1873" customWidth="1"/>
    <col min="5635" max="5888" width="9.33203125" style="1873"/>
    <col min="5889" max="5889" width="51.33203125" style="1873" customWidth="1"/>
    <col min="5890" max="5890" width="16.83203125" style="1873" customWidth="1"/>
    <col min="5891" max="6144" width="9.33203125" style="1873"/>
    <col min="6145" max="6145" width="51.33203125" style="1873" customWidth="1"/>
    <col min="6146" max="6146" width="16.83203125" style="1873" customWidth="1"/>
    <col min="6147" max="6400" width="9.33203125" style="1873"/>
    <col min="6401" max="6401" width="51.33203125" style="1873" customWidth="1"/>
    <col min="6402" max="6402" width="16.83203125" style="1873" customWidth="1"/>
    <col min="6403" max="6656" width="9.33203125" style="1873"/>
    <col min="6657" max="6657" width="51.33203125" style="1873" customWidth="1"/>
    <col min="6658" max="6658" width="16.83203125" style="1873" customWidth="1"/>
    <col min="6659" max="6912" width="9.33203125" style="1873"/>
    <col min="6913" max="6913" width="51.33203125" style="1873" customWidth="1"/>
    <col min="6914" max="6914" width="16.83203125" style="1873" customWidth="1"/>
    <col min="6915" max="7168" width="9.33203125" style="1873"/>
    <col min="7169" max="7169" width="51.33203125" style="1873" customWidth="1"/>
    <col min="7170" max="7170" width="16.83203125" style="1873" customWidth="1"/>
    <col min="7171" max="7424" width="9.33203125" style="1873"/>
    <col min="7425" max="7425" width="51.33203125" style="1873" customWidth="1"/>
    <col min="7426" max="7426" width="16.83203125" style="1873" customWidth="1"/>
    <col min="7427" max="7680" width="9.33203125" style="1873"/>
    <col min="7681" max="7681" width="51.33203125" style="1873" customWidth="1"/>
    <col min="7682" max="7682" width="16.83203125" style="1873" customWidth="1"/>
    <col min="7683" max="7936" width="9.33203125" style="1873"/>
    <col min="7937" max="7937" width="51.33203125" style="1873" customWidth="1"/>
    <col min="7938" max="7938" width="16.83203125" style="1873" customWidth="1"/>
    <col min="7939" max="8192" width="9.33203125" style="1873"/>
    <col min="8193" max="8193" width="51.33203125" style="1873" customWidth="1"/>
    <col min="8194" max="8194" width="16.83203125" style="1873" customWidth="1"/>
    <col min="8195" max="8448" width="9.33203125" style="1873"/>
    <col min="8449" max="8449" width="51.33203125" style="1873" customWidth="1"/>
    <col min="8450" max="8450" width="16.83203125" style="1873" customWidth="1"/>
    <col min="8451" max="8704" width="9.33203125" style="1873"/>
    <col min="8705" max="8705" width="51.33203125" style="1873" customWidth="1"/>
    <col min="8706" max="8706" width="16.83203125" style="1873" customWidth="1"/>
    <col min="8707" max="8960" width="9.33203125" style="1873"/>
    <col min="8961" max="8961" width="51.33203125" style="1873" customWidth="1"/>
    <col min="8962" max="8962" width="16.83203125" style="1873" customWidth="1"/>
    <col min="8963" max="9216" width="9.33203125" style="1873"/>
    <col min="9217" max="9217" width="51.33203125" style="1873" customWidth="1"/>
    <col min="9218" max="9218" width="16.83203125" style="1873" customWidth="1"/>
    <col min="9219" max="9472" width="9.33203125" style="1873"/>
    <col min="9473" max="9473" width="51.33203125" style="1873" customWidth="1"/>
    <col min="9474" max="9474" width="16.83203125" style="1873" customWidth="1"/>
    <col min="9475" max="9728" width="9.33203125" style="1873"/>
    <col min="9729" max="9729" width="51.33203125" style="1873" customWidth="1"/>
    <col min="9730" max="9730" width="16.83203125" style="1873" customWidth="1"/>
    <col min="9731" max="9984" width="9.33203125" style="1873"/>
    <col min="9985" max="9985" width="51.33203125" style="1873" customWidth="1"/>
    <col min="9986" max="9986" width="16.83203125" style="1873" customWidth="1"/>
    <col min="9987" max="10240" width="9.33203125" style="1873"/>
    <col min="10241" max="10241" width="51.33203125" style="1873" customWidth="1"/>
    <col min="10242" max="10242" width="16.83203125" style="1873" customWidth="1"/>
    <col min="10243" max="10496" width="9.33203125" style="1873"/>
    <col min="10497" max="10497" width="51.33203125" style="1873" customWidth="1"/>
    <col min="10498" max="10498" width="16.83203125" style="1873" customWidth="1"/>
    <col min="10499" max="10752" width="9.33203125" style="1873"/>
    <col min="10753" max="10753" width="51.33203125" style="1873" customWidth="1"/>
    <col min="10754" max="10754" width="16.83203125" style="1873" customWidth="1"/>
    <col min="10755" max="11008" width="9.33203125" style="1873"/>
    <col min="11009" max="11009" width="51.33203125" style="1873" customWidth="1"/>
    <col min="11010" max="11010" width="16.83203125" style="1873" customWidth="1"/>
    <col min="11011" max="11264" width="9.33203125" style="1873"/>
    <col min="11265" max="11265" width="51.33203125" style="1873" customWidth="1"/>
    <col min="11266" max="11266" width="16.83203125" style="1873" customWidth="1"/>
    <col min="11267" max="11520" width="9.33203125" style="1873"/>
    <col min="11521" max="11521" width="51.33203125" style="1873" customWidth="1"/>
    <col min="11522" max="11522" width="16.83203125" style="1873" customWidth="1"/>
    <col min="11523" max="11776" width="9.33203125" style="1873"/>
    <col min="11777" max="11777" width="51.33203125" style="1873" customWidth="1"/>
    <col min="11778" max="11778" width="16.83203125" style="1873" customWidth="1"/>
    <col min="11779" max="12032" width="9.33203125" style="1873"/>
    <col min="12033" max="12033" width="51.33203125" style="1873" customWidth="1"/>
    <col min="12034" max="12034" width="16.83203125" style="1873" customWidth="1"/>
    <col min="12035" max="12288" width="9.33203125" style="1873"/>
    <col min="12289" max="12289" width="51.33203125" style="1873" customWidth="1"/>
    <col min="12290" max="12290" width="16.83203125" style="1873" customWidth="1"/>
    <col min="12291" max="12544" width="9.33203125" style="1873"/>
    <col min="12545" max="12545" width="51.33203125" style="1873" customWidth="1"/>
    <col min="12546" max="12546" width="16.83203125" style="1873" customWidth="1"/>
    <col min="12547" max="12800" width="9.33203125" style="1873"/>
    <col min="12801" max="12801" width="51.33203125" style="1873" customWidth="1"/>
    <col min="12802" max="12802" width="16.83203125" style="1873" customWidth="1"/>
    <col min="12803" max="13056" width="9.33203125" style="1873"/>
    <col min="13057" max="13057" width="51.33203125" style="1873" customWidth="1"/>
    <col min="13058" max="13058" width="16.83203125" style="1873" customWidth="1"/>
    <col min="13059" max="13312" width="9.33203125" style="1873"/>
    <col min="13313" max="13313" width="51.33203125" style="1873" customWidth="1"/>
    <col min="13314" max="13314" width="16.83203125" style="1873" customWidth="1"/>
    <col min="13315" max="13568" width="9.33203125" style="1873"/>
    <col min="13569" max="13569" width="51.33203125" style="1873" customWidth="1"/>
    <col min="13570" max="13570" width="16.83203125" style="1873" customWidth="1"/>
    <col min="13571" max="13824" width="9.33203125" style="1873"/>
    <col min="13825" max="13825" width="51.33203125" style="1873" customWidth="1"/>
    <col min="13826" max="13826" width="16.83203125" style="1873" customWidth="1"/>
    <col min="13827" max="14080" width="9.33203125" style="1873"/>
    <col min="14081" max="14081" width="51.33203125" style="1873" customWidth="1"/>
    <col min="14082" max="14082" width="16.83203125" style="1873" customWidth="1"/>
    <col min="14083" max="14336" width="9.33203125" style="1873"/>
    <col min="14337" max="14337" width="51.33203125" style="1873" customWidth="1"/>
    <col min="14338" max="14338" width="16.83203125" style="1873" customWidth="1"/>
    <col min="14339" max="14592" width="9.33203125" style="1873"/>
    <col min="14593" max="14593" width="51.33203125" style="1873" customWidth="1"/>
    <col min="14594" max="14594" width="16.83203125" style="1873" customWidth="1"/>
    <col min="14595" max="14848" width="9.33203125" style="1873"/>
    <col min="14849" max="14849" width="51.33203125" style="1873" customWidth="1"/>
    <col min="14850" max="14850" width="16.83203125" style="1873" customWidth="1"/>
    <col min="14851" max="15104" width="9.33203125" style="1873"/>
    <col min="15105" max="15105" width="51.33203125" style="1873" customWidth="1"/>
    <col min="15106" max="15106" width="16.83203125" style="1873" customWidth="1"/>
    <col min="15107" max="15360" width="9.33203125" style="1873"/>
    <col min="15361" max="15361" width="51.33203125" style="1873" customWidth="1"/>
    <col min="15362" max="15362" width="16.83203125" style="1873" customWidth="1"/>
    <col min="15363" max="15616" width="9.33203125" style="1873"/>
    <col min="15617" max="15617" width="51.33203125" style="1873" customWidth="1"/>
    <col min="15618" max="15618" width="16.83203125" style="1873" customWidth="1"/>
    <col min="15619" max="15872" width="9.33203125" style="1873"/>
    <col min="15873" max="15873" width="51.33203125" style="1873" customWidth="1"/>
    <col min="15874" max="15874" width="16.83203125" style="1873" customWidth="1"/>
    <col min="15875" max="16128" width="9.33203125" style="1873"/>
    <col min="16129" max="16129" width="51.33203125" style="1873" customWidth="1"/>
    <col min="16130" max="16130" width="16.83203125" style="1873" customWidth="1"/>
    <col min="16131" max="16384" width="9.33203125" style="1873"/>
  </cols>
  <sheetData>
    <row r="1" spans="1:2">
      <c r="A1" s="1873" t="s">
        <v>2485</v>
      </c>
    </row>
    <row r="2" spans="1:2">
      <c r="A2" s="1873" t="s">
        <v>2486</v>
      </c>
    </row>
    <row r="3" spans="1:2">
      <c r="A3" s="1873" t="s">
        <v>2487</v>
      </c>
    </row>
    <row r="4" spans="1:2">
      <c r="A4" s="1873" t="s">
        <v>2488</v>
      </c>
    </row>
    <row r="7" spans="1:2">
      <c r="A7" s="1874" t="s">
        <v>1125</v>
      </c>
      <c r="B7" s="1874" t="s">
        <v>1126</v>
      </c>
    </row>
    <row r="8" spans="1:2">
      <c r="A8" s="1873" t="s">
        <v>2489</v>
      </c>
      <c r="B8" s="1991">
        <v>3337444</v>
      </c>
    </row>
    <row r="9" spans="1:2">
      <c r="A9" s="1873" t="s">
        <v>684</v>
      </c>
      <c r="B9" s="2018">
        <v>3337444</v>
      </c>
    </row>
    <row r="10" spans="1:2">
      <c r="A10" s="1874" t="s">
        <v>2490</v>
      </c>
      <c r="B10" s="1876">
        <v>3337444</v>
      </c>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15"/>
  <sheetViews>
    <sheetView workbookViewId="0">
      <selection activeCell="B17" sqref="B17"/>
    </sheetView>
  </sheetViews>
  <sheetFormatPr defaultRowHeight="15"/>
  <cols>
    <col min="1" max="1" width="48.33203125" style="1873" customWidth="1"/>
    <col min="2" max="2" width="19.33203125" style="1873" customWidth="1"/>
    <col min="3" max="256" width="9.33203125" style="1873"/>
    <col min="257" max="257" width="48.33203125" style="1873" customWidth="1"/>
    <col min="258" max="258" width="19.33203125" style="1873" customWidth="1"/>
    <col min="259" max="512" width="9.33203125" style="1873"/>
    <col min="513" max="513" width="48.33203125" style="1873" customWidth="1"/>
    <col min="514" max="514" width="19.33203125" style="1873" customWidth="1"/>
    <col min="515" max="768" width="9.33203125" style="1873"/>
    <col min="769" max="769" width="48.33203125" style="1873" customWidth="1"/>
    <col min="770" max="770" width="19.33203125" style="1873" customWidth="1"/>
    <col min="771" max="1024" width="9.33203125" style="1873"/>
    <col min="1025" max="1025" width="48.33203125" style="1873" customWidth="1"/>
    <col min="1026" max="1026" width="19.33203125" style="1873" customWidth="1"/>
    <col min="1027" max="1280" width="9.33203125" style="1873"/>
    <col min="1281" max="1281" width="48.33203125" style="1873" customWidth="1"/>
    <col min="1282" max="1282" width="19.33203125" style="1873" customWidth="1"/>
    <col min="1283" max="1536" width="9.33203125" style="1873"/>
    <col min="1537" max="1537" width="48.33203125" style="1873" customWidth="1"/>
    <col min="1538" max="1538" width="19.33203125" style="1873" customWidth="1"/>
    <col min="1539" max="1792" width="9.33203125" style="1873"/>
    <col min="1793" max="1793" width="48.33203125" style="1873" customWidth="1"/>
    <col min="1794" max="1794" width="19.33203125" style="1873" customWidth="1"/>
    <col min="1795" max="2048" width="9.33203125" style="1873"/>
    <col min="2049" max="2049" width="48.33203125" style="1873" customWidth="1"/>
    <col min="2050" max="2050" width="19.33203125" style="1873" customWidth="1"/>
    <col min="2051" max="2304" width="9.33203125" style="1873"/>
    <col min="2305" max="2305" width="48.33203125" style="1873" customWidth="1"/>
    <col min="2306" max="2306" width="19.33203125" style="1873" customWidth="1"/>
    <col min="2307" max="2560" width="9.33203125" style="1873"/>
    <col min="2561" max="2561" width="48.33203125" style="1873" customWidth="1"/>
    <col min="2562" max="2562" width="19.33203125" style="1873" customWidth="1"/>
    <col min="2563" max="2816" width="9.33203125" style="1873"/>
    <col min="2817" max="2817" width="48.33203125" style="1873" customWidth="1"/>
    <col min="2818" max="2818" width="19.33203125" style="1873" customWidth="1"/>
    <col min="2819" max="3072" width="9.33203125" style="1873"/>
    <col min="3073" max="3073" width="48.33203125" style="1873" customWidth="1"/>
    <col min="3074" max="3074" width="19.33203125" style="1873" customWidth="1"/>
    <col min="3075" max="3328" width="9.33203125" style="1873"/>
    <col min="3329" max="3329" width="48.33203125" style="1873" customWidth="1"/>
    <col min="3330" max="3330" width="19.33203125" style="1873" customWidth="1"/>
    <col min="3331" max="3584" width="9.33203125" style="1873"/>
    <col min="3585" max="3585" width="48.33203125" style="1873" customWidth="1"/>
    <col min="3586" max="3586" width="19.33203125" style="1873" customWidth="1"/>
    <col min="3587" max="3840" width="9.33203125" style="1873"/>
    <col min="3841" max="3841" width="48.33203125" style="1873" customWidth="1"/>
    <col min="3842" max="3842" width="19.33203125" style="1873" customWidth="1"/>
    <col min="3843" max="4096" width="9.33203125" style="1873"/>
    <col min="4097" max="4097" width="48.33203125" style="1873" customWidth="1"/>
    <col min="4098" max="4098" width="19.33203125" style="1873" customWidth="1"/>
    <col min="4099" max="4352" width="9.33203125" style="1873"/>
    <col min="4353" max="4353" width="48.33203125" style="1873" customWidth="1"/>
    <col min="4354" max="4354" width="19.33203125" style="1873" customWidth="1"/>
    <col min="4355" max="4608" width="9.33203125" style="1873"/>
    <col min="4609" max="4609" width="48.33203125" style="1873" customWidth="1"/>
    <col min="4610" max="4610" width="19.33203125" style="1873" customWidth="1"/>
    <col min="4611" max="4864" width="9.33203125" style="1873"/>
    <col min="4865" max="4865" width="48.33203125" style="1873" customWidth="1"/>
    <col min="4866" max="4866" width="19.33203125" style="1873" customWidth="1"/>
    <col min="4867" max="5120" width="9.33203125" style="1873"/>
    <col min="5121" max="5121" width="48.33203125" style="1873" customWidth="1"/>
    <col min="5122" max="5122" width="19.33203125" style="1873" customWidth="1"/>
    <col min="5123" max="5376" width="9.33203125" style="1873"/>
    <col min="5377" max="5377" width="48.33203125" style="1873" customWidth="1"/>
    <col min="5378" max="5378" width="19.33203125" style="1873" customWidth="1"/>
    <col min="5379" max="5632" width="9.33203125" style="1873"/>
    <col min="5633" max="5633" width="48.33203125" style="1873" customWidth="1"/>
    <col min="5634" max="5634" width="19.33203125" style="1873" customWidth="1"/>
    <col min="5635" max="5888" width="9.33203125" style="1873"/>
    <col min="5889" max="5889" width="48.33203125" style="1873" customWidth="1"/>
    <col min="5890" max="5890" width="19.33203125" style="1873" customWidth="1"/>
    <col min="5891" max="6144" width="9.33203125" style="1873"/>
    <col min="6145" max="6145" width="48.33203125" style="1873" customWidth="1"/>
    <col min="6146" max="6146" width="19.33203125" style="1873" customWidth="1"/>
    <col min="6147" max="6400" width="9.33203125" style="1873"/>
    <col min="6401" max="6401" width="48.33203125" style="1873" customWidth="1"/>
    <col min="6402" max="6402" width="19.33203125" style="1873" customWidth="1"/>
    <col min="6403" max="6656" width="9.33203125" style="1873"/>
    <col min="6657" max="6657" width="48.33203125" style="1873" customWidth="1"/>
    <col min="6658" max="6658" width="19.33203125" style="1873" customWidth="1"/>
    <col min="6659" max="6912" width="9.33203125" style="1873"/>
    <col min="6913" max="6913" width="48.33203125" style="1873" customWidth="1"/>
    <col min="6914" max="6914" width="19.33203125" style="1873" customWidth="1"/>
    <col min="6915" max="7168" width="9.33203125" style="1873"/>
    <col min="7169" max="7169" width="48.33203125" style="1873" customWidth="1"/>
    <col min="7170" max="7170" width="19.33203125" style="1873" customWidth="1"/>
    <col min="7171" max="7424" width="9.33203125" style="1873"/>
    <col min="7425" max="7425" width="48.33203125" style="1873" customWidth="1"/>
    <col min="7426" max="7426" width="19.33203125" style="1873" customWidth="1"/>
    <col min="7427" max="7680" width="9.33203125" style="1873"/>
    <col min="7681" max="7681" width="48.33203125" style="1873" customWidth="1"/>
    <col min="7682" max="7682" width="19.33203125" style="1873" customWidth="1"/>
    <col min="7683" max="7936" width="9.33203125" style="1873"/>
    <col min="7937" max="7937" width="48.33203125" style="1873" customWidth="1"/>
    <col min="7938" max="7938" width="19.33203125" style="1873" customWidth="1"/>
    <col min="7939" max="8192" width="9.33203125" style="1873"/>
    <col min="8193" max="8193" width="48.33203125" style="1873" customWidth="1"/>
    <col min="8194" max="8194" width="19.33203125" style="1873" customWidth="1"/>
    <col min="8195" max="8448" width="9.33203125" style="1873"/>
    <col min="8449" max="8449" width="48.33203125" style="1873" customWidth="1"/>
    <col min="8450" max="8450" width="19.33203125" style="1873" customWidth="1"/>
    <col min="8451" max="8704" width="9.33203125" style="1873"/>
    <col min="8705" max="8705" width="48.33203125" style="1873" customWidth="1"/>
    <col min="8706" max="8706" width="19.33203125" style="1873" customWidth="1"/>
    <col min="8707" max="8960" width="9.33203125" style="1873"/>
    <col min="8961" max="8961" width="48.33203125" style="1873" customWidth="1"/>
    <col min="8962" max="8962" width="19.33203125" style="1873" customWidth="1"/>
    <col min="8963" max="9216" width="9.33203125" style="1873"/>
    <col min="9217" max="9217" width="48.33203125" style="1873" customWidth="1"/>
    <col min="9218" max="9218" width="19.33203125" style="1873" customWidth="1"/>
    <col min="9219" max="9472" width="9.33203125" style="1873"/>
    <col min="9473" max="9473" width="48.33203125" style="1873" customWidth="1"/>
    <col min="9474" max="9474" width="19.33203125" style="1873" customWidth="1"/>
    <col min="9475" max="9728" width="9.33203125" style="1873"/>
    <col min="9729" max="9729" width="48.33203125" style="1873" customWidth="1"/>
    <col min="9730" max="9730" width="19.33203125" style="1873" customWidth="1"/>
    <col min="9731" max="9984" width="9.33203125" style="1873"/>
    <col min="9985" max="9985" width="48.33203125" style="1873" customWidth="1"/>
    <col min="9986" max="9986" width="19.33203125" style="1873" customWidth="1"/>
    <col min="9987" max="10240" width="9.33203125" style="1873"/>
    <col min="10241" max="10241" width="48.33203125" style="1873" customWidth="1"/>
    <col min="10242" max="10242" width="19.33203125" style="1873" customWidth="1"/>
    <col min="10243" max="10496" width="9.33203125" style="1873"/>
    <col min="10497" max="10497" width="48.33203125" style="1873" customWidth="1"/>
    <col min="10498" max="10498" width="19.33203125" style="1873" customWidth="1"/>
    <col min="10499" max="10752" width="9.33203125" style="1873"/>
    <col min="10753" max="10753" width="48.33203125" style="1873" customWidth="1"/>
    <col min="10754" max="10754" width="19.33203125" style="1873" customWidth="1"/>
    <col min="10755" max="11008" width="9.33203125" style="1873"/>
    <col min="11009" max="11009" width="48.33203125" style="1873" customWidth="1"/>
    <col min="11010" max="11010" width="19.33203125" style="1873" customWidth="1"/>
    <col min="11011" max="11264" width="9.33203125" style="1873"/>
    <col min="11265" max="11265" width="48.33203125" style="1873" customWidth="1"/>
    <col min="11266" max="11266" width="19.33203125" style="1873" customWidth="1"/>
    <col min="11267" max="11520" width="9.33203125" style="1873"/>
    <col min="11521" max="11521" width="48.33203125" style="1873" customWidth="1"/>
    <col min="11522" max="11522" width="19.33203125" style="1873" customWidth="1"/>
    <col min="11523" max="11776" width="9.33203125" style="1873"/>
    <col min="11777" max="11777" width="48.33203125" style="1873" customWidth="1"/>
    <col min="11778" max="11778" width="19.33203125" style="1873" customWidth="1"/>
    <col min="11779" max="12032" width="9.33203125" style="1873"/>
    <col min="12033" max="12033" width="48.33203125" style="1873" customWidth="1"/>
    <col min="12034" max="12034" width="19.33203125" style="1873" customWidth="1"/>
    <col min="12035" max="12288" width="9.33203125" style="1873"/>
    <col min="12289" max="12289" width="48.33203125" style="1873" customWidth="1"/>
    <col min="12290" max="12290" width="19.33203125" style="1873" customWidth="1"/>
    <col min="12291" max="12544" width="9.33203125" style="1873"/>
    <col min="12545" max="12545" width="48.33203125" style="1873" customWidth="1"/>
    <col min="12546" max="12546" width="19.33203125" style="1873" customWidth="1"/>
    <col min="12547" max="12800" width="9.33203125" style="1873"/>
    <col min="12801" max="12801" width="48.33203125" style="1873" customWidth="1"/>
    <col min="12802" max="12802" width="19.33203125" style="1873" customWidth="1"/>
    <col min="12803" max="13056" width="9.33203125" style="1873"/>
    <col min="13057" max="13057" width="48.33203125" style="1873" customWidth="1"/>
    <col min="13058" max="13058" width="19.33203125" style="1873" customWidth="1"/>
    <col min="13059" max="13312" width="9.33203125" style="1873"/>
    <col min="13313" max="13313" width="48.33203125" style="1873" customWidth="1"/>
    <col min="13314" max="13314" width="19.33203125" style="1873" customWidth="1"/>
    <col min="13315" max="13568" width="9.33203125" style="1873"/>
    <col min="13569" max="13569" width="48.33203125" style="1873" customWidth="1"/>
    <col min="13570" max="13570" width="19.33203125" style="1873" customWidth="1"/>
    <col min="13571" max="13824" width="9.33203125" style="1873"/>
    <col min="13825" max="13825" width="48.33203125" style="1873" customWidth="1"/>
    <col min="13826" max="13826" width="19.33203125" style="1873" customWidth="1"/>
    <col min="13827" max="14080" width="9.33203125" style="1873"/>
    <col min="14081" max="14081" width="48.33203125" style="1873" customWidth="1"/>
    <col min="14082" max="14082" width="19.33203125" style="1873" customWidth="1"/>
    <col min="14083" max="14336" width="9.33203125" style="1873"/>
    <col min="14337" max="14337" width="48.33203125" style="1873" customWidth="1"/>
    <col min="14338" max="14338" width="19.33203125" style="1873" customWidth="1"/>
    <col min="14339" max="14592" width="9.33203125" style="1873"/>
    <col min="14593" max="14593" width="48.33203125" style="1873" customWidth="1"/>
    <col min="14594" max="14594" width="19.33203125" style="1873" customWidth="1"/>
    <col min="14595" max="14848" width="9.33203125" style="1873"/>
    <col min="14849" max="14849" width="48.33203125" style="1873" customWidth="1"/>
    <col min="14850" max="14850" width="19.33203125" style="1873" customWidth="1"/>
    <col min="14851" max="15104" width="9.33203125" style="1873"/>
    <col min="15105" max="15105" width="48.33203125" style="1873" customWidth="1"/>
    <col min="15106" max="15106" width="19.33203125" style="1873" customWidth="1"/>
    <col min="15107" max="15360" width="9.33203125" style="1873"/>
    <col min="15361" max="15361" width="48.33203125" style="1873" customWidth="1"/>
    <col min="15362" max="15362" width="19.33203125" style="1873" customWidth="1"/>
    <col min="15363" max="15616" width="9.33203125" style="1873"/>
    <col min="15617" max="15617" width="48.33203125" style="1873" customWidth="1"/>
    <col min="15618" max="15618" width="19.33203125" style="1873" customWidth="1"/>
    <col min="15619" max="15872" width="9.33203125" style="1873"/>
    <col min="15873" max="15873" width="48.33203125" style="1873" customWidth="1"/>
    <col min="15874" max="15874" width="19.33203125" style="1873" customWidth="1"/>
    <col min="15875" max="16128" width="9.33203125" style="1873"/>
    <col min="16129" max="16129" width="48.33203125" style="1873" customWidth="1"/>
    <col min="16130" max="16130" width="19.33203125" style="1873" customWidth="1"/>
    <col min="16131" max="16384" width="9.33203125" style="1873"/>
  </cols>
  <sheetData>
    <row r="1" spans="1:2">
      <c r="A1" s="1873" t="s">
        <v>2485</v>
      </c>
    </row>
    <row r="2" spans="1:2">
      <c r="A2" s="1873" t="s">
        <v>2486</v>
      </c>
    </row>
    <row r="3" spans="1:2">
      <c r="A3" s="1873" t="s">
        <v>2487</v>
      </c>
    </row>
    <row r="4" spans="1:2">
      <c r="A4" s="1873" t="s">
        <v>2488</v>
      </c>
    </row>
    <row r="7" spans="1:2">
      <c r="A7" s="1874" t="s">
        <v>1125</v>
      </c>
      <c r="B7" s="1874" t="s">
        <v>1126</v>
      </c>
    </row>
    <row r="8" spans="1:2">
      <c r="A8" s="1873" t="s">
        <v>2491</v>
      </c>
      <c r="B8" s="1875">
        <v>-9548604.6799999997</v>
      </c>
    </row>
    <row r="9" spans="1:2">
      <c r="A9" s="1873" t="s">
        <v>2492</v>
      </c>
      <c r="B9" s="1875">
        <v>-637388.37</v>
      </c>
    </row>
    <row r="10" spans="1:2">
      <c r="A10" s="1873" t="s">
        <v>2493</v>
      </c>
      <c r="B10" s="1991">
        <v>-5286982.43</v>
      </c>
    </row>
    <row r="11" spans="1:2">
      <c r="A11" s="1873" t="s">
        <v>684</v>
      </c>
      <c r="B11" s="2018">
        <f>SUM(B8:B10)</f>
        <v>-15472975.479999999</v>
      </c>
    </row>
    <row r="12" spans="1:2">
      <c r="A12" s="1874" t="s">
        <v>2490</v>
      </c>
      <c r="B12" s="1876">
        <v>-15472975.48</v>
      </c>
    </row>
    <row r="14" spans="1:2">
      <c r="A14" s="1873" t="s">
        <v>2434</v>
      </c>
      <c r="B14" s="1875">
        <f>B12+B15</f>
        <v>-34500.150000000373</v>
      </c>
    </row>
    <row r="15" spans="1:2">
      <c r="A15" s="1873" t="s">
        <v>2494</v>
      </c>
      <c r="B15" s="1876">
        <f>'6.03G - 12ME 12-31-2010 SOG '!E38</f>
        <v>15438475.33</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81"/>
  <sheetViews>
    <sheetView zoomScaleNormal="100" workbookViewId="0">
      <selection activeCell="S38" sqref="S38"/>
    </sheetView>
  </sheetViews>
  <sheetFormatPr defaultColWidth="9.1640625" defaultRowHeight="12.75"/>
  <cols>
    <col min="1" max="2" width="2.5" style="1879" customWidth="1"/>
    <col min="3" max="3" width="44.5" style="1879" customWidth="1"/>
    <col min="4" max="4" width="1.5" style="1879" customWidth="1"/>
    <col min="5" max="5" width="21.6640625" style="1879" customWidth="1"/>
    <col min="6" max="6" width="2.83203125" style="1879" customWidth="1"/>
    <col min="7" max="7" width="21.6640625" style="1879" hidden="1" customWidth="1"/>
    <col min="8" max="8" width="0.83203125" style="1879" hidden="1" customWidth="1"/>
    <col min="9" max="9" width="21.6640625" style="1879" hidden="1" customWidth="1"/>
    <col min="10" max="10" width="0.83203125" style="1879" hidden="1" customWidth="1"/>
    <col min="11" max="11" width="12.6640625" style="1879" hidden="1" customWidth="1"/>
    <col min="12" max="12" width="0.83203125" style="1879" hidden="1" customWidth="1"/>
    <col min="13" max="13" width="21.83203125" style="1879" customWidth="1"/>
    <col min="14" max="14" width="1.5" style="1879" customWidth="1"/>
    <col min="15" max="15" width="21.6640625" style="1879" customWidth="1"/>
    <col min="16" max="16" width="1.5" style="1879" customWidth="1"/>
    <col min="17" max="17" width="11.83203125" style="1879" customWidth="1"/>
    <col min="18" max="18" width="3.5" style="1879" customWidth="1"/>
    <col min="19" max="19" width="11.6640625" style="1879" customWidth="1"/>
    <col min="20" max="20" width="2.1640625" style="1879" customWidth="1"/>
    <col min="21" max="21" width="10.6640625" style="1879" hidden="1" customWidth="1"/>
    <col min="22" max="22" width="1.5" style="1879" hidden="1" customWidth="1"/>
    <col min="23" max="23" width="11.6640625" style="1879" customWidth="1"/>
    <col min="24" max="24" width="9.1640625" style="1879" hidden="1" customWidth="1"/>
    <col min="25" max="26" width="9.1640625" style="1879" customWidth="1"/>
    <col min="27" max="28" width="9.1640625" style="1879" hidden="1" customWidth="1"/>
    <col min="29" max="256" width="9.1640625" style="1879"/>
    <col min="257" max="258" width="2.5" style="1879" customWidth="1"/>
    <col min="259" max="259" width="44.5" style="1879" customWidth="1"/>
    <col min="260" max="260" width="1.5" style="1879" customWidth="1"/>
    <col min="261" max="261" width="21.6640625" style="1879" customWidth="1"/>
    <col min="262" max="262" width="2.83203125" style="1879" customWidth="1"/>
    <col min="263" max="268" width="0" style="1879" hidden="1" customWidth="1"/>
    <col min="269" max="269" width="21.83203125" style="1879" customWidth="1"/>
    <col min="270" max="270" width="1.5" style="1879" customWidth="1"/>
    <col min="271" max="271" width="21.6640625" style="1879" customWidth="1"/>
    <col min="272" max="272" width="1.5" style="1879" customWidth="1"/>
    <col min="273" max="273" width="11.83203125" style="1879" customWidth="1"/>
    <col min="274" max="274" width="3.5" style="1879" customWidth="1"/>
    <col min="275" max="275" width="11.6640625" style="1879" customWidth="1"/>
    <col min="276" max="276" width="2.1640625" style="1879" customWidth="1"/>
    <col min="277" max="278" width="0" style="1879" hidden="1" customWidth="1"/>
    <col min="279" max="279" width="11.6640625" style="1879" customWidth="1"/>
    <col min="280" max="280" width="0" style="1879" hidden="1" customWidth="1"/>
    <col min="281" max="282" width="9.1640625" style="1879" customWidth="1"/>
    <col min="283" max="284" width="0" style="1879" hidden="1" customWidth="1"/>
    <col min="285" max="512" width="9.1640625" style="1879"/>
    <col min="513" max="514" width="2.5" style="1879" customWidth="1"/>
    <col min="515" max="515" width="44.5" style="1879" customWidth="1"/>
    <col min="516" max="516" width="1.5" style="1879" customWidth="1"/>
    <col min="517" max="517" width="21.6640625" style="1879" customWidth="1"/>
    <col min="518" max="518" width="2.83203125" style="1879" customWidth="1"/>
    <col min="519" max="524" width="0" style="1879" hidden="1" customWidth="1"/>
    <col min="525" max="525" width="21.83203125" style="1879" customWidth="1"/>
    <col min="526" max="526" width="1.5" style="1879" customWidth="1"/>
    <col min="527" max="527" width="21.6640625" style="1879" customWidth="1"/>
    <col min="528" max="528" width="1.5" style="1879" customWidth="1"/>
    <col min="529" max="529" width="11.83203125" style="1879" customWidth="1"/>
    <col min="530" max="530" width="3.5" style="1879" customWidth="1"/>
    <col min="531" max="531" width="11.6640625" style="1879" customWidth="1"/>
    <col min="532" max="532" width="2.1640625" style="1879" customWidth="1"/>
    <col min="533" max="534" width="0" style="1879" hidden="1" customWidth="1"/>
    <col min="535" max="535" width="11.6640625" style="1879" customWidth="1"/>
    <col min="536" max="536" width="0" style="1879" hidden="1" customWidth="1"/>
    <col min="537" max="538" width="9.1640625" style="1879" customWidth="1"/>
    <col min="539" max="540" width="0" style="1879" hidden="1" customWidth="1"/>
    <col min="541" max="768" width="9.1640625" style="1879"/>
    <col min="769" max="770" width="2.5" style="1879" customWidth="1"/>
    <col min="771" max="771" width="44.5" style="1879" customWidth="1"/>
    <col min="772" max="772" width="1.5" style="1879" customWidth="1"/>
    <col min="773" max="773" width="21.6640625" style="1879" customWidth="1"/>
    <col min="774" max="774" width="2.83203125" style="1879" customWidth="1"/>
    <col min="775" max="780" width="0" style="1879" hidden="1" customWidth="1"/>
    <col min="781" max="781" width="21.83203125" style="1879" customWidth="1"/>
    <col min="782" max="782" width="1.5" style="1879" customWidth="1"/>
    <col min="783" max="783" width="21.6640625" style="1879" customWidth="1"/>
    <col min="784" max="784" width="1.5" style="1879" customWidth="1"/>
    <col min="785" max="785" width="11.83203125" style="1879" customWidth="1"/>
    <col min="786" max="786" width="3.5" style="1879" customWidth="1"/>
    <col min="787" max="787" width="11.6640625" style="1879" customWidth="1"/>
    <col min="788" max="788" width="2.1640625" style="1879" customWidth="1"/>
    <col min="789" max="790" width="0" style="1879" hidden="1" customWidth="1"/>
    <col min="791" max="791" width="11.6640625" style="1879" customWidth="1"/>
    <col min="792" max="792" width="0" style="1879" hidden="1" customWidth="1"/>
    <col min="793" max="794" width="9.1640625" style="1879" customWidth="1"/>
    <col min="795" max="796" width="0" style="1879" hidden="1" customWidth="1"/>
    <col min="797" max="1024" width="9.1640625" style="1879"/>
    <col min="1025" max="1026" width="2.5" style="1879" customWidth="1"/>
    <col min="1027" max="1027" width="44.5" style="1879" customWidth="1"/>
    <col min="1028" max="1028" width="1.5" style="1879" customWidth="1"/>
    <col min="1029" max="1029" width="21.6640625" style="1879" customWidth="1"/>
    <col min="1030" max="1030" width="2.83203125" style="1879" customWidth="1"/>
    <col min="1031" max="1036" width="0" style="1879" hidden="1" customWidth="1"/>
    <col min="1037" max="1037" width="21.83203125" style="1879" customWidth="1"/>
    <col min="1038" max="1038" width="1.5" style="1879" customWidth="1"/>
    <col min="1039" max="1039" width="21.6640625" style="1879" customWidth="1"/>
    <col min="1040" max="1040" width="1.5" style="1879" customWidth="1"/>
    <col min="1041" max="1041" width="11.83203125" style="1879" customWidth="1"/>
    <col min="1042" max="1042" width="3.5" style="1879" customWidth="1"/>
    <col min="1043" max="1043" width="11.6640625" style="1879" customWidth="1"/>
    <col min="1044" max="1044" width="2.1640625" style="1879" customWidth="1"/>
    <col min="1045" max="1046" width="0" style="1879" hidden="1" customWidth="1"/>
    <col min="1047" max="1047" width="11.6640625" style="1879" customWidth="1"/>
    <col min="1048" max="1048" width="0" style="1879" hidden="1" customWidth="1"/>
    <col min="1049" max="1050" width="9.1640625" style="1879" customWidth="1"/>
    <col min="1051" max="1052" width="0" style="1879" hidden="1" customWidth="1"/>
    <col min="1053" max="1280" width="9.1640625" style="1879"/>
    <col min="1281" max="1282" width="2.5" style="1879" customWidth="1"/>
    <col min="1283" max="1283" width="44.5" style="1879" customWidth="1"/>
    <col min="1284" max="1284" width="1.5" style="1879" customWidth="1"/>
    <col min="1285" max="1285" width="21.6640625" style="1879" customWidth="1"/>
    <col min="1286" max="1286" width="2.83203125" style="1879" customWidth="1"/>
    <col min="1287" max="1292" width="0" style="1879" hidden="1" customWidth="1"/>
    <col min="1293" max="1293" width="21.83203125" style="1879" customWidth="1"/>
    <col min="1294" max="1294" width="1.5" style="1879" customWidth="1"/>
    <col min="1295" max="1295" width="21.6640625" style="1879" customWidth="1"/>
    <col min="1296" max="1296" width="1.5" style="1879" customWidth="1"/>
    <col min="1297" max="1297" width="11.83203125" style="1879" customWidth="1"/>
    <col min="1298" max="1298" width="3.5" style="1879" customWidth="1"/>
    <col min="1299" max="1299" width="11.6640625" style="1879" customWidth="1"/>
    <col min="1300" max="1300" width="2.1640625" style="1879" customWidth="1"/>
    <col min="1301" max="1302" width="0" style="1879" hidden="1" customWidth="1"/>
    <col min="1303" max="1303" width="11.6640625" style="1879" customWidth="1"/>
    <col min="1304" max="1304" width="0" style="1879" hidden="1" customWidth="1"/>
    <col min="1305" max="1306" width="9.1640625" style="1879" customWidth="1"/>
    <col min="1307" max="1308" width="0" style="1879" hidden="1" customWidth="1"/>
    <col min="1309" max="1536" width="9.1640625" style="1879"/>
    <col min="1537" max="1538" width="2.5" style="1879" customWidth="1"/>
    <col min="1539" max="1539" width="44.5" style="1879" customWidth="1"/>
    <col min="1540" max="1540" width="1.5" style="1879" customWidth="1"/>
    <col min="1541" max="1541" width="21.6640625" style="1879" customWidth="1"/>
    <col min="1542" max="1542" width="2.83203125" style="1879" customWidth="1"/>
    <col min="1543" max="1548" width="0" style="1879" hidden="1" customWidth="1"/>
    <col min="1549" max="1549" width="21.83203125" style="1879" customWidth="1"/>
    <col min="1550" max="1550" width="1.5" style="1879" customWidth="1"/>
    <col min="1551" max="1551" width="21.6640625" style="1879" customWidth="1"/>
    <col min="1552" max="1552" width="1.5" style="1879" customWidth="1"/>
    <col min="1553" max="1553" width="11.83203125" style="1879" customWidth="1"/>
    <col min="1554" max="1554" width="3.5" style="1879" customWidth="1"/>
    <col min="1555" max="1555" width="11.6640625" style="1879" customWidth="1"/>
    <col min="1556" max="1556" width="2.1640625" style="1879" customWidth="1"/>
    <col min="1557" max="1558" width="0" style="1879" hidden="1" customWidth="1"/>
    <col min="1559" max="1559" width="11.6640625" style="1879" customWidth="1"/>
    <col min="1560" max="1560" width="0" style="1879" hidden="1" customWidth="1"/>
    <col min="1561" max="1562" width="9.1640625" style="1879" customWidth="1"/>
    <col min="1563" max="1564" width="0" style="1879" hidden="1" customWidth="1"/>
    <col min="1565" max="1792" width="9.1640625" style="1879"/>
    <col min="1793" max="1794" width="2.5" style="1879" customWidth="1"/>
    <col min="1795" max="1795" width="44.5" style="1879" customWidth="1"/>
    <col min="1796" max="1796" width="1.5" style="1879" customWidth="1"/>
    <col min="1797" max="1797" width="21.6640625" style="1879" customWidth="1"/>
    <col min="1798" max="1798" width="2.83203125" style="1879" customWidth="1"/>
    <col min="1799" max="1804" width="0" style="1879" hidden="1" customWidth="1"/>
    <col min="1805" max="1805" width="21.83203125" style="1879" customWidth="1"/>
    <col min="1806" max="1806" width="1.5" style="1879" customWidth="1"/>
    <col min="1807" max="1807" width="21.6640625" style="1879" customWidth="1"/>
    <col min="1808" max="1808" width="1.5" style="1879" customWidth="1"/>
    <col min="1809" max="1809" width="11.83203125" style="1879" customWidth="1"/>
    <col min="1810" max="1810" width="3.5" style="1879" customWidth="1"/>
    <col min="1811" max="1811" width="11.6640625" style="1879" customWidth="1"/>
    <col min="1812" max="1812" width="2.1640625" style="1879" customWidth="1"/>
    <col min="1813" max="1814" width="0" style="1879" hidden="1" customWidth="1"/>
    <col min="1815" max="1815" width="11.6640625" style="1879" customWidth="1"/>
    <col min="1816" max="1816" width="0" style="1879" hidden="1" customWidth="1"/>
    <col min="1817" max="1818" width="9.1640625" style="1879" customWidth="1"/>
    <col min="1819" max="1820" width="0" style="1879" hidden="1" customWidth="1"/>
    <col min="1821" max="2048" width="9.1640625" style="1879"/>
    <col min="2049" max="2050" width="2.5" style="1879" customWidth="1"/>
    <col min="2051" max="2051" width="44.5" style="1879" customWidth="1"/>
    <col min="2052" max="2052" width="1.5" style="1879" customWidth="1"/>
    <col min="2053" max="2053" width="21.6640625" style="1879" customWidth="1"/>
    <col min="2054" max="2054" width="2.83203125" style="1879" customWidth="1"/>
    <col min="2055" max="2060" width="0" style="1879" hidden="1" customWidth="1"/>
    <col min="2061" max="2061" width="21.83203125" style="1879" customWidth="1"/>
    <col min="2062" max="2062" width="1.5" style="1879" customWidth="1"/>
    <col min="2063" max="2063" width="21.6640625" style="1879" customWidth="1"/>
    <col min="2064" max="2064" width="1.5" style="1879" customWidth="1"/>
    <col min="2065" max="2065" width="11.83203125" style="1879" customWidth="1"/>
    <col min="2066" max="2066" width="3.5" style="1879" customWidth="1"/>
    <col min="2067" max="2067" width="11.6640625" style="1879" customWidth="1"/>
    <col min="2068" max="2068" width="2.1640625" style="1879" customWidth="1"/>
    <col min="2069" max="2070" width="0" style="1879" hidden="1" customWidth="1"/>
    <col min="2071" max="2071" width="11.6640625" style="1879" customWidth="1"/>
    <col min="2072" max="2072" width="0" style="1879" hidden="1" customWidth="1"/>
    <col min="2073" max="2074" width="9.1640625" style="1879" customWidth="1"/>
    <col min="2075" max="2076" width="0" style="1879" hidden="1" customWidth="1"/>
    <col min="2077" max="2304" width="9.1640625" style="1879"/>
    <col min="2305" max="2306" width="2.5" style="1879" customWidth="1"/>
    <col min="2307" max="2307" width="44.5" style="1879" customWidth="1"/>
    <col min="2308" max="2308" width="1.5" style="1879" customWidth="1"/>
    <col min="2309" max="2309" width="21.6640625" style="1879" customWidth="1"/>
    <col min="2310" max="2310" width="2.83203125" style="1879" customWidth="1"/>
    <col min="2311" max="2316" width="0" style="1879" hidden="1" customWidth="1"/>
    <col min="2317" max="2317" width="21.83203125" style="1879" customWidth="1"/>
    <col min="2318" max="2318" width="1.5" style="1879" customWidth="1"/>
    <col min="2319" max="2319" width="21.6640625" style="1879" customWidth="1"/>
    <col min="2320" max="2320" width="1.5" style="1879" customWidth="1"/>
    <col min="2321" max="2321" width="11.83203125" style="1879" customWidth="1"/>
    <col min="2322" max="2322" width="3.5" style="1879" customWidth="1"/>
    <col min="2323" max="2323" width="11.6640625" style="1879" customWidth="1"/>
    <col min="2324" max="2324" width="2.1640625" style="1879" customWidth="1"/>
    <col min="2325" max="2326" width="0" style="1879" hidden="1" customWidth="1"/>
    <col min="2327" max="2327" width="11.6640625" style="1879" customWidth="1"/>
    <col min="2328" max="2328" width="0" style="1879" hidden="1" customWidth="1"/>
    <col min="2329" max="2330" width="9.1640625" style="1879" customWidth="1"/>
    <col min="2331" max="2332" width="0" style="1879" hidden="1" customWidth="1"/>
    <col min="2333" max="2560" width="9.1640625" style="1879"/>
    <col min="2561" max="2562" width="2.5" style="1879" customWidth="1"/>
    <col min="2563" max="2563" width="44.5" style="1879" customWidth="1"/>
    <col min="2564" max="2564" width="1.5" style="1879" customWidth="1"/>
    <col min="2565" max="2565" width="21.6640625" style="1879" customWidth="1"/>
    <col min="2566" max="2566" width="2.83203125" style="1879" customWidth="1"/>
    <col min="2567" max="2572" width="0" style="1879" hidden="1" customWidth="1"/>
    <col min="2573" max="2573" width="21.83203125" style="1879" customWidth="1"/>
    <col min="2574" max="2574" width="1.5" style="1879" customWidth="1"/>
    <col min="2575" max="2575" width="21.6640625" style="1879" customWidth="1"/>
    <col min="2576" max="2576" width="1.5" style="1879" customWidth="1"/>
    <col min="2577" max="2577" width="11.83203125" style="1879" customWidth="1"/>
    <col min="2578" max="2578" width="3.5" style="1879" customWidth="1"/>
    <col min="2579" max="2579" width="11.6640625" style="1879" customWidth="1"/>
    <col min="2580" max="2580" width="2.1640625" style="1879" customWidth="1"/>
    <col min="2581" max="2582" width="0" style="1879" hidden="1" customWidth="1"/>
    <col min="2583" max="2583" width="11.6640625" style="1879" customWidth="1"/>
    <col min="2584" max="2584" width="0" style="1879" hidden="1" customWidth="1"/>
    <col min="2585" max="2586" width="9.1640625" style="1879" customWidth="1"/>
    <col min="2587" max="2588" width="0" style="1879" hidden="1" customWidth="1"/>
    <col min="2589" max="2816" width="9.1640625" style="1879"/>
    <col min="2817" max="2818" width="2.5" style="1879" customWidth="1"/>
    <col min="2819" max="2819" width="44.5" style="1879" customWidth="1"/>
    <col min="2820" max="2820" width="1.5" style="1879" customWidth="1"/>
    <col min="2821" max="2821" width="21.6640625" style="1879" customWidth="1"/>
    <col min="2822" max="2822" width="2.83203125" style="1879" customWidth="1"/>
    <col min="2823" max="2828" width="0" style="1879" hidden="1" customWidth="1"/>
    <col min="2829" max="2829" width="21.83203125" style="1879" customWidth="1"/>
    <col min="2830" max="2830" width="1.5" style="1879" customWidth="1"/>
    <col min="2831" max="2831" width="21.6640625" style="1879" customWidth="1"/>
    <col min="2832" max="2832" width="1.5" style="1879" customWidth="1"/>
    <col min="2833" max="2833" width="11.83203125" style="1879" customWidth="1"/>
    <col min="2834" max="2834" width="3.5" style="1879" customWidth="1"/>
    <col min="2835" max="2835" width="11.6640625" style="1879" customWidth="1"/>
    <col min="2836" max="2836" width="2.1640625" style="1879" customWidth="1"/>
    <col min="2837" max="2838" width="0" style="1879" hidden="1" customWidth="1"/>
    <col min="2839" max="2839" width="11.6640625" style="1879" customWidth="1"/>
    <col min="2840" max="2840" width="0" style="1879" hidden="1" customWidth="1"/>
    <col min="2841" max="2842" width="9.1640625" style="1879" customWidth="1"/>
    <col min="2843" max="2844" width="0" style="1879" hidden="1" customWidth="1"/>
    <col min="2845" max="3072" width="9.1640625" style="1879"/>
    <col min="3073" max="3074" width="2.5" style="1879" customWidth="1"/>
    <col min="3075" max="3075" width="44.5" style="1879" customWidth="1"/>
    <col min="3076" max="3076" width="1.5" style="1879" customWidth="1"/>
    <col min="3077" max="3077" width="21.6640625" style="1879" customWidth="1"/>
    <col min="3078" max="3078" width="2.83203125" style="1879" customWidth="1"/>
    <col min="3079" max="3084" width="0" style="1879" hidden="1" customWidth="1"/>
    <col min="3085" max="3085" width="21.83203125" style="1879" customWidth="1"/>
    <col min="3086" max="3086" width="1.5" style="1879" customWidth="1"/>
    <col min="3087" max="3087" width="21.6640625" style="1879" customWidth="1"/>
    <col min="3088" max="3088" width="1.5" style="1879" customWidth="1"/>
    <col min="3089" max="3089" width="11.83203125" style="1879" customWidth="1"/>
    <col min="3090" max="3090" width="3.5" style="1879" customWidth="1"/>
    <col min="3091" max="3091" width="11.6640625" style="1879" customWidth="1"/>
    <col min="3092" max="3092" width="2.1640625" style="1879" customWidth="1"/>
    <col min="3093" max="3094" width="0" style="1879" hidden="1" customWidth="1"/>
    <col min="3095" max="3095" width="11.6640625" style="1879" customWidth="1"/>
    <col min="3096" max="3096" width="0" style="1879" hidden="1" customWidth="1"/>
    <col min="3097" max="3098" width="9.1640625" style="1879" customWidth="1"/>
    <col min="3099" max="3100" width="0" style="1879" hidden="1" customWidth="1"/>
    <col min="3101" max="3328" width="9.1640625" style="1879"/>
    <col min="3329" max="3330" width="2.5" style="1879" customWidth="1"/>
    <col min="3331" max="3331" width="44.5" style="1879" customWidth="1"/>
    <col min="3332" max="3332" width="1.5" style="1879" customWidth="1"/>
    <col min="3333" max="3333" width="21.6640625" style="1879" customWidth="1"/>
    <col min="3334" max="3334" width="2.83203125" style="1879" customWidth="1"/>
    <col min="3335" max="3340" width="0" style="1879" hidden="1" customWidth="1"/>
    <col min="3341" max="3341" width="21.83203125" style="1879" customWidth="1"/>
    <col min="3342" max="3342" width="1.5" style="1879" customWidth="1"/>
    <col min="3343" max="3343" width="21.6640625" style="1879" customWidth="1"/>
    <col min="3344" max="3344" width="1.5" style="1879" customWidth="1"/>
    <col min="3345" max="3345" width="11.83203125" style="1879" customWidth="1"/>
    <col min="3346" max="3346" width="3.5" style="1879" customWidth="1"/>
    <col min="3347" max="3347" width="11.6640625" style="1879" customWidth="1"/>
    <col min="3348" max="3348" width="2.1640625" style="1879" customWidth="1"/>
    <col min="3349" max="3350" width="0" style="1879" hidden="1" customWidth="1"/>
    <col min="3351" max="3351" width="11.6640625" style="1879" customWidth="1"/>
    <col min="3352" max="3352" width="0" style="1879" hidden="1" customWidth="1"/>
    <col min="3353" max="3354" width="9.1640625" style="1879" customWidth="1"/>
    <col min="3355" max="3356" width="0" style="1879" hidden="1" customWidth="1"/>
    <col min="3357" max="3584" width="9.1640625" style="1879"/>
    <col min="3585" max="3586" width="2.5" style="1879" customWidth="1"/>
    <col min="3587" max="3587" width="44.5" style="1879" customWidth="1"/>
    <col min="3588" max="3588" width="1.5" style="1879" customWidth="1"/>
    <col min="3589" max="3589" width="21.6640625" style="1879" customWidth="1"/>
    <col min="3590" max="3590" width="2.83203125" style="1879" customWidth="1"/>
    <col min="3591" max="3596" width="0" style="1879" hidden="1" customWidth="1"/>
    <col min="3597" max="3597" width="21.83203125" style="1879" customWidth="1"/>
    <col min="3598" max="3598" width="1.5" style="1879" customWidth="1"/>
    <col min="3599" max="3599" width="21.6640625" style="1879" customWidth="1"/>
    <col min="3600" max="3600" width="1.5" style="1879" customWidth="1"/>
    <col min="3601" max="3601" width="11.83203125" style="1879" customWidth="1"/>
    <col min="3602" max="3602" width="3.5" style="1879" customWidth="1"/>
    <col min="3603" max="3603" width="11.6640625" style="1879" customWidth="1"/>
    <col min="3604" max="3604" width="2.1640625" style="1879" customWidth="1"/>
    <col min="3605" max="3606" width="0" style="1879" hidden="1" customWidth="1"/>
    <col min="3607" max="3607" width="11.6640625" style="1879" customWidth="1"/>
    <col min="3608" max="3608" width="0" style="1879" hidden="1" customWidth="1"/>
    <col min="3609" max="3610" width="9.1640625" style="1879" customWidth="1"/>
    <col min="3611" max="3612" width="0" style="1879" hidden="1" customWidth="1"/>
    <col min="3613" max="3840" width="9.1640625" style="1879"/>
    <col min="3841" max="3842" width="2.5" style="1879" customWidth="1"/>
    <col min="3843" max="3843" width="44.5" style="1879" customWidth="1"/>
    <col min="3844" max="3844" width="1.5" style="1879" customWidth="1"/>
    <col min="3845" max="3845" width="21.6640625" style="1879" customWidth="1"/>
    <col min="3846" max="3846" width="2.83203125" style="1879" customWidth="1"/>
    <col min="3847" max="3852" width="0" style="1879" hidden="1" customWidth="1"/>
    <col min="3853" max="3853" width="21.83203125" style="1879" customWidth="1"/>
    <col min="3854" max="3854" width="1.5" style="1879" customWidth="1"/>
    <col min="3855" max="3855" width="21.6640625" style="1879" customWidth="1"/>
    <col min="3856" max="3856" width="1.5" style="1879" customWidth="1"/>
    <col min="3857" max="3857" width="11.83203125" style="1879" customWidth="1"/>
    <col min="3858" max="3858" width="3.5" style="1879" customWidth="1"/>
    <col min="3859" max="3859" width="11.6640625" style="1879" customWidth="1"/>
    <col min="3860" max="3860" width="2.1640625" style="1879" customWidth="1"/>
    <col min="3861" max="3862" width="0" style="1879" hidden="1" customWidth="1"/>
    <col min="3863" max="3863" width="11.6640625" style="1879" customWidth="1"/>
    <col min="3864" max="3864" width="0" style="1879" hidden="1" customWidth="1"/>
    <col min="3865" max="3866" width="9.1640625" style="1879" customWidth="1"/>
    <col min="3867" max="3868" width="0" style="1879" hidden="1" customWidth="1"/>
    <col min="3869" max="4096" width="9.1640625" style="1879"/>
    <col min="4097" max="4098" width="2.5" style="1879" customWidth="1"/>
    <col min="4099" max="4099" width="44.5" style="1879" customWidth="1"/>
    <col min="4100" max="4100" width="1.5" style="1879" customWidth="1"/>
    <col min="4101" max="4101" width="21.6640625" style="1879" customWidth="1"/>
    <col min="4102" max="4102" width="2.83203125" style="1879" customWidth="1"/>
    <col min="4103" max="4108" width="0" style="1879" hidden="1" customWidth="1"/>
    <col min="4109" max="4109" width="21.83203125" style="1879" customWidth="1"/>
    <col min="4110" max="4110" width="1.5" style="1879" customWidth="1"/>
    <col min="4111" max="4111" width="21.6640625" style="1879" customWidth="1"/>
    <col min="4112" max="4112" width="1.5" style="1879" customWidth="1"/>
    <col min="4113" max="4113" width="11.83203125" style="1879" customWidth="1"/>
    <col min="4114" max="4114" width="3.5" style="1879" customWidth="1"/>
    <col min="4115" max="4115" width="11.6640625" style="1879" customWidth="1"/>
    <col min="4116" max="4116" width="2.1640625" style="1879" customWidth="1"/>
    <col min="4117" max="4118" width="0" style="1879" hidden="1" customWidth="1"/>
    <col min="4119" max="4119" width="11.6640625" style="1879" customWidth="1"/>
    <col min="4120" max="4120" width="0" style="1879" hidden="1" customWidth="1"/>
    <col min="4121" max="4122" width="9.1640625" style="1879" customWidth="1"/>
    <col min="4123" max="4124" width="0" style="1879" hidden="1" customWidth="1"/>
    <col min="4125" max="4352" width="9.1640625" style="1879"/>
    <col min="4353" max="4354" width="2.5" style="1879" customWidth="1"/>
    <col min="4355" max="4355" width="44.5" style="1879" customWidth="1"/>
    <col min="4356" max="4356" width="1.5" style="1879" customWidth="1"/>
    <col min="4357" max="4357" width="21.6640625" style="1879" customWidth="1"/>
    <col min="4358" max="4358" width="2.83203125" style="1879" customWidth="1"/>
    <col min="4359" max="4364" width="0" style="1879" hidden="1" customWidth="1"/>
    <col min="4365" max="4365" width="21.83203125" style="1879" customWidth="1"/>
    <col min="4366" max="4366" width="1.5" style="1879" customWidth="1"/>
    <col min="4367" max="4367" width="21.6640625" style="1879" customWidth="1"/>
    <col min="4368" max="4368" width="1.5" style="1879" customWidth="1"/>
    <col min="4369" max="4369" width="11.83203125" style="1879" customWidth="1"/>
    <col min="4370" max="4370" width="3.5" style="1879" customWidth="1"/>
    <col min="4371" max="4371" width="11.6640625" style="1879" customWidth="1"/>
    <col min="4372" max="4372" width="2.1640625" style="1879" customWidth="1"/>
    <col min="4373" max="4374" width="0" style="1879" hidden="1" customWidth="1"/>
    <col min="4375" max="4375" width="11.6640625" style="1879" customWidth="1"/>
    <col min="4376" max="4376" width="0" style="1879" hidden="1" customWidth="1"/>
    <col min="4377" max="4378" width="9.1640625" style="1879" customWidth="1"/>
    <col min="4379" max="4380" width="0" style="1879" hidden="1" customWidth="1"/>
    <col min="4381" max="4608" width="9.1640625" style="1879"/>
    <col min="4609" max="4610" width="2.5" style="1879" customWidth="1"/>
    <col min="4611" max="4611" width="44.5" style="1879" customWidth="1"/>
    <col min="4612" max="4612" width="1.5" style="1879" customWidth="1"/>
    <col min="4613" max="4613" width="21.6640625" style="1879" customWidth="1"/>
    <col min="4614" max="4614" width="2.83203125" style="1879" customWidth="1"/>
    <col min="4615" max="4620" width="0" style="1879" hidden="1" customWidth="1"/>
    <col min="4621" max="4621" width="21.83203125" style="1879" customWidth="1"/>
    <col min="4622" max="4622" width="1.5" style="1879" customWidth="1"/>
    <col min="4623" max="4623" width="21.6640625" style="1879" customWidth="1"/>
    <col min="4624" max="4624" width="1.5" style="1879" customWidth="1"/>
    <col min="4625" max="4625" width="11.83203125" style="1879" customWidth="1"/>
    <col min="4626" max="4626" width="3.5" style="1879" customWidth="1"/>
    <col min="4627" max="4627" width="11.6640625" style="1879" customWidth="1"/>
    <col min="4628" max="4628" width="2.1640625" style="1879" customWidth="1"/>
    <col min="4629" max="4630" width="0" style="1879" hidden="1" customWidth="1"/>
    <col min="4631" max="4631" width="11.6640625" style="1879" customWidth="1"/>
    <col min="4632" max="4632" width="0" style="1879" hidden="1" customWidth="1"/>
    <col min="4633" max="4634" width="9.1640625" style="1879" customWidth="1"/>
    <col min="4635" max="4636" width="0" style="1879" hidden="1" customWidth="1"/>
    <col min="4637" max="4864" width="9.1640625" style="1879"/>
    <col min="4865" max="4866" width="2.5" style="1879" customWidth="1"/>
    <col min="4867" max="4867" width="44.5" style="1879" customWidth="1"/>
    <col min="4868" max="4868" width="1.5" style="1879" customWidth="1"/>
    <col min="4869" max="4869" width="21.6640625" style="1879" customWidth="1"/>
    <col min="4870" max="4870" width="2.83203125" style="1879" customWidth="1"/>
    <col min="4871" max="4876" width="0" style="1879" hidden="1" customWidth="1"/>
    <col min="4877" max="4877" width="21.83203125" style="1879" customWidth="1"/>
    <col min="4878" max="4878" width="1.5" style="1879" customWidth="1"/>
    <col min="4879" max="4879" width="21.6640625" style="1879" customWidth="1"/>
    <col min="4880" max="4880" width="1.5" style="1879" customWidth="1"/>
    <col min="4881" max="4881" width="11.83203125" style="1879" customWidth="1"/>
    <col min="4882" max="4882" width="3.5" style="1879" customWidth="1"/>
    <col min="4883" max="4883" width="11.6640625" style="1879" customWidth="1"/>
    <col min="4884" max="4884" width="2.1640625" style="1879" customWidth="1"/>
    <col min="4885" max="4886" width="0" style="1879" hidden="1" customWidth="1"/>
    <col min="4887" max="4887" width="11.6640625" style="1879" customWidth="1"/>
    <col min="4888" max="4888" width="0" style="1879" hidden="1" customWidth="1"/>
    <col min="4889" max="4890" width="9.1640625" style="1879" customWidth="1"/>
    <col min="4891" max="4892" width="0" style="1879" hidden="1" customWidth="1"/>
    <col min="4893" max="5120" width="9.1640625" style="1879"/>
    <col min="5121" max="5122" width="2.5" style="1879" customWidth="1"/>
    <col min="5123" max="5123" width="44.5" style="1879" customWidth="1"/>
    <col min="5124" max="5124" width="1.5" style="1879" customWidth="1"/>
    <col min="5125" max="5125" width="21.6640625" style="1879" customWidth="1"/>
    <col min="5126" max="5126" width="2.83203125" style="1879" customWidth="1"/>
    <col min="5127" max="5132" width="0" style="1879" hidden="1" customWidth="1"/>
    <col min="5133" max="5133" width="21.83203125" style="1879" customWidth="1"/>
    <col min="5134" max="5134" width="1.5" style="1879" customWidth="1"/>
    <col min="5135" max="5135" width="21.6640625" style="1879" customWidth="1"/>
    <col min="5136" max="5136" width="1.5" style="1879" customWidth="1"/>
    <col min="5137" max="5137" width="11.83203125" style="1879" customWidth="1"/>
    <col min="5138" max="5138" width="3.5" style="1879" customWidth="1"/>
    <col min="5139" max="5139" width="11.6640625" style="1879" customWidth="1"/>
    <col min="5140" max="5140" width="2.1640625" style="1879" customWidth="1"/>
    <col min="5141" max="5142" width="0" style="1879" hidden="1" customWidth="1"/>
    <col min="5143" max="5143" width="11.6640625" style="1879" customWidth="1"/>
    <col min="5144" max="5144" width="0" style="1879" hidden="1" customWidth="1"/>
    <col min="5145" max="5146" width="9.1640625" style="1879" customWidth="1"/>
    <col min="5147" max="5148" width="0" style="1879" hidden="1" customWidth="1"/>
    <col min="5149" max="5376" width="9.1640625" style="1879"/>
    <col min="5377" max="5378" width="2.5" style="1879" customWidth="1"/>
    <col min="5379" max="5379" width="44.5" style="1879" customWidth="1"/>
    <col min="5380" max="5380" width="1.5" style="1879" customWidth="1"/>
    <col min="5381" max="5381" width="21.6640625" style="1879" customWidth="1"/>
    <col min="5382" max="5382" width="2.83203125" style="1879" customWidth="1"/>
    <col min="5383" max="5388" width="0" style="1879" hidden="1" customWidth="1"/>
    <col min="5389" max="5389" width="21.83203125" style="1879" customWidth="1"/>
    <col min="5390" max="5390" width="1.5" style="1879" customWidth="1"/>
    <col min="5391" max="5391" width="21.6640625" style="1879" customWidth="1"/>
    <col min="5392" max="5392" width="1.5" style="1879" customWidth="1"/>
    <col min="5393" max="5393" width="11.83203125" style="1879" customWidth="1"/>
    <col min="5394" max="5394" width="3.5" style="1879" customWidth="1"/>
    <col min="5395" max="5395" width="11.6640625" style="1879" customWidth="1"/>
    <col min="5396" max="5396" width="2.1640625" style="1879" customWidth="1"/>
    <col min="5397" max="5398" width="0" style="1879" hidden="1" customWidth="1"/>
    <col min="5399" max="5399" width="11.6640625" style="1879" customWidth="1"/>
    <col min="5400" max="5400" width="0" style="1879" hidden="1" customWidth="1"/>
    <col min="5401" max="5402" width="9.1640625" style="1879" customWidth="1"/>
    <col min="5403" max="5404" width="0" style="1879" hidden="1" customWidth="1"/>
    <col min="5405" max="5632" width="9.1640625" style="1879"/>
    <col min="5633" max="5634" width="2.5" style="1879" customWidth="1"/>
    <col min="5635" max="5635" width="44.5" style="1879" customWidth="1"/>
    <col min="5636" max="5636" width="1.5" style="1879" customWidth="1"/>
    <col min="5637" max="5637" width="21.6640625" style="1879" customWidth="1"/>
    <col min="5638" max="5638" width="2.83203125" style="1879" customWidth="1"/>
    <col min="5639" max="5644" width="0" style="1879" hidden="1" customWidth="1"/>
    <col min="5645" max="5645" width="21.83203125" style="1879" customWidth="1"/>
    <col min="5646" max="5646" width="1.5" style="1879" customWidth="1"/>
    <col min="5647" max="5647" width="21.6640625" style="1879" customWidth="1"/>
    <col min="5648" max="5648" width="1.5" style="1879" customWidth="1"/>
    <col min="5649" max="5649" width="11.83203125" style="1879" customWidth="1"/>
    <col min="5650" max="5650" width="3.5" style="1879" customWidth="1"/>
    <col min="5651" max="5651" width="11.6640625" style="1879" customWidth="1"/>
    <col min="5652" max="5652" width="2.1640625" style="1879" customWidth="1"/>
    <col min="5653" max="5654" width="0" style="1879" hidden="1" customWidth="1"/>
    <col min="5655" max="5655" width="11.6640625" style="1879" customWidth="1"/>
    <col min="5656" max="5656" width="0" style="1879" hidden="1" customWidth="1"/>
    <col min="5657" max="5658" width="9.1640625" style="1879" customWidth="1"/>
    <col min="5659" max="5660" width="0" style="1879" hidden="1" customWidth="1"/>
    <col min="5661" max="5888" width="9.1640625" style="1879"/>
    <col min="5889" max="5890" width="2.5" style="1879" customWidth="1"/>
    <col min="5891" max="5891" width="44.5" style="1879" customWidth="1"/>
    <col min="5892" max="5892" width="1.5" style="1879" customWidth="1"/>
    <col min="5893" max="5893" width="21.6640625" style="1879" customWidth="1"/>
    <col min="5894" max="5894" width="2.83203125" style="1879" customWidth="1"/>
    <col min="5895" max="5900" width="0" style="1879" hidden="1" customWidth="1"/>
    <col min="5901" max="5901" width="21.83203125" style="1879" customWidth="1"/>
    <col min="5902" max="5902" width="1.5" style="1879" customWidth="1"/>
    <col min="5903" max="5903" width="21.6640625" style="1879" customWidth="1"/>
    <col min="5904" max="5904" width="1.5" style="1879" customWidth="1"/>
    <col min="5905" max="5905" width="11.83203125" style="1879" customWidth="1"/>
    <col min="5906" max="5906" width="3.5" style="1879" customWidth="1"/>
    <col min="5907" max="5907" width="11.6640625" style="1879" customWidth="1"/>
    <col min="5908" max="5908" width="2.1640625" style="1879" customWidth="1"/>
    <col min="5909" max="5910" width="0" style="1879" hidden="1" customWidth="1"/>
    <col min="5911" max="5911" width="11.6640625" style="1879" customWidth="1"/>
    <col min="5912" max="5912" width="0" style="1879" hidden="1" customWidth="1"/>
    <col min="5913" max="5914" width="9.1640625" style="1879" customWidth="1"/>
    <col min="5915" max="5916" width="0" style="1879" hidden="1" customWidth="1"/>
    <col min="5917" max="6144" width="9.1640625" style="1879"/>
    <col min="6145" max="6146" width="2.5" style="1879" customWidth="1"/>
    <col min="6147" max="6147" width="44.5" style="1879" customWidth="1"/>
    <col min="6148" max="6148" width="1.5" style="1879" customWidth="1"/>
    <col min="6149" max="6149" width="21.6640625" style="1879" customWidth="1"/>
    <col min="6150" max="6150" width="2.83203125" style="1879" customWidth="1"/>
    <col min="6151" max="6156" width="0" style="1879" hidden="1" customWidth="1"/>
    <col min="6157" max="6157" width="21.83203125" style="1879" customWidth="1"/>
    <col min="6158" max="6158" width="1.5" style="1879" customWidth="1"/>
    <col min="6159" max="6159" width="21.6640625" style="1879" customWidth="1"/>
    <col min="6160" max="6160" width="1.5" style="1879" customWidth="1"/>
    <col min="6161" max="6161" width="11.83203125" style="1879" customWidth="1"/>
    <col min="6162" max="6162" width="3.5" style="1879" customWidth="1"/>
    <col min="6163" max="6163" width="11.6640625" style="1879" customWidth="1"/>
    <col min="6164" max="6164" width="2.1640625" style="1879" customWidth="1"/>
    <col min="6165" max="6166" width="0" style="1879" hidden="1" customWidth="1"/>
    <col min="6167" max="6167" width="11.6640625" style="1879" customWidth="1"/>
    <col min="6168" max="6168" width="0" style="1879" hidden="1" customWidth="1"/>
    <col min="6169" max="6170" width="9.1640625" style="1879" customWidth="1"/>
    <col min="6171" max="6172" width="0" style="1879" hidden="1" customWidth="1"/>
    <col min="6173" max="6400" width="9.1640625" style="1879"/>
    <col min="6401" max="6402" width="2.5" style="1879" customWidth="1"/>
    <col min="6403" max="6403" width="44.5" style="1879" customWidth="1"/>
    <col min="6404" max="6404" width="1.5" style="1879" customWidth="1"/>
    <col min="6405" max="6405" width="21.6640625" style="1879" customWidth="1"/>
    <col min="6406" max="6406" width="2.83203125" style="1879" customWidth="1"/>
    <col min="6407" max="6412" width="0" style="1879" hidden="1" customWidth="1"/>
    <col min="6413" max="6413" width="21.83203125" style="1879" customWidth="1"/>
    <col min="6414" max="6414" width="1.5" style="1879" customWidth="1"/>
    <col min="6415" max="6415" width="21.6640625" style="1879" customWidth="1"/>
    <col min="6416" max="6416" width="1.5" style="1879" customWidth="1"/>
    <col min="6417" max="6417" width="11.83203125" style="1879" customWidth="1"/>
    <col min="6418" max="6418" width="3.5" style="1879" customWidth="1"/>
    <col min="6419" max="6419" width="11.6640625" style="1879" customWidth="1"/>
    <col min="6420" max="6420" width="2.1640625" style="1879" customWidth="1"/>
    <col min="6421" max="6422" width="0" style="1879" hidden="1" customWidth="1"/>
    <col min="6423" max="6423" width="11.6640625" style="1879" customWidth="1"/>
    <col min="6424" max="6424" width="0" style="1879" hidden="1" customWidth="1"/>
    <col min="6425" max="6426" width="9.1640625" style="1879" customWidth="1"/>
    <col min="6427" max="6428" width="0" style="1879" hidden="1" customWidth="1"/>
    <col min="6429" max="6656" width="9.1640625" style="1879"/>
    <col min="6657" max="6658" width="2.5" style="1879" customWidth="1"/>
    <col min="6659" max="6659" width="44.5" style="1879" customWidth="1"/>
    <col min="6660" max="6660" width="1.5" style="1879" customWidth="1"/>
    <col min="6661" max="6661" width="21.6640625" style="1879" customWidth="1"/>
    <col min="6662" max="6662" width="2.83203125" style="1879" customWidth="1"/>
    <col min="6663" max="6668" width="0" style="1879" hidden="1" customWidth="1"/>
    <col min="6669" max="6669" width="21.83203125" style="1879" customWidth="1"/>
    <col min="6670" max="6670" width="1.5" style="1879" customWidth="1"/>
    <col min="6671" max="6671" width="21.6640625" style="1879" customWidth="1"/>
    <col min="6672" max="6672" width="1.5" style="1879" customWidth="1"/>
    <col min="6673" max="6673" width="11.83203125" style="1879" customWidth="1"/>
    <col min="6674" max="6674" width="3.5" style="1879" customWidth="1"/>
    <col min="6675" max="6675" width="11.6640625" style="1879" customWidth="1"/>
    <col min="6676" max="6676" width="2.1640625" style="1879" customWidth="1"/>
    <col min="6677" max="6678" width="0" style="1879" hidden="1" customWidth="1"/>
    <col min="6679" max="6679" width="11.6640625" style="1879" customWidth="1"/>
    <col min="6680" max="6680" width="0" style="1879" hidden="1" customWidth="1"/>
    <col min="6681" max="6682" width="9.1640625" style="1879" customWidth="1"/>
    <col min="6683" max="6684" width="0" style="1879" hidden="1" customWidth="1"/>
    <col min="6685" max="6912" width="9.1640625" style="1879"/>
    <col min="6913" max="6914" width="2.5" style="1879" customWidth="1"/>
    <col min="6915" max="6915" width="44.5" style="1879" customWidth="1"/>
    <col min="6916" max="6916" width="1.5" style="1879" customWidth="1"/>
    <col min="6917" max="6917" width="21.6640625" style="1879" customWidth="1"/>
    <col min="6918" max="6918" width="2.83203125" style="1879" customWidth="1"/>
    <col min="6919" max="6924" width="0" style="1879" hidden="1" customWidth="1"/>
    <col min="6925" max="6925" width="21.83203125" style="1879" customWidth="1"/>
    <col min="6926" max="6926" width="1.5" style="1879" customWidth="1"/>
    <col min="6927" max="6927" width="21.6640625" style="1879" customWidth="1"/>
    <col min="6928" max="6928" width="1.5" style="1879" customWidth="1"/>
    <col min="6929" max="6929" width="11.83203125" style="1879" customWidth="1"/>
    <col min="6930" max="6930" width="3.5" style="1879" customWidth="1"/>
    <col min="6931" max="6931" width="11.6640625" style="1879" customWidth="1"/>
    <col min="6932" max="6932" width="2.1640625" style="1879" customWidth="1"/>
    <col min="6933" max="6934" width="0" style="1879" hidden="1" customWidth="1"/>
    <col min="6935" max="6935" width="11.6640625" style="1879" customWidth="1"/>
    <col min="6936" max="6936" width="0" style="1879" hidden="1" customWidth="1"/>
    <col min="6937" max="6938" width="9.1640625" style="1879" customWidth="1"/>
    <col min="6939" max="6940" width="0" style="1879" hidden="1" customWidth="1"/>
    <col min="6941" max="7168" width="9.1640625" style="1879"/>
    <col min="7169" max="7170" width="2.5" style="1879" customWidth="1"/>
    <col min="7171" max="7171" width="44.5" style="1879" customWidth="1"/>
    <col min="7172" max="7172" width="1.5" style="1879" customWidth="1"/>
    <col min="7173" max="7173" width="21.6640625" style="1879" customWidth="1"/>
    <col min="7174" max="7174" width="2.83203125" style="1879" customWidth="1"/>
    <col min="7175" max="7180" width="0" style="1879" hidden="1" customWidth="1"/>
    <col min="7181" max="7181" width="21.83203125" style="1879" customWidth="1"/>
    <col min="7182" max="7182" width="1.5" style="1879" customWidth="1"/>
    <col min="7183" max="7183" width="21.6640625" style="1879" customWidth="1"/>
    <col min="7184" max="7184" width="1.5" style="1879" customWidth="1"/>
    <col min="7185" max="7185" width="11.83203125" style="1879" customWidth="1"/>
    <col min="7186" max="7186" width="3.5" style="1879" customWidth="1"/>
    <col min="7187" max="7187" width="11.6640625" style="1879" customWidth="1"/>
    <col min="7188" max="7188" width="2.1640625" style="1879" customWidth="1"/>
    <col min="7189" max="7190" width="0" style="1879" hidden="1" customWidth="1"/>
    <col min="7191" max="7191" width="11.6640625" style="1879" customWidth="1"/>
    <col min="7192" max="7192" width="0" style="1879" hidden="1" customWidth="1"/>
    <col min="7193" max="7194" width="9.1640625" style="1879" customWidth="1"/>
    <col min="7195" max="7196" width="0" style="1879" hidden="1" customWidth="1"/>
    <col min="7197" max="7424" width="9.1640625" style="1879"/>
    <col min="7425" max="7426" width="2.5" style="1879" customWidth="1"/>
    <col min="7427" max="7427" width="44.5" style="1879" customWidth="1"/>
    <col min="7428" max="7428" width="1.5" style="1879" customWidth="1"/>
    <col min="7429" max="7429" width="21.6640625" style="1879" customWidth="1"/>
    <col min="7430" max="7430" width="2.83203125" style="1879" customWidth="1"/>
    <col min="7431" max="7436" width="0" style="1879" hidden="1" customWidth="1"/>
    <col min="7437" max="7437" width="21.83203125" style="1879" customWidth="1"/>
    <col min="7438" max="7438" width="1.5" style="1879" customWidth="1"/>
    <col min="7439" max="7439" width="21.6640625" style="1879" customWidth="1"/>
    <col min="7440" max="7440" width="1.5" style="1879" customWidth="1"/>
    <col min="7441" max="7441" width="11.83203125" style="1879" customWidth="1"/>
    <col min="7442" max="7442" width="3.5" style="1879" customWidth="1"/>
    <col min="7443" max="7443" width="11.6640625" style="1879" customWidth="1"/>
    <col min="7444" max="7444" width="2.1640625" style="1879" customWidth="1"/>
    <col min="7445" max="7446" width="0" style="1879" hidden="1" customWidth="1"/>
    <col min="7447" max="7447" width="11.6640625" style="1879" customWidth="1"/>
    <col min="7448" max="7448" width="0" style="1879" hidden="1" customWidth="1"/>
    <col min="7449" max="7450" width="9.1640625" style="1879" customWidth="1"/>
    <col min="7451" max="7452" width="0" style="1879" hidden="1" customWidth="1"/>
    <col min="7453" max="7680" width="9.1640625" style="1879"/>
    <col min="7681" max="7682" width="2.5" style="1879" customWidth="1"/>
    <col min="7683" max="7683" width="44.5" style="1879" customWidth="1"/>
    <col min="7684" max="7684" width="1.5" style="1879" customWidth="1"/>
    <col min="7685" max="7685" width="21.6640625" style="1879" customWidth="1"/>
    <col min="7686" max="7686" width="2.83203125" style="1879" customWidth="1"/>
    <col min="7687" max="7692" width="0" style="1879" hidden="1" customWidth="1"/>
    <col min="7693" max="7693" width="21.83203125" style="1879" customWidth="1"/>
    <col min="7694" max="7694" width="1.5" style="1879" customWidth="1"/>
    <col min="7695" max="7695" width="21.6640625" style="1879" customWidth="1"/>
    <col min="7696" max="7696" width="1.5" style="1879" customWidth="1"/>
    <col min="7697" max="7697" width="11.83203125" style="1879" customWidth="1"/>
    <col min="7698" max="7698" width="3.5" style="1879" customWidth="1"/>
    <col min="7699" max="7699" width="11.6640625" style="1879" customWidth="1"/>
    <col min="7700" max="7700" width="2.1640625" style="1879" customWidth="1"/>
    <col min="7701" max="7702" width="0" style="1879" hidden="1" customWidth="1"/>
    <col min="7703" max="7703" width="11.6640625" style="1879" customWidth="1"/>
    <col min="7704" max="7704" width="0" style="1879" hidden="1" customWidth="1"/>
    <col min="7705" max="7706" width="9.1640625" style="1879" customWidth="1"/>
    <col min="7707" max="7708" width="0" style="1879" hidden="1" customWidth="1"/>
    <col min="7709" max="7936" width="9.1640625" style="1879"/>
    <col min="7937" max="7938" width="2.5" style="1879" customWidth="1"/>
    <col min="7939" max="7939" width="44.5" style="1879" customWidth="1"/>
    <col min="7940" max="7940" width="1.5" style="1879" customWidth="1"/>
    <col min="7941" max="7941" width="21.6640625" style="1879" customWidth="1"/>
    <col min="7942" max="7942" width="2.83203125" style="1879" customWidth="1"/>
    <col min="7943" max="7948" width="0" style="1879" hidden="1" customWidth="1"/>
    <col min="7949" max="7949" width="21.83203125" style="1879" customWidth="1"/>
    <col min="7950" max="7950" width="1.5" style="1879" customWidth="1"/>
    <col min="7951" max="7951" width="21.6640625" style="1879" customWidth="1"/>
    <col min="7952" max="7952" width="1.5" style="1879" customWidth="1"/>
    <col min="7953" max="7953" width="11.83203125" style="1879" customWidth="1"/>
    <col min="7954" max="7954" width="3.5" style="1879" customWidth="1"/>
    <col min="7955" max="7955" width="11.6640625" style="1879" customWidth="1"/>
    <col min="7956" max="7956" width="2.1640625" style="1879" customWidth="1"/>
    <col min="7957" max="7958" width="0" style="1879" hidden="1" customWidth="1"/>
    <col min="7959" max="7959" width="11.6640625" style="1879" customWidth="1"/>
    <col min="7960" max="7960" width="0" style="1879" hidden="1" customWidth="1"/>
    <col min="7961" max="7962" width="9.1640625" style="1879" customWidth="1"/>
    <col min="7963" max="7964" width="0" style="1879" hidden="1" customWidth="1"/>
    <col min="7965" max="8192" width="9.1640625" style="1879"/>
    <col min="8193" max="8194" width="2.5" style="1879" customWidth="1"/>
    <col min="8195" max="8195" width="44.5" style="1879" customWidth="1"/>
    <col min="8196" max="8196" width="1.5" style="1879" customWidth="1"/>
    <col min="8197" max="8197" width="21.6640625" style="1879" customWidth="1"/>
    <col min="8198" max="8198" width="2.83203125" style="1879" customWidth="1"/>
    <col min="8199" max="8204" width="0" style="1879" hidden="1" customWidth="1"/>
    <col min="8205" max="8205" width="21.83203125" style="1879" customWidth="1"/>
    <col min="8206" max="8206" width="1.5" style="1879" customWidth="1"/>
    <col min="8207" max="8207" width="21.6640625" style="1879" customWidth="1"/>
    <col min="8208" max="8208" width="1.5" style="1879" customWidth="1"/>
    <col min="8209" max="8209" width="11.83203125" style="1879" customWidth="1"/>
    <col min="8210" max="8210" width="3.5" style="1879" customWidth="1"/>
    <col min="8211" max="8211" width="11.6640625" style="1879" customWidth="1"/>
    <col min="8212" max="8212" width="2.1640625" style="1879" customWidth="1"/>
    <col min="8213" max="8214" width="0" style="1879" hidden="1" customWidth="1"/>
    <col min="8215" max="8215" width="11.6640625" style="1879" customWidth="1"/>
    <col min="8216" max="8216" width="0" style="1879" hidden="1" customWidth="1"/>
    <col min="8217" max="8218" width="9.1640625" style="1879" customWidth="1"/>
    <col min="8219" max="8220" width="0" style="1879" hidden="1" customWidth="1"/>
    <col min="8221" max="8448" width="9.1640625" style="1879"/>
    <col min="8449" max="8450" width="2.5" style="1879" customWidth="1"/>
    <col min="8451" max="8451" width="44.5" style="1879" customWidth="1"/>
    <col min="8452" max="8452" width="1.5" style="1879" customWidth="1"/>
    <col min="8453" max="8453" width="21.6640625" style="1879" customWidth="1"/>
    <col min="8454" max="8454" width="2.83203125" style="1879" customWidth="1"/>
    <col min="8455" max="8460" width="0" style="1879" hidden="1" customWidth="1"/>
    <col min="8461" max="8461" width="21.83203125" style="1879" customWidth="1"/>
    <col min="8462" max="8462" width="1.5" style="1879" customWidth="1"/>
    <col min="8463" max="8463" width="21.6640625" style="1879" customWidth="1"/>
    <col min="8464" max="8464" width="1.5" style="1879" customWidth="1"/>
    <col min="8465" max="8465" width="11.83203125" style="1879" customWidth="1"/>
    <col min="8466" max="8466" width="3.5" style="1879" customWidth="1"/>
    <col min="8467" max="8467" width="11.6640625" style="1879" customWidth="1"/>
    <col min="8468" max="8468" width="2.1640625" style="1879" customWidth="1"/>
    <col min="8469" max="8470" width="0" style="1879" hidden="1" customWidth="1"/>
    <col min="8471" max="8471" width="11.6640625" style="1879" customWidth="1"/>
    <col min="8472" max="8472" width="0" style="1879" hidden="1" customWidth="1"/>
    <col min="8473" max="8474" width="9.1640625" style="1879" customWidth="1"/>
    <col min="8475" max="8476" width="0" style="1879" hidden="1" customWidth="1"/>
    <col min="8477" max="8704" width="9.1640625" style="1879"/>
    <col min="8705" max="8706" width="2.5" style="1879" customWidth="1"/>
    <col min="8707" max="8707" width="44.5" style="1879" customWidth="1"/>
    <col min="8708" max="8708" width="1.5" style="1879" customWidth="1"/>
    <col min="8709" max="8709" width="21.6640625" style="1879" customWidth="1"/>
    <col min="8710" max="8710" width="2.83203125" style="1879" customWidth="1"/>
    <col min="8711" max="8716" width="0" style="1879" hidden="1" customWidth="1"/>
    <col min="8717" max="8717" width="21.83203125" style="1879" customWidth="1"/>
    <col min="8718" max="8718" width="1.5" style="1879" customWidth="1"/>
    <col min="8719" max="8719" width="21.6640625" style="1879" customWidth="1"/>
    <col min="8720" max="8720" width="1.5" style="1879" customWidth="1"/>
    <col min="8721" max="8721" width="11.83203125" style="1879" customWidth="1"/>
    <col min="8722" max="8722" width="3.5" style="1879" customWidth="1"/>
    <col min="8723" max="8723" width="11.6640625" style="1879" customWidth="1"/>
    <col min="8724" max="8724" width="2.1640625" style="1879" customWidth="1"/>
    <col min="8725" max="8726" width="0" style="1879" hidden="1" customWidth="1"/>
    <col min="8727" max="8727" width="11.6640625" style="1879" customWidth="1"/>
    <col min="8728" max="8728" width="0" style="1879" hidden="1" customWidth="1"/>
    <col min="8729" max="8730" width="9.1640625" style="1879" customWidth="1"/>
    <col min="8731" max="8732" width="0" style="1879" hidden="1" customWidth="1"/>
    <col min="8733" max="8960" width="9.1640625" style="1879"/>
    <col min="8961" max="8962" width="2.5" style="1879" customWidth="1"/>
    <col min="8963" max="8963" width="44.5" style="1879" customWidth="1"/>
    <col min="8964" max="8964" width="1.5" style="1879" customWidth="1"/>
    <col min="8965" max="8965" width="21.6640625" style="1879" customWidth="1"/>
    <col min="8966" max="8966" width="2.83203125" style="1879" customWidth="1"/>
    <col min="8967" max="8972" width="0" style="1879" hidden="1" customWidth="1"/>
    <col min="8973" max="8973" width="21.83203125" style="1879" customWidth="1"/>
    <col min="8974" max="8974" width="1.5" style="1879" customWidth="1"/>
    <col min="8975" max="8975" width="21.6640625" style="1879" customWidth="1"/>
    <col min="8976" max="8976" width="1.5" style="1879" customWidth="1"/>
    <col min="8977" max="8977" width="11.83203125" style="1879" customWidth="1"/>
    <col min="8978" max="8978" width="3.5" style="1879" customWidth="1"/>
    <col min="8979" max="8979" width="11.6640625" style="1879" customWidth="1"/>
    <col min="8980" max="8980" width="2.1640625" style="1879" customWidth="1"/>
    <col min="8981" max="8982" width="0" style="1879" hidden="1" customWidth="1"/>
    <col min="8983" max="8983" width="11.6640625" style="1879" customWidth="1"/>
    <col min="8984" max="8984" width="0" style="1879" hidden="1" customWidth="1"/>
    <col min="8985" max="8986" width="9.1640625" style="1879" customWidth="1"/>
    <col min="8987" max="8988" width="0" style="1879" hidden="1" customWidth="1"/>
    <col min="8989" max="9216" width="9.1640625" style="1879"/>
    <col min="9217" max="9218" width="2.5" style="1879" customWidth="1"/>
    <col min="9219" max="9219" width="44.5" style="1879" customWidth="1"/>
    <col min="9220" max="9220" width="1.5" style="1879" customWidth="1"/>
    <col min="9221" max="9221" width="21.6640625" style="1879" customWidth="1"/>
    <col min="9222" max="9222" width="2.83203125" style="1879" customWidth="1"/>
    <col min="9223" max="9228" width="0" style="1879" hidden="1" customWidth="1"/>
    <col min="9229" max="9229" width="21.83203125" style="1879" customWidth="1"/>
    <col min="9230" max="9230" width="1.5" style="1879" customWidth="1"/>
    <col min="9231" max="9231" width="21.6640625" style="1879" customWidth="1"/>
    <col min="9232" max="9232" width="1.5" style="1879" customWidth="1"/>
    <col min="9233" max="9233" width="11.83203125" style="1879" customWidth="1"/>
    <col min="9234" max="9234" width="3.5" style="1879" customWidth="1"/>
    <col min="9235" max="9235" width="11.6640625" style="1879" customWidth="1"/>
    <col min="9236" max="9236" width="2.1640625" style="1879" customWidth="1"/>
    <col min="9237" max="9238" width="0" style="1879" hidden="1" customWidth="1"/>
    <col min="9239" max="9239" width="11.6640625" style="1879" customWidth="1"/>
    <col min="9240" max="9240" width="0" style="1879" hidden="1" customWidth="1"/>
    <col min="9241" max="9242" width="9.1640625" style="1879" customWidth="1"/>
    <col min="9243" max="9244" width="0" style="1879" hidden="1" customWidth="1"/>
    <col min="9245" max="9472" width="9.1640625" style="1879"/>
    <col min="9473" max="9474" width="2.5" style="1879" customWidth="1"/>
    <col min="9475" max="9475" width="44.5" style="1879" customWidth="1"/>
    <col min="9476" max="9476" width="1.5" style="1879" customWidth="1"/>
    <col min="9477" max="9477" width="21.6640625" style="1879" customWidth="1"/>
    <col min="9478" max="9478" width="2.83203125" style="1879" customWidth="1"/>
    <col min="9479" max="9484" width="0" style="1879" hidden="1" customWidth="1"/>
    <col min="9485" max="9485" width="21.83203125" style="1879" customWidth="1"/>
    <col min="9486" max="9486" width="1.5" style="1879" customWidth="1"/>
    <col min="9487" max="9487" width="21.6640625" style="1879" customWidth="1"/>
    <col min="9488" max="9488" width="1.5" style="1879" customWidth="1"/>
    <col min="9489" max="9489" width="11.83203125" style="1879" customWidth="1"/>
    <col min="9490" max="9490" width="3.5" style="1879" customWidth="1"/>
    <col min="9491" max="9491" width="11.6640625" style="1879" customWidth="1"/>
    <col min="9492" max="9492" width="2.1640625" style="1879" customWidth="1"/>
    <col min="9493" max="9494" width="0" style="1879" hidden="1" customWidth="1"/>
    <col min="9495" max="9495" width="11.6640625" style="1879" customWidth="1"/>
    <col min="9496" max="9496" width="0" style="1879" hidden="1" customWidth="1"/>
    <col min="9497" max="9498" width="9.1640625" style="1879" customWidth="1"/>
    <col min="9499" max="9500" width="0" style="1879" hidden="1" customWidth="1"/>
    <col min="9501" max="9728" width="9.1640625" style="1879"/>
    <col min="9729" max="9730" width="2.5" style="1879" customWidth="1"/>
    <col min="9731" max="9731" width="44.5" style="1879" customWidth="1"/>
    <col min="9732" max="9732" width="1.5" style="1879" customWidth="1"/>
    <col min="9733" max="9733" width="21.6640625" style="1879" customWidth="1"/>
    <col min="9734" max="9734" width="2.83203125" style="1879" customWidth="1"/>
    <col min="9735" max="9740" width="0" style="1879" hidden="1" customWidth="1"/>
    <col min="9741" max="9741" width="21.83203125" style="1879" customWidth="1"/>
    <col min="9742" max="9742" width="1.5" style="1879" customWidth="1"/>
    <col min="9743" max="9743" width="21.6640625" style="1879" customWidth="1"/>
    <col min="9744" max="9744" width="1.5" style="1879" customWidth="1"/>
    <col min="9745" max="9745" width="11.83203125" style="1879" customWidth="1"/>
    <col min="9746" max="9746" width="3.5" style="1879" customWidth="1"/>
    <col min="9747" max="9747" width="11.6640625" style="1879" customWidth="1"/>
    <col min="9748" max="9748" width="2.1640625" style="1879" customWidth="1"/>
    <col min="9749" max="9750" width="0" style="1879" hidden="1" customWidth="1"/>
    <col min="9751" max="9751" width="11.6640625" style="1879" customWidth="1"/>
    <col min="9752" max="9752" width="0" style="1879" hidden="1" customWidth="1"/>
    <col min="9753" max="9754" width="9.1640625" style="1879" customWidth="1"/>
    <col min="9755" max="9756" width="0" style="1879" hidden="1" customWidth="1"/>
    <col min="9757" max="9984" width="9.1640625" style="1879"/>
    <col min="9985" max="9986" width="2.5" style="1879" customWidth="1"/>
    <col min="9987" max="9987" width="44.5" style="1879" customWidth="1"/>
    <col min="9988" max="9988" width="1.5" style="1879" customWidth="1"/>
    <col min="9989" max="9989" width="21.6640625" style="1879" customWidth="1"/>
    <col min="9990" max="9990" width="2.83203125" style="1879" customWidth="1"/>
    <col min="9991" max="9996" width="0" style="1879" hidden="1" customWidth="1"/>
    <col min="9997" max="9997" width="21.83203125" style="1879" customWidth="1"/>
    <col min="9998" max="9998" width="1.5" style="1879" customWidth="1"/>
    <col min="9999" max="9999" width="21.6640625" style="1879" customWidth="1"/>
    <col min="10000" max="10000" width="1.5" style="1879" customWidth="1"/>
    <col min="10001" max="10001" width="11.83203125" style="1879" customWidth="1"/>
    <col min="10002" max="10002" width="3.5" style="1879" customWidth="1"/>
    <col min="10003" max="10003" width="11.6640625" style="1879" customWidth="1"/>
    <col min="10004" max="10004" width="2.1640625" style="1879" customWidth="1"/>
    <col min="10005" max="10006" width="0" style="1879" hidden="1" customWidth="1"/>
    <col min="10007" max="10007" width="11.6640625" style="1879" customWidth="1"/>
    <col min="10008" max="10008" width="0" style="1879" hidden="1" customWidth="1"/>
    <col min="10009" max="10010" width="9.1640625" style="1879" customWidth="1"/>
    <col min="10011" max="10012" width="0" style="1879" hidden="1" customWidth="1"/>
    <col min="10013" max="10240" width="9.1640625" style="1879"/>
    <col min="10241" max="10242" width="2.5" style="1879" customWidth="1"/>
    <col min="10243" max="10243" width="44.5" style="1879" customWidth="1"/>
    <col min="10244" max="10244" width="1.5" style="1879" customWidth="1"/>
    <col min="10245" max="10245" width="21.6640625" style="1879" customWidth="1"/>
    <col min="10246" max="10246" width="2.83203125" style="1879" customWidth="1"/>
    <col min="10247" max="10252" width="0" style="1879" hidden="1" customWidth="1"/>
    <col min="10253" max="10253" width="21.83203125" style="1879" customWidth="1"/>
    <col min="10254" max="10254" width="1.5" style="1879" customWidth="1"/>
    <col min="10255" max="10255" width="21.6640625" style="1879" customWidth="1"/>
    <col min="10256" max="10256" width="1.5" style="1879" customWidth="1"/>
    <col min="10257" max="10257" width="11.83203125" style="1879" customWidth="1"/>
    <col min="10258" max="10258" width="3.5" style="1879" customWidth="1"/>
    <col min="10259" max="10259" width="11.6640625" style="1879" customWidth="1"/>
    <col min="10260" max="10260" width="2.1640625" style="1879" customWidth="1"/>
    <col min="10261" max="10262" width="0" style="1879" hidden="1" customWidth="1"/>
    <col min="10263" max="10263" width="11.6640625" style="1879" customWidth="1"/>
    <col min="10264" max="10264" width="0" style="1879" hidden="1" customWidth="1"/>
    <col min="10265" max="10266" width="9.1640625" style="1879" customWidth="1"/>
    <col min="10267" max="10268" width="0" style="1879" hidden="1" customWidth="1"/>
    <col min="10269" max="10496" width="9.1640625" style="1879"/>
    <col min="10497" max="10498" width="2.5" style="1879" customWidth="1"/>
    <col min="10499" max="10499" width="44.5" style="1879" customWidth="1"/>
    <col min="10500" max="10500" width="1.5" style="1879" customWidth="1"/>
    <col min="10501" max="10501" width="21.6640625" style="1879" customWidth="1"/>
    <col min="10502" max="10502" width="2.83203125" style="1879" customWidth="1"/>
    <col min="10503" max="10508" width="0" style="1879" hidden="1" customWidth="1"/>
    <col min="10509" max="10509" width="21.83203125" style="1879" customWidth="1"/>
    <col min="10510" max="10510" width="1.5" style="1879" customWidth="1"/>
    <col min="10511" max="10511" width="21.6640625" style="1879" customWidth="1"/>
    <col min="10512" max="10512" width="1.5" style="1879" customWidth="1"/>
    <col min="10513" max="10513" width="11.83203125" style="1879" customWidth="1"/>
    <col min="10514" max="10514" width="3.5" style="1879" customWidth="1"/>
    <col min="10515" max="10515" width="11.6640625" style="1879" customWidth="1"/>
    <col min="10516" max="10516" width="2.1640625" style="1879" customWidth="1"/>
    <col min="10517" max="10518" width="0" style="1879" hidden="1" customWidth="1"/>
    <col min="10519" max="10519" width="11.6640625" style="1879" customWidth="1"/>
    <col min="10520" max="10520" width="0" style="1879" hidden="1" customWidth="1"/>
    <col min="10521" max="10522" width="9.1640625" style="1879" customWidth="1"/>
    <col min="10523" max="10524" width="0" style="1879" hidden="1" customWidth="1"/>
    <col min="10525" max="10752" width="9.1640625" style="1879"/>
    <col min="10753" max="10754" width="2.5" style="1879" customWidth="1"/>
    <col min="10755" max="10755" width="44.5" style="1879" customWidth="1"/>
    <col min="10756" max="10756" width="1.5" style="1879" customWidth="1"/>
    <col min="10757" max="10757" width="21.6640625" style="1879" customWidth="1"/>
    <col min="10758" max="10758" width="2.83203125" style="1879" customWidth="1"/>
    <col min="10759" max="10764" width="0" style="1879" hidden="1" customWidth="1"/>
    <col min="10765" max="10765" width="21.83203125" style="1879" customWidth="1"/>
    <col min="10766" max="10766" width="1.5" style="1879" customWidth="1"/>
    <col min="10767" max="10767" width="21.6640625" style="1879" customWidth="1"/>
    <col min="10768" max="10768" width="1.5" style="1879" customWidth="1"/>
    <col min="10769" max="10769" width="11.83203125" style="1879" customWidth="1"/>
    <col min="10770" max="10770" width="3.5" style="1879" customWidth="1"/>
    <col min="10771" max="10771" width="11.6640625" style="1879" customWidth="1"/>
    <col min="10772" max="10772" width="2.1640625" style="1879" customWidth="1"/>
    <col min="10773" max="10774" width="0" style="1879" hidden="1" customWidth="1"/>
    <col min="10775" max="10775" width="11.6640625" style="1879" customWidth="1"/>
    <col min="10776" max="10776" width="0" style="1879" hidden="1" customWidth="1"/>
    <col min="10777" max="10778" width="9.1640625" style="1879" customWidth="1"/>
    <col min="10779" max="10780" width="0" style="1879" hidden="1" customWidth="1"/>
    <col min="10781" max="11008" width="9.1640625" style="1879"/>
    <col min="11009" max="11010" width="2.5" style="1879" customWidth="1"/>
    <col min="11011" max="11011" width="44.5" style="1879" customWidth="1"/>
    <col min="11012" max="11012" width="1.5" style="1879" customWidth="1"/>
    <col min="11013" max="11013" width="21.6640625" style="1879" customWidth="1"/>
    <col min="11014" max="11014" width="2.83203125" style="1879" customWidth="1"/>
    <col min="11015" max="11020" width="0" style="1879" hidden="1" customWidth="1"/>
    <col min="11021" max="11021" width="21.83203125" style="1879" customWidth="1"/>
    <col min="11022" max="11022" width="1.5" style="1879" customWidth="1"/>
    <col min="11023" max="11023" width="21.6640625" style="1879" customWidth="1"/>
    <col min="11024" max="11024" width="1.5" style="1879" customWidth="1"/>
    <col min="11025" max="11025" width="11.83203125" style="1879" customWidth="1"/>
    <col min="11026" max="11026" width="3.5" style="1879" customWidth="1"/>
    <col min="11027" max="11027" width="11.6640625" style="1879" customWidth="1"/>
    <col min="11028" max="11028" width="2.1640625" style="1879" customWidth="1"/>
    <col min="11029" max="11030" width="0" style="1879" hidden="1" customWidth="1"/>
    <col min="11031" max="11031" width="11.6640625" style="1879" customWidth="1"/>
    <col min="11032" max="11032" width="0" style="1879" hidden="1" customWidth="1"/>
    <col min="11033" max="11034" width="9.1640625" style="1879" customWidth="1"/>
    <col min="11035" max="11036" width="0" style="1879" hidden="1" customWidth="1"/>
    <col min="11037" max="11264" width="9.1640625" style="1879"/>
    <col min="11265" max="11266" width="2.5" style="1879" customWidth="1"/>
    <col min="11267" max="11267" width="44.5" style="1879" customWidth="1"/>
    <col min="11268" max="11268" width="1.5" style="1879" customWidth="1"/>
    <col min="11269" max="11269" width="21.6640625" style="1879" customWidth="1"/>
    <col min="11270" max="11270" width="2.83203125" style="1879" customWidth="1"/>
    <col min="11271" max="11276" width="0" style="1879" hidden="1" customWidth="1"/>
    <col min="11277" max="11277" width="21.83203125" style="1879" customWidth="1"/>
    <col min="11278" max="11278" width="1.5" style="1879" customWidth="1"/>
    <col min="11279" max="11279" width="21.6640625" style="1879" customWidth="1"/>
    <col min="11280" max="11280" width="1.5" style="1879" customWidth="1"/>
    <col min="11281" max="11281" width="11.83203125" style="1879" customWidth="1"/>
    <col min="11282" max="11282" width="3.5" style="1879" customWidth="1"/>
    <col min="11283" max="11283" width="11.6640625" style="1879" customWidth="1"/>
    <col min="11284" max="11284" width="2.1640625" style="1879" customWidth="1"/>
    <col min="11285" max="11286" width="0" style="1879" hidden="1" customWidth="1"/>
    <col min="11287" max="11287" width="11.6640625" style="1879" customWidth="1"/>
    <col min="11288" max="11288" width="0" style="1879" hidden="1" customWidth="1"/>
    <col min="11289" max="11290" width="9.1640625" style="1879" customWidth="1"/>
    <col min="11291" max="11292" width="0" style="1879" hidden="1" customWidth="1"/>
    <col min="11293" max="11520" width="9.1640625" style="1879"/>
    <col min="11521" max="11522" width="2.5" style="1879" customWidth="1"/>
    <col min="11523" max="11523" width="44.5" style="1879" customWidth="1"/>
    <col min="11524" max="11524" width="1.5" style="1879" customWidth="1"/>
    <col min="11525" max="11525" width="21.6640625" style="1879" customWidth="1"/>
    <col min="11526" max="11526" width="2.83203125" style="1879" customWidth="1"/>
    <col min="11527" max="11532" width="0" style="1879" hidden="1" customWidth="1"/>
    <col min="11533" max="11533" width="21.83203125" style="1879" customWidth="1"/>
    <col min="11534" max="11534" width="1.5" style="1879" customWidth="1"/>
    <col min="11535" max="11535" width="21.6640625" style="1879" customWidth="1"/>
    <col min="11536" max="11536" width="1.5" style="1879" customWidth="1"/>
    <col min="11537" max="11537" width="11.83203125" style="1879" customWidth="1"/>
    <col min="11538" max="11538" width="3.5" style="1879" customWidth="1"/>
    <col min="11539" max="11539" width="11.6640625" style="1879" customWidth="1"/>
    <col min="11540" max="11540" width="2.1640625" style="1879" customWidth="1"/>
    <col min="11541" max="11542" width="0" style="1879" hidden="1" customWidth="1"/>
    <col min="11543" max="11543" width="11.6640625" style="1879" customWidth="1"/>
    <col min="11544" max="11544" width="0" style="1879" hidden="1" customWidth="1"/>
    <col min="11545" max="11546" width="9.1640625" style="1879" customWidth="1"/>
    <col min="11547" max="11548" width="0" style="1879" hidden="1" customWidth="1"/>
    <col min="11549" max="11776" width="9.1640625" style="1879"/>
    <col min="11777" max="11778" width="2.5" style="1879" customWidth="1"/>
    <col min="11779" max="11779" width="44.5" style="1879" customWidth="1"/>
    <col min="11780" max="11780" width="1.5" style="1879" customWidth="1"/>
    <col min="11781" max="11781" width="21.6640625" style="1879" customWidth="1"/>
    <col min="11782" max="11782" width="2.83203125" style="1879" customWidth="1"/>
    <col min="11783" max="11788" width="0" style="1879" hidden="1" customWidth="1"/>
    <col min="11789" max="11789" width="21.83203125" style="1879" customWidth="1"/>
    <col min="11790" max="11790" width="1.5" style="1879" customWidth="1"/>
    <col min="11791" max="11791" width="21.6640625" style="1879" customWidth="1"/>
    <col min="11792" max="11792" width="1.5" style="1879" customWidth="1"/>
    <col min="11793" max="11793" width="11.83203125" style="1879" customWidth="1"/>
    <col min="11794" max="11794" width="3.5" style="1879" customWidth="1"/>
    <col min="11795" max="11795" width="11.6640625" style="1879" customWidth="1"/>
    <col min="11796" max="11796" width="2.1640625" style="1879" customWidth="1"/>
    <col min="11797" max="11798" width="0" style="1879" hidden="1" customWidth="1"/>
    <col min="11799" max="11799" width="11.6640625" style="1879" customWidth="1"/>
    <col min="11800" max="11800" width="0" style="1879" hidden="1" customWidth="1"/>
    <col min="11801" max="11802" width="9.1640625" style="1879" customWidth="1"/>
    <col min="11803" max="11804" width="0" style="1879" hidden="1" customWidth="1"/>
    <col min="11805" max="12032" width="9.1640625" style="1879"/>
    <col min="12033" max="12034" width="2.5" style="1879" customWidth="1"/>
    <col min="12035" max="12035" width="44.5" style="1879" customWidth="1"/>
    <col min="12036" max="12036" width="1.5" style="1879" customWidth="1"/>
    <col min="12037" max="12037" width="21.6640625" style="1879" customWidth="1"/>
    <col min="12038" max="12038" width="2.83203125" style="1879" customWidth="1"/>
    <col min="12039" max="12044" width="0" style="1879" hidden="1" customWidth="1"/>
    <col min="12045" max="12045" width="21.83203125" style="1879" customWidth="1"/>
    <col min="12046" max="12046" width="1.5" style="1879" customWidth="1"/>
    <col min="12047" max="12047" width="21.6640625" style="1879" customWidth="1"/>
    <col min="12048" max="12048" width="1.5" style="1879" customWidth="1"/>
    <col min="12049" max="12049" width="11.83203125" style="1879" customWidth="1"/>
    <col min="12050" max="12050" width="3.5" style="1879" customWidth="1"/>
    <col min="12051" max="12051" width="11.6640625" style="1879" customWidth="1"/>
    <col min="12052" max="12052" width="2.1640625" style="1879" customWidth="1"/>
    <col min="12053" max="12054" width="0" style="1879" hidden="1" customWidth="1"/>
    <col min="12055" max="12055" width="11.6640625" style="1879" customWidth="1"/>
    <col min="12056" max="12056" width="0" style="1879" hidden="1" customWidth="1"/>
    <col min="12057" max="12058" width="9.1640625" style="1879" customWidth="1"/>
    <col min="12059" max="12060" width="0" style="1879" hidden="1" customWidth="1"/>
    <col min="12061" max="12288" width="9.1640625" style="1879"/>
    <col min="12289" max="12290" width="2.5" style="1879" customWidth="1"/>
    <col min="12291" max="12291" width="44.5" style="1879" customWidth="1"/>
    <col min="12292" max="12292" width="1.5" style="1879" customWidth="1"/>
    <col min="12293" max="12293" width="21.6640625" style="1879" customWidth="1"/>
    <col min="12294" max="12294" width="2.83203125" style="1879" customWidth="1"/>
    <col min="12295" max="12300" width="0" style="1879" hidden="1" customWidth="1"/>
    <col min="12301" max="12301" width="21.83203125" style="1879" customWidth="1"/>
    <col min="12302" max="12302" width="1.5" style="1879" customWidth="1"/>
    <col min="12303" max="12303" width="21.6640625" style="1879" customWidth="1"/>
    <col min="12304" max="12304" width="1.5" style="1879" customWidth="1"/>
    <col min="12305" max="12305" width="11.83203125" style="1879" customWidth="1"/>
    <col min="12306" max="12306" width="3.5" style="1879" customWidth="1"/>
    <col min="12307" max="12307" width="11.6640625" style="1879" customWidth="1"/>
    <col min="12308" max="12308" width="2.1640625" style="1879" customWidth="1"/>
    <col min="12309" max="12310" width="0" style="1879" hidden="1" customWidth="1"/>
    <col min="12311" max="12311" width="11.6640625" style="1879" customWidth="1"/>
    <col min="12312" max="12312" width="0" style="1879" hidden="1" customWidth="1"/>
    <col min="12313" max="12314" width="9.1640625" style="1879" customWidth="1"/>
    <col min="12315" max="12316" width="0" style="1879" hidden="1" customWidth="1"/>
    <col min="12317" max="12544" width="9.1640625" style="1879"/>
    <col min="12545" max="12546" width="2.5" style="1879" customWidth="1"/>
    <col min="12547" max="12547" width="44.5" style="1879" customWidth="1"/>
    <col min="12548" max="12548" width="1.5" style="1879" customWidth="1"/>
    <col min="12549" max="12549" width="21.6640625" style="1879" customWidth="1"/>
    <col min="12550" max="12550" width="2.83203125" style="1879" customWidth="1"/>
    <col min="12551" max="12556" width="0" style="1879" hidden="1" customWidth="1"/>
    <col min="12557" max="12557" width="21.83203125" style="1879" customWidth="1"/>
    <col min="12558" max="12558" width="1.5" style="1879" customWidth="1"/>
    <col min="12559" max="12559" width="21.6640625" style="1879" customWidth="1"/>
    <col min="12560" max="12560" width="1.5" style="1879" customWidth="1"/>
    <col min="12561" max="12561" width="11.83203125" style="1879" customWidth="1"/>
    <col min="12562" max="12562" width="3.5" style="1879" customWidth="1"/>
    <col min="12563" max="12563" width="11.6640625" style="1879" customWidth="1"/>
    <col min="12564" max="12564" width="2.1640625" style="1879" customWidth="1"/>
    <col min="12565" max="12566" width="0" style="1879" hidden="1" customWidth="1"/>
    <col min="12567" max="12567" width="11.6640625" style="1879" customWidth="1"/>
    <col min="12568" max="12568" width="0" style="1879" hidden="1" customWidth="1"/>
    <col min="12569" max="12570" width="9.1640625" style="1879" customWidth="1"/>
    <col min="12571" max="12572" width="0" style="1879" hidden="1" customWidth="1"/>
    <col min="12573" max="12800" width="9.1640625" style="1879"/>
    <col min="12801" max="12802" width="2.5" style="1879" customWidth="1"/>
    <col min="12803" max="12803" width="44.5" style="1879" customWidth="1"/>
    <col min="12804" max="12804" width="1.5" style="1879" customWidth="1"/>
    <col min="12805" max="12805" width="21.6640625" style="1879" customWidth="1"/>
    <col min="12806" max="12806" width="2.83203125" style="1879" customWidth="1"/>
    <col min="12807" max="12812" width="0" style="1879" hidden="1" customWidth="1"/>
    <col min="12813" max="12813" width="21.83203125" style="1879" customWidth="1"/>
    <col min="12814" max="12814" width="1.5" style="1879" customWidth="1"/>
    <col min="12815" max="12815" width="21.6640625" style="1879" customWidth="1"/>
    <col min="12816" max="12816" width="1.5" style="1879" customWidth="1"/>
    <col min="12817" max="12817" width="11.83203125" style="1879" customWidth="1"/>
    <col min="12818" max="12818" width="3.5" style="1879" customWidth="1"/>
    <col min="12819" max="12819" width="11.6640625" style="1879" customWidth="1"/>
    <col min="12820" max="12820" width="2.1640625" style="1879" customWidth="1"/>
    <col min="12821" max="12822" width="0" style="1879" hidden="1" customWidth="1"/>
    <col min="12823" max="12823" width="11.6640625" style="1879" customWidth="1"/>
    <col min="12824" max="12824" width="0" style="1879" hidden="1" customWidth="1"/>
    <col min="12825" max="12826" width="9.1640625" style="1879" customWidth="1"/>
    <col min="12827" max="12828" width="0" style="1879" hidden="1" customWidth="1"/>
    <col min="12829" max="13056" width="9.1640625" style="1879"/>
    <col min="13057" max="13058" width="2.5" style="1879" customWidth="1"/>
    <col min="13059" max="13059" width="44.5" style="1879" customWidth="1"/>
    <col min="13060" max="13060" width="1.5" style="1879" customWidth="1"/>
    <col min="13061" max="13061" width="21.6640625" style="1879" customWidth="1"/>
    <col min="13062" max="13062" width="2.83203125" style="1879" customWidth="1"/>
    <col min="13063" max="13068" width="0" style="1879" hidden="1" customWidth="1"/>
    <col min="13069" max="13069" width="21.83203125" style="1879" customWidth="1"/>
    <col min="13070" max="13070" width="1.5" style="1879" customWidth="1"/>
    <col min="13071" max="13071" width="21.6640625" style="1879" customWidth="1"/>
    <col min="13072" max="13072" width="1.5" style="1879" customWidth="1"/>
    <col min="13073" max="13073" width="11.83203125" style="1879" customWidth="1"/>
    <col min="13074" max="13074" width="3.5" style="1879" customWidth="1"/>
    <col min="13075" max="13075" width="11.6640625" style="1879" customWidth="1"/>
    <col min="13076" max="13076" width="2.1640625" style="1879" customWidth="1"/>
    <col min="13077" max="13078" width="0" style="1879" hidden="1" customWidth="1"/>
    <col min="13079" max="13079" width="11.6640625" style="1879" customWidth="1"/>
    <col min="13080" max="13080" width="0" style="1879" hidden="1" customWidth="1"/>
    <col min="13081" max="13082" width="9.1640625" style="1879" customWidth="1"/>
    <col min="13083" max="13084" width="0" style="1879" hidden="1" customWidth="1"/>
    <col min="13085" max="13312" width="9.1640625" style="1879"/>
    <col min="13313" max="13314" width="2.5" style="1879" customWidth="1"/>
    <col min="13315" max="13315" width="44.5" style="1879" customWidth="1"/>
    <col min="13316" max="13316" width="1.5" style="1879" customWidth="1"/>
    <col min="13317" max="13317" width="21.6640625" style="1879" customWidth="1"/>
    <col min="13318" max="13318" width="2.83203125" style="1879" customWidth="1"/>
    <col min="13319" max="13324" width="0" style="1879" hidden="1" customWidth="1"/>
    <col min="13325" max="13325" width="21.83203125" style="1879" customWidth="1"/>
    <col min="13326" max="13326" width="1.5" style="1879" customWidth="1"/>
    <col min="13327" max="13327" width="21.6640625" style="1879" customWidth="1"/>
    <col min="13328" max="13328" width="1.5" style="1879" customWidth="1"/>
    <col min="13329" max="13329" width="11.83203125" style="1879" customWidth="1"/>
    <col min="13330" max="13330" width="3.5" style="1879" customWidth="1"/>
    <col min="13331" max="13331" width="11.6640625" style="1879" customWidth="1"/>
    <col min="13332" max="13332" width="2.1640625" style="1879" customWidth="1"/>
    <col min="13333" max="13334" width="0" style="1879" hidden="1" customWidth="1"/>
    <col min="13335" max="13335" width="11.6640625" style="1879" customWidth="1"/>
    <col min="13336" max="13336" width="0" style="1879" hidden="1" customWidth="1"/>
    <col min="13337" max="13338" width="9.1640625" style="1879" customWidth="1"/>
    <col min="13339" max="13340" width="0" style="1879" hidden="1" customWidth="1"/>
    <col min="13341" max="13568" width="9.1640625" style="1879"/>
    <col min="13569" max="13570" width="2.5" style="1879" customWidth="1"/>
    <col min="13571" max="13571" width="44.5" style="1879" customWidth="1"/>
    <col min="13572" max="13572" width="1.5" style="1879" customWidth="1"/>
    <col min="13573" max="13573" width="21.6640625" style="1879" customWidth="1"/>
    <col min="13574" max="13574" width="2.83203125" style="1879" customWidth="1"/>
    <col min="13575" max="13580" width="0" style="1879" hidden="1" customWidth="1"/>
    <col min="13581" max="13581" width="21.83203125" style="1879" customWidth="1"/>
    <col min="13582" max="13582" width="1.5" style="1879" customWidth="1"/>
    <col min="13583" max="13583" width="21.6640625" style="1879" customWidth="1"/>
    <col min="13584" max="13584" width="1.5" style="1879" customWidth="1"/>
    <col min="13585" max="13585" width="11.83203125" style="1879" customWidth="1"/>
    <col min="13586" max="13586" width="3.5" style="1879" customWidth="1"/>
    <col min="13587" max="13587" width="11.6640625" style="1879" customWidth="1"/>
    <col min="13588" max="13588" width="2.1640625" style="1879" customWidth="1"/>
    <col min="13589" max="13590" width="0" style="1879" hidden="1" customWidth="1"/>
    <col min="13591" max="13591" width="11.6640625" style="1879" customWidth="1"/>
    <col min="13592" max="13592" width="0" style="1879" hidden="1" customWidth="1"/>
    <col min="13593" max="13594" width="9.1640625" style="1879" customWidth="1"/>
    <col min="13595" max="13596" width="0" style="1879" hidden="1" customWidth="1"/>
    <col min="13597" max="13824" width="9.1640625" style="1879"/>
    <col min="13825" max="13826" width="2.5" style="1879" customWidth="1"/>
    <col min="13827" max="13827" width="44.5" style="1879" customWidth="1"/>
    <col min="13828" max="13828" width="1.5" style="1879" customWidth="1"/>
    <col min="13829" max="13829" width="21.6640625" style="1879" customWidth="1"/>
    <col min="13830" max="13830" width="2.83203125" style="1879" customWidth="1"/>
    <col min="13831" max="13836" width="0" style="1879" hidden="1" customWidth="1"/>
    <col min="13837" max="13837" width="21.83203125" style="1879" customWidth="1"/>
    <col min="13838" max="13838" width="1.5" style="1879" customWidth="1"/>
    <col min="13839" max="13839" width="21.6640625" style="1879" customWidth="1"/>
    <col min="13840" max="13840" width="1.5" style="1879" customWidth="1"/>
    <col min="13841" max="13841" width="11.83203125" style="1879" customWidth="1"/>
    <col min="13842" max="13842" width="3.5" style="1879" customWidth="1"/>
    <col min="13843" max="13843" width="11.6640625" style="1879" customWidth="1"/>
    <col min="13844" max="13844" width="2.1640625" style="1879" customWidth="1"/>
    <col min="13845" max="13846" width="0" style="1879" hidden="1" customWidth="1"/>
    <col min="13847" max="13847" width="11.6640625" style="1879" customWidth="1"/>
    <col min="13848" max="13848" width="0" style="1879" hidden="1" customWidth="1"/>
    <col min="13849" max="13850" width="9.1640625" style="1879" customWidth="1"/>
    <col min="13851" max="13852" width="0" style="1879" hidden="1" customWidth="1"/>
    <col min="13853" max="14080" width="9.1640625" style="1879"/>
    <col min="14081" max="14082" width="2.5" style="1879" customWidth="1"/>
    <col min="14083" max="14083" width="44.5" style="1879" customWidth="1"/>
    <col min="14084" max="14084" width="1.5" style="1879" customWidth="1"/>
    <col min="14085" max="14085" width="21.6640625" style="1879" customWidth="1"/>
    <col min="14086" max="14086" width="2.83203125" style="1879" customWidth="1"/>
    <col min="14087" max="14092" width="0" style="1879" hidden="1" customWidth="1"/>
    <col min="14093" max="14093" width="21.83203125" style="1879" customWidth="1"/>
    <col min="14094" max="14094" width="1.5" style="1879" customWidth="1"/>
    <col min="14095" max="14095" width="21.6640625" style="1879" customWidth="1"/>
    <col min="14096" max="14096" width="1.5" style="1879" customWidth="1"/>
    <col min="14097" max="14097" width="11.83203125" style="1879" customWidth="1"/>
    <col min="14098" max="14098" width="3.5" style="1879" customWidth="1"/>
    <col min="14099" max="14099" width="11.6640625" style="1879" customWidth="1"/>
    <col min="14100" max="14100" width="2.1640625" style="1879" customWidth="1"/>
    <col min="14101" max="14102" width="0" style="1879" hidden="1" customWidth="1"/>
    <col min="14103" max="14103" width="11.6640625" style="1879" customWidth="1"/>
    <col min="14104" max="14104" width="0" style="1879" hidden="1" customWidth="1"/>
    <col min="14105" max="14106" width="9.1640625" style="1879" customWidth="1"/>
    <col min="14107" max="14108" width="0" style="1879" hidden="1" customWidth="1"/>
    <col min="14109" max="14336" width="9.1640625" style="1879"/>
    <col min="14337" max="14338" width="2.5" style="1879" customWidth="1"/>
    <col min="14339" max="14339" width="44.5" style="1879" customWidth="1"/>
    <col min="14340" max="14340" width="1.5" style="1879" customWidth="1"/>
    <col min="14341" max="14341" width="21.6640625" style="1879" customWidth="1"/>
    <col min="14342" max="14342" width="2.83203125" style="1879" customWidth="1"/>
    <col min="14343" max="14348" width="0" style="1879" hidden="1" customWidth="1"/>
    <col min="14349" max="14349" width="21.83203125" style="1879" customWidth="1"/>
    <col min="14350" max="14350" width="1.5" style="1879" customWidth="1"/>
    <col min="14351" max="14351" width="21.6640625" style="1879" customWidth="1"/>
    <col min="14352" max="14352" width="1.5" style="1879" customWidth="1"/>
    <col min="14353" max="14353" width="11.83203125" style="1879" customWidth="1"/>
    <col min="14354" max="14354" width="3.5" style="1879" customWidth="1"/>
    <col min="14355" max="14355" width="11.6640625" style="1879" customWidth="1"/>
    <col min="14356" max="14356" width="2.1640625" style="1879" customWidth="1"/>
    <col min="14357" max="14358" width="0" style="1879" hidden="1" customWidth="1"/>
    <col min="14359" max="14359" width="11.6640625" style="1879" customWidth="1"/>
    <col min="14360" max="14360" width="0" style="1879" hidden="1" customWidth="1"/>
    <col min="14361" max="14362" width="9.1640625" style="1879" customWidth="1"/>
    <col min="14363" max="14364" width="0" style="1879" hidden="1" customWidth="1"/>
    <col min="14365" max="14592" width="9.1640625" style="1879"/>
    <col min="14593" max="14594" width="2.5" style="1879" customWidth="1"/>
    <col min="14595" max="14595" width="44.5" style="1879" customWidth="1"/>
    <col min="14596" max="14596" width="1.5" style="1879" customWidth="1"/>
    <col min="14597" max="14597" width="21.6640625" style="1879" customWidth="1"/>
    <col min="14598" max="14598" width="2.83203125" style="1879" customWidth="1"/>
    <col min="14599" max="14604" width="0" style="1879" hidden="1" customWidth="1"/>
    <col min="14605" max="14605" width="21.83203125" style="1879" customWidth="1"/>
    <col min="14606" max="14606" width="1.5" style="1879" customWidth="1"/>
    <col min="14607" max="14607" width="21.6640625" style="1879" customWidth="1"/>
    <col min="14608" max="14608" width="1.5" style="1879" customWidth="1"/>
    <col min="14609" max="14609" width="11.83203125" style="1879" customWidth="1"/>
    <col min="14610" max="14610" width="3.5" style="1879" customWidth="1"/>
    <col min="14611" max="14611" width="11.6640625" style="1879" customWidth="1"/>
    <col min="14612" max="14612" width="2.1640625" style="1879" customWidth="1"/>
    <col min="14613" max="14614" width="0" style="1879" hidden="1" customWidth="1"/>
    <col min="14615" max="14615" width="11.6640625" style="1879" customWidth="1"/>
    <col min="14616" max="14616" width="0" style="1879" hidden="1" customWidth="1"/>
    <col min="14617" max="14618" width="9.1640625" style="1879" customWidth="1"/>
    <col min="14619" max="14620" width="0" style="1879" hidden="1" customWidth="1"/>
    <col min="14621" max="14848" width="9.1640625" style="1879"/>
    <col min="14849" max="14850" width="2.5" style="1879" customWidth="1"/>
    <col min="14851" max="14851" width="44.5" style="1879" customWidth="1"/>
    <col min="14852" max="14852" width="1.5" style="1879" customWidth="1"/>
    <col min="14853" max="14853" width="21.6640625" style="1879" customWidth="1"/>
    <col min="14854" max="14854" width="2.83203125" style="1879" customWidth="1"/>
    <col min="14855" max="14860" width="0" style="1879" hidden="1" customWidth="1"/>
    <col min="14861" max="14861" width="21.83203125" style="1879" customWidth="1"/>
    <col min="14862" max="14862" width="1.5" style="1879" customWidth="1"/>
    <col min="14863" max="14863" width="21.6640625" style="1879" customWidth="1"/>
    <col min="14864" max="14864" width="1.5" style="1879" customWidth="1"/>
    <col min="14865" max="14865" width="11.83203125" style="1879" customWidth="1"/>
    <col min="14866" max="14866" width="3.5" style="1879" customWidth="1"/>
    <col min="14867" max="14867" width="11.6640625" style="1879" customWidth="1"/>
    <col min="14868" max="14868" width="2.1640625" style="1879" customWidth="1"/>
    <col min="14869" max="14870" width="0" style="1879" hidden="1" customWidth="1"/>
    <col min="14871" max="14871" width="11.6640625" style="1879" customWidth="1"/>
    <col min="14872" max="14872" width="0" style="1879" hidden="1" customWidth="1"/>
    <col min="14873" max="14874" width="9.1640625" style="1879" customWidth="1"/>
    <col min="14875" max="14876" width="0" style="1879" hidden="1" customWidth="1"/>
    <col min="14877" max="15104" width="9.1640625" style="1879"/>
    <col min="15105" max="15106" width="2.5" style="1879" customWidth="1"/>
    <col min="15107" max="15107" width="44.5" style="1879" customWidth="1"/>
    <col min="15108" max="15108" width="1.5" style="1879" customWidth="1"/>
    <col min="15109" max="15109" width="21.6640625" style="1879" customWidth="1"/>
    <col min="15110" max="15110" width="2.83203125" style="1879" customWidth="1"/>
    <col min="15111" max="15116" width="0" style="1879" hidden="1" customWidth="1"/>
    <col min="15117" max="15117" width="21.83203125" style="1879" customWidth="1"/>
    <col min="15118" max="15118" width="1.5" style="1879" customWidth="1"/>
    <col min="15119" max="15119" width="21.6640625" style="1879" customWidth="1"/>
    <col min="15120" max="15120" width="1.5" style="1879" customWidth="1"/>
    <col min="15121" max="15121" width="11.83203125" style="1879" customWidth="1"/>
    <col min="15122" max="15122" width="3.5" style="1879" customWidth="1"/>
    <col min="15123" max="15123" width="11.6640625" style="1879" customWidth="1"/>
    <col min="15124" max="15124" width="2.1640625" style="1879" customWidth="1"/>
    <col min="15125" max="15126" width="0" style="1879" hidden="1" customWidth="1"/>
    <col min="15127" max="15127" width="11.6640625" style="1879" customWidth="1"/>
    <col min="15128" max="15128" width="0" style="1879" hidden="1" customWidth="1"/>
    <col min="15129" max="15130" width="9.1640625" style="1879" customWidth="1"/>
    <col min="15131" max="15132" width="0" style="1879" hidden="1" customWidth="1"/>
    <col min="15133" max="15360" width="9.1640625" style="1879"/>
    <col min="15361" max="15362" width="2.5" style="1879" customWidth="1"/>
    <col min="15363" max="15363" width="44.5" style="1879" customWidth="1"/>
    <col min="15364" max="15364" width="1.5" style="1879" customWidth="1"/>
    <col min="15365" max="15365" width="21.6640625" style="1879" customWidth="1"/>
    <col min="15366" max="15366" width="2.83203125" style="1879" customWidth="1"/>
    <col min="15367" max="15372" width="0" style="1879" hidden="1" customWidth="1"/>
    <col min="15373" max="15373" width="21.83203125" style="1879" customWidth="1"/>
    <col min="15374" max="15374" width="1.5" style="1879" customWidth="1"/>
    <col min="15375" max="15375" width="21.6640625" style="1879" customWidth="1"/>
    <col min="15376" max="15376" width="1.5" style="1879" customWidth="1"/>
    <col min="15377" max="15377" width="11.83203125" style="1879" customWidth="1"/>
    <col min="15378" max="15378" width="3.5" style="1879" customWidth="1"/>
    <col min="15379" max="15379" width="11.6640625" style="1879" customWidth="1"/>
    <col min="15380" max="15380" width="2.1640625" style="1879" customWidth="1"/>
    <col min="15381" max="15382" width="0" style="1879" hidden="1" customWidth="1"/>
    <col min="15383" max="15383" width="11.6640625" style="1879" customWidth="1"/>
    <col min="15384" max="15384" width="0" style="1879" hidden="1" customWidth="1"/>
    <col min="15385" max="15386" width="9.1640625" style="1879" customWidth="1"/>
    <col min="15387" max="15388" width="0" style="1879" hidden="1" customWidth="1"/>
    <col min="15389" max="15616" width="9.1640625" style="1879"/>
    <col min="15617" max="15618" width="2.5" style="1879" customWidth="1"/>
    <col min="15619" max="15619" width="44.5" style="1879" customWidth="1"/>
    <col min="15620" max="15620" width="1.5" style="1879" customWidth="1"/>
    <col min="15621" max="15621" width="21.6640625" style="1879" customWidth="1"/>
    <col min="15622" max="15622" width="2.83203125" style="1879" customWidth="1"/>
    <col min="15623" max="15628" width="0" style="1879" hidden="1" customWidth="1"/>
    <col min="15629" max="15629" width="21.83203125" style="1879" customWidth="1"/>
    <col min="15630" max="15630" width="1.5" style="1879" customWidth="1"/>
    <col min="15631" max="15631" width="21.6640625" style="1879" customWidth="1"/>
    <col min="15632" max="15632" width="1.5" style="1879" customWidth="1"/>
    <col min="15633" max="15633" width="11.83203125" style="1879" customWidth="1"/>
    <col min="15634" max="15634" width="3.5" style="1879" customWidth="1"/>
    <col min="15635" max="15635" width="11.6640625" style="1879" customWidth="1"/>
    <col min="15636" max="15636" width="2.1640625" style="1879" customWidth="1"/>
    <col min="15637" max="15638" width="0" style="1879" hidden="1" customWidth="1"/>
    <col min="15639" max="15639" width="11.6640625" style="1879" customWidth="1"/>
    <col min="15640" max="15640" width="0" style="1879" hidden="1" customWidth="1"/>
    <col min="15641" max="15642" width="9.1640625" style="1879" customWidth="1"/>
    <col min="15643" max="15644" width="0" style="1879" hidden="1" customWidth="1"/>
    <col min="15645" max="15872" width="9.1640625" style="1879"/>
    <col min="15873" max="15874" width="2.5" style="1879" customWidth="1"/>
    <col min="15875" max="15875" width="44.5" style="1879" customWidth="1"/>
    <col min="15876" max="15876" width="1.5" style="1879" customWidth="1"/>
    <col min="15877" max="15877" width="21.6640625" style="1879" customWidth="1"/>
    <col min="15878" max="15878" width="2.83203125" style="1879" customWidth="1"/>
    <col min="15879" max="15884" width="0" style="1879" hidden="1" customWidth="1"/>
    <col min="15885" max="15885" width="21.83203125" style="1879" customWidth="1"/>
    <col min="15886" max="15886" width="1.5" style="1879" customWidth="1"/>
    <col min="15887" max="15887" width="21.6640625" style="1879" customWidth="1"/>
    <col min="15888" max="15888" width="1.5" style="1879" customWidth="1"/>
    <col min="15889" max="15889" width="11.83203125" style="1879" customWidth="1"/>
    <col min="15890" max="15890" width="3.5" style="1879" customWidth="1"/>
    <col min="15891" max="15891" width="11.6640625" style="1879" customWidth="1"/>
    <col min="15892" max="15892" width="2.1640625" style="1879" customWidth="1"/>
    <col min="15893" max="15894" width="0" style="1879" hidden="1" customWidth="1"/>
    <col min="15895" max="15895" width="11.6640625" style="1879" customWidth="1"/>
    <col min="15896" max="15896" width="0" style="1879" hidden="1" customWidth="1"/>
    <col min="15897" max="15898" width="9.1640625" style="1879" customWidth="1"/>
    <col min="15899" max="15900" width="0" style="1879" hidden="1" customWidth="1"/>
    <col min="15901" max="16128" width="9.1640625" style="1879"/>
    <col min="16129" max="16130" width="2.5" style="1879" customWidth="1"/>
    <col min="16131" max="16131" width="44.5" style="1879" customWidth="1"/>
    <col min="16132" max="16132" width="1.5" style="1879" customWidth="1"/>
    <col min="16133" max="16133" width="21.6640625" style="1879" customWidth="1"/>
    <col min="16134" max="16134" width="2.83203125" style="1879" customWidth="1"/>
    <col min="16135" max="16140" width="0" style="1879" hidden="1" customWidth="1"/>
    <col min="16141" max="16141" width="21.83203125" style="1879" customWidth="1"/>
    <col min="16142" max="16142" width="1.5" style="1879" customWidth="1"/>
    <col min="16143" max="16143" width="21.6640625" style="1879" customWidth="1"/>
    <col min="16144" max="16144" width="1.5" style="1879" customWidth="1"/>
    <col min="16145" max="16145" width="11.83203125" style="1879" customWidth="1"/>
    <col min="16146" max="16146" width="3.5" style="1879" customWidth="1"/>
    <col min="16147" max="16147" width="11.6640625" style="1879" customWidth="1"/>
    <col min="16148" max="16148" width="2.1640625" style="1879" customWidth="1"/>
    <col min="16149" max="16150" width="0" style="1879" hidden="1" customWidth="1"/>
    <col min="16151" max="16151" width="11.6640625" style="1879" customWidth="1"/>
    <col min="16152" max="16152" width="0" style="1879" hidden="1" customWidth="1"/>
    <col min="16153" max="16154" width="9.1640625" style="1879" customWidth="1"/>
    <col min="16155" max="16156" width="0" style="1879" hidden="1" customWidth="1"/>
    <col min="16157" max="16384" width="9.1640625" style="1879"/>
  </cols>
  <sheetData>
    <row r="1" spans="1:23" ht="15">
      <c r="A1" s="1877"/>
      <c r="B1" s="1877"/>
      <c r="C1" s="1878"/>
      <c r="D1" s="1878"/>
      <c r="E1" s="1878"/>
      <c r="F1" s="1878"/>
      <c r="G1" s="1878"/>
      <c r="H1" s="1878"/>
      <c r="I1" s="1878"/>
      <c r="J1" s="1878"/>
      <c r="K1" s="1878"/>
      <c r="L1" s="1878"/>
      <c r="M1" s="1878"/>
      <c r="N1" s="1878"/>
      <c r="O1" s="1878"/>
      <c r="P1" s="1878"/>
      <c r="Q1" s="1878"/>
      <c r="R1" s="1878"/>
      <c r="S1" s="1878"/>
      <c r="T1" s="1878"/>
      <c r="U1" s="1878"/>
      <c r="V1" s="1877"/>
      <c r="W1" s="1877"/>
    </row>
    <row r="2" spans="1:23" ht="15.75">
      <c r="A2" s="1880" t="s">
        <v>1063</v>
      </c>
      <c r="B2" s="1880"/>
      <c r="C2" s="1880"/>
      <c r="D2" s="1880"/>
      <c r="E2" s="1880"/>
      <c r="F2" s="1880"/>
      <c r="G2" s="1880"/>
      <c r="H2" s="1880"/>
      <c r="I2" s="1880"/>
      <c r="J2" s="1880"/>
      <c r="K2" s="1880"/>
      <c r="L2" s="1880"/>
      <c r="M2" s="1880"/>
      <c r="N2" s="1880"/>
      <c r="O2" s="1880"/>
      <c r="P2" s="1880"/>
      <c r="Q2" s="1880"/>
      <c r="R2" s="1880"/>
      <c r="S2" s="1880"/>
      <c r="T2" s="1880"/>
      <c r="U2" s="1880"/>
      <c r="V2" s="1880"/>
      <c r="W2" s="1880"/>
    </row>
    <row r="3" spans="1:23" ht="15.75">
      <c r="A3" s="1880" t="s">
        <v>1172</v>
      </c>
      <c r="B3" s="1880"/>
      <c r="C3" s="1880"/>
      <c r="D3" s="1880"/>
      <c r="E3" s="1880"/>
      <c r="F3" s="1880"/>
      <c r="G3" s="1880"/>
      <c r="H3" s="1880"/>
      <c r="I3" s="1880"/>
      <c r="J3" s="1880"/>
      <c r="K3" s="1880"/>
      <c r="L3" s="1880"/>
      <c r="M3" s="1880"/>
      <c r="N3" s="1880"/>
      <c r="O3" s="1880"/>
      <c r="P3" s="1880"/>
      <c r="Q3" s="1880"/>
      <c r="R3" s="1880"/>
      <c r="S3" s="1880"/>
      <c r="T3" s="1880"/>
      <c r="U3" s="1880"/>
      <c r="V3" s="1880"/>
      <c r="W3" s="1880"/>
    </row>
    <row r="4" spans="1:23" ht="15.75">
      <c r="A4" s="1880" t="s">
        <v>2495</v>
      </c>
      <c r="B4" s="1880"/>
      <c r="C4" s="1880"/>
      <c r="D4" s="1880"/>
      <c r="E4" s="1880"/>
      <c r="F4" s="1880"/>
      <c r="G4" s="1880"/>
      <c r="H4" s="1880"/>
      <c r="I4" s="1880"/>
      <c r="J4" s="1880"/>
      <c r="K4" s="1880"/>
      <c r="L4" s="1880"/>
      <c r="M4" s="1880"/>
      <c r="N4" s="1880"/>
      <c r="O4" s="1880"/>
      <c r="P4" s="1880"/>
      <c r="Q4" s="1880"/>
      <c r="R4" s="1880"/>
      <c r="S4" s="1880"/>
      <c r="T4" s="1880"/>
      <c r="U4" s="1880"/>
      <c r="V4" s="1880"/>
      <c r="W4" s="1880"/>
    </row>
    <row r="5" spans="1:23" ht="13.15" customHeight="1">
      <c r="A5" s="1881" t="s">
        <v>1174</v>
      </c>
      <c r="B5" s="1880"/>
      <c r="C5" s="1880"/>
      <c r="D5" s="1880"/>
      <c r="E5" s="1880"/>
      <c r="F5" s="1880"/>
      <c r="G5" s="1880"/>
      <c r="H5" s="1880"/>
      <c r="I5" s="1880"/>
      <c r="J5" s="1880"/>
      <c r="K5" s="1880"/>
      <c r="L5" s="1880"/>
      <c r="M5" s="1880"/>
      <c r="N5" s="1880"/>
      <c r="O5" s="1880"/>
      <c r="P5" s="1880"/>
      <c r="Q5" s="1880"/>
      <c r="R5" s="1880"/>
      <c r="S5" s="1880"/>
      <c r="T5" s="1880"/>
      <c r="U5" s="1880"/>
      <c r="V5" s="1880"/>
      <c r="W5" s="1880"/>
    </row>
    <row r="6" spans="1:23" ht="15">
      <c r="A6" s="802" t="s">
        <v>17</v>
      </c>
      <c r="B6" s="1882"/>
      <c r="C6" s="1882"/>
      <c r="D6" s="1882"/>
      <c r="E6" s="1882"/>
      <c r="F6" s="1883"/>
      <c r="G6" s="1882"/>
      <c r="H6" s="1882"/>
      <c r="I6" s="1882"/>
      <c r="J6" s="1882"/>
      <c r="K6" s="1882"/>
      <c r="L6" s="1882"/>
      <c r="M6" s="1882"/>
      <c r="N6" s="1882"/>
      <c r="O6" s="1882"/>
      <c r="P6" s="1882"/>
      <c r="Q6" s="1882"/>
      <c r="R6" s="1882"/>
      <c r="S6" s="1882"/>
      <c r="T6" s="1882"/>
      <c r="U6" s="1884"/>
      <c r="V6" s="1882"/>
      <c r="W6" s="1884"/>
    </row>
    <row r="7" spans="1:23" ht="15">
      <c r="A7" s="806" t="s">
        <v>17</v>
      </c>
      <c r="B7" s="1885"/>
      <c r="C7" s="1885"/>
      <c r="D7" s="1885"/>
      <c r="E7" s="1885"/>
      <c r="F7" s="1886"/>
      <c r="G7" s="1885"/>
      <c r="H7" s="1885"/>
      <c r="I7" s="1887" t="s">
        <v>1175</v>
      </c>
      <c r="J7" s="1887"/>
      <c r="K7" s="1887"/>
      <c r="L7" s="1885"/>
      <c r="M7" s="1885"/>
      <c r="N7" s="1885"/>
      <c r="O7" s="1888" t="s">
        <v>1176</v>
      </c>
      <c r="P7" s="1889"/>
      <c r="Q7" s="1890"/>
      <c r="R7" s="1891"/>
      <c r="S7" s="1888" t="s">
        <v>1177</v>
      </c>
      <c r="T7" s="1889"/>
      <c r="U7" s="1892"/>
      <c r="V7" s="1889"/>
      <c r="W7" s="1892"/>
    </row>
    <row r="8" spans="1:23" ht="12.75" customHeight="1">
      <c r="A8" s="1885"/>
      <c r="B8" s="1885"/>
      <c r="C8" s="1885"/>
      <c r="D8" s="1885"/>
      <c r="E8" s="1893" t="s">
        <v>36</v>
      </c>
      <c r="F8" s="1886"/>
      <c r="G8" s="1893"/>
      <c r="H8" s="1894"/>
      <c r="I8" s="1895"/>
      <c r="J8" s="1895"/>
      <c r="K8" s="1895"/>
      <c r="L8" s="1894"/>
      <c r="M8" s="1893" t="s">
        <v>36</v>
      </c>
      <c r="N8" s="1885"/>
      <c r="O8" s="1885"/>
      <c r="P8" s="1885"/>
      <c r="Q8" s="1885"/>
      <c r="R8" s="1885"/>
      <c r="S8" s="1894"/>
      <c r="T8" s="1894"/>
      <c r="U8" s="1893"/>
      <c r="V8" s="1894"/>
      <c r="W8" s="1896"/>
    </row>
    <row r="9" spans="1:23">
      <c r="A9" s="1885"/>
      <c r="B9" s="1885"/>
      <c r="C9" s="1885"/>
      <c r="D9" s="1885"/>
      <c r="E9" s="1897">
        <v>2010</v>
      </c>
      <c r="F9" s="1886"/>
      <c r="G9" s="1897" t="s">
        <v>1178</v>
      </c>
      <c r="H9" s="1885"/>
      <c r="I9" s="1898" t="s">
        <v>41</v>
      </c>
      <c r="J9" s="1885"/>
      <c r="K9" s="1898" t="s">
        <v>1179</v>
      </c>
      <c r="L9" s="1885"/>
      <c r="M9" s="1897">
        <v>2009</v>
      </c>
      <c r="N9" s="1885"/>
      <c r="O9" s="1898" t="s">
        <v>41</v>
      </c>
      <c r="P9" s="1885"/>
      <c r="Q9" s="1899" t="s">
        <v>1179</v>
      </c>
      <c r="R9" s="1885"/>
      <c r="S9" s="1900">
        <v>2010</v>
      </c>
      <c r="T9" s="1885"/>
      <c r="U9" s="1897" t="s">
        <v>1178</v>
      </c>
      <c r="V9" s="1885"/>
      <c r="W9" s="1897">
        <v>2009</v>
      </c>
    </row>
    <row r="10" spans="1:23" ht="15">
      <c r="A10" s="1901" t="s">
        <v>1180</v>
      </c>
      <c r="B10" s="1902"/>
      <c r="C10" s="1902"/>
      <c r="D10" s="1885"/>
      <c r="E10" s="1877"/>
      <c r="F10" s="1877"/>
      <c r="G10" s="1885"/>
      <c r="H10" s="1885"/>
      <c r="I10" s="1903"/>
      <c r="J10" s="1903"/>
      <c r="K10" s="1903"/>
      <c r="L10" s="1885"/>
      <c r="M10" s="1885"/>
      <c r="N10" s="1885"/>
      <c r="O10" s="1885"/>
      <c r="P10" s="1885"/>
      <c r="Q10" s="1885"/>
      <c r="R10" s="1885"/>
      <c r="S10" s="1885"/>
      <c r="T10" s="1885"/>
      <c r="U10" s="1904"/>
      <c r="V10" s="1885"/>
      <c r="W10" s="1891"/>
    </row>
    <row r="11" spans="1:23" ht="15">
      <c r="A11" s="1901"/>
      <c r="B11" s="1902" t="s">
        <v>1181</v>
      </c>
      <c r="C11" s="1885"/>
      <c r="D11" s="1885"/>
      <c r="E11" s="1877"/>
      <c r="F11" s="1877"/>
      <c r="G11" s="1885"/>
      <c r="H11" s="1885"/>
      <c r="I11" s="1903"/>
      <c r="J11" s="1903"/>
      <c r="K11" s="1903"/>
      <c r="L11" s="1885"/>
      <c r="M11" s="1885"/>
      <c r="N11" s="1885"/>
      <c r="O11" s="1885"/>
      <c r="P11" s="1885"/>
      <c r="Q11" s="1885"/>
      <c r="R11" s="1885"/>
      <c r="S11" s="1885"/>
      <c r="T11" s="1885"/>
      <c r="U11" s="1904"/>
      <c r="V11" s="1885"/>
      <c r="W11" s="1891"/>
    </row>
    <row r="12" spans="1:23">
      <c r="A12" s="1905"/>
      <c r="B12" s="1885"/>
      <c r="C12" s="1885" t="s">
        <v>1182</v>
      </c>
      <c r="D12" s="1877"/>
      <c r="E12" s="1906">
        <v>648648511.54999995</v>
      </c>
      <c r="F12" s="1907"/>
      <c r="G12" s="1906">
        <v>665019000</v>
      </c>
      <c r="H12" s="1907"/>
      <c r="I12" s="1906">
        <v>-16370488.450000048</v>
      </c>
      <c r="J12" s="1907"/>
      <c r="K12" s="830">
        <v>-2.4616572534017823E-2</v>
      </c>
      <c r="L12" s="1908"/>
      <c r="M12" s="1906">
        <v>795755566.38</v>
      </c>
      <c r="N12" s="1909"/>
      <c r="O12" s="1906">
        <f>E12-M12</f>
        <v>-147107054.83000004</v>
      </c>
      <c r="P12" s="1909"/>
      <c r="Q12" s="830">
        <f>O12/M12</f>
        <v>-0.18486462557743705</v>
      </c>
      <c r="R12" s="1909"/>
      <c r="S12" s="1910">
        <f>E12/E44</f>
        <v>1.2485373760583207</v>
      </c>
      <c r="T12" s="1911"/>
      <c r="U12" s="1910">
        <v>1.2295584809377658</v>
      </c>
      <c r="V12" s="1911"/>
      <c r="W12" s="1910">
        <f>M12/M44</f>
        <v>1.3588117955015171</v>
      </c>
    </row>
    <row r="13" spans="1:23" ht="12.75" customHeight="1">
      <c r="A13" s="1905"/>
      <c r="B13" s="1885"/>
      <c r="C13" s="1885" t="s">
        <v>1183</v>
      </c>
      <c r="D13" s="1877"/>
      <c r="E13" s="1912">
        <v>262735091.41999999</v>
      </c>
      <c r="F13" s="1907"/>
      <c r="G13" s="1912">
        <v>272513000</v>
      </c>
      <c r="H13" s="1907"/>
      <c r="I13" s="1912">
        <v>-9777908.5800000131</v>
      </c>
      <c r="J13" s="1907"/>
      <c r="K13" s="830">
        <v>-3.5880521589795766E-2</v>
      </c>
      <c r="L13" s="1913"/>
      <c r="M13" s="1912">
        <v>303988773.94</v>
      </c>
      <c r="N13" s="1914"/>
      <c r="O13" s="1912">
        <f>E13-M13</f>
        <v>-41253682.520000011</v>
      </c>
      <c r="P13" s="1915"/>
      <c r="Q13" s="830">
        <f>O13/M13</f>
        <v>-0.13570791442496652</v>
      </c>
      <c r="R13" s="1915"/>
      <c r="S13" s="1916">
        <f>E13/E45</f>
        <v>1.0961294784811879</v>
      </c>
      <c r="T13" s="1916"/>
      <c r="U13" s="1916">
        <v>1.0724340533712176</v>
      </c>
      <c r="V13" s="1916"/>
      <c r="W13" s="1916">
        <f>M13/M45</f>
        <v>1.224178088203187</v>
      </c>
    </row>
    <row r="14" spans="1:23">
      <c r="A14" s="1905"/>
      <c r="B14" s="1885"/>
      <c r="C14" s="1885" t="s">
        <v>1184</v>
      </c>
      <c r="D14" s="1877"/>
      <c r="E14" s="1912">
        <v>28939044.960000001</v>
      </c>
      <c r="F14" s="1907"/>
      <c r="G14" s="1912">
        <v>31150000</v>
      </c>
      <c r="H14" s="1907"/>
      <c r="I14" s="1912">
        <v>-2210955.0399999991</v>
      </c>
      <c r="J14" s="1907"/>
      <c r="K14" s="840">
        <v>-7.0977689887640416E-2</v>
      </c>
      <c r="L14" s="1913"/>
      <c r="M14" s="1912">
        <v>36141164.43</v>
      </c>
      <c r="N14" s="1917"/>
      <c r="O14" s="1912">
        <f>E14-M14</f>
        <v>-7202119.4699999988</v>
      </c>
      <c r="P14" s="1918"/>
      <c r="Q14" s="840">
        <f>O14/M14</f>
        <v>-0.19927746057959536</v>
      </c>
      <c r="R14" s="1918"/>
      <c r="S14" s="1916">
        <f>E14/E46</f>
        <v>0.97073115307211333</v>
      </c>
      <c r="T14" s="1919"/>
      <c r="U14" s="1916">
        <v>0.9752050591697452</v>
      </c>
      <c r="V14" s="1916"/>
      <c r="W14" s="1916">
        <f>M14/M46</f>
        <v>1.146059570935499</v>
      </c>
    </row>
    <row r="15" spans="1:23" ht="7.9" customHeight="1">
      <c r="A15" s="1905"/>
      <c r="B15" s="1885"/>
      <c r="C15" s="1885"/>
      <c r="D15" s="1877"/>
      <c r="E15" s="1920"/>
      <c r="F15" s="1907"/>
      <c r="G15" s="1920"/>
      <c r="H15" s="1907"/>
      <c r="I15" s="1920"/>
      <c r="J15" s="1907"/>
      <c r="K15" s="1921"/>
      <c r="L15" s="1913"/>
      <c r="M15" s="1920"/>
      <c r="N15" s="1914"/>
      <c r="O15" s="1920"/>
      <c r="P15" s="1915"/>
      <c r="Q15" s="1921"/>
      <c r="R15" s="1915"/>
      <c r="S15" s="1922"/>
      <c r="T15" s="1916"/>
      <c r="U15" s="1922"/>
      <c r="V15" s="1916"/>
      <c r="W15" s="1922"/>
    </row>
    <row r="16" spans="1:23">
      <c r="A16" s="1905"/>
      <c r="B16" s="1885"/>
      <c r="C16" s="1885" t="s">
        <v>1185</v>
      </c>
      <c r="D16" s="1877"/>
      <c r="E16" s="1912">
        <f>SUM(E12:E15)</f>
        <v>940322647.92999995</v>
      </c>
      <c r="F16" s="1907"/>
      <c r="G16" s="1912">
        <v>1064288000</v>
      </c>
      <c r="H16" s="1907"/>
      <c r="I16" s="1912">
        <v>-116002072.15999997</v>
      </c>
      <c r="J16" s="1907"/>
      <c r="K16" s="830">
        <v>-0.10899500150335245</v>
      </c>
      <c r="L16" s="1913"/>
      <c r="M16" s="1912">
        <f>SUM(M12:M15)</f>
        <v>1135885504.75</v>
      </c>
      <c r="N16" s="1914"/>
      <c r="O16" s="1912">
        <f>SUM(O12:O15)</f>
        <v>-195562856.82000005</v>
      </c>
      <c r="P16" s="1915"/>
      <c r="Q16" s="830">
        <f>O16/M16</f>
        <v>-0.17216775458635858</v>
      </c>
      <c r="R16" s="1915"/>
      <c r="S16" s="1916">
        <f>E16/E48</f>
        <v>1.1917424187543977</v>
      </c>
      <c r="T16" s="1916"/>
      <c r="U16" s="1916">
        <v>1.1714493372305779</v>
      </c>
      <c r="V16" s="1916"/>
      <c r="W16" s="1916">
        <f>M16/M48</f>
        <v>1.3124312623365411</v>
      </c>
    </row>
    <row r="17" spans="1:23" ht="7.9" customHeight="1">
      <c r="A17" s="1905"/>
      <c r="B17" s="1885"/>
      <c r="C17" s="1885"/>
      <c r="D17" s="1923"/>
      <c r="E17" s="1907"/>
      <c r="F17" s="1907"/>
      <c r="G17" s="1907"/>
      <c r="H17" s="1914"/>
      <c r="I17" s="1907"/>
      <c r="J17" s="1914"/>
      <c r="K17" s="1921"/>
      <c r="L17" s="1913"/>
      <c r="M17" s="1907"/>
      <c r="N17" s="1914"/>
      <c r="O17" s="1907"/>
      <c r="P17" s="1915"/>
      <c r="Q17" s="1921"/>
      <c r="R17" s="1915"/>
      <c r="S17" s="1916"/>
      <c r="T17" s="1916"/>
      <c r="U17" s="1916"/>
      <c r="V17" s="1916"/>
      <c r="W17" s="1924"/>
    </row>
    <row r="18" spans="1:23" ht="12.75" customHeight="1">
      <c r="A18" s="1905"/>
      <c r="B18" s="1925" t="s">
        <v>1186</v>
      </c>
      <c r="C18" s="1885"/>
      <c r="D18" s="1923"/>
      <c r="E18" s="1907"/>
      <c r="F18" s="1907"/>
      <c r="G18" s="1907"/>
      <c r="H18" s="1914"/>
      <c r="I18" s="1907"/>
      <c r="J18" s="1914"/>
      <c r="K18" s="1921"/>
      <c r="L18" s="1913"/>
      <c r="M18" s="1907"/>
      <c r="N18" s="1914"/>
      <c r="O18" s="1907"/>
      <c r="P18" s="1915"/>
      <c r="Q18" s="1921"/>
      <c r="R18" s="1915"/>
      <c r="S18" s="1916"/>
      <c r="T18" s="1916"/>
      <c r="U18" s="1916"/>
      <c r="V18" s="1916"/>
      <c r="W18" s="1924"/>
    </row>
    <row r="19" spans="1:23">
      <c r="A19" s="1905"/>
      <c r="B19" s="1885"/>
      <c r="C19" s="1885" t="s">
        <v>1187</v>
      </c>
      <c r="D19" s="1877"/>
      <c r="E19" s="1912">
        <v>38347707.350000001</v>
      </c>
      <c r="F19" s="1907"/>
      <c r="G19" s="1912">
        <v>39496000</v>
      </c>
      <c r="H19" s="1907"/>
      <c r="I19" s="1912">
        <v>-1148292.6499999985</v>
      </c>
      <c r="J19" s="1907"/>
      <c r="K19" s="830">
        <v>-2.9073644166497836E-2</v>
      </c>
      <c r="L19" s="1913"/>
      <c r="M19" s="1912">
        <v>53120998.780000001</v>
      </c>
      <c r="N19" s="1914"/>
      <c r="O19" s="1912">
        <f>E19-M19</f>
        <v>-14773291.43</v>
      </c>
      <c r="P19" s="1915"/>
      <c r="Q19" s="830">
        <f t="shared" ref="Q19:Q24" si="0">O19/M19</f>
        <v>-0.2781064319062112</v>
      </c>
      <c r="R19" s="1915"/>
      <c r="S19" s="1916">
        <f>E19/E51</f>
        <v>0.79492203193555444</v>
      </c>
      <c r="T19" s="1916"/>
      <c r="U19" s="1916">
        <v>0.86907142587631592</v>
      </c>
      <c r="V19" s="1916"/>
      <c r="W19" s="1916">
        <f>M19/M51</f>
        <v>0.95217677186736105</v>
      </c>
    </row>
    <row r="20" spans="1:23">
      <c r="A20" s="1905"/>
      <c r="B20" s="1885"/>
      <c r="C20" s="1885" t="s">
        <v>1188</v>
      </c>
      <c r="D20" s="1877"/>
      <c r="E20" s="1912">
        <v>4064822.07</v>
      </c>
      <c r="F20" s="1907"/>
      <c r="G20" s="1912">
        <v>3582000</v>
      </c>
      <c r="H20" s="1907"/>
      <c r="I20" s="1912">
        <v>482822.06999999983</v>
      </c>
      <c r="J20" s="1907"/>
      <c r="K20" s="840">
        <v>0.13479119765494132</v>
      </c>
      <c r="L20" s="1913"/>
      <c r="M20" s="1912">
        <v>3389509.89</v>
      </c>
      <c r="N20" s="1917"/>
      <c r="O20" s="1912">
        <f>E20-M20</f>
        <v>675312.1799999997</v>
      </c>
      <c r="P20" s="1918"/>
      <c r="Q20" s="840">
        <f t="shared" si="0"/>
        <v>0.19923593732307998</v>
      </c>
      <c r="R20" s="1918"/>
      <c r="S20" s="1916">
        <f>E20/E52</f>
        <v>0.89719208961983876</v>
      </c>
      <c r="T20" s="1916"/>
      <c r="U20" s="1916">
        <v>0.91655076495132126</v>
      </c>
      <c r="V20" s="1916"/>
      <c r="W20" s="1916">
        <f>M20/M52</f>
        <v>0.98733456479524095</v>
      </c>
    </row>
    <row r="21" spans="1:23" ht="7.9" customHeight="1">
      <c r="A21" s="1905"/>
      <c r="B21" s="1885"/>
      <c r="C21" s="1885"/>
      <c r="D21" s="1877"/>
      <c r="E21" s="1920"/>
      <c r="F21" s="1907"/>
      <c r="G21" s="1920"/>
      <c r="H21" s="1907"/>
      <c r="I21" s="1920"/>
      <c r="J21" s="1907"/>
      <c r="K21" s="1921"/>
      <c r="L21" s="1913"/>
      <c r="M21" s="1920"/>
      <c r="N21" s="1914"/>
      <c r="O21" s="1920"/>
      <c r="P21" s="1915"/>
      <c r="Q21" s="1921"/>
      <c r="R21" s="1915"/>
      <c r="S21" s="1922"/>
      <c r="T21" s="1916"/>
      <c r="U21" s="1922"/>
      <c r="V21" s="1916"/>
      <c r="W21" s="1922"/>
    </row>
    <row r="22" spans="1:23">
      <c r="A22" s="1905"/>
      <c r="B22" s="1885"/>
      <c r="C22" s="1885" t="s">
        <v>1189</v>
      </c>
      <c r="D22" s="1877"/>
      <c r="E22" s="1926">
        <f>SUM(E19:E21)</f>
        <v>42412529.420000002</v>
      </c>
      <c r="F22" s="1907"/>
      <c r="G22" s="1926">
        <v>50020000</v>
      </c>
      <c r="H22" s="1907"/>
      <c r="I22" s="1926">
        <v>-5829968.0700000003</v>
      </c>
      <c r="J22" s="1907"/>
      <c r="K22" s="840">
        <v>-0.11655274030387845</v>
      </c>
      <c r="L22" s="1913"/>
      <c r="M22" s="1926">
        <f>SUM(M19:M21)</f>
        <v>56510508.670000002</v>
      </c>
      <c r="N22" s="1917"/>
      <c r="O22" s="1926">
        <f>SUM(O19:O21)</f>
        <v>-14097979.25</v>
      </c>
      <c r="P22" s="1918"/>
      <c r="Q22" s="840">
        <f t="shared" si="0"/>
        <v>-0.24947535567812471</v>
      </c>
      <c r="R22" s="1918"/>
      <c r="S22" s="1916">
        <f>E22/E54</f>
        <v>0.80370225640021797</v>
      </c>
      <c r="T22" s="1916"/>
      <c r="U22" s="1916">
        <v>0.87264480111653875</v>
      </c>
      <c r="V22" s="1916"/>
      <c r="W22" s="1916">
        <f>M22/M54</f>
        <v>0.95421480435126393</v>
      </c>
    </row>
    <row r="23" spans="1:23" ht="7.9" customHeight="1">
      <c r="A23" s="1905"/>
      <c r="B23" s="1885"/>
      <c r="C23" s="1885"/>
      <c r="D23" s="1877"/>
      <c r="E23" s="1917"/>
      <c r="F23" s="1907"/>
      <c r="G23" s="1917"/>
      <c r="H23" s="1907"/>
      <c r="I23" s="1917"/>
      <c r="J23" s="1907"/>
      <c r="K23" s="1921"/>
      <c r="L23" s="1913"/>
      <c r="M23" s="1917"/>
      <c r="N23" s="1917"/>
      <c r="O23" s="1917"/>
      <c r="P23" s="1918"/>
      <c r="Q23" s="1921"/>
      <c r="R23" s="1918"/>
      <c r="S23" s="1922"/>
      <c r="T23" s="1919"/>
      <c r="U23" s="1922"/>
      <c r="V23" s="1919"/>
      <c r="W23" s="1922"/>
    </row>
    <row r="24" spans="1:23">
      <c r="A24" s="1905"/>
      <c r="B24" s="1885"/>
      <c r="C24" s="1885" t="s">
        <v>1190</v>
      </c>
      <c r="D24" s="1877"/>
      <c r="E24" s="1912">
        <f>E16+E22</f>
        <v>982735177.3499999</v>
      </c>
      <c r="F24" s="1907"/>
      <c r="G24" s="1912">
        <v>1114308000</v>
      </c>
      <c r="H24" s="1907"/>
      <c r="I24" s="1912">
        <v>-121832040.23000002</v>
      </c>
      <c r="J24" s="1907"/>
      <c r="K24" s="830">
        <v>-0.10933425967506293</v>
      </c>
      <c r="L24" s="1913"/>
      <c r="M24" s="1912">
        <f>M16+M22</f>
        <v>1192396013.4200001</v>
      </c>
      <c r="N24" s="1917"/>
      <c r="O24" s="1912">
        <f>O16+O22</f>
        <v>-209660836.07000005</v>
      </c>
      <c r="P24" s="1918"/>
      <c r="Q24" s="830">
        <f t="shared" si="0"/>
        <v>-0.17583154733019959</v>
      </c>
      <c r="R24" s="1918"/>
      <c r="S24" s="1916">
        <f>E24/E56</f>
        <v>1.1674167338963524</v>
      </c>
      <c r="T24" s="1916"/>
      <c r="U24" s="1916">
        <v>1.2382685922310677</v>
      </c>
      <c r="V24" s="1916"/>
      <c r="W24" s="1916">
        <f>M24/M56</f>
        <v>1.2894895456746036</v>
      </c>
    </row>
    <row r="25" spans="1:23" ht="7.9" customHeight="1">
      <c r="A25" s="1905"/>
      <c r="B25" s="1885"/>
      <c r="C25" s="1885"/>
      <c r="D25" s="1923"/>
      <c r="E25" s="1907"/>
      <c r="F25" s="1907"/>
      <c r="G25" s="1907"/>
      <c r="H25" s="1914"/>
      <c r="I25" s="1907"/>
      <c r="J25" s="1914"/>
      <c r="K25" s="1921"/>
      <c r="L25" s="1913"/>
      <c r="M25" s="1907"/>
      <c r="N25" s="1914"/>
      <c r="O25" s="1907"/>
      <c r="P25" s="1915"/>
      <c r="Q25" s="1921"/>
      <c r="R25" s="1915"/>
      <c r="S25" s="1916"/>
      <c r="T25" s="1916"/>
      <c r="U25" s="1916"/>
      <c r="V25" s="1916"/>
      <c r="W25" s="1924"/>
    </row>
    <row r="26" spans="1:23">
      <c r="A26" s="1905"/>
      <c r="B26" s="1925" t="s">
        <v>1191</v>
      </c>
      <c r="C26" s="1885"/>
      <c r="D26" s="1923"/>
      <c r="E26" s="1907"/>
      <c r="F26" s="1907"/>
      <c r="G26" s="1907"/>
      <c r="H26" s="1914"/>
      <c r="I26" s="1907"/>
      <c r="J26" s="1914"/>
      <c r="K26" s="1921"/>
      <c r="L26" s="1913"/>
      <c r="M26" s="1907"/>
      <c r="N26" s="1914"/>
      <c r="O26" s="1907"/>
      <c r="P26" s="1915"/>
      <c r="Q26" s="1921"/>
      <c r="R26" s="1915"/>
      <c r="S26" s="1916"/>
      <c r="T26" s="1916"/>
      <c r="U26" s="1916"/>
      <c r="V26" s="1916"/>
      <c r="W26" s="1924"/>
    </row>
    <row r="27" spans="1:23">
      <c r="A27" s="1905"/>
      <c r="B27" s="1885"/>
      <c r="C27" s="1885" t="s">
        <v>1192</v>
      </c>
      <c r="D27" s="1877"/>
      <c r="E27" s="1912">
        <v>3428768.89</v>
      </c>
      <c r="F27" s="1907"/>
      <c r="G27" s="1912">
        <v>2506000</v>
      </c>
      <c r="H27" s="1907"/>
      <c r="I27" s="1912">
        <v>922768.89000000013</v>
      </c>
      <c r="J27" s="1907"/>
      <c r="K27" s="830">
        <v>0.36822381883479655</v>
      </c>
      <c r="L27" s="1913"/>
      <c r="M27" s="1912">
        <v>3068584.87</v>
      </c>
      <c r="N27" s="1914"/>
      <c r="O27" s="1912">
        <f>E27-M27</f>
        <v>360184.02</v>
      </c>
      <c r="P27" s="1915"/>
      <c r="Q27" s="830">
        <f t="shared" ref="Q27:Q32" si="1">O27/M27</f>
        <v>0.11737789087124059</v>
      </c>
      <c r="R27" s="1915"/>
      <c r="S27" s="1916">
        <f>E27/E59</f>
        <v>7.8234444893306831E-2</v>
      </c>
      <c r="T27" s="1916"/>
      <c r="U27" s="1916">
        <v>7.8838292885115624E-2</v>
      </c>
      <c r="V27" s="1916"/>
      <c r="W27" s="1916">
        <f>M27/M59</f>
        <v>6.9737547122538476E-2</v>
      </c>
    </row>
    <row r="28" spans="1:23">
      <c r="A28" s="1905"/>
      <c r="B28" s="1885"/>
      <c r="C28" s="1885" t="s">
        <v>1193</v>
      </c>
      <c r="D28" s="1877"/>
      <c r="E28" s="1912">
        <v>10653631.27</v>
      </c>
      <c r="F28" s="1907"/>
      <c r="G28" s="1912">
        <v>9948000</v>
      </c>
      <c r="H28" s="1907"/>
      <c r="I28" s="1912">
        <v>705631.26999999955</v>
      </c>
      <c r="J28" s="1907"/>
      <c r="K28" s="840">
        <v>7.0931973260956932E-2</v>
      </c>
      <c r="L28" s="1913"/>
      <c r="M28" s="1912">
        <v>9945631.6699999999</v>
      </c>
      <c r="N28" s="1917"/>
      <c r="O28" s="1912">
        <f>E28-M28</f>
        <v>707999.59999999963</v>
      </c>
      <c r="P28" s="1918"/>
      <c r="Q28" s="840">
        <f t="shared" si="1"/>
        <v>7.1186991786113429E-2</v>
      </c>
      <c r="R28" s="1918"/>
      <c r="S28" s="1916">
        <f>E28/E60</f>
        <v>6.5889827961728736E-2</v>
      </c>
      <c r="T28" s="1916"/>
      <c r="U28" s="1916">
        <v>6.3476749723247808E-2</v>
      </c>
      <c r="V28" s="1916"/>
      <c r="W28" s="1916">
        <f>M28/M60</f>
        <v>5.9826405708874798E-2</v>
      </c>
    </row>
    <row r="29" spans="1:23" ht="7.9" customHeight="1">
      <c r="A29" s="1905"/>
      <c r="B29" s="1885"/>
      <c r="C29" s="1885"/>
      <c r="D29" s="1877"/>
      <c r="E29" s="1920"/>
      <c r="F29" s="1907"/>
      <c r="G29" s="1920"/>
      <c r="H29" s="1907"/>
      <c r="I29" s="1920"/>
      <c r="J29" s="1907"/>
      <c r="K29" s="1921"/>
      <c r="L29" s="1913"/>
      <c r="M29" s="1920"/>
      <c r="N29" s="1914"/>
      <c r="O29" s="1920"/>
      <c r="P29" s="1915"/>
      <c r="Q29" s="1921"/>
      <c r="R29" s="1915"/>
      <c r="S29" s="1922"/>
      <c r="T29" s="1916"/>
      <c r="U29" s="1922"/>
      <c r="V29" s="1916"/>
      <c r="W29" s="1922"/>
    </row>
    <row r="30" spans="1:23">
      <c r="A30" s="1905"/>
      <c r="B30" s="1885"/>
      <c r="C30" s="1885" t="s">
        <v>1194</v>
      </c>
      <c r="D30" s="1877"/>
      <c r="E30" s="1912">
        <f>SUM(E27:E29)</f>
        <v>14082400.16</v>
      </c>
      <c r="F30" s="1907"/>
      <c r="G30" s="1912">
        <v>13022000</v>
      </c>
      <c r="H30" s="1907"/>
      <c r="I30" s="1912">
        <v>784744.86999999918</v>
      </c>
      <c r="J30" s="1907"/>
      <c r="K30" s="840">
        <v>6.0263006450621964E-2</v>
      </c>
      <c r="L30" s="1913"/>
      <c r="M30" s="1912">
        <f>SUM(M27:M29)</f>
        <v>13014216.539999999</v>
      </c>
      <c r="N30" s="1914"/>
      <c r="O30" s="1912">
        <f>SUM(O27:O29)</f>
        <v>1068183.6199999996</v>
      </c>
      <c r="P30" s="1915"/>
      <c r="Q30" s="840">
        <f t="shared" si="1"/>
        <v>8.2078211678503377E-2</v>
      </c>
      <c r="R30" s="1915"/>
      <c r="S30" s="1916">
        <f>E30/E62</f>
        <v>6.8522358686662524E-2</v>
      </c>
      <c r="T30" s="1916"/>
      <c r="U30" s="1916">
        <v>6.6209070571486672E-2</v>
      </c>
      <c r="V30" s="1916"/>
      <c r="W30" s="1916">
        <f>M30/M62</f>
        <v>6.1900711385268543E-2</v>
      </c>
    </row>
    <row r="31" spans="1:23" ht="7.9" customHeight="1">
      <c r="A31" s="1905"/>
      <c r="B31" s="1885"/>
      <c r="C31" s="1885"/>
      <c r="D31" s="1877"/>
      <c r="E31" s="1920"/>
      <c r="F31" s="1907"/>
      <c r="G31" s="1920"/>
      <c r="H31" s="1907"/>
      <c r="I31" s="1920"/>
      <c r="J31" s="1907"/>
      <c r="K31" s="1927"/>
      <c r="L31" s="1915"/>
      <c r="M31" s="1920"/>
      <c r="N31" s="1914"/>
      <c r="O31" s="1920"/>
      <c r="P31" s="1915"/>
      <c r="Q31" s="1927"/>
      <c r="R31" s="1915"/>
      <c r="S31" s="1928"/>
      <c r="T31" s="1915"/>
      <c r="U31" s="1928"/>
      <c r="V31" s="1915"/>
      <c r="W31" s="1928"/>
    </row>
    <row r="32" spans="1:23">
      <c r="A32" s="1905"/>
      <c r="B32" s="1885"/>
      <c r="C32" s="1885" t="s">
        <v>1195</v>
      </c>
      <c r="D32" s="1877"/>
      <c r="E32" s="1912">
        <f>E24+E30</f>
        <v>996817577.50999987</v>
      </c>
      <c r="F32" s="1907"/>
      <c r="G32" s="1912">
        <v>1127330000</v>
      </c>
      <c r="H32" s="1907"/>
      <c r="I32" s="1912">
        <v>-121047295.36000001</v>
      </c>
      <c r="J32" s="1907"/>
      <c r="K32" s="830">
        <v>-0.10737520988530423</v>
      </c>
      <c r="L32" s="1913"/>
      <c r="M32" s="1912">
        <f>M24+M30</f>
        <v>1205410229.96</v>
      </c>
      <c r="N32" s="1914"/>
      <c r="O32" s="1912">
        <f>E32-M32</f>
        <v>-208592652.45000017</v>
      </c>
      <c r="P32" s="1915"/>
      <c r="Q32" s="830">
        <f t="shared" si="1"/>
        <v>-0.17304702354892246</v>
      </c>
      <c r="R32" s="1915"/>
      <c r="S32" s="1910">
        <f>E32/E64</f>
        <v>0.95178061967126282</v>
      </c>
      <c r="T32" s="1911"/>
      <c r="U32" s="1910">
        <v>1.0280492297815373</v>
      </c>
      <c r="V32" s="1911"/>
      <c r="W32" s="1910">
        <f>M32/M64</f>
        <v>1.0620847504118276</v>
      </c>
    </row>
    <row r="33" spans="1:23" ht="7.9" customHeight="1">
      <c r="A33" s="1905"/>
      <c r="B33" s="1885"/>
      <c r="C33" s="1885"/>
      <c r="D33" s="1877"/>
      <c r="E33" s="1914"/>
      <c r="F33" s="1907"/>
      <c r="G33" s="1914"/>
      <c r="H33" s="1907"/>
      <c r="I33" s="1914"/>
      <c r="J33" s="1907"/>
      <c r="K33" s="1921"/>
      <c r="L33" s="1913"/>
      <c r="M33" s="1914"/>
      <c r="N33" s="1914"/>
      <c r="O33" s="1914"/>
      <c r="P33" s="1915"/>
      <c r="Q33" s="1921"/>
      <c r="R33" s="1915"/>
      <c r="S33" s="1913"/>
      <c r="T33" s="1915"/>
      <c r="U33" s="1929"/>
      <c r="V33" s="1915"/>
      <c r="W33" s="1930"/>
    </row>
    <row r="34" spans="1:23" ht="15">
      <c r="A34" s="1905"/>
      <c r="B34" s="1925" t="s">
        <v>1196</v>
      </c>
      <c r="C34" s="1885"/>
      <c r="D34" s="1877"/>
      <c r="E34" s="1926">
        <v>14712938.74</v>
      </c>
      <c r="F34" s="1907"/>
      <c r="G34" s="1926">
        <v>19135000</v>
      </c>
      <c r="H34" s="1907"/>
      <c r="I34" s="1926">
        <v>-4422061.26</v>
      </c>
      <c r="J34" s="1907"/>
      <c r="K34" s="840">
        <v>-0.23109805382806375</v>
      </c>
      <c r="L34" s="1913"/>
      <c r="M34" s="1926">
        <v>19334277.18</v>
      </c>
      <c r="N34" s="1917"/>
      <c r="O34" s="1926">
        <f>E34-M34</f>
        <v>-4621338.4399999995</v>
      </c>
      <c r="P34" s="1918"/>
      <c r="Q34" s="840">
        <f>O34/M34</f>
        <v>-0.23902307787231172</v>
      </c>
      <c r="R34" s="1918"/>
      <c r="S34" s="855"/>
      <c r="T34" s="1918"/>
      <c r="U34" s="1929"/>
      <c r="V34" s="1918"/>
      <c r="W34" s="1930"/>
    </row>
    <row r="35" spans="1:23" ht="7.9" customHeight="1">
      <c r="A35" s="1905"/>
      <c r="B35" s="1885"/>
      <c r="C35" s="1885"/>
      <c r="D35" s="1877"/>
      <c r="E35" s="1931"/>
      <c r="F35" s="1907"/>
      <c r="G35" s="1931"/>
      <c r="H35" s="1907"/>
      <c r="I35" s="1931"/>
      <c r="J35" s="1907"/>
      <c r="K35" s="1921"/>
      <c r="L35" s="1913"/>
      <c r="M35" s="1931"/>
      <c r="N35" s="1913"/>
      <c r="O35" s="1931"/>
      <c r="P35" s="1913"/>
      <c r="Q35" s="1921"/>
      <c r="R35" s="1913"/>
      <c r="S35" s="1913"/>
      <c r="T35" s="1913"/>
      <c r="U35" s="1929"/>
      <c r="V35" s="1913"/>
      <c r="W35" s="1930"/>
    </row>
    <row r="36" spans="1:23" ht="15.75" thickBot="1">
      <c r="A36" s="1905"/>
      <c r="B36" s="1885"/>
      <c r="C36" s="1885" t="s">
        <v>1197</v>
      </c>
      <c r="D36" s="1877"/>
      <c r="E36" s="2086">
        <f>SUM(E32:E34)</f>
        <v>1011530516.2499999</v>
      </c>
      <c r="F36" s="1907"/>
      <c r="G36" s="1932">
        <v>1145814000</v>
      </c>
      <c r="H36" s="1907"/>
      <c r="I36" s="1932">
        <v>-122574741.79999995</v>
      </c>
      <c r="J36" s="1907"/>
      <c r="K36" s="858">
        <v>-0.10697612509534705</v>
      </c>
      <c r="L36" s="1913"/>
      <c r="M36" s="1932">
        <f>SUM(M32:M34)</f>
        <v>1224744507.1400001</v>
      </c>
      <c r="N36" s="1933"/>
      <c r="O36" s="1932">
        <f>SUM(O32:O34)</f>
        <v>-213213990.89000016</v>
      </c>
      <c r="P36" s="1933"/>
      <c r="Q36" s="858">
        <f>O36/M36</f>
        <v>-0.17408854634334583</v>
      </c>
      <c r="R36" s="1933"/>
      <c r="S36" s="855"/>
      <c r="T36" s="1933"/>
      <c r="U36" s="1929"/>
      <c r="V36" s="1933"/>
      <c r="W36" s="1930"/>
    </row>
    <row r="37" spans="1:23" ht="7.9" customHeight="1" thickTop="1">
      <c r="A37" s="1905"/>
      <c r="B37" s="1885"/>
      <c r="C37" s="1885"/>
      <c r="D37" s="1877"/>
      <c r="E37" s="1907"/>
      <c r="F37" s="1907"/>
      <c r="G37" s="1907"/>
      <c r="H37" s="1913"/>
      <c r="I37" s="1908"/>
      <c r="J37" s="1914"/>
      <c r="K37" s="1934"/>
      <c r="L37" s="1913"/>
      <c r="M37" s="1907"/>
      <c r="N37" s="1933"/>
      <c r="O37" s="1909"/>
      <c r="P37" s="1933"/>
      <c r="Q37" s="1934"/>
      <c r="R37" s="1933"/>
      <c r="S37" s="1907"/>
      <c r="T37" s="1907"/>
      <c r="U37" s="1907"/>
      <c r="V37" s="1907"/>
      <c r="W37" s="1907"/>
    </row>
    <row r="38" spans="1:23" ht="12.75" customHeight="1">
      <c r="A38" s="1905"/>
      <c r="B38" s="1885"/>
      <c r="C38" s="1885" t="s">
        <v>1198</v>
      </c>
      <c r="D38" s="1877"/>
      <c r="E38" s="1906">
        <v>15438475.33</v>
      </c>
      <c r="F38" s="1907"/>
      <c r="G38" s="1906">
        <v>16227000</v>
      </c>
      <c r="H38" s="1913"/>
      <c r="I38" s="1914"/>
      <c r="J38" s="1914"/>
      <c r="K38" s="1935"/>
      <c r="L38" s="1913"/>
      <c r="M38" s="1906">
        <v>10888073.439999999</v>
      </c>
      <c r="N38" s="1933"/>
      <c r="O38" s="1936"/>
      <c r="P38" s="1933"/>
      <c r="Q38" s="1935"/>
      <c r="R38" s="1913" t="s">
        <v>17</v>
      </c>
      <c r="S38" s="1907"/>
      <c r="T38" s="1907"/>
      <c r="U38" s="1907"/>
      <c r="V38" s="1907"/>
      <c r="W38" s="1907"/>
    </row>
    <row r="39" spans="1:23">
      <c r="A39" s="1905"/>
      <c r="B39" s="1885"/>
      <c r="C39" s="1885" t="s">
        <v>1199</v>
      </c>
      <c r="D39" s="1877"/>
      <c r="E39" s="1912">
        <v>3488167.6</v>
      </c>
      <c r="F39" s="1907"/>
      <c r="G39" s="1912">
        <v>3490000</v>
      </c>
      <c r="H39" s="1913"/>
      <c r="I39" s="1914"/>
      <c r="J39" s="1914"/>
      <c r="K39" s="1935"/>
      <c r="L39" s="1913"/>
      <c r="M39" s="1912">
        <v>3552556.87</v>
      </c>
      <c r="N39" s="1933"/>
      <c r="O39" s="1936"/>
      <c r="P39" s="1933"/>
      <c r="Q39" s="1935"/>
      <c r="R39" s="1913" t="s">
        <v>17</v>
      </c>
      <c r="S39" s="1907"/>
      <c r="T39" s="1907"/>
      <c r="U39" s="1907"/>
      <c r="V39" s="1907"/>
      <c r="W39" s="1907"/>
    </row>
    <row r="40" spans="1:23">
      <c r="A40" s="1905"/>
      <c r="B40" s="1885"/>
      <c r="C40" s="1885" t="s">
        <v>1200</v>
      </c>
      <c r="D40" s="1877"/>
      <c r="E40" s="1912">
        <v>-3430012.82</v>
      </c>
      <c r="F40" s="1907" t="s">
        <v>1119</v>
      </c>
      <c r="G40" s="1912">
        <v>-4088297</v>
      </c>
      <c r="H40" s="1913"/>
      <c r="I40" s="1914"/>
      <c r="J40" s="1914"/>
      <c r="K40" s="1935"/>
      <c r="L40" s="1913"/>
      <c r="M40" s="1912">
        <v>-3742887.73</v>
      </c>
      <c r="N40" s="1933"/>
      <c r="O40" s="1936"/>
      <c r="P40" s="1933"/>
      <c r="Q40" s="1935"/>
      <c r="R40" s="1913"/>
      <c r="S40" s="1907"/>
      <c r="T40" s="1907"/>
      <c r="U40" s="1907"/>
      <c r="V40" s="1907"/>
      <c r="W40" s="1907"/>
    </row>
    <row r="41" spans="1:23" ht="15">
      <c r="A41" s="1905"/>
      <c r="B41" s="1885"/>
      <c r="C41" s="1885"/>
      <c r="D41" s="1885"/>
      <c r="E41" s="1937"/>
      <c r="F41" s="1907"/>
      <c r="G41" s="1913"/>
      <c r="H41" s="1913"/>
      <c r="I41" s="1914"/>
      <c r="J41" s="1914"/>
      <c r="K41" s="1935"/>
      <c r="L41" s="1913"/>
      <c r="M41" s="1913"/>
      <c r="N41" s="1913"/>
      <c r="O41" s="1936"/>
      <c r="P41" s="1913"/>
      <c r="Q41" s="1935"/>
      <c r="R41" s="1913" t="s">
        <v>17</v>
      </c>
      <c r="S41" s="1907"/>
      <c r="T41" s="1913"/>
      <c r="U41" s="1929"/>
      <c r="V41" s="1913"/>
      <c r="W41" s="1930"/>
    </row>
    <row r="42" spans="1:23" ht="15" customHeight="1">
      <c r="A42" s="1901" t="s">
        <v>1201</v>
      </c>
      <c r="B42" s="1902"/>
      <c r="C42" s="1902"/>
      <c r="D42" s="1885"/>
      <c r="E42" s="1907"/>
      <c r="F42" s="1907"/>
      <c r="G42" s="1913"/>
      <c r="H42" s="1913"/>
      <c r="I42" s="1914"/>
      <c r="J42" s="1914"/>
      <c r="K42" s="1935"/>
      <c r="L42" s="1913"/>
      <c r="M42" s="1913"/>
      <c r="N42" s="1913"/>
      <c r="O42" s="1936"/>
      <c r="P42" s="1913"/>
      <c r="Q42" s="1935"/>
      <c r="R42" s="1913"/>
      <c r="S42" s="1913"/>
      <c r="T42" s="1913"/>
      <c r="U42" s="1929"/>
      <c r="V42" s="1913"/>
      <c r="W42" s="1930"/>
    </row>
    <row r="43" spans="1:23" ht="15">
      <c r="A43" s="1901"/>
      <c r="B43" s="1902" t="s">
        <v>1202</v>
      </c>
      <c r="C43" s="1885"/>
      <c r="D43" s="1885"/>
      <c r="E43" s="1907"/>
      <c r="F43" s="1907"/>
      <c r="G43" s="1913"/>
      <c r="H43" s="1913"/>
      <c r="I43" s="1914"/>
      <c r="J43" s="1914"/>
      <c r="K43" s="1935"/>
      <c r="L43" s="1913"/>
      <c r="M43" s="1913"/>
      <c r="N43" s="1913"/>
      <c r="O43" s="1913"/>
      <c r="P43" s="1913"/>
      <c r="Q43" s="1935"/>
      <c r="R43" s="1913"/>
      <c r="S43" s="1913"/>
      <c r="T43" s="1913"/>
      <c r="U43" s="1929"/>
      <c r="V43" s="1913"/>
      <c r="W43" s="1930"/>
    </row>
    <row r="44" spans="1:23">
      <c r="A44" s="1905"/>
      <c r="B44" s="1885"/>
      <c r="C44" s="1885" t="s">
        <v>1182</v>
      </c>
      <c r="D44" s="1877"/>
      <c r="E44" s="1938">
        <v>519526707</v>
      </c>
      <c r="F44" s="1907"/>
      <c r="G44" s="1938">
        <v>540860000</v>
      </c>
      <c r="H44" s="1939"/>
      <c r="I44" s="1938">
        <v>-21333293</v>
      </c>
      <c r="J44" s="1914"/>
      <c r="K44" s="830">
        <v>-3.9443281070887105E-2</v>
      </c>
      <c r="L44" s="1940"/>
      <c r="M44" s="1938">
        <v>585626036.66999996</v>
      </c>
      <c r="N44" s="1939"/>
      <c r="O44" s="1938">
        <f>E44-M44</f>
        <v>-66099329.669999957</v>
      </c>
      <c r="P44" s="1913"/>
      <c r="Q44" s="830">
        <f>O44/M44</f>
        <v>-0.11286952001973044</v>
      </c>
      <c r="R44" s="1913"/>
      <c r="S44" s="1907"/>
      <c r="T44" s="1907"/>
      <c r="U44" s="1907"/>
      <c r="V44" s="1907"/>
      <c r="W44" s="1907"/>
    </row>
    <row r="45" spans="1:23" ht="12.75" customHeight="1">
      <c r="A45" s="1905"/>
      <c r="B45" s="1885"/>
      <c r="C45" s="1885" t="s">
        <v>1183</v>
      </c>
      <c r="D45" s="1877"/>
      <c r="E45" s="1938">
        <v>239693482</v>
      </c>
      <c r="F45" s="1907"/>
      <c r="G45" s="1938">
        <v>254107000</v>
      </c>
      <c r="H45" s="1939"/>
      <c r="I45" s="1938">
        <v>-14413518</v>
      </c>
      <c r="J45" s="1914"/>
      <c r="K45" s="830">
        <v>-5.6722239056775293E-2</v>
      </c>
      <c r="L45" s="1913"/>
      <c r="M45" s="1938">
        <v>248320711.56099999</v>
      </c>
      <c r="N45" s="1939"/>
      <c r="O45" s="1938">
        <f>E45-M45</f>
        <v>-8627229.5609999895</v>
      </c>
      <c r="P45" s="1913"/>
      <c r="Q45" s="830">
        <f>O45/M45</f>
        <v>-3.4742287531182074E-2</v>
      </c>
      <c r="R45" s="1913"/>
      <c r="S45" s="1907"/>
      <c r="T45" s="1907"/>
      <c r="U45" s="1907"/>
      <c r="V45" s="1907"/>
      <c r="W45" s="1907"/>
    </row>
    <row r="46" spans="1:23">
      <c r="A46" s="1905"/>
      <c r="B46" s="1885"/>
      <c r="C46" s="1885" t="s">
        <v>1184</v>
      </c>
      <c r="D46" s="1877"/>
      <c r="E46" s="1938">
        <v>29811596</v>
      </c>
      <c r="F46" s="1907"/>
      <c r="G46" s="1938">
        <v>31942000</v>
      </c>
      <c r="H46" s="1939"/>
      <c r="I46" s="1938">
        <v>-2130404</v>
      </c>
      <c r="J46" s="1914"/>
      <c r="K46" s="840">
        <v>-6.6696011520881601E-2</v>
      </c>
      <c r="L46" s="1913"/>
      <c r="M46" s="1938">
        <v>31535153.447999999</v>
      </c>
      <c r="N46" s="1939"/>
      <c r="O46" s="1938">
        <f>E46-M46</f>
        <v>-1723557.4479999989</v>
      </c>
      <c r="P46" s="1913"/>
      <c r="Q46" s="840">
        <f>O46/M46</f>
        <v>-5.465511530939797E-2</v>
      </c>
      <c r="R46" s="1913"/>
      <c r="S46" s="1907"/>
      <c r="T46" s="1907"/>
      <c r="U46" s="1907"/>
      <c r="V46" s="1907"/>
      <c r="W46" s="1907"/>
    </row>
    <row r="47" spans="1:23" ht="7.9" customHeight="1">
      <c r="A47" s="1905"/>
      <c r="B47" s="1885"/>
      <c r="C47" s="1885"/>
      <c r="D47" s="1877"/>
      <c r="E47" s="1941"/>
      <c r="F47" s="1907"/>
      <c r="G47" s="1941"/>
      <c r="H47" s="1939"/>
      <c r="I47" s="1941"/>
      <c r="J47" s="1914"/>
      <c r="K47" s="1921"/>
      <c r="L47" s="1913"/>
      <c r="M47" s="1941"/>
      <c r="N47" s="1939"/>
      <c r="O47" s="1941"/>
      <c r="P47" s="1913"/>
      <c r="Q47" s="1921"/>
      <c r="R47" s="1913"/>
      <c r="S47" s="1907"/>
      <c r="T47" s="1907"/>
      <c r="U47" s="1907"/>
      <c r="V47" s="1907"/>
      <c r="W47" s="1907"/>
    </row>
    <row r="48" spans="1:23">
      <c r="A48" s="1905"/>
      <c r="B48" s="1885"/>
      <c r="C48" s="1885" t="s">
        <v>1185</v>
      </c>
      <c r="D48" s="1877"/>
      <c r="E48" s="1938">
        <f>SUM(E44:E47)</f>
        <v>789031785</v>
      </c>
      <c r="F48" s="1907"/>
      <c r="G48" s="1938">
        <v>842572000</v>
      </c>
      <c r="H48" s="1939"/>
      <c r="I48" s="1938">
        <v>-43942795.110000134</v>
      </c>
      <c r="J48" s="1914"/>
      <c r="K48" s="830">
        <v>-5.2153163302364823E-2</v>
      </c>
      <c r="L48" s="1913"/>
      <c r="M48" s="1938">
        <f>SUM(M44:M47)</f>
        <v>865481901.6789999</v>
      </c>
      <c r="N48" s="1939"/>
      <c r="O48" s="1938">
        <f>SUM(O44:O47)</f>
        <v>-76450116.678999946</v>
      </c>
      <c r="P48" s="1913"/>
      <c r="Q48" s="830">
        <f>O48/M48</f>
        <v>-8.8332426744787862E-2</v>
      </c>
      <c r="R48" s="1913"/>
      <c r="S48" s="1907"/>
      <c r="T48" s="1907"/>
      <c r="U48" s="1907"/>
      <c r="V48" s="1907"/>
      <c r="W48" s="1907"/>
    </row>
    <row r="49" spans="1:23" ht="7.9" customHeight="1">
      <c r="A49" s="1905"/>
      <c r="B49" s="1885"/>
      <c r="C49" s="1885"/>
      <c r="D49" s="1885"/>
      <c r="E49" s="1939"/>
      <c r="F49" s="1907"/>
      <c r="G49" s="1939"/>
      <c r="H49" s="1939"/>
      <c r="I49" s="1939"/>
      <c r="J49" s="1914"/>
      <c r="K49" s="1921"/>
      <c r="L49" s="1913"/>
      <c r="M49" s="1939"/>
      <c r="N49" s="1939"/>
      <c r="O49" s="1939"/>
      <c r="P49" s="1913"/>
      <c r="Q49" s="1921"/>
      <c r="R49" s="1913"/>
      <c r="S49" s="1907"/>
      <c r="T49" s="1907"/>
      <c r="U49" s="1907"/>
      <c r="V49" s="1907"/>
      <c r="W49" s="1907"/>
    </row>
    <row r="50" spans="1:23">
      <c r="A50" s="1905"/>
      <c r="B50" s="1925" t="s">
        <v>1203</v>
      </c>
      <c r="C50" s="1885"/>
      <c r="D50" s="1885"/>
      <c r="E50" s="1939"/>
      <c r="F50" s="1907"/>
      <c r="G50" s="1939"/>
      <c r="H50" s="1939"/>
      <c r="I50" s="1939"/>
      <c r="J50" s="1914"/>
      <c r="K50" s="1921"/>
      <c r="L50" s="1913"/>
      <c r="M50" s="1939"/>
      <c r="N50" s="1939"/>
      <c r="O50" s="1939"/>
      <c r="P50" s="1913"/>
      <c r="Q50" s="1921"/>
      <c r="R50" s="1913"/>
      <c r="S50" s="1907"/>
      <c r="T50" s="1907"/>
      <c r="U50" s="1907"/>
      <c r="V50" s="1907"/>
      <c r="W50" s="1907"/>
    </row>
    <row r="51" spans="1:23">
      <c r="A51" s="1905"/>
      <c r="B51" s="1885"/>
      <c r="C51" s="1885" t="s">
        <v>1187</v>
      </c>
      <c r="D51" s="1877"/>
      <c r="E51" s="1938">
        <v>48240841</v>
      </c>
      <c r="F51" s="1907"/>
      <c r="G51" s="1938">
        <v>51521000</v>
      </c>
      <c r="H51" s="1939"/>
      <c r="I51" s="1938">
        <v>-3280159</v>
      </c>
      <c r="J51" s="1914"/>
      <c r="K51" s="830">
        <v>-6.3666446691640302E-2</v>
      </c>
      <c r="L51" s="1913"/>
      <c r="M51" s="1938">
        <v>55789009.298999995</v>
      </c>
      <c r="N51" s="1939"/>
      <c r="O51" s="1938">
        <f>E51-M51</f>
        <v>-7548168.298999995</v>
      </c>
      <c r="P51" s="1913"/>
      <c r="Q51" s="830">
        <f t="shared" ref="Q51:Q56" si="2">O51/M51</f>
        <v>-0.13529848251195409</v>
      </c>
      <c r="R51" s="1913"/>
      <c r="S51" s="1907"/>
      <c r="T51" s="1907"/>
      <c r="U51" s="1907"/>
      <c r="V51" s="1907"/>
      <c r="W51" s="1907"/>
    </row>
    <row r="52" spans="1:23">
      <c r="A52" s="1905"/>
      <c r="B52" s="1885"/>
      <c r="C52" s="1885" t="s">
        <v>1188</v>
      </c>
      <c r="D52" s="1877"/>
      <c r="E52" s="1938">
        <v>4530604</v>
      </c>
      <c r="F52" s="1907"/>
      <c r="G52" s="1938">
        <v>4449000</v>
      </c>
      <c r="H52" s="1939"/>
      <c r="I52" s="1938">
        <v>81604</v>
      </c>
      <c r="J52" s="1914"/>
      <c r="K52" s="840">
        <v>1.8342099348168127E-2</v>
      </c>
      <c r="L52" s="1913"/>
      <c r="M52" s="1938">
        <v>3432990.2050000001</v>
      </c>
      <c r="N52" s="1939"/>
      <c r="O52" s="1938">
        <f>E52-M52</f>
        <v>1097613.7949999999</v>
      </c>
      <c r="P52" s="1913"/>
      <c r="Q52" s="840">
        <f t="shared" si="2"/>
        <v>0.31972529178829973</v>
      </c>
      <c r="R52" s="1913"/>
      <c r="S52" s="1907"/>
      <c r="T52" s="1907"/>
      <c r="U52" s="1907"/>
      <c r="V52" s="1907"/>
      <c r="W52" s="1907"/>
    </row>
    <row r="53" spans="1:23" ht="7.9" customHeight="1">
      <c r="A53" s="1905"/>
      <c r="B53" s="1885"/>
      <c r="C53" s="1885"/>
      <c r="D53" s="1877"/>
      <c r="E53" s="1941"/>
      <c r="F53" s="1907"/>
      <c r="G53" s="1941"/>
      <c r="H53" s="1939"/>
      <c r="I53" s="1941"/>
      <c r="J53" s="1914"/>
      <c r="K53" s="1921"/>
      <c r="L53" s="1913"/>
      <c r="M53" s="1941"/>
      <c r="N53" s="1939"/>
      <c r="O53" s="1941"/>
      <c r="P53" s="1913"/>
      <c r="Q53" s="1921"/>
      <c r="R53" s="1913"/>
      <c r="S53" s="1907"/>
      <c r="T53" s="1907"/>
      <c r="U53" s="1907"/>
      <c r="V53" s="1907"/>
      <c r="W53" s="1907"/>
    </row>
    <row r="54" spans="1:23">
      <c r="A54" s="1905"/>
      <c r="B54" s="1885"/>
      <c r="C54" s="1885" t="s">
        <v>1189</v>
      </c>
      <c r="D54" s="1877"/>
      <c r="E54" s="1938">
        <f>SUM(E51:E53)</f>
        <v>52771445</v>
      </c>
      <c r="F54" s="1907"/>
      <c r="G54" s="1938">
        <v>57320000</v>
      </c>
      <c r="H54" s="1939"/>
      <c r="I54" s="1938">
        <v>-3690773.7599999905</v>
      </c>
      <c r="J54" s="1914"/>
      <c r="K54" s="840">
        <v>-6.4388935101186151E-2</v>
      </c>
      <c r="L54" s="1913"/>
      <c r="M54" s="1938">
        <f>SUM(M51:M53)</f>
        <v>59221999.503999993</v>
      </c>
      <c r="N54" s="1939"/>
      <c r="O54" s="1938">
        <f>SUM(O51:O53)</f>
        <v>-6450554.5039999951</v>
      </c>
      <c r="P54" s="1913"/>
      <c r="Q54" s="840">
        <f t="shared" si="2"/>
        <v>-0.10892159261803225</v>
      </c>
      <c r="R54" s="1913"/>
      <c r="S54" s="1907"/>
      <c r="T54" s="1907"/>
      <c r="U54" s="1907"/>
      <c r="V54" s="1907"/>
      <c r="W54" s="1907"/>
    </row>
    <row r="55" spans="1:23" ht="7.9" customHeight="1">
      <c r="A55" s="1905"/>
      <c r="B55" s="1885"/>
      <c r="C55" s="1885"/>
      <c r="D55" s="1877"/>
      <c r="E55" s="1941"/>
      <c r="F55" s="1907"/>
      <c r="G55" s="1941"/>
      <c r="H55" s="1939"/>
      <c r="I55" s="1941"/>
      <c r="J55" s="1914"/>
      <c r="K55" s="1927"/>
      <c r="L55" s="1913"/>
      <c r="M55" s="1941"/>
      <c r="N55" s="1939"/>
      <c r="O55" s="1941"/>
      <c r="P55" s="1913"/>
      <c r="Q55" s="1927"/>
      <c r="R55" s="1913"/>
      <c r="S55" s="1907"/>
      <c r="T55" s="1907"/>
      <c r="U55" s="1907"/>
      <c r="V55" s="1907"/>
      <c r="W55" s="1907"/>
    </row>
    <row r="56" spans="1:23">
      <c r="A56" s="1905"/>
      <c r="B56" s="1885"/>
      <c r="C56" s="1885" t="s">
        <v>1204</v>
      </c>
      <c r="D56" s="1877"/>
      <c r="E56" s="1938">
        <f>E48+E54</f>
        <v>841803230</v>
      </c>
      <c r="F56" s="1907"/>
      <c r="G56" s="1938">
        <v>899892000</v>
      </c>
      <c r="H56" s="1939"/>
      <c r="I56" s="1938">
        <v>-47633568.869999886</v>
      </c>
      <c r="J56" s="1914"/>
      <c r="K56" s="830">
        <v>-5.2932539538077777E-2</v>
      </c>
      <c r="L56" s="1913"/>
      <c r="M56" s="1938">
        <f>M48+M54</f>
        <v>924703901.18299985</v>
      </c>
      <c r="N56" s="1939"/>
      <c r="O56" s="1938">
        <f>O48+O54</f>
        <v>-82900671.182999939</v>
      </c>
      <c r="P56" s="1913"/>
      <c r="Q56" s="830">
        <f t="shared" si="2"/>
        <v>-8.9651045136657004E-2</v>
      </c>
      <c r="R56" s="1913"/>
      <c r="S56" s="1907"/>
      <c r="T56" s="1907"/>
      <c r="U56" s="1907"/>
      <c r="V56" s="1907"/>
      <c r="W56" s="1907"/>
    </row>
    <row r="57" spans="1:23" ht="7.9" customHeight="1">
      <c r="A57" s="1905"/>
      <c r="B57" s="1885"/>
      <c r="C57" s="1885"/>
      <c r="D57" s="1877"/>
      <c r="E57" s="1939"/>
      <c r="F57" s="1907"/>
      <c r="G57" s="1939"/>
      <c r="H57" s="1939"/>
      <c r="I57" s="1939"/>
      <c r="J57" s="1914"/>
      <c r="K57" s="1921"/>
      <c r="L57" s="1913"/>
      <c r="M57" s="1939"/>
      <c r="N57" s="1939"/>
      <c r="O57" s="1939"/>
      <c r="P57" s="1913"/>
      <c r="Q57" s="1921"/>
      <c r="R57" s="1913"/>
      <c r="S57" s="1907"/>
      <c r="T57" s="1907"/>
      <c r="U57" s="1907"/>
      <c r="V57" s="1907"/>
      <c r="W57" s="1907"/>
    </row>
    <row r="58" spans="1:23">
      <c r="A58" s="1905"/>
      <c r="B58" s="1925" t="s">
        <v>1205</v>
      </c>
      <c r="C58" s="1885"/>
      <c r="D58" s="1885"/>
      <c r="E58" s="1939"/>
      <c r="F58" s="1913"/>
      <c r="G58" s="1939"/>
      <c r="H58" s="1939"/>
      <c r="I58" s="1939"/>
      <c r="J58" s="1914"/>
      <c r="K58" s="1921"/>
      <c r="L58" s="1913"/>
      <c r="M58" s="1939"/>
      <c r="N58" s="1939"/>
      <c r="O58" s="1939"/>
      <c r="P58" s="1913"/>
      <c r="Q58" s="1921"/>
      <c r="R58" s="1913"/>
      <c r="S58" s="1907"/>
      <c r="T58" s="1907"/>
      <c r="U58" s="1907"/>
      <c r="V58" s="1907"/>
      <c r="W58" s="1907"/>
    </row>
    <row r="59" spans="1:23">
      <c r="A59" s="1905"/>
      <c r="B59" s="1885"/>
      <c r="C59" s="1885" t="s">
        <v>1192</v>
      </c>
      <c r="D59" s="1885"/>
      <c r="E59" s="1938">
        <v>43826845</v>
      </c>
      <c r="F59" s="1913"/>
      <c r="G59" s="1938">
        <v>30922000</v>
      </c>
      <c r="H59" s="1939"/>
      <c r="I59" s="1938">
        <v>12904845</v>
      </c>
      <c r="J59" s="1914"/>
      <c r="K59" s="830">
        <v>0.41733539227734301</v>
      </c>
      <c r="L59" s="1913"/>
      <c r="M59" s="1938">
        <v>44001904.233999997</v>
      </c>
      <c r="N59" s="1907"/>
      <c r="O59" s="1938">
        <f>E59-M59</f>
        <v>-175059.23399999738</v>
      </c>
      <c r="P59" s="1913"/>
      <c r="Q59" s="830">
        <f t="shared" ref="Q59:Q64" si="3">O59/M59</f>
        <v>-3.978446775145022E-3</v>
      </c>
      <c r="R59" s="1907"/>
      <c r="S59" s="1907"/>
      <c r="T59" s="1907"/>
      <c r="U59" s="1907"/>
      <c r="V59" s="1907"/>
      <c r="W59" s="1907"/>
    </row>
    <row r="60" spans="1:23">
      <c r="A60" s="1905"/>
      <c r="B60" s="1885"/>
      <c r="C60" s="1885" t="s">
        <v>1193</v>
      </c>
      <c r="D60" s="1877"/>
      <c r="E60" s="1938">
        <v>161688558</v>
      </c>
      <c r="F60" s="1907"/>
      <c r="G60" s="1938">
        <v>153638000</v>
      </c>
      <c r="H60" s="1939"/>
      <c r="I60" s="1938">
        <v>8050558</v>
      </c>
      <c r="J60" s="1914"/>
      <c r="K60" s="840">
        <v>5.2399523555370413E-2</v>
      </c>
      <c r="L60" s="1913"/>
      <c r="M60" s="1938">
        <v>166241504.10100001</v>
      </c>
      <c r="N60" s="1907"/>
      <c r="O60" s="1938">
        <f>E60-M60</f>
        <v>-4552946.101000011</v>
      </c>
      <c r="P60" s="1913"/>
      <c r="Q60" s="840">
        <f t="shared" si="3"/>
        <v>-2.7387541550597791E-2</v>
      </c>
      <c r="R60" s="1907"/>
      <c r="S60" s="1907"/>
      <c r="T60" s="1907"/>
      <c r="U60" s="1907"/>
      <c r="V60" s="1907"/>
      <c r="W60" s="1907"/>
    </row>
    <row r="61" spans="1:23" ht="7.9" customHeight="1">
      <c r="A61" s="1905"/>
      <c r="B61" s="1885"/>
      <c r="C61" s="1885"/>
      <c r="D61" s="1877"/>
      <c r="E61" s="1941"/>
      <c r="F61" s="1907"/>
      <c r="G61" s="1941"/>
      <c r="H61" s="1939"/>
      <c r="I61" s="1941"/>
      <c r="J61" s="1914"/>
      <c r="K61" s="1921"/>
      <c r="L61" s="1913"/>
      <c r="M61" s="1941"/>
      <c r="N61" s="1939"/>
      <c r="O61" s="1941"/>
      <c r="P61" s="1913"/>
      <c r="Q61" s="1921"/>
      <c r="R61" s="1907"/>
      <c r="S61" s="1907"/>
      <c r="T61" s="1907"/>
      <c r="U61" s="1907"/>
      <c r="V61" s="1907"/>
      <c r="W61" s="1907"/>
    </row>
    <row r="62" spans="1:23">
      <c r="A62" s="1905"/>
      <c r="B62" s="1885"/>
      <c r="C62" s="1885" t="s">
        <v>1194</v>
      </c>
      <c r="D62" s="1877"/>
      <c r="E62" s="1942">
        <f>SUM(E59:E61)</f>
        <v>205515403</v>
      </c>
      <c r="F62" s="1907"/>
      <c r="G62" s="1942">
        <v>196680000</v>
      </c>
      <c r="H62" s="1939"/>
      <c r="I62" s="1942">
        <v>11879200.534999967</v>
      </c>
      <c r="J62" s="1914"/>
      <c r="K62" s="840">
        <v>6.0398619763066742E-2</v>
      </c>
      <c r="L62" s="1913"/>
      <c r="M62" s="1942">
        <f>SUM(M59:M61)</f>
        <v>210243408.33500001</v>
      </c>
      <c r="N62" s="1939"/>
      <c r="O62" s="1942">
        <f>SUM(O59:O61)</f>
        <v>-4728005.3350000083</v>
      </c>
      <c r="P62" s="1913"/>
      <c r="Q62" s="840">
        <f t="shared" si="3"/>
        <v>-2.2488245279330927E-2</v>
      </c>
      <c r="R62" s="1907"/>
      <c r="S62" s="1907"/>
      <c r="T62" s="1907"/>
      <c r="U62" s="1907"/>
      <c r="V62" s="1907"/>
      <c r="W62" s="1907"/>
    </row>
    <row r="63" spans="1:23" ht="7.9" customHeight="1">
      <c r="A63" s="1905"/>
      <c r="B63" s="1885"/>
      <c r="C63" s="1885"/>
      <c r="D63" s="1877"/>
      <c r="E63" s="1939"/>
      <c r="F63" s="1907"/>
      <c r="G63" s="1939"/>
      <c r="H63" s="1939"/>
      <c r="I63" s="1939"/>
      <c r="J63" s="1914"/>
      <c r="K63" s="1921"/>
      <c r="L63" s="1913"/>
      <c r="M63" s="1939"/>
      <c r="N63" s="1939"/>
      <c r="O63" s="1939"/>
      <c r="P63" s="1913"/>
      <c r="Q63" s="1921"/>
      <c r="R63" s="1907"/>
      <c r="S63" s="1907"/>
      <c r="T63" s="1907"/>
      <c r="U63" s="1907"/>
      <c r="V63" s="1907"/>
      <c r="W63" s="1907"/>
    </row>
    <row r="64" spans="1:23" ht="13.5" thickBot="1">
      <c r="A64" s="1905"/>
      <c r="B64" s="1885"/>
      <c r="C64" s="1885" t="s">
        <v>1206</v>
      </c>
      <c r="D64" s="1877"/>
      <c r="E64" s="1943">
        <f>E56+E62</f>
        <v>1047318633</v>
      </c>
      <c r="F64" s="1907"/>
      <c r="G64" s="1943">
        <v>1096572000</v>
      </c>
      <c r="H64" s="1939"/>
      <c r="I64" s="1943">
        <v>-35754368.334999919</v>
      </c>
      <c r="J64" s="1914"/>
      <c r="K64" s="858">
        <v>-3.2605582063922771E-2</v>
      </c>
      <c r="L64" s="1913"/>
      <c r="M64" s="1943">
        <f>M56+M62</f>
        <v>1134947309.5179999</v>
      </c>
      <c r="N64" s="1939"/>
      <c r="O64" s="1943">
        <f>O56+O62</f>
        <v>-87628676.517999947</v>
      </c>
      <c r="P64" s="1913"/>
      <c r="Q64" s="858">
        <f t="shared" si="3"/>
        <v>-7.7209466715432731E-2</v>
      </c>
      <c r="R64" s="1907"/>
      <c r="S64" s="1907"/>
      <c r="T64" s="1907"/>
      <c r="U64" s="1907"/>
      <c r="V64" s="1907"/>
      <c r="W64" s="1907"/>
    </row>
    <row r="65" spans="1:23" ht="13.5" thickTop="1">
      <c r="A65" s="1905"/>
      <c r="B65" s="1885"/>
      <c r="C65" s="1885"/>
      <c r="D65" s="1877"/>
      <c r="E65" s="1944"/>
      <c r="F65" s="1907"/>
      <c r="G65" s="1944"/>
      <c r="H65" s="1939"/>
      <c r="I65" s="1944"/>
      <c r="J65" s="1914"/>
      <c r="K65" s="870"/>
      <c r="L65" s="1913"/>
      <c r="M65" s="1944"/>
      <c r="N65" s="1939"/>
      <c r="O65" s="1944"/>
      <c r="P65" s="1913"/>
      <c r="Q65" s="870"/>
      <c r="R65" s="1907"/>
      <c r="S65" s="1907"/>
      <c r="T65" s="1907"/>
      <c r="U65" s="1907"/>
      <c r="V65" s="1907"/>
      <c r="W65" s="1907"/>
    </row>
    <row r="66" spans="1:23" ht="12.75" customHeight="1">
      <c r="A66" s="1945"/>
      <c r="B66" s="1945" t="s">
        <v>1119</v>
      </c>
      <c r="C66" s="807" t="s">
        <v>2496</v>
      </c>
      <c r="D66" s="1945"/>
      <c r="E66" s="1945"/>
      <c r="F66" s="1945"/>
      <c r="G66" s="1945"/>
      <c r="H66" s="1945"/>
      <c r="I66" s="1945"/>
      <c r="J66" s="1945"/>
      <c r="K66" s="1945"/>
      <c r="L66" s="1945"/>
      <c r="M66" s="1945"/>
      <c r="N66" s="1945"/>
      <c r="O66" s="1945"/>
      <c r="P66" s="1945"/>
      <c r="Q66" s="1945"/>
      <c r="R66" s="1945"/>
      <c r="S66" s="1945"/>
      <c r="T66" s="1945"/>
      <c r="U66" s="1945"/>
      <c r="V66" s="1945"/>
      <c r="W66" s="1945"/>
    </row>
    <row r="67" spans="1:23">
      <c r="A67" s="1945" t="s">
        <v>17</v>
      </c>
      <c r="B67" s="1945"/>
      <c r="C67" s="1945"/>
      <c r="D67" s="1945"/>
      <c r="E67" s="1945"/>
      <c r="F67" s="1945"/>
      <c r="G67" s="1945"/>
      <c r="H67" s="1945"/>
      <c r="I67" s="1945"/>
      <c r="J67" s="1945"/>
      <c r="K67" s="1945"/>
      <c r="L67" s="1945"/>
      <c r="M67" s="1945"/>
      <c r="N67" s="1945"/>
      <c r="O67" s="1945"/>
      <c r="P67" s="1945"/>
      <c r="Q67" s="1945"/>
      <c r="R67" s="1945"/>
      <c r="S67" s="1945"/>
      <c r="T67" s="1945"/>
      <c r="U67" s="1945"/>
      <c r="V67" s="1945"/>
      <c r="W67" s="1945"/>
    </row>
    <row r="68" spans="1:23" ht="12.75" customHeight="1">
      <c r="A68" s="1945" t="s">
        <v>17</v>
      </c>
      <c r="B68" s="1945"/>
      <c r="C68" s="1945"/>
      <c r="D68" s="1945"/>
      <c r="E68" s="1945"/>
      <c r="F68" s="1945"/>
      <c r="G68" s="1945"/>
      <c r="H68" s="1945"/>
      <c r="I68" s="1945"/>
      <c r="J68" s="1945"/>
      <c r="K68" s="1945"/>
      <c r="L68" s="1945"/>
      <c r="M68" s="1945"/>
      <c r="N68" s="1945"/>
      <c r="O68" s="1945"/>
      <c r="P68" s="1945"/>
      <c r="Q68" s="1945"/>
      <c r="R68" s="1945"/>
      <c r="S68" s="1945"/>
      <c r="T68" s="1945"/>
      <c r="U68" s="1945"/>
      <c r="V68" s="1945"/>
      <c r="W68" s="1945"/>
    </row>
    <row r="69" spans="1:23">
      <c r="A69" s="1945" t="s">
        <v>17</v>
      </c>
      <c r="B69" s="1945"/>
      <c r="C69" s="1945"/>
      <c r="D69" s="1945"/>
      <c r="E69" s="1945"/>
      <c r="F69" s="1945"/>
      <c r="G69" s="1945"/>
      <c r="H69" s="1945"/>
      <c r="I69" s="1945"/>
      <c r="J69" s="1945"/>
      <c r="K69" s="1945"/>
      <c r="L69" s="1945"/>
      <c r="M69" s="1945"/>
      <c r="N69" s="1945"/>
      <c r="O69" s="1945"/>
      <c r="P69" s="1945"/>
      <c r="Q69" s="1945"/>
      <c r="R69" s="1945"/>
      <c r="S69" s="1945"/>
      <c r="T69" s="1945"/>
      <c r="U69" s="1945"/>
      <c r="V69" s="1945"/>
      <c r="W69" s="1945"/>
    </row>
    <row r="70" spans="1:23" ht="12.75" customHeight="1">
      <c r="A70" s="1945" t="s">
        <v>17</v>
      </c>
      <c r="B70" s="1945"/>
      <c r="C70" s="1945"/>
      <c r="D70" s="1945"/>
      <c r="E70" s="1945"/>
      <c r="F70" s="1945"/>
      <c r="G70" s="1945"/>
      <c r="H70" s="1945"/>
      <c r="I70" s="1945"/>
      <c r="J70" s="1945"/>
      <c r="K70" s="1945"/>
      <c r="L70" s="1945"/>
      <c r="M70" s="1945"/>
      <c r="N70" s="1945"/>
      <c r="O70" s="1945"/>
      <c r="P70" s="1945"/>
      <c r="Q70" s="1945"/>
      <c r="R70" s="1945"/>
      <c r="S70" s="1945"/>
      <c r="T70" s="1945"/>
      <c r="U70" s="1945"/>
      <c r="V70" s="1945"/>
      <c r="W70" s="1945"/>
    </row>
    <row r="71" spans="1:23">
      <c r="A71" s="1945" t="s">
        <v>17</v>
      </c>
      <c r="B71" s="1945"/>
      <c r="C71" s="1945"/>
      <c r="D71" s="1945"/>
      <c r="E71" s="1945"/>
      <c r="F71" s="1945"/>
      <c r="G71" s="1945"/>
      <c r="H71" s="1945"/>
      <c r="I71" s="1945"/>
      <c r="J71" s="1945"/>
      <c r="K71" s="1945"/>
      <c r="L71" s="1945"/>
      <c r="M71" s="1945"/>
      <c r="N71" s="1945"/>
      <c r="O71" s="1945"/>
      <c r="P71" s="1945"/>
      <c r="Q71" s="1945"/>
      <c r="R71" s="1945"/>
      <c r="S71" s="1945"/>
      <c r="T71" s="1945"/>
      <c r="U71" s="1945"/>
      <c r="V71" s="1945"/>
      <c r="W71" s="1945"/>
    </row>
    <row r="72" spans="1:23">
      <c r="A72" s="1945" t="s">
        <v>17</v>
      </c>
      <c r="B72" s="1945"/>
      <c r="C72" s="1945"/>
      <c r="D72" s="1945"/>
      <c r="E72" s="1945"/>
      <c r="F72" s="1945"/>
      <c r="G72" s="1945"/>
      <c r="H72" s="1945"/>
      <c r="I72" s="1945"/>
      <c r="J72" s="1945"/>
      <c r="K72" s="1945"/>
      <c r="L72" s="1945"/>
      <c r="M72" s="1945"/>
      <c r="N72" s="1945"/>
      <c r="O72" s="1945"/>
      <c r="P72" s="1945"/>
      <c r="Q72" s="1945"/>
      <c r="R72" s="1945"/>
      <c r="S72" s="1945"/>
      <c r="T72" s="1945"/>
      <c r="U72" s="1945"/>
      <c r="V72" s="1945"/>
      <c r="W72" s="1945"/>
    </row>
    <row r="73" spans="1:23">
      <c r="A73" s="1945" t="s">
        <v>17</v>
      </c>
      <c r="B73" s="1945"/>
      <c r="C73" s="1945"/>
      <c r="D73" s="1945"/>
      <c r="E73" s="1945"/>
      <c r="F73" s="1945"/>
      <c r="G73" s="1945"/>
      <c r="H73" s="1945"/>
      <c r="I73" s="1945"/>
      <c r="J73" s="1945"/>
      <c r="K73" s="1945"/>
      <c r="L73" s="1945"/>
      <c r="M73" s="1945"/>
      <c r="N73" s="1945"/>
      <c r="O73" s="1945"/>
      <c r="P73" s="1945"/>
      <c r="Q73" s="1945"/>
      <c r="R73" s="1945"/>
      <c r="S73" s="1945"/>
      <c r="T73" s="1945"/>
      <c r="U73" s="1945"/>
      <c r="V73" s="1945"/>
      <c r="W73" s="1945"/>
    </row>
    <row r="74" spans="1:23" ht="12.75" customHeight="1">
      <c r="A74" s="1945" t="s">
        <v>17</v>
      </c>
      <c r="B74" s="1945"/>
      <c r="C74" s="1945"/>
      <c r="D74" s="1945"/>
      <c r="E74" s="1945"/>
      <c r="F74" s="1945"/>
      <c r="G74" s="1945"/>
      <c r="H74" s="1945"/>
      <c r="I74" s="1945"/>
      <c r="J74" s="1945"/>
      <c r="K74" s="1945"/>
      <c r="L74" s="1945"/>
      <c r="M74" s="1945"/>
      <c r="N74" s="1945"/>
      <c r="O74" s="1945"/>
      <c r="P74" s="1945"/>
      <c r="Q74" s="1945"/>
      <c r="R74" s="1945"/>
      <c r="S74" s="1945"/>
      <c r="T74" s="1945"/>
      <c r="U74" s="1945"/>
      <c r="V74" s="1945"/>
      <c r="W74" s="1945"/>
    </row>
    <row r="75" spans="1:23">
      <c r="A75" s="1945" t="s">
        <v>17</v>
      </c>
      <c r="B75" s="1945"/>
      <c r="C75" s="1945"/>
      <c r="D75" s="1945"/>
      <c r="E75" s="1945"/>
      <c r="F75" s="1945"/>
      <c r="G75" s="1945"/>
      <c r="H75" s="1945"/>
      <c r="I75" s="1945"/>
      <c r="J75" s="1945"/>
      <c r="K75" s="1945"/>
      <c r="L75" s="1945"/>
      <c r="M75" s="1945"/>
      <c r="N75" s="1945"/>
      <c r="O75" s="1945"/>
      <c r="P75" s="1945"/>
      <c r="Q75" s="1945"/>
      <c r="R75" s="1945"/>
      <c r="S75" s="1945"/>
      <c r="T75" s="1945"/>
      <c r="U75" s="1945"/>
      <c r="V75" s="1945"/>
      <c r="W75" s="1945"/>
    </row>
    <row r="76" spans="1:23">
      <c r="A76" s="1945" t="s">
        <v>17</v>
      </c>
      <c r="B76" s="1945"/>
      <c r="C76" s="1945"/>
      <c r="D76" s="1945"/>
      <c r="E76" s="1945"/>
      <c r="F76" s="1945"/>
      <c r="G76" s="1945"/>
      <c r="H76" s="1945"/>
      <c r="I76" s="1945"/>
      <c r="J76" s="1945"/>
      <c r="K76" s="1945"/>
      <c r="L76" s="1945"/>
      <c r="M76" s="1945"/>
      <c r="N76" s="1945"/>
      <c r="O76" s="1945"/>
      <c r="P76" s="1945"/>
      <c r="Q76" s="1945"/>
      <c r="R76" s="1945"/>
      <c r="S76" s="1945"/>
      <c r="T76" s="1945"/>
      <c r="U76" s="1945"/>
      <c r="V76" s="1945"/>
      <c r="W76" s="1945"/>
    </row>
    <row r="77" spans="1:23">
      <c r="A77" s="1945" t="s">
        <v>17</v>
      </c>
      <c r="B77" s="1945"/>
      <c r="C77" s="1945"/>
      <c r="D77" s="1945"/>
      <c r="E77" s="1945"/>
      <c r="F77" s="1945"/>
      <c r="G77" s="1945"/>
      <c r="H77" s="1945"/>
      <c r="I77" s="1945"/>
      <c r="J77" s="1945"/>
      <c r="K77" s="1945"/>
      <c r="L77" s="1945"/>
      <c r="M77" s="1945"/>
      <c r="N77" s="1945"/>
      <c r="O77" s="1945"/>
      <c r="P77" s="1945"/>
      <c r="Q77" s="1945"/>
      <c r="R77" s="1945"/>
      <c r="S77" s="1945"/>
      <c r="T77" s="1945"/>
      <c r="U77" s="1945"/>
      <c r="V77" s="1945"/>
      <c r="W77" s="1945"/>
    </row>
    <row r="78" spans="1:23">
      <c r="A78" s="1945" t="s">
        <v>17</v>
      </c>
      <c r="B78" s="1945"/>
      <c r="C78" s="1945"/>
      <c r="D78" s="1945"/>
      <c r="E78" s="1945"/>
      <c r="F78" s="1945"/>
      <c r="G78" s="1945"/>
      <c r="H78" s="1945"/>
      <c r="I78" s="1945"/>
      <c r="J78" s="1945"/>
      <c r="K78" s="1945"/>
      <c r="L78" s="1945"/>
      <c r="M78" s="1945"/>
      <c r="N78" s="1945"/>
      <c r="O78" s="1945"/>
      <c r="P78" s="1945"/>
      <c r="Q78" s="1945"/>
      <c r="R78" s="1945"/>
      <c r="S78" s="1945"/>
      <c r="T78" s="1945"/>
      <c r="U78" s="1945"/>
      <c r="V78" s="1945"/>
      <c r="W78" s="1945"/>
    </row>
    <row r="79" spans="1:23">
      <c r="A79" s="1945" t="s">
        <v>17</v>
      </c>
      <c r="B79" s="1945"/>
      <c r="C79" s="1945"/>
      <c r="D79" s="1945"/>
      <c r="E79" s="1945"/>
      <c r="F79" s="1945"/>
      <c r="G79" s="1945"/>
      <c r="H79" s="1945"/>
      <c r="I79" s="1945"/>
      <c r="J79" s="1945"/>
      <c r="K79" s="1945"/>
      <c r="L79" s="1945"/>
      <c r="M79" s="1945"/>
      <c r="N79" s="1945"/>
      <c r="O79" s="1945"/>
      <c r="P79" s="1945"/>
      <c r="Q79" s="1945"/>
      <c r="R79" s="1945"/>
      <c r="S79" s="1945"/>
      <c r="T79" s="1945"/>
      <c r="U79" s="1945"/>
      <c r="V79" s="1945"/>
      <c r="W79" s="1945"/>
    </row>
    <row r="80" spans="1:23">
      <c r="A80" s="1945" t="s">
        <v>17</v>
      </c>
      <c r="B80" s="1945"/>
      <c r="C80" s="1945"/>
      <c r="D80" s="1945"/>
      <c r="E80" s="1945"/>
      <c r="F80" s="1945"/>
      <c r="G80" s="1945"/>
      <c r="H80" s="1945"/>
      <c r="I80" s="1945"/>
      <c r="J80" s="1945"/>
      <c r="K80" s="1945"/>
      <c r="L80" s="1945"/>
      <c r="M80" s="1945"/>
      <c r="N80" s="1945"/>
      <c r="O80" s="1945"/>
      <c r="P80" s="1945"/>
      <c r="Q80" s="1945"/>
      <c r="R80" s="1945"/>
      <c r="S80" s="1945"/>
      <c r="T80" s="1945"/>
      <c r="U80" s="1945"/>
      <c r="V80" s="1945"/>
      <c r="W80" s="1945"/>
    </row>
    <row r="81" spans="1:23">
      <c r="A81" s="1945" t="s">
        <v>17</v>
      </c>
      <c r="B81" s="1945"/>
      <c r="C81" s="1945"/>
      <c r="D81" s="1945"/>
      <c r="E81" s="1945"/>
      <c r="F81" s="1945"/>
      <c r="G81" s="1945"/>
      <c r="H81" s="1945"/>
      <c r="I81" s="1945"/>
      <c r="J81" s="1945"/>
      <c r="K81" s="1945"/>
      <c r="L81" s="1945"/>
      <c r="M81" s="1945"/>
      <c r="N81" s="1945"/>
      <c r="O81" s="1945"/>
      <c r="P81" s="1945"/>
      <c r="Q81" s="1945"/>
      <c r="R81" s="1945"/>
      <c r="S81" s="1945"/>
      <c r="T81" s="1945"/>
      <c r="U81" s="1945"/>
      <c r="V81" s="1945"/>
      <c r="W81" s="1945"/>
    </row>
  </sheetData>
  <conditionalFormatting sqref="A66:B81 D66:W81 C67:C81">
    <cfRule type="expression" dxfId="1" priority="1" stopIfTrue="1">
      <formula>IF(VALUE(TRIM(MID(#REF!,41,LEN(#REF!)-40)))&gt;=9999,TRUE,FALSE)</formula>
    </cfRule>
  </conditionalFormatting>
  <printOptions horizontalCentered="1" verticalCentered="1"/>
  <pageMargins left="0.5" right="0.5" top="0.45" bottom="0.45" header="0.5" footer="0.17"/>
  <pageSetup scale="71" orientation="landscape" r:id="rId1"/>
  <headerFooter alignWithMargins="0">
    <oddFooter>&amp;C&amp;13 5d</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57"/>
  <sheetViews>
    <sheetView zoomScaleNormal="100" workbookViewId="0">
      <selection activeCell="F12" sqref="F12"/>
    </sheetView>
  </sheetViews>
  <sheetFormatPr defaultColWidth="10.33203125" defaultRowHeight="12.75"/>
  <cols>
    <col min="1" max="1" width="46.6640625" style="1946" customWidth="1"/>
    <col min="2" max="2" width="2.6640625" style="1947" customWidth="1"/>
    <col min="3" max="3" width="17.83203125" style="1947" customWidth="1"/>
    <col min="4" max="4" width="18.83203125" style="1946" bestFit="1" customWidth="1"/>
    <col min="5" max="5" width="17.5" style="1947" customWidth="1"/>
    <col min="6" max="256" width="10.33203125" style="1947"/>
    <col min="257" max="257" width="46.6640625" style="1947" customWidth="1"/>
    <col min="258" max="258" width="2.6640625" style="1947" customWidth="1"/>
    <col min="259" max="259" width="17.83203125" style="1947" customWidth="1"/>
    <col min="260" max="260" width="18.83203125" style="1947" bestFit="1" customWidth="1"/>
    <col min="261" max="261" width="17.5" style="1947" customWidth="1"/>
    <col min="262" max="512" width="10.33203125" style="1947"/>
    <col min="513" max="513" width="46.6640625" style="1947" customWidth="1"/>
    <col min="514" max="514" width="2.6640625" style="1947" customWidth="1"/>
    <col min="515" max="515" width="17.83203125" style="1947" customWidth="1"/>
    <col min="516" max="516" width="18.83203125" style="1947" bestFit="1" customWidth="1"/>
    <col min="517" max="517" width="17.5" style="1947" customWidth="1"/>
    <col min="518" max="768" width="10.33203125" style="1947"/>
    <col min="769" max="769" width="46.6640625" style="1947" customWidth="1"/>
    <col min="770" max="770" width="2.6640625" style="1947" customWidth="1"/>
    <col min="771" max="771" width="17.83203125" style="1947" customWidth="1"/>
    <col min="772" max="772" width="18.83203125" style="1947" bestFit="1" customWidth="1"/>
    <col min="773" max="773" width="17.5" style="1947" customWidth="1"/>
    <col min="774" max="1024" width="10.33203125" style="1947"/>
    <col min="1025" max="1025" width="46.6640625" style="1947" customWidth="1"/>
    <col min="1026" max="1026" width="2.6640625" style="1947" customWidth="1"/>
    <col min="1027" max="1027" width="17.83203125" style="1947" customWidth="1"/>
    <col min="1028" max="1028" width="18.83203125" style="1947" bestFit="1" customWidth="1"/>
    <col min="1029" max="1029" width="17.5" style="1947" customWidth="1"/>
    <col min="1030" max="1280" width="10.33203125" style="1947"/>
    <col min="1281" max="1281" width="46.6640625" style="1947" customWidth="1"/>
    <col min="1282" max="1282" width="2.6640625" style="1947" customWidth="1"/>
    <col min="1283" max="1283" width="17.83203125" style="1947" customWidth="1"/>
    <col min="1284" max="1284" width="18.83203125" style="1947" bestFit="1" customWidth="1"/>
    <col min="1285" max="1285" width="17.5" style="1947" customWidth="1"/>
    <col min="1286" max="1536" width="10.33203125" style="1947"/>
    <col min="1537" max="1537" width="46.6640625" style="1947" customWidth="1"/>
    <col min="1538" max="1538" width="2.6640625" style="1947" customWidth="1"/>
    <col min="1539" max="1539" width="17.83203125" style="1947" customWidth="1"/>
    <col min="1540" max="1540" width="18.83203125" style="1947" bestFit="1" customWidth="1"/>
    <col min="1541" max="1541" width="17.5" style="1947" customWidth="1"/>
    <col min="1542" max="1792" width="10.33203125" style="1947"/>
    <col min="1793" max="1793" width="46.6640625" style="1947" customWidth="1"/>
    <col min="1794" max="1794" width="2.6640625" style="1947" customWidth="1"/>
    <col min="1795" max="1795" width="17.83203125" style="1947" customWidth="1"/>
    <col min="1796" max="1796" width="18.83203125" style="1947" bestFit="1" customWidth="1"/>
    <col min="1797" max="1797" width="17.5" style="1947" customWidth="1"/>
    <col min="1798" max="2048" width="10.33203125" style="1947"/>
    <col min="2049" max="2049" width="46.6640625" style="1947" customWidth="1"/>
    <col min="2050" max="2050" width="2.6640625" style="1947" customWidth="1"/>
    <col min="2051" max="2051" width="17.83203125" style="1947" customWidth="1"/>
    <col min="2052" max="2052" width="18.83203125" style="1947" bestFit="1" customWidth="1"/>
    <col min="2053" max="2053" width="17.5" style="1947" customWidth="1"/>
    <col min="2054" max="2304" width="10.33203125" style="1947"/>
    <col min="2305" max="2305" width="46.6640625" style="1947" customWidth="1"/>
    <col min="2306" max="2306" width="2.6640625" style="1947" customWidth="1"/>
    <col min="2307" max="2307" width="17.83203125" style="1947" customWidth="1"/>
    <col min="2308" max="2308" width="18.83203125" style="1947" bestFit="1" customWidth="1"/>
    <col min="2309" max="2309" width="17.5" style="1947" customWidth="1"/>
    <col min="2310" max="2560" width="10.33203125" style="1947"/>
    <col min="2561" max="2561" width="46.6640625" style="1947" customWidth="1"/>
    <col min="2562" max="2562" width="2.6640625" style="1947" customWidth="1"/>
    <col min="2563" max="2563" width="17.83203125" style="1947" customWidth="1"/>
    <col min="2564" max="2564" width="18.83203125" style="1947" bestFit="1" customWidth="1"/>
    <col min="2565" max="2565" width="17.5" style="1947" customWidth="1"/>
    <col min="2566" max="2816" width="10.33203125" style="1947"/>
    <col min="2817" max="2817" width="46.6640625" style="1947" customWidth="1"/>
    <col min="2818" max="2818" width="2.6640625" style="1947" customWidth="1"/>
    <col min="2819" max="2819" width="17.83203125" style="1947" customWidth="1"/>
    <col min="2820" max="2820" width="18.83203125" style="1947" bestFit="1" customWidth="1"/>
    <col min="2821" max="2821" width="17.5" style="1947" customWidth="1"/>
    <col min="2822" max="3072" width="10.33203125" style="1947"/>
    <col min="3073" max="3073" width="46.6640625" style="1947" customWidth="1"/>
    <col min="3074" max="3074" width="2.6640625" style="1947" customWidth="1"/>
    <col min="3075" max="3075" width="17.83203125" style="1947" customWidth="1"/>
    <col min="3076" max="3076" width="18.83203125" style="1947" bestFit="1" customWidth="1"/>
    <col min="3077" max="3077" width="17.5" style="1947" customWidth="1"/>
    <col min="3078" max="3328" width="10.33203125" style="1947"/>
    <col min="3329" max="3329" width="46.6640625" style="1947" customWidth="1"/>
    <col min="3330" max="3330" width="2.6640625" style="1947" customWidth="1"/>
    <col min="3331" max="3331" width="17.83203125" style="1947" customWidth="1"/>
    <col min="3332" max="3332" width="18.83203125" style="1947" bestFit="1" customWidth="1"/>
    <col min="3333" max="3333" width="17.5" style="1947" customWidth="1"/>
    <col min="3334" max="3584" width="10.33203125" style="1947"/>
    <col min="3585" max="3585" width="46.6640625" style="1947" customWidth="1"/>
    <col min="3586" max="3586" width="2.6640625" style="1947" customWidth="1"/>
    <col min="3587" max="3587" width="17.83203125" style="1947" customWidth="1"/>
    <col min="3588" max="3588" width="18.83203125" style="1947" bestFit="1" customWidth="1"/>
    <col min="3589" max="3589" width="17.5" style="1947" customWidth="1"/>
    <col min="3590" max="3840" width="10.33203125" style="1947"/>
    <col min="3841" max="3841" width="46.6640625" style="1947" customWidth="1"/>
    <col min="3842" max="3842" width="2.6640625" style="1947" customWidth="1"/>
    <col min="3843" max="3843" width="17.83203125" style="1947" customWidth="1"/>
    <col min="3844" max="3844" width="18.83203125" style="1947" bestFit="1" customWidth="1"/>
    <col min="3845" max="3845" width="17.5" style="1947" customWidth="1"/>
    <col min="3846" max="4096" width="10.33203125" style="1947"/>
    <col min="4097" max="4097" width="46.6640625" style="1947" customWidth="1"/>
    <col min="4098" max="4098" width="2.6640625" style="1947" customWidth="1"/>
    <col min="4099" max="4099" width="17.83203125" style="1947" customWidth="1"/>
    <col min="4100" max="4100" width="18.83203125" style="1947" bestFit="1" customWidth="1"/>
    <col min="4101" max="4101" width="17.5" style="1947" customWidth="1"/>
    <col min="4102" max="4352" width="10.33203125" style="1947"/>
    <col min="4353" max="4353" width="46.6640625" style="1947" customWidth="1"/>
    <col min="4354" max="4354" width="2.6640625" style="1947" customWidth="1"/>
    <col min="4355" max="4355" width="17.83203125" style="1947" customWidth="1"/>
    <col min="4356" max="4356" width="18.83203125" style="1947" bestFit="1" customWidth="1"/>
    <col min="4357" max="4357" width="17.5" style="1947" customWidth="1"/>
    <col min="4358" max="4608" width="10.33203125" style="1947"/>
    <col min="4609" max="4609" width="46.6640625" style="1947" customWidth="1"/>
    <col min="4610" max="4610" width="2.6640625" style="1947" customWidth="1"/>
    <col min="4611" max="4611" width="17.83203125" style="1947" customWidth="1"/>
    <col min="4612" max="4612" width="18.83203125" style="1947" bestFit="1" customWidth="1"/>
    <col min="4613" max="4613" width="17.5" style="1947" customWidth="1"/>
    <col min="4614" max="4864" width="10.33203125" style="1947"/>
    <col min="4865" max="4865" width="46.6640625" style="1947" customWidth="1"/>
    <col min="4866" max="4866" width="2.6640625" style="1947" customWidth="1"/>
    <col min="4867" max="4867" width="17.83203125" style="1947" customWidth="1"/>
    <col min="4868" max="4868" width="18.83203125" style="1947" bestFit="1" customWidth="1"/>
    <col min="4869" max="4869" width="17.5" style="1947" customWidth="1"/>
    <col min="4870" max="5120" width="10.33203125" style="1947"/>
    <col min="5121" max="5121" width="46.6640625" style="1947" customWidth="1"/>
    <col min="5122" max="5122" width="2.6640625" style="1947" customWidth="1"/>
    <col min="5123" max="5123" width="17.83203125" style="1947" customWidth="1"/>
    <col min="5124" max="5124" width="18.83203125" style="1947" bestFit="1" customWidth="1"/>
    <col min="5125" max="5125" width="17.5" style="1947" customWidth="1"/>
    <col min="5126" max="5376" width="10.33203125" style="1947"/>
    <col min="5377" max="5377" width="46.6640625" style="1947" customWidth="1"/>
    <col min="5378" max="5378" width="2.6640625" style="1947" customWidth="1"/>
    <col min="5379" max="5379" width="17.83203125" style="1947" customWidth="1"/>
    <col min="5380" max="5380" width="18.83203125" style="1947" bestFit="1" customWidth="1"/>
    <col min="5381" max="5381" width="17.5" style="1947" customWidth="1"/>
    <col min="5382" max="5632" width="10.33203125" style="1947"/>
    <col min="5633" max="5633" width="46.6640625" style="1947" customWidth="1"/>
    <col min="5634" max="5634" width="2.6640625" style="1947" customWidth="1"/>
    <col min="5635" max="5635" width="17.83203125" style="1947" customWidth="1"/>
    <col min="5636" max="5636" width="18.83203125" style="1947" bestFit="1" customWidth="1"/>
    <col min="5637" max="5637" width="17.5" style="1947" customWidth="1"/>
    <col min="5638" max="5888" width="10.33203125" style="1947"/>
    <col min="5889" max="5889" width="46.6640625" style="1947" customWidth="1"/>
    <col min="5890" max="5890" width="2.6640625" style="1947" customWidth="1"/>
    <col min="5891" max="5891" width="17.83203125" style="1947" customWidth="1"/>
    <col min="5892" max="5892" width="18.83203125" style="1947" bestFit="1" customWidth="1"/>
    <col min="5893" max="5893" width="17.5" style="1947" customWidth="1"/>
    <col min="5894" max="6144" width="10.33203125" style="1947"/>
    <col min="6145" max="6145" width="46.6640625" style="1947" customWidth="1"/>
    <col min="6146" max="6146" width="2.6640625" style="1947" customWidth="1"/>
    <col min="6147" max="6147" width="17.83203125" style="1947" customWidth="1"/>
    <col min="6148" max="6148" width="18.83203125" style="1947" bestFit="1" customWidth="1"/>
    <col min="6149" max="6149" width="17.5" style="1947" customWidth="1"/>
    <col min="6150" max="6400" width="10.33203125" style="1947"/>
    <col min="6401" max="6401" width="46.6640625" style="1947" customWidth="1"/>
    <col min="6402" max="6402" width="2.6640625" style="1947" customWidth="1"/>
    <col min="6403" max="6403" width="17.83203125" style="1947" customWidth="1"/>
    <col min="6404" max="6404" width="18.83203125" style="1947" bestFit="1" customWidth="1"/>
    <col min="6405" max="6405" width="17.5" style="1947" customWidth="1"/>
    <col min="6406" max="6656" width="10.33203125" style="1947"/>
    <col min="6657" max="6657" width="46.6640625" style="1947" customWidth="1"/>
    <col min="6658" max="6658" width="2.6640625" style="1947" customWidth="1"/>
    <col min="6659" max="6659" width="17.83203125" style="1947" customWidth="1"/>
    <col min="6660" max="6660" width="18.83203125" style="1947" bestFit="1" customWidth="1"/>
    <col min="6661" max="6661" width="17.5" style="1947" customWidth="1"/>
    <col min="6662" max="6912" width="10.33203125" style="1947"/>
    <col min="6913" max="6913" width="46.6640625" style="1947" customWidth="1"/>
    <col min="6914" max="6914" width="2.6640625" style="1947" customWidth="1"/>
    <col min="6915" max="6915" width="17.83203125" style="1947" customWidth="1"/>
    <col min="6916" max="6916" width="18.83203125" style="1947" bestFit="1" customWidth="1"/>
    <col min="6917" max="6917" width="17.5" style="1947" customWidth="1"/>
    <col min="6918" max="7168" width="10.33203125" style="1947"/>
    <col min="7169" max="7169" width="46.6640625" style="1947" customWidth="1"/>
    <col min="7170" max="7170" width="2.6640625" style="1947" customWidth="1"/>
    <col min="7171" max="7171" width="17.83203125" style="1947" customWidth="1"/>
    <col min="7172" max="7172" width="18.83203125" style="1947" bestFit="1" customWidth="1"/>
    <col min="7173" max="7173" width="17.5" style="1947" customWidth="1"/>
    <col min="7174" max="7424" width="10.33203125" style="1947"/>
    <col min="7425" max="7425" width="46.6640625" style="1947" customWidth="1"/>
    <col min="7426" max="7426" width="2.6640625" style="1947" customWidth="1"/>
    <col min="7427" max="7427" width="17.83203125" style="1947" customWidth="1"/>
    <col min="7428" max="7428" width="18.83203125" style="1947" bestFit="1" customWidth="1"/>
    <col min="7429" max="7429" width="17.5" style="1947" customWidth="1"/>
    <col min="7430" max="7680" width="10.33203125" style="1947"/>
    <col min="7681" max="7681" width="46.6640625" style="1947" customWidth="1"/>
    <col min="7682" max="7682" width="2.6640625" style="1947" customWidth="1"/>
    <col min="7683" max="7683" width="17.83203125" style="1947" customWidth="1"/>
    <col min="7684" max="7684" width="18.83203125" style="1947" bestFit="1" customWidth="1"/>
    <col min="7685" max="7685" width="17.5" style="1947" customWidth="1"/>
    <col min="7686" max="7936" width="10.33203125" style="1947"/>
    <col min="7937" max="7937" width="46.6640625" style="1947" customWidth="1"/>
    <col min="7938" max="7938" width="2.6640625" style="1947" customWidth="1"/>
    <col min="7939" max="7939" width="17.83203125" style="1947" customWidth="1"/>
    <col min="7940" max="7940" width="18.83203125" style="1947" bestFit="1" customWidth="1"/>
    <col min="7941" max="7941" width="17.5" style="1947" customWidth="1"/>
    <col min="7942" max="8192" width="10.33203125" style="1947"/>
    <col min="8193" max="8193" width="46.6640625" style="1947" customWidth="1"/>
    <col min="8194" max="8194" width="2.6640625" style="1947" customWidth="1"/>
    <col min="8195" max="8195" width="17.83203125" style="1947" customWidth="1"/>
    <col min="8196" max="8196" width="18.83203125" style="1947" bestFit="1" customWidth="1"/>
    <col min="8197" max="8197" width="17.5" style="1947" customWidth="1"/>
    <col min="8198" max="8448" width="10.33203125" style="1947"/>
    <col min="8449" max="8449" width="46.6640625" style="1947" customWidth="1"/>
    <col min="8450" max="8450" width="2.6640625" style="1947" customWidth="1"/>
    <col min="8451" max="8451" width="17.83203125" style="1947" customWidth="1"/>
    <col min="8452" max="8452" width="18.83203125" style="1947" bestFit="1" customWidth="1"/>
    <col min="8453" max="8453" width="17.5" style="1947" customWidth="1"/>
    <col min="8454" max="8704" width="10.33203125" style="1947"/>
    <col min="8705" max="8705" width="46.6640625" style="1947" customWidth="1"/>
    <col min="8706" max="8706" width="2.6640625" style="1947" customWidth="1"/>
    <col min="8707" max="8707" width="17.83203125" style="1947" customWidth="1"/>
    <col min="8708" max="8708" width="18.83203125" style="1947" bestFit="1" customWidth="1"/>
    <col min="8709" max="8709" width="17.5" style="1947" customWidth="1"/>
    <col min="8710" max="8960" width="10.33203125" style="1947"/>
    <col min="8961" max="8961" width="46.6640625" style="1947" customWidth="1"/>
    <col min="8962" max="8962" width="2.6640625" style="1947" customWidth="1"/>
    <col min="8963" max="8963" width="17.83203125" style="1947" customWidth="1"/>
    <col min="8964" max="8964" width="18.83203125" style="1947" bestFit="1" customWidth="1"/>
    <col min="8965" max="8965" width="17.5" style="1947" customWidth="1"/>
    <col min="8966" max="9216" width="10.33203125" style="1947"/>
    <col min="9217" max="9217" width="46.6640625" style="1947" customWidth="1"/>
    <col min="9218" max="9218" width="2.6640625" style="1947" customWidth="1"/>
    <col min="9219" max="9219" width="17.83203125" style="1947" customWidth="1"/>
    <col min="9220" max="9220" width="18.83203125" style="1947" bestFit="1" customWidth="1"/>
    <col min="9221" max="9221" width="17.5" style="1947" customWidth="1"/>
    <col min="9222" max="9472" width="10.33203125" style="1947"/>
    <col min="9473" max="9473" width="46.6640625" style="1947" customWidth="1"/>
    <col min="9474" max="9474" width="2.6640625" style="1947" customWidth="1"/>
    <col min="9475" max="9475" width="17.83203125" style="1947" customWidth="1"/>
    <col min="9476" max="9476" width="18.83203125" style="1947" bestFit="1" customWidth="1"/>
    <col min="9477" max="9477" width="17.5" style="1947" customWidth="1"/>
    <col min="9478" max="9728" width="10.33203125" style="1947"/>
    <col min="9729" max="9729" width="46.6640625" style="1947" customWidth="1"/>
    <col min="9730" max="9730" width="2.6640625" style="1947" customWidth="1"/>
    <col min="9731" max="9731" width="17.83203125" style="1947" customWidth="1"/>
    <col min="9732" max="9732" width="18.83203125" style="1947" bestFit="1" customWidth="1"/>
    <col min="9733" max="9733" width="17.5" style="1947" customWidth="1"/>
    <col min="9734" max="9984" width="10.33203125" style="1947"/>
    <col min="9985" max="9985" width="46.6640625" style="1947" customWidth="1"/>
    <col min="9986" max="9986" width="2.6640625" style="1947" customWidth="1"/>
    <col min="9987" max="9987" width="17.83203125" style="1947" customWidth="1"/>
    <col min="9988" max="9988" width="18.83203125" style="1947" bestFit="1" customWidth="1"/>
    <col min="9989" max="9989" width="17.5" style="1947" customWidth="1"/>
    <col min="9990" max="10240" width="10.33203125" style="1947"/>
    <col min="10241" max="10241" width="46.6640625" style="1947" customWidth="1"/>
    <col min="10242" max="10242" width="2.6640625" style="1947" customWidth="1"/>
    <col min="10243" max="10243" width="17.83203125" style="1947" customWidth="1"/>
    <col min="10244" max="10244" width="18.83203125" style="1947" bestFit="1" customWidth="1"/>
    <col min="10245" max="10245" width="17.5" style="1947" customWidth="1"/>
    <col min="10246" max="10496" width="10.33203125" style="1947"/>
    <col min="10497" max="10497" width="46.6640625" style="1947" customWidth="1"/>
    <col min="10498" max="10498" width="2.6640625" style="1947" customWidth="1"/>
    <col min="10499" max="10499" width="17.83203125" style="1947" customWidth="1"/>
    <col min="10500" max="10500" width="18.83203125" style="1947" bestFit="1" customWidth="1"/>
    <col min="10501" max="10501" width="17.5" style="1947" customWidth="1"/>
    <col min="10502" max="10752" width="10.33203125" style="1947"/>
    <col min="10753" max="10753" width="46.6640625" style="1947" customWidth="1"/>
    <col min="10754" max="10754" width="2.6640625" style="1947" customWidth="1"/>
    <col min="10755" max="10755" width="17.83203125" style="1947" customWidth="1"/>
    <col min="10756" max="10756" width="18.83203125" style="1947" bestFit="1" customWidth="1"/>
    <col min="10757" max="10757" width="17.5" style="1947" customWidth="1"/>
    <col min="10758" max="11008" width="10.33203125" style="1947"/>
    <col min="11009" max="11009" width="46.6640625" style="1947" customWidth="1"/>
    <col min="11010" max="11010" width="2.6640625" style="1947" customWidth="1"/>
    <col min="11011" max="11011" width="17.83203125" style="1947" customWidth="1"/>
    <col min="11012" max="11012" width="18.83203125" style="1947" bestFit="1" customWidth="1"/>
    <col min="11013" max="11013" width="17.5" style="1947" customWidth="1"/>
    <col min="11014" max="11264" width="10.33203125" style="1947"/>
    <col min="11265" max="11265" width="46.6640625" style="1947" customWidth="1"/>
    <col min="11266" max="11266" width="2.6640625" style="1947" customWidth="1"/>
    <col min="11267" max="11267" width="17.83203125" style="1947" customWidth="1"/>
    <col min="11268" max="11268" width="18.83203125" style="1947" bestFit="1" customWidth="1"/>
    <col min="11269" max="11269" width="17.5" style="1947" customWidth="1"/>
    <col min="11270" max="11520" width="10.33203125" style="1947"/>
    <col min="11521" max="11521" width="46.6640625" style="1947" customWidth="1"/>
    <col min="11522" max="11522" width="2.6640625" style="1947" customWidth="1"/>
    <col min="11523" max="11523" width="17.83203125" style="1947" customWidth="1"/>
    <col min="11524" max="11524" width="18.83203125" style="1947" bestFit="1" customWidth="1"/>
    <col min="11525" max="11525" width="17.5" style="1947" customWidth="1"/>
    <col min="11526" max="11776" width="10.33203125" style="1947"/>
    <col min="11777" max="11777" width="46.6640625" style="1947" customWidth="1"/>
    <col min="11778" max="11778" width="2.6640625" style="1947" customWidth="1"/>
    <col min="11779" max="11779" width="17.83203125" style="1947" customWidth="1"/>
    <col min="11780" max="11780" width="18.83203125" style="1947" bestFit="1" customWidth="1"/>
    <col min="11781" max="11781" width="17.5" style="1947" customWidth="1"/>
    <col min="11782" max="12032" width="10.33203125" style="1947"/>
    <col min="12033" max="12033" width="46.6640625" style="1947" customWidth="1"/>
    <col min="12034" max="12034" width="2.6640625" style="1947" customWidth="1"/>
    <col min="12035" max="12035" width="17.83203125" style="1947" customWidth="1"/>
    <col min="12036" max="12036" width="18.83203125" style="1947" bestFit="1" customWidth="1"/>
    <col min="12037" max="12037" width="17.5" style="1947" customWidth="1"/>
    <col min="12038" max="12288" width="10.33203125" style="1947"/>
    <col min="12289" max="12289" width="46.6640625" style="1947" customWidth="1"/>
    <col min="12290" max="12290" width="2.6640625" style="1947" customWidth="1"/>
    <col min="12291" max="12291" width="17.83203125" style="1947" customWidth="1"/>
    <col min="12292" max="12292" width="18.83203125" style="1947" bestFit="1" customWidth="1"/>
    <col min="12293" max="12293" width="17.5" style="1947" customWidth="1"/>
    <col min="12294" max="12544" width="10.33203125" style="1947"/>
    <col min="12545" max="12545" width="46.6640625" style="1947" customWidth="1"/>
    <col min="12546" max="12546" width="2.6640625" style="1947" customWidth="1"/>
    <col min="12547" max="12547" width="17.83203125" style="1947" customWidth="1"/>
    <col min="12548" max="12548" width="18.83203125" style="1947" bestFit="1" customWidth="1"/>
    <col min="12549" max="12549" width="17.5" style="1947" customWidth="1"/>
    <col min="12550" max="12800" width="10.33203125" style="1947"/>
    <col min="12801" max="12801" width="46.6640625" style="1947" customWidth="1"/>
    <col min="12802" max="12802" width="2.6640625" style="1947" customWidth="1"/>
    <col min="12803" max="12803" width="17.83203125" style="1947" customWidth="1"/>
    <col min="12804" max="12804" width="18.83203125" style="1947" bestFit="1" customWidth="1"/>
    <col min="12805" max="12805" width="17.5" style="1947" customWidth="1"/>
    <col min="12806" max="13056" width="10.33203125" style="1947"/>
    <col min="13057" max="13057" width="46.6640625" style="1947" customWidth="1"/>
    <col min="13058" max="13058" width="2.6640625" style="1947" customWidth="1"/>
    <col min="13059" max="13059" width="17.83203125" style="1947" customWidth="1"/>
    <col min="13060" max="13060" width="18.83203125" style="1947" bestFit="1" customWidth="1"/>
    <col min="13061" max="13061" width="17.5" style="1947" customWidth="1"/>
    <col min="13062" max="13312" width="10.33203125" style="1947"/>
    <col min="13313" max="13313" width="46.6640625" style="1947" customWidth="1"/>
    <col min="13314" max="13314" width="2.6640625" style="1947" customWidth="1"/>
    <col min="13315" max="13315" width="17.83203125" style="1947" customWidth="1"/>
    <col min="13316" max="13316" width="18.83203125" style="1947" bestFit="1" customWidth="1"/>
    <col min="13317" max="13317" width="17.5" style="1947" customWidth="1"/>
    <col min="13318" max="13568" width="10.33203125" style="1947"/>
    <col min="13569" max="13569" width="46.6640625" style="1947" customWidth="1"/>
    <col min="13570" max="13570" width="2.6640625" style="1947" customWidth="1"/>
    <col min="13571" max="13571" width="17.83203125" style="1947" customWidth="1"/>
    <col min="13572" max="13572" width="18.83203125" style="1947" bestFit="1" customWidth="1"/>
    <col min="13573" max="13573" width="17.5" style="1947" customWidth="1"/>
    <col min="13574" max="13824" width="10.33203125" style="1947"/>
    <col min="13825" max="13825" width="46.6640625" style="1947" customWidth="1"/>
    <col min="13826" max="13826" width="2.6640625" style="1947" customWidth="1"/>
    <col min="13827" max="13827" width="17.83203125" style="1947" customWidth="1"/>
    <col min="13828" max="13828" width="18.83203125" style="1947" bestFit="1" customWidth="1"/>
    <col min="13829" max="13829" width="17.5" style="1947" customWidth="1"/>
    <col min="13830" max="14080" width="10.33203125" style="1947"/>
    <col min="14081" max="14081" width="46.6640625" style="1947" customWidth="1"/>
    <col min="14082" max="14082" width="2.6640625" style="1947" customWidth="1"/>
    <col min="14083" max="14083" width="17.83203125" style="1947" customWidth="1"/>
    <col min="14084" max="14084" width="18.83203125" style="1947" bestFit="1" customWidth="1"/>
    <col min="14085" max="14085" width="17.5" style="1947" customWidth="1"/>
    <col min="14086" max="14336" width="10.33203125" style="1947"/>
    <col min="14337" max="14337" width="46.6640625" style="1947" customWidth="1"/>
    <col min="14338" max="14338" width="2.6640625" style="1947" customWidth="1"/>
    <col min="14339" max="14339" width="17.83203125" style="1947" customWidth="1"/>
    <col min="14340" max="14340" width="18.83203125" style="1947" bestFit="1" customWidth="1"/>
    <col min="14341" max="14341" width="17.5" style="1947" customWidth="1"/>
    <col min="14342" max="14592" width="10.33203125" style="1947"/>
    <col min="14593" max="14593" width="46.6640625" style="1947" customWidth="1"/>
    <col min="14594" max="14594" width="2.6640625" style="1947" customWidth="1"/>
    <col min="14595" max="14595" width="17.83203125" style="1947" customWidth="1"/>
    <col min="14596" max="14596" width="18.83203125" style="1947" bestFit="1" customWidth="1"/>
    <col min="14597" max="14597" width="17.5" style="1947" customWidth="1"/>
    <col min="14598" max="14848" width="10.33203125" style="1947"/>
    <col min="14849" max="14849" width="46.6640625" style="1947" customWidth="1"/>
    <col min="14850" max="14850" width="2.6640625" style="1947" customWidth="1"/>
    <col min="14851" max="14851" width="17.83203125" style="1947" customWidth="1"/>
    <col min="14852" max="14852" width="18.83203125" style="1947" bestFit="1" customWidth="1"/>
    <col min="14853" max="14853" width="17.5" style="1947" customWidth="1"/>
    <col min="14854" max="15104" width="10.33203125" style="1947"/>
    <col min="15105" max="15105" width="46.6640625" style="1947" customWidth="1"/>
    <col min="15106" max="15106" width="2.6640625" style="1947" customWidth="1"/>
    <col min="15107" max="15107" width="17.83203125" style="1947" customWidth="1"/>
    <col min="15108" max="15108" width="18.83203125" style="1947" bestFit="1" customWidth="1"/>
    <col min="15109" max="15109" width="17.5" style="1947" customWidth="1"/>
    <col min="15110" max="15360" width="10.33203125" style="1947"/>
    <col min="15361" max="15361" width="46.6640625" style="1947" customWidth="1"/>
    <col min="15362" max="15362" width="2.6640625" style="1947" customWidth="1"/>
    <col min="15363" max="15363" width="17.83203125" style="1947" customWidth="1"/>
    <col min="15364" max="15364" width="18.83203125" style="1947" bestFit="1" customWidth="1"/>
    <col min="15365" max="15365" width="17.5" style="1947" customWidth="1"/>
    <col min="15366" max="15616" width="10.33203125" style="1947"/>
    <col min="15617" max="15617" width="46.6640625" style="1947" customWidth="1"/>
    <col min="15618" max="15618" width="2.6640625" style="1947" customWidth="1"/>
    <col min="15619" max="15619" width="17.83203125" style="1947" customWidth="1"/>
    <col min="15620" max="15620" width="18.83203125" style="1947" bestFit="1" customWidth="1"/>
    <col min="15621" max="15621" width="17.5" style="1947" customWidth="1"/>
    <col min="15622" max="15872" width="10.33203125" style="1947"/>
    <col min="15873" max="15873" width="46.6640625" style="1947" customWidth="1"/>
    <col min="15874" max="15874" width="2.6640625" style="1947" customWidth="1"/>
    <col min="15875" max="15875" width="17.83203125" style="1947" customWidth="1"/>
    <col min="15876" max="15876" width="18.83203125" style="1947" bestFit="1" customWidth="1"/>
    <col min="15877" max="15877" width="17.5" style="1947" customWidth="1"/>
    <col min="15878" max="16128" width="10.33203125" style="1947"/>
    <col min="16129" max="16129" width="46.6640625" style="1947" customWidth="1"/>
    <col min="16130" max="16130" width="2.6640625" style="1947" customWidth="1"/>
    <col min="16131" max="16131" width="17.83203125" style="1947" customWidth="1"/>
    <col min="16132" max="16132" width="18.83203125" style="1947" bestFit="1" customWidth="1"/>
    <col min="16133" max="16133" width="17.5" style="1947" customWidth="1"/>
    <col min="16134" max="16384" width="10.33203125" style="1947"/>
  </cols>
  <sheetData>
    <row r="1" spans="1:5">
      <c r="D1" s="1948" t="s">
        <v>1153</v>
      </c>
    </row>
    <row r="2" spans="1:5" ht="13.5" thickBot="1">
      <c r="D2" s="1948" t="s">
        <v>1154</v>
      </c>
    </row>
    <row r="3" spans="1:5" ht="13.5" thickBot="1">
      <c r="D3" s="1949" t="s">
        <v>1062</v>
      </c>
    </row>
    <row r="5" spans="1:5">
      <c r="A5" s="1950" t="s">
        <v>1063</v>
      </c>
      <c r="B5" s="1950"/>
      <c r="C5" s="1950"/>
      <c r="D5" s="1951"/>
    </row>
    <row r="6" spans="1:5">
      <c r="A6" s="1950" t="s">
        <v>1155</v>
      </c>
      <c r="B6" s="1950"/>
      <c r="C6" s="1950"/>
      <c r="D6" s="1951"/>
    </row>
    <row r="7" spans="1:5">
      <c r="A7" s="1950" t="s">
        <v>1064</v>
      </c>
      <c r="B7" s="1950"/>
      <c r="C7" s="1950"/>
      <c r="D7" s="1951"/>
    </row>
    <row r="8" spans="1:5">
      <c r="A8" s="1950"/>
      <c r="B8" s="1950"/>
      <c r="C8" s="1950"/>
      <c r="D8" s="1951"/>
    </row>
    <row r="9" spans="1:5" ht="25.5">
      <c r="A9" s="1950"/>
      <c r="C9" s="1952" t="s">
        <v>1156</v>
      </c>
      <c r="D9" s="1952" t="s">
        <v>448</v>
      </c>
    </row>
    <row r="10" spans="1:5" ht="25.5">
      <c r="A10" s="1950"/>
      <c r="B10" s="1950"/>
      <c r="C10" s="1953" t="s">
        <v>1065</v>
      </c>
      <c r="D10" s="1953" t="s">
        <v>1065</v>
      </c>
    </row>
    <row r="11" spans="1:5" ht="13.5" thickBot="1">
      <c r="C11" s="1954">
        <v>40359</v>
      </c>
      <c r="D11" s="1954">
        <v>40543</v>
      </c>
      <c r="E11" s="1955"/>
    </row>
    <row r="12" spans="1:5">
      <c r="A12" s="1956"/>
      <c r="C12" s="1957" t="s">
        <v>1066</v>
      </c>
      <c r="D12" s="1957" t="s">
        <v>1066</v>
      </c>
    </row>
    <row r="13" spans="1:5">
      <c r="A13" s="1958" t="s">
        <v>1067</v>
      </c>
      <c r="C13" s="1959"/>
      <c r="D13" s="1959"/>
    </row>
    <row r="14" spans="1:5">
      <c r="A14" s="1947" t="s">
        <v>1068</v>
      </c>
      <c r="C14" s="1960">
        <v>963232858.51999998</v>
      </c>
      <c r="D14" s="1960">
        <v>953445525.50999999</v>
      </c>
      <c r="E14" s="1961"/>
    </row>
    <row r="15" spans="1:5">
      <c r="A15" s="1947" t="s">
        <v>1069</v>
      </c>
      <c r="C15" s="1962">
        <v>43439732.07</v>
      </c>
      <c r="D15" s="1963">
        <v>43761997</v>
      </c>
      <c r="E15" s="1961"/>
    </row>
    <row r="16" spans="1:5">
      <c r="A16" s="1947" t="s">
        <v>1070</v>
      </c>
      <c r="C16" s="1964">
        <v>16566667.609999999</v>
      </c>
      <c r="D16" s="1964">
        <v>14322993.74</v>
      </c>
      <c r="E16" s="1961"/>
    </row>
    <row r="17" spans="1:8">
      <c r="A17" s="1947" t="s">
        <v>1071</v>
      </c>
      <c r="C17" s="1965">
        <f>SUM(C14:C16)</f>
        <v>1023239258.2</v>
      </c>
      <c r="D17" s="1965">
        <f>SUM(D14:D16)</f>
        <v>1011530516.25</v>
      </c>
      <c r="H17" s="1966"/>
    </row>
    <row r="18" spans="1:8">
      <c r="A18" s="1967">
        <v>6</v>
      </c>
      <c r="C18" s="1968"/>
      <c r="D18" s="1968"/>
    </row>
    <row r="19" spans="1:8">
      <c r="A19" s="1967">
        <v>7</v>
      </c>
      <c r="C19" s="1969"/>
      <c r="D19" s="1969"/>
      <c r="E19" s="1970"/>
    </row>
    <row r="20" spans="1:8">
      <c r="A20" s="1947" t="s">
        <v>1072</v>
      </c>
      <c r="C20" s="1969"/>
      <c r="D20" s="1969"/>
      <c r="E20" s="1971"/>
    </row>
    <row r="21" spans="1:8">
      <c r="A21" s="1967">
        <v>9</v>
      </c>
      <c r="C21" s="1969"/>
      <c r="D21" s="1969"/>
      <c r="E21" s="1972"/>
    </row>
    <row r="22" spans="1:8">
      <c r="A22" s="1947" t="s">
        <v>1073</v>
      </c>
      <c r="C22" s="1969"/>
      <c r="D22" s="1969"/>
      <c r="E22" s="1972"/>
    </row>
    <row r="23" spans="1:8">
      <c r="A23" s="1967">
        <v>11</v>
      </c>
      <c r="C23" s="1973"/>
      <c r="D23" s="1973"/>
    </row>
    <row r="24" spans="1:8">
      <c r="A24" s="1947" t="s">
        <v>1074</v>
      </c>
      <c r="C24" s="1965">
        <v>550153571.02999997</v>
      </c>
      <c r="D24" s="1965">
        <v>535932510.26999903</v>
      </c>
    </row>
    <row r="25" spans="1:8">
      <c r="A25" s="1967">
        <v>13</v>
      </c>
      <c r="C25" s="1974"/>
      <c r="D25" s="1974"/>
    </row>
    <row r="26" spans="1:8">
      <c r="A26" s="1947" t="s">
        <v>1075</v>
      </c>
      <c r="C26" s="1975">
        <f>SUM(C23:C25)</f>
        <v>550153571.02999997</v>
      </c>
      <c r="D26" s="1975">
        <f>SUM(D23:D25)</f>
        <v>535932510.26999903</v>
      </c>
    </row>
    <row r="27" spans="1:8">
      <c r="A27" s="1967">
        <v>15</v>
      </c>
      <c r="C27" s="1976"/>
      <c r="D27" s="1976"/>
    </row>
    <row r="28" spans="1:8">
      <c r="A28" s="1947" t="s">
        <v>1076</v>
      </c>
      <c r="C28" s="1965">
        <v>1995330.38</v>
      </c>
      <c r="D28" s="1965">
        <v>1937121.8</v>
      </c>
    </row>
    <row r="29" spans="1:8">
      <c r="A29" s="1947" t="s">
        <v>1077</v>
      </c>
      <c r="C29" s="1965">
        <v>819169.86999999895</v>
      </c>
      <c r="D29" s="1965">
        <v>226853.49999999901</v>
      </c>
    </row>
    <row r="30" spans="1:8">
      <c r="A30" s="1947" t="s">
        <v>1078</v>
      </c>
      <c r="C30" s="1965">
        <v>49275442.899999999</v>
      </c>
      <c r="D30" s="1965">
        <v>50238405.469999999</v>
      </c>
    </row>
    <row r="31" spans="1:8">
      <c r="A31" s="1947" t="s">
        <v>1079</v>
      </c>
      <c r="C31" s="1965">
        <v>33716567.670124903</v>
      </c>
      <c r="D31" s="1965">
        <v>32629594.350795999</v>
      </c>
    </row>
    <row r="32" spans="1:8">
      <c r="A32" s="1947" t="s">
        <v>1080</v>
      </c>
      <c r="C32" s="1965">
        <v>4493582.6269680001</v>
      </c>
      <c r="D32" s="1965">
        <v>4454345.868047989</v>
      </c>
    </row>
    <row r="33" spans="1:4">
      <c r="A33" s="1947" t="s">
        <v>1081</v>
      </c>
      <c r="C33" s="1965">
        <v>12533942.7999999</v>
      </c>
      <c r="D33" s="1965">
        <v>14771681.6299999</v>
      </c>
    </row>
    <row r="34" spans="1:4">
      <c r="A34" s="1947" t="s">
        <v>1082</v>
      </c>
      <c r="C34" s="1965">
        <v>44718807.023647904</v>
      </c>
      <c r="D34" s="1965">
        <v>42818070.121348001</v>
      </c>
    </row>
    <row r="35" spans="1:4">
      <c r="A35" s="1947" t="s">
        <v>1083</v>
      </c>
      <c r="C35" s="1965">
        <v>98032900.729743987</v>
      </c>
      <c r="D35" s="1965">
        <v>102386842.97985891</v>
      </c>
    </row>
    <row r="36" spans="1:4">
      <c r="A36" s="1947" t="s">
        <v>1084</v>
      </c>
      <c r="C36" s="1965">
        <v>15432434.761570001</v>
      </c>
      <c r="D36" s="1965">
        <v>12778120.276430989</v>
      </c>
    </row>
    <row r="37" spans="1:4">
      <c r="A37" s="1947" t="s">
        <v>1085</v>
      </c>
      <c r="C37" s="1965">
        <v>0</v>
      </c>
      <c r="D37" s="1965">
        <v>0</v>
      </c>
    </row>
    <row r="38" spans="1:4">
      <c r="A38" s="1947" t="s">
        <v>1086</v>
      </c>
      <c r="C38" s="1965">
        <v>-255495.82</v>
      </c>
      <c r="D38" s="1965">
        <v>-187823.5</v>
      </c>
    </row>
    <row r="39" spans="1:4">
      <c r="A39" s="1958" t="s">
        <v>1160</v>
      </c>
      <c r="C39" s="1965">
        <v>0</v>
      </c>
      <c r="D39" s="1965">
        <v>0</v>
      </c>
    </row>
    <row r="40" spans="1:4">
      <c r="A40" s="1947" t="s">
        <v>1087</v>
      </c>
      <c r="C40" s="1965">
        <v>97432690.758463994</v>
      </c>
      <c r="D40" s="1965">
        <v>98746987.673014</v>
      </c>
    </row>
    <row r="41" spans="1:4">
      <c r="A41" s="1947" t="s">
        <v>1088</v>
      </c>
      <c r="C41" s="1965">
        <v>-35657054</v>
      </c>
      <c r="D41" s="1965">
        <v>15204117</v>
      </c>
    </row>
    <row r="42" spans="1:4">
      <c r="A42" s="1947" t="s">
        <v>1089</v>
      </c>
      <c r="C42" s="1977">
        <v>48545918.480400003</v>
      </c>
      <c r="D42" s="1977">
        <v>-3067770.7089999998</v>
      </c>
    </row>
    <row r="43" spans="1:4">
      <c r="A43" s="1947" t="s">
        <v>1090</v>
      </c>
      <c r="C43" s="1975">
        <f>SUM(C26:C42)</f>
        <v>921237809.21091855</v>
      </c>
      <c r="D43" s="1975">
        <f>SUM(D26:D42)</f>
        <v>908869056.73049474</v>
      </c>
    </row>
    <row r="44" spans="1:4">
      <c r="A44" s="1967">
        <v>32</v>
      </c>
      <c r="C44" s="1978"/>
      <c r="D44" s="1978"/>
    </row>
    <row r="45" spans="1:4">
      <c r="A45" s="1947" t="s">
        <v>1091</v>
      </c>
      <c r="C45" s="1979">
        <f>C17-C43</f>
        <v>102001448.9890815</v>
      </c>
      <c r="D45" s="1979">
        <f>D17-D43</f>
        <v>102661459.51950526</v>
      </c>
    </row>
    <row r="46" spans="1:4">
      <c r="A46" s="1967">
        <v>34</v>
      </c>
      <c r="C46" s="1980"/>
      <c r="D46" s="1980"/>
    </row>
    <row r="47" spans="1:4">
      <c r="A47" s="1947" t="s">
        <v>1092</v>
      </c>
      <c r="C47" s="1981">
        <v>1474337487</v>
      </c>
      <c r="D47" s="1981">
        <v>1660735111.2888541</v>
      </c>
    </row>
    <row r="48" spans="1:4">
      <c r="A48" s="1967">
        <v>36</v>
      </c>
      <c r="C48" s="1968"/>
      <c r="D48" s="1968"/>
    </row>
    <row r="49" spans="1:4">
      <c r="A49" s="1982">
        <v>37</v>
      </c>
      <c r="C49" s="1983"/>
      <c r="D49" s="1983"/>
    </row>
    <row r="50" spans="1:4" ht="13.5" thickBot="1">
      <c r="A50" s="1947" t="s">
        <v>1093</v>
      </c>
      <c r="C50" s="1984">
        <f>C45/C47</f>
        <v>6.9184599787010304E-2</v>
      </c>
      <c r="D50" s="1984">
        <f>D45/D47</f>
        <v>6.1816877852261656E-2</v>
      </c>
    </row>
    <row r="51" spans="1:4">
      <c r="A51" s="1985"/>
      <c r="D51" s="1986"/>
    </row>
    <row r="53" spans="1:4">
      <c r="A53" s="1987"/>
    </row>
    <row r="54" spans="1:4">
      <c r="A54" s="1987"/>
    </row>
    <row r="55" spans="1:4">
      <c r="A55" s="1987"/>
    </row>
    <row r="56" spans="1:4">
      <c r="A56" s="1987"/>
    </row>
    <row r="57" spans="1:4">
      <c r="A57" s="1987"/>
    </row>
  </sheetData>
  <printOptions horizontalCentered="1"/>
  <pageMargins left="0.75" right="0.75" top="0.75" bottom="0.75" header="0.5" footer="0.5"/>
  <pageSetup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9"/>
  <sheetViews>
    <sheetView workbookViewId="0">
      <selection activeCell="D7" sqref="D7"/>
    </sheetView>
  </sheetViews>
  <sheetFormatPr defaultRowHeight="15"/>
  <cols>
    <col min="1" max="1" width="60.5" style="1873" customWidth="1"/>
    <col min="2" max="2" width="19" style="1873" customWidth="1"/>
    <col min="3" max="256" width="9.33203125" style="1873"/>
    <col min="257" max="257" width="60.5" style="1873" customWidth="1"/>
    <col min="258" max="258" width="19" style="1873" customWidth="1"/>
    <col min="259" max="512" width="9.33203125" style="1873"/>
    <col min="513" max="513" width="60.5" style="1873" customWidth="1"/>
    <col min="514" max="514" width="19" style="1873" customWidth="1"/>
    <col min="515" max="768" width="9.33203125" style="1873"/>
    <col min="769" max="769" width="60.5" style="1873" customWidth="1"/>
    <col min="770" max="770" width="19" style="1873" customWidth="1"/>
    <col min="771" max="1024" width="9.33203125" style="1873"/>
    <col min="1025" max="1025" width="60.5" style="1873" customWidth="1"/>
    <col min="1026" max="1026" width="19" style="1873" customWidth="1"/>
    <col min="1027" max="1280" width="9.33203125" style="1873"/>
    <col min="1281" max="1281" width="60.5" style="1873" customWidth="1"/>
    <col min="1282" max="1282" width="19" style="1873" customWidth="1"/>
    <col min="1283" max="1536" width="9.33203125" style="1873"/>
    <col min="1537" max="1537" width="60.5" style="1873" customWidth="1"/>
    <col min="1538" max="1538" width="19" style="1873" customWidth="1"/>
    <col min="1539" max="1792" width="9.33203125" style="1873"/>
    <col min="1793" max="1793" width="60.5" style="1873" customWidth="1"/>
    <col min="1794" max="1794" width="19" style="1873" customWidth="1"/>
    <col min="1795" max="2048" width="9.33203125" style="1873"/>
    <col min="2049" max="2049" width="60.5" style="1873" customWidth="1"/>
    <col min="2050" max="2050" width="19" style="1873" customWidth="1"/>
    <col min="2051" max="2304" width="9.33203125" style="1873"/>
    <col min="2305" max="2305" width="60.5" style="1873" customWidth="1"/>
    <col min="2306" max="2306" width="19" style="1873" customWidth="1"/>
    <col min="2307" max="2560" width="9.33203125" style="1873"/>
    <col min="2561" max="2561" width="60.5" style="1873" customWidth="1"/>
    <col min="2562" max="2562" width="19" style="1873" customWidth="1"/>
    <col min="2563" max="2816" width="9.33203125" style="1873"/>
    <col min="2817" max="2817" width="60.5" style="1873" customWidth="1"/>
    <col min="2818" max="2818" width="19" style="1873" customWidth="1"/>
    <col min="2819" max="3072" width="9.33203125" style="1873"/>
    <col min="3073" max="3073" width="60.5" style="1873" customWidth="1"/>
    <col min="3074" max="3074" width="19" style="1873" customWidth="1"/>
    <col min="3075" max="3328" width="9.33203125" style="1873"/>
    <col min="3329" max="3329" width="60.5" style="1873" customWidth="1"/>
    <col min="3330" max="3330" width="19" style="1873" customWidth="1"/>
    <col min="3331" max="3584" width="9.33203125" style="1873"/>
    <col min="3585" max="3585" width="60.5" style="1873" customWidth="1"/>
    <col min="3586" max="3586" width="19" style="1873" customWidth="1"/>
    <col min="3587" max="3840" width="9.33203125" style="1873"/>
    <col min="3841" max="3841" width="60.5" style="1873" customWidth="1"/>
    <col min="3842" max="3842" width="19" style="1873" customWidth="1"/>
    <col min="3843" max="4096" width="9.33203125" style="1873"/>
    <col min="4097" max="4097" width="60.5" style="1873" customWidth="1"/>
    <col min="4098" max="4098" width="19" style="1873" customWidth="1"/>
    <col min="4099" max="4352" width="9.33203125" style="1873"/>
    <col min="4353" max="4353" width="60.5" style="1873" customWidth="1"/>
    <col min="4354" max="4354" width="19" style="1873" customWidth="1"/>
    <col min="4355" max="4608" width="9.33203125" style="1873"/>
    <col min="4609" max="4609" width="60.5" style="1873" customWidth="1"/>
    <col min="4610" max="4610" width="19" style="1873" customWidth="1"/>
    <col min="4611" max="4864" width="9.33203125" style="1873"/>
    <col min="4865" max="4865" width="60.5" style="1873" customWidth="1"/>
    <col min="4866" max="4866" width="19" style="1873" customWidth="1"/>
    <col min="4867" max="5120" width="9.33203125" style="1873"/>
    <col min="5121" max="5121" width="60.5" style="1873" customWidth="1"/>
    <col min="5122" max="5122" width="19" style="1873" customWidth="1"/>
    <col min="5123" max="5376" width="9.33203125" style="1873"/>
    <col min="5377" max="5377" width="60.5" style="1873" customWidth="1"/>
    <col min="5378" max="5378" width="19" style="1873" customWidth="1"/>
    <col min="5379" max="5632" width="9.33203125" style="1873"/>
    <col min="5633" max="5633" width="60.5" style="1873" customWidth="1"/>
    <col min="5634" max="5634" width="19" style="1873" customWidth="1"/>
    <col min="5635" max="5888" width="9.33203125" style="1873"/>
    <col min="5889" max="5889" width="60.5" style="1873" customWidth="1"/>
    <col min="5890" max="5890" width="19" style="1873" customWidth="1"/>
    <col min="5891" max="6144" width="9.33203125" style="1873"/>
    <col min="6145" max="6145" width="60.5" style="1873" customWidth="1"/>
    <col min="6146" max="6146" width="19" style="1873" customWidth="1"/>
    <col min="6147" max="6400" width="9.33203125" style="1873"/>
    <col min="6401" max="6401" width="60.5" style="1873" customWidth="1"/>
    <col min="6402" max="6402" width="19" style="1873" customWidth="1"/>
    <col min="6403" max="6656" width="9.33203125" style="1873"/>
    <col min="6657" max="6657" width="60.5" style="1873" customWidth="1"/>
    <col min="6658" max="6658" width="19" style="1873" customWidth="1"/>
    <col min="6659" max="6912" width="9.33203125" style="1873"/>
    <col min="6913" max="6913" width="60.5" style="1873" customWidth="1"/>
    <col min="6914" max="6914" width="19" style="1873" customWidth="1"/>
    <col min="6915" max="7168" width="9.33203125" style="1873"/>
    <col min="7169" max="7169" width="60.5" style="1873" customWidth="1"/>
    <col min="7170" max="7170" width="19" style="1873" customWidth="1"/>
    <col min="7171" max="7424" width="9.33203125" style="1873"/>
    <col min="7425" max="7425" width="60.5" style="1873" customWidth="1"/>
    <col min="7426" max="7426" width="19" style="1873" customWidth="1"/>
    <col min="7427" max="7680" width="9.33203125" style="1873"/>
    <col min="7681" max="7681" width="60.5" style="1873" customWidth="1"/>
    <col min="7682" max="7682" width="19" style="1873" customWidth="1"/>
    <col min="7683" max="7936" width="9.33203125" style="1873"/>
    <col min="7937" max="7937" width="60.5" style="1873" customWidth="1"/>
    <col min="7938" max="7938" width="19" style="1873" customWidth="1"/>
    <col min="7939" max="8192" width="9.33203125" style="1873"/>
    <col min="8193" max="8193" width="60.5" style="1873" customWidth="1"/>
    <col min="8194" max="8194" width="19" style="1873" customWidth="1"/>
    <col min="8195" max="8448" width="9.33203125" style="1873"/>
    <col min="8449" max="8449" width="60.5" style="1873" customWidth="1"/>
    <col min="8450" max="8450" width="19" style="1873" customWidth="1"/>
    <col min="8451" max="8704" width="9.33203125" style="1873"/>
    <col min="8705" max="8705" width="60.5" style="1873" customWidth="1"/>
    <col min="8706" max="8706" width="19" style="1873" customWidth="1"/>
    <col min="8707" max="8960" width="9.33203125" style="1873"/>
    <col min="8961" max="8961" width="60.5" style="1873" customWidth="1"/>
    <col min="8962" max="8962" width="19" style="1873" customWidth="1"/>
    <col min="8963" max="9216" width="9.33203125" style="1873"/>
    <col min="9217" max="9217" width="60.5" style="1873" customWidth="1"/>
    <col min="9218" max="9218" width="19" style="1873" customWidth="1"/>
    <col min="9219" max="9472" width="9.33203125" style="1873"/>
    <col min="9473" max="9473" width="60.5" style="1873" customWidth="1"/>
    <col min="9474" max="9474" width="19" style="1873" customWidth="1"/>
    <col min="9475" max="9728" width="9.33203125" style="1873"/>
    <col min="9729" max="9729" width="60.5" style="1873" customWidth="1"/>
    <col min="9730" max="9730" width="19" style="1873" customWidth="1"/>
    <col min="9731" max="9984" width="9.33203125" style="1873"/>
    <col min="9985" max="9985" width="60.5" style="1873" customWidth="1"/>
    <col min="9986" max="9986" width="19" style="1873" customWidth="1"/>
    <col min="9987" max="10240" width="9.33203125" style="1873"/>
    <col min="10241" max="10241" width="60.5" style="1873" customWidth="1"/>
    <col min="10242" max="10242" width="19" style="1873" customWidth="1"/>
    <col min="10243" max="10496" width="9.33203125" style="1873"/>
    <col min="10497" max="10497" width="60.5" style="1873" customWidth="1"/>
    <col min="10498" max="10498" width="19" style="1873" customWidth="1"/>
    <col min="10499" max="10752" width="9.33203125" style="1873"/>
    <col min="10753" max="10753" width="60.5" style="1873" customWidth="1"/>
    <col min="10754" max="10754" width="19" style="1873" customWidth="1"/>
    <col min="10755" max="11008" width="9.33203125" style="1873"/>
    <col min="11009" max="11009" width="60.5" style="1873" customWidth="1"/>
    <col min="11010" max="11010" width="19" style="1873" customWidth="1"/>
    <col min="11011" max="11264" width="9.33203125" style="1873"/>
    <col min="11265" max="11265" width="60.5" style="1873" customWidth="1"/>
    <col min="11266" max="11266" width="19" style="1873" customWidth="1"/>
    <col min="11267" max="11520" width="9.33203125" style="1873"/>
    <col min="11521" max="11521" width="60.5" style="1873" customWidth="1"/>
    <col min="11522" max="11522" width="19" style="1873" customWidth="1"/>
    <col min="11523" max="11776" width="9.33203125" style="1873"/>
    <col min="11777" max="11777" width="60.5" style="1873" customWidth="1"/>
    <col min="11778" max="11778" width="19" style="1873" customWidth="1"/>
    <col min="11779" max="12032" width="9.33203125" style="1873"/>
    <col min="12033" max="12033" width="60.5" style="1873" customWidth="1"/>
    <col min="12034" max="12034" width="19" style="1873" customWidth="1"/>
    <col min="12035" max="12288" width="9.33203125" style="1873"/>
    <col min="12289" max="12289" width="60.5" style="1873" customWidth="1"/>
    <col min="12290" max="12290" width="19" style="1873" customWidth="1"/>
    <col min="12291" max="12544" width="9.33203125" style="1873"/>
    <col min="12545" max="12545" width="60.5" style="1873" customWidth="1"/>
    <col min="12546" max="12546" width="19" style="1873" customWidth="1"/>
    <col min="12547" max="12800" width="9.33203125" style="1873"/>
    <col min="12801" max="12801" width="60.5" style="1873" customWidth="1"/>
    <col min="12802" max="12802" width="19" style="1873" customWidth="1"/>
    <col min="12803" max="13056" width="9.33203125" style="1873"/>
    <col min="13057" max="13057" width="60.5" style="1873" customWidth="1"/>
    <col min="13058" max="13058" width="19" style="1873" customWidth="1"/>
    <col min="13059" max="13312" width="9.33203125" style="1873"/>
    <col min="13313" max="13313" width="60.5" style="1873" customWidth="1"/>
    <col min="13314" max="13314" width="19" style="1873" customWidth="1"/>
    <col min="13315" max="13568" width="9.33203125" style="1873"/>
    <col min="13569" max="13569" width="60.5" style="1873" customWidth="1"/>
    <col min="13570" max="13570" width="19" style="1873" customWidth="1"/>
    <col min="13571" max="13824" width="9.33203125" style="1873"/>
    <col min="13825" max="13825" width="60.5" style="1873" customWidth="1"/>
    <col min="13826" max="13826" width="19" style="1873" customWidth="1"/>
    <col min="13827" max="14080" width="9.33203125" style="1873"/>
    <col min="14081" max="14081" width="60.5" style="1873" customWidth="1"/>
    <col min="14082" max="14082" width="19" style="1873" customWidth="1"/>
    <col min="14083" max="14336" width="9.33203125" style="1873"/>
    <col min="14337" max="14337" width="60.5" style="1873" customWidth="1"/>
    <col min="14338" max="14338" width="19" style="1873" customWidth="1"/>
    <col min="14339" max="14592" width="9.33203125" style="1873"/>
    <col min="14593" max="14593" width="60.5" style="1873" customWidth="1"/>
    <col min="14594" max="14594" width="19" style="1873" customWidth="1"/>
    <col min="14595" max="14848" width="9.33203125" style="1873"/>
    <col min="14849" max="14849" width="60.5" style="1873" customWidth="1"/>
    <col min="14850" max="14850" width="19" style="1873" customWidth="1"/>
    <col min="14851" max="15104" width="9.33203125" style="1873"/>
    <col min="15105" max="15105" width="60.5" style="1873" customWidth="1"/>
    <col min="15106" max="15106" width="19" style="1873" customWidth="1"/>
    <col min="15107" max="15360" width="9.33203125" style="1873"/>
    <col min="15361" max="15361" width="60.5" style="1873" customWidth="1"/>
    <col min="15362" max="15362" width="19" style="1873" customWidth="1"/>
    <col min="15363" max="15616" width="9.33203125" style="1873"/>
    <col min="15617" max="15617" width="60.5" style="1873" customWidth="1"/>
    <col min="15618" max="15618" width="19" style="1873" customWidth="1"/>
    <col min="15619" max="15872" width="9.33203125" style="1873"/>
    <col min="15873" max="15873" width="60.5" style="1873" customWidth="1"/>
    <col min="15874" max="15874" width="19" style="1873" customWidth="1"/>
    <col min="15875" max="16128" width="9.33203125" style="1873"/>
    <col min="16129" max="16129" width="60.5" style="1873" customWidth="1"/>
    <col min="16130" max="16130" width="19" style="1873" customWidth="1"/>
    <col min="16131" max="16384" width="9.33203125" style="1873"/>
  </cols>
  <sheetData>
    <row r="1" spans="1:2">
      <c r="A1" s="1873" t="s">
        <v>2497</v>
      </c>
    </row>
    <row r="2" spans="1:2">
      <c r="A2" s="1873" t="s">
        <v>2498</v>
      </c>
    </row>
    <row r="3" spans="1:2">
      <c r="A3" s="1873" t="s">
        <v>2487</v>
      </c>
    </row>
    <row r="4" spans="1:2">
      <c r="A4" s="1873" t="s">
        <v>2488</v>
      </c>
    </row>
    <row r="6" spans="1:2">
      <c r="A6" s="1874" t="s">
        <v>1125</v>
      </c>
      <c r="B6" s="1988" t="s">
        <v>1126</v>
      </c>
    </row>
    <row r="7" spans="1:2">
      <c r="A7" s="1873" t="s">
        <v>2499</v>
      </c>
      <c r="B7" s="1991">
        <v>14771681.630000001</v>
      </c>
    </row>
    <row r="8" spans="1:2">
      <c r="A8" s="1873" t="s">
        <v>684</v>
      </c>
      <c r="B8" s="2018">
        <v>14771681.630000001</v>
      </c>
    </row>
    <row r="9" spans="1:2">
      <c r="A9" s="1874" t="s">
        <v>2490</v>
      </c>
      <c r="B9" s="1876">
        <v>14771681.630000001</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16"/>
  <sheetViews>
    <sheetView workbookViewId="0">
      <selection activeCell="D12" sqref="D12"/>
    </sheetView>
  </sheetViews>
  <sheetFormatPr defaultRowHeight="15"/>
  <cols>
    <col min="1" max="1" width="58.6640625" style="1873" customWidth="1"/>
    <col min="2" max="2" width="21.33203125" style="1873" customWidth="1"/>
    <col min="3" max="256" width="9.33203125" style="1873"/>
    <col min="257" max="257" width="58.6640625" style="1873" customWidth="1"/>
    <col min="258" max="258" width="21.33203125" style="1873" customWidth="1"/>
    <col min="259" max="512" width="9.33203125" style="1873"/>
    <col min="513" max="513" width="58.6640625" style="1873" customWidth="1"/>
    <col min="514" max="514" width="21.33203125" style="1873" customWidth="1"/>
    <col min="515" max="768" width="9.33203125" style="1873"/>
    <col min="769" max="769" width="58.6640625" style="1873" customWidth="1"/>
    <col min="770" max="770" width="21.33203125" style="1873" customWidth="1"/>
    <col min="771" max="1024" width="9.33203125" style="1873"/>
    <col min="1025" max="1025" width="58.6640625" style="1873" customWidth="1"/>
    <col min="1026" max="1026" width="21.33203125" style="1873" customWidth="1"/>
    <col min="1027" max="1280" width="9.33203125" style="1873"/>
    <col min="1281" max="1281" width="58.6640625" style="1873" customWidth="1"/>
    <col min="1282" max="1282" width="21.33203125" style="1873" customWidth="1"/>
    <col min="1283" max="1536" width="9.33203125" style="1873"/>
    <col min="1537" max="1537" width="58.6640625" style="1873" customWidth="1"/>
    <col min="1538" max="1538" width="21.33203125" style="1873" customWidth="1"/>
    <col min="1539" max="1792" width="9.33203125" style="1873"/>
    <col min="1793" max="1793" width="58.6640625" style="1873" customWidth="1"/>
    <col min="1794" max="1794" width="21.33203125" style="1873" customWidth="1"/>
    <col min="1795" max="2048" width="9.33203125" style="1873"/>
    <col min="2049" max="2049" width="58.6640625" style="1873" customWidth="1"/>
    <col min="2050" max="2050" width="21.33203125" style="1873" customWidth="1"/>
    <col min="2051" max="2304" width="9.33203125" style="1873"/>
    <col min="2305" max="2305" width="58.6640625" style="1873" customWidth="1"/>
    <col min="2306" max="2306" width="21.33203125" style="1873" customWidth="1"/>
    <col min="2307" max="2560" width="9.33203125" style="1873"/>
    <col min="2561" max="2561" width="58.6640625" style="1873" customWidth="1"/>
    <col min="2562" max="2562" width="21.33203125" style="1873" customWidth="1"/>
    <col min="2563" max="2816" width="9.33203125" style="1873"/>
    <col min="2817" max="2817" width="58.6640625" style="1873" customWidth="1"/>
    <col min="2818" max="2818" width="21.33203125" style="1873" customWidth="1"/>
    <col min="2819" max="3072" width="9.33203125" style="1873"/>
    <col min="3073" max="3073" width="58.6640625" style="1873" customWidth="1"/>
    <col min="3074" max="3074" width="21.33203125" style="1873" customWidth="1"/>
    <col min="3075" max="3328" width="9.33203125" style="1873"/>
    <col min="3329" max="3329" width="58.6640625" style="1873" customWidth="1"/>
    <col min="3330" max="3330" width="21.33203125" style="1873" customWidth="1"/>
    <col min="3331" max="3584" width="9.33203125" style="1873"/>
    <col min="3585" max="3585" width="58.6640625" style="1873" customWidth="1"/>
    <col min="3586" max="3586" width="21.33203125" style="1873" customWidth="1"/>
    <col min="3587" max="3840" width="9.33203125" style="1873"/>
    <col min="3841" max="3841" width="58.6640625" style="1873" customWidth="1"/>
    <col min="3842" max="3842" width="21.33203125" style="1873" customWidth="1"/>
    <col min="3843" max="4096" width="9.33203125" style="1873"/>
    <col min="4097" max="4097" width="58.6640625" style="1873" customWidth="1"/>
    <col min="4098" max="4098" width="21.33203125" style="1873" customWidth="1"/>
    <col min="4099" max="4352" width="9.33203125" style="1873"/>
    <col min="4353" max="4353" width="58.6640625" style="1873" customWidth="1"/>
    <col min="4354" max="4354" width="21.33203125" style="1873" customWidth="1"/>
    <col min="4355" max="4608" width="9.33203125" style="1873"/>
    <col min="4609" max="4609" width="58.6640625" style="1873" customWidth="1"/>
    <col min="4610" max="4610" width="21.33203125" style="1873" customWidth="1"/>
    <col min="4611" max="4864" width="9.33203125" style="1873"/>
    <col min="4865" max="4865" width="58.6640625" style="1873" customWidth="1"/>
    <col min="4866" max="4866" width="21.33203125" style="1873" customWidth="1"/>
    <col min="4867" max="5120" width="9.33203125" style="1873"/>
    <col min="5121" max="5121" width="58.6640625" style="1873" customWidth="1"/>
    <col min="5122" max="5122" width="21.33203125" style="1873" customWidth="1"/>
    <col min="5123" max="5376" width="9.33203125" style="1873"/>
    <col min="5377" max="5377" width="58.6640625" style="1873" customWidth="1"/>
    <col min="5378" max="5378" width="21.33203125" style="1873" customWidth="1"/>
    <col min="5379" max="5632" width="9.33203125" style="1873"/>
    <col min="5633" max="5633" width="58.6640625" style="1873" customWidth="1"/>
    <col min="5634" max="5634" width="21.33203125" style="1873" customWidth="1"/>
    <col min="5635" max="5888" width="9.33203125" style="1873"/>
    <col min="5889" max="5889" width="58.6640625" style="1873" customWidth="1"/>
    <col min="5890" max="5890" width="21.33203125" style="1873" customWidth="1"/>
    <col min="5891" max="6144" width="9.33203125" style="1873"/>
    <col min="6145" max="6145" width="58.6640625" style="1873" customWidth="1"/>
    <col min="6146" max="6146" width="21.33203125" style="1873" customWidth="1"/>
    <col min="6147" max="6400" width="9.33203125" style="1873"/>
    <col min="6401" max="6401" width="58.6640625" style="1873" customWidth="1"/>
    <col min="6402" max="6402" width="21.33203125" style="1873" customWidth="1"/>
    <col min="6403" max="6656" width="9.33203125" style="1873"/>
    <col min="6657" max="6657" width="58.6640625" style="1873" customWidth="1"/>
    <col min="6658" max="6658" width="21.33203125" style="1873" customWidth="1"/>
    <col min="6659" max="6912" width="9.33203125" style="1873"/>
    <col min="6913" max="6913" width="58.6640625" style="1873" customWidth="1"/>
    <col min="6914" max="6914" width="21.33203125" style="1873" customWidth="1"/>
    <col min="6915" max="7168" width="9.33203125" style="1873"/>
    <col min="7169" max="7169" width="58.6640625" style="1873" customWidth="1"/>
    <col min="7170" max="7170" width="21.33203125" style="1873" customWidth="1"/>
    <col min="7171" max="7424" width="9.33203125" style="1873"/>
    <col min="7425" max="7425" width="58.6640625" style="1873" customWidth="1"/>
    <col min="7426" max="7426" width="21.33203125" style="1873" customWidth="1"/>
    <col min="7427" max="7680" width="9.33203125" style="1873"/>
    <col min="7681" max="7681" width="58.6640625" style="1873" customWidth="1"/>
    <col min="7682" max="7682" width="21.33203125" style="1873" customWidth="1"/>
    <col min="7683" max="7936" width="9.33203125" style="1873"/>
    <col min="7937" max="7937" width="58.6640625" style="1873" customWidth="1"/>
    <col min="7938" max="7938" width="21.33203125" style="1873" customWidth="1"/>
    <col min="7939" max="8192" width="9.33203125" style="1873"/>
    <col min="8193" max="8193" width="58.6640625" style="1873" customWidth="1"/>
    <col min="8194" max="8194" width="21.33203125" style="1873" customWidth="1"/>
    <col min="8195" max="8448" width="9.33203125" style="1873"/>
    <col min="8449" max="8449" width="58.6640625" style="1873" customWidth="1"/>
    <col min="8450" max="8450" width="21.33203125" style="1873" customWidth="1"/>
    <col min="8451" max="8704" width="9.33203125" style="1873"/>
    <col min="8705" max="8705" width="58.6640625" style="1873" customWidth="1"/>
    <col min="8706" max="8706" width="21.33203125" style="1873" customWidth="1"/>
    <col min="8707" max="8960" width="9.33203125" style="1873"/>
    <col min="8961" max="8961" width="58.6640625" style="1873" customWidth="1"/>
    <col min="8962" max="8962" width="21.33203125" style="1873" customWidth="1"/>
    <col min="8963" max="9216" width="9.33203125" style="1873"/>
    <col min="9217" max="9217" width="58.6640625" style="1873" customWidth="1"/>
    <col min="9218" max="9218" width="21.33203125" style="1873" customWidth="1"/>
    <col min="9219" max="9472" width="9.33203125" style="1873"/>
    <col min="9473" max="9473" width="58.6640625" style="1873" customWidth="1"/>
    <col min="9474" max="9474" width="21.33203125" style="1873" customWidth="1"/>
    <col min="9475" max="9728" width="9.33203125" style="1873"/>
    <col min="9729" max="9729" width="58.6640625" style="1873" customWidth="1"/>
    <col min="9730" max="9730" width="21.33203125" style="1873" customWidth="1"/>
    <col min="9731" max="9984" width="9.33203125" style="1873"/>
    <col min="9985" max="9985" width="58.6640625" style="1873" customWidth="1"/>
    <col min="9986" max="9986" width="21.33203125" style="1873" customWidth="1"/>
    <col min="9987" max="10240" width="9.33203125" style="1873"/>
    <col min="10241" max="10241" width="58.6640625" style="1873" customWidth="1"/>
    <col min="10242" max="10242" width="21.33203125" style="1873" customWidth="1"/>
    <col min="10243" max="10496" width="9.33203125" style="1873"/>
    <col min="10497" max="10497" width="58.6640625" style="1873" customWidth="1"/>
    <col min="10498" max="10498" width="21.33203125" style="1873" customWidth="1"/>
    <col min="10499" max="10752" width="9.33203125" style="1873"/>
    <col min="10753" max="10753" width="58.6640625" style="1873" customWidth="1"/>
    <col min="10754" max="10754" width="21.33203125" style="1873" customWidth="1"/>
    <col min="10755" max="11008" width="9.33203125" style="1873"/>
    <col min="11009" max="11009" width="58.6640625" style="1873" customWidth="1"/>
    <col min="11010" max="11010" width="21.33203125" style="1873" customWidth="1"/>
    <col min="11011" max="11264" width="9.33203125" style="1873"/>
    <col min="11265" max="11265" width="58.6640625" style="1873" customWidth="1"/>
    <col min="11266" max="11266" width="21.33203125" style="1873" customWidth="1"/>
    <col min="11267" max="11520" width="9.33203125" style="1873"/>
    <col min="11521" max="11521" width="58.6640625" style="1873" customWidth="1"/>
    <col min="11522" max="11522" width="21.33203125" style="1873" customWidth="1"/>
    <col min="11523" max="11776" width="9.33203125" style="1873"/>
    <col min="11777" max="11777" width="58.6640625" style="1873" customWidth="1"/>
    <col min="11778" max="11778" width="21.33203125" style="1873" customWidth="1"/>
    <col min="11779" max="12032" width="9.33203125" style="1873"/>
    <col min="12033" max="12033" width="58.6640625" style="1873" customWidth="1"/>
    <col min="12034" max="12034" width="21.33203125" style="1873" customWidth="1"/>
    <col min="12035" max="12288" width="9.33203125" style="1873"/>
    <col min="12289" max="12289" width="58.6640625" style="1873" customWidth="1"/>
    <col min="12290" max="12290" width="21.33203125" style="1873" customWidth="1"/>
    <col min="12291" max="12544" width="9.33203125" style="1873"/>
    <col min="12545" max="12545" width="58.6640625" style="1873" customWidth="1"/>
    <col min="12546" max="12546" width="21.33203125" style="1873" customWidth="1"/>
    <col min="12547" max="12800" width="9.33203125" style="1873"/>
    <col min="12801" max="12801" width="58.6640625" style="1873" customWidth="1"/>
    <col min="12802" max="12802" width="21.33203125" style="1873" customWidth="1"/>
    <col min="12803" max="13056" width="9.33203125" style="1873"/>
    <col min="13057" max="13057" width="58.6640625" style="1873" customWidth="1"/>
    <col min="13058" max="13058" width="21.33203125" style="1873" customWidth="1"/>
    <col min="13059" max="13312" width="9.33203125" style="1873"/>
    <col min="13313" max="13313" width="58.6640625" style="1873" customWidth="1"/>
    <col min="13314" max="13314" width="21.33203125" style="1873" customWidth="1"/>
    <col min="13315" max="13568" width="9.33203125" style="1873"/>
    <col min="13569" max="13569" width="58.6640625" style="1873" customWidth="1"/>
    <col min="13570" max="13570" width="21.33203125" style="1873" customWidth="1"/>
    <col min="13571" max="13824" width="9.33203125" style="1873"/>
    <col min="13825" max="13825" width="58.6640625" style="1873" customWidth="1"/>
    <col min="13826" max="13826" width="21.33203125" style="1873" customWidth="1"/>
    <col min="13827" max="14080" width="9.33203125" style="1873"/>
    <col min="14081" max="14081" width="58.6640625" style="1873" customWidth="1"/>
    <col min="14082" max="14082" width="21.33203125" style="1873" customWidth="1"/>
    <col min="14083" max="14336" width="9.33203125" style="1873"/>
    <col min="14337" max="14337" width="58.6640625" style="1873" customWidth="1"/>
    <col min="14338" max="14338" width="21.33203125" style="1873" customWidth="1"/>
    <col min="14339" max="14592" width="9.33203125" style="1873"/>
    <col min="14593" max="14593" width="58.6640625" style="1873" customWidth="1"/>
    <col min="14594" max="14594" width="21.33203125" style="1873" customWidth="1"/>
    <col min="14595" max="14848" width="9.33203125" style="1873"/>
    <col min="14849" max="14849" width="58.6640625" style="1873" customWidth="1"/>
    <col min="14850" max="14850" width="21.33203125" style="1873" customWidth="1"/>
    <col min="14851" max="15104" width="9.33203125" style="1873"/>
    <col min="15105" max="15105" width="58.6640625" style="1873" customWidth="1"/>
    <col min="15106" max="15106" width="21.33203125" style="1873" customWidth="1"/>
    <col min="15107" max="15360" width="9.33203125" style="1873"/>
    <col min="15361" max="15361" width="58.6640625" style="1873" customWidth="1"/>
    <col min="15362" max="15362" width="21.33203125" style="1873" customWidth="1"/>
    <col min="15363" max="15616" width="9.33203125" style="1873"/>
    <col min="15617" max="15617" width="58.6640625" style="1873" customWidth="1"/>
    <col min="15618" max="15618" width="21.33203125" style="1873" customWidth="1"/>
    <col min="15619" max="15872" width="9.33203125" style="1873"/>
    <col min="15873" max="15873" width="58.6640625" style="1873" customWidth="1"/>
    <col min="15874" max="15874" width="21.33203125" style="1873" customWidth="1"/>
    <col min="15875" max="16128" width="9.33203125" style="1873"/>
    <col min="16129" max="16129" width="58.6640625" style="1873" customWidth="1"/>
    <col min="16130" max="16130" width="21.33203125" style="1873" customWidth="1"/>
    <col min="16131" max="16384" width="9.33203125" style="1873"/>
  </cols>
  <sheetData>
    <row r="1" spans="1:2">
      <c r="A1" s="1873" t="s">
        <v>2497</v>
      </c>
    </row>
    <row r="2" spans="1:2">
      <c r="A2" s="1873" t="s">
        <v>2498</v>
      </c>
    </row>
    <row r="3" spans="1:2">
      <c r="A3" s="1873" t="s">
        <v>2487</v>
      </c>
    </row>
    <row r="4" spans="1:2">
      <c r="A4" s="1873" t="s">
        <v>2488</v>
      </c>
    </row>
    <row r="7" spans="1:2">
      <c r="A7" s="1874" t="s">
        <v>1125</v>
      </c>
      <c r="B7" s="1988" t="s">
        <v>1126</v>
      </c>
    </row>
    <row r="8" spans="1:2">
      <c r="A8" s="1873" t="s">
        <v>2500</v>
      </c>
      <c r="B8" s="1875">
        <v>-120147.09</v>
      </c>
    </row>
    <row r="9" spans="1:2">
      <c r="A9" s="1873" t="s">
        <v>2501</v>
      </c>
      <c r="B9" s="1875">
        <v>9606921.3699999992</v>
      </c>
    </row>
    <row r="10" spans="1:2">
      <c r="A10" s="1873" t="s">
        <v>2502</v>
      </c>
      <c r="B10" s="1875">
        <v>-58366846.149999999</v>
      </c>
    </row>
    <row r="11" spans="1:2">
      <c r="A11" s="1873" t="s">
        <v>2503</v>
      </c>
      <c r="B11" s="1991">
        <v>-9762372.1300000008</v>
      </c>
    </row>
    <row r="12" spans="1:2">
      <c r="A12" s="1873" t="s">
        <v>684</v>
      </c>
      <c r="B12" s="2018">
        <f>SUM(B8:B11)</f>
        <v>-58642444</v>
      </c>
    </row>
    <row r="13" spans="1:2">
      <c r="A13" s="1874" t="s">
        <v>2490</v>
      </c>
      <c r="B13" s="1876">
        <f>B12</f>
        <v>-58642444</v>
      </c>
    </row>
    <row r="15" spans="1:2">
      <c r="B15" s="1989"/>
    </row>
    <row r="16" spans="1:2">
      <c r="B16" s="1990"/>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BS144"/>
  <sheetViews>
    <sheetView view="pageBreakPreview" zoomScale="90" zoomScaleNormal="100" zoomScaleSheetLayoutView="90" workbookViewId="0">
      <pane xSplit="2" ySplit="12" topLeftCell="C13" activePane="bottomRight" state="frozen"/>
      <selection activeCell="C45" sqref="C45"/>
      <selection pane="topRight" activeCell="C45" sqref="C45"/>
      <selection pane="bottomLeft" activeCell="C45" sqref="C45"/>
      <selection pane="bottomRight" activeCell="R4" sqref="R4"/>
    </sheetView>
  </sheetViews>
  <sheetFormatPr defaultRowHeight="12.75"/>
  <cols>
    <col min="1" max="1" width="6.33203125" style="234" bestFit="1" customWidth="1"/>
    <col min="2" max="2" width="45.6640625" style="234" bestFit="1" customWidth="1"/>
    <col min="3" max="3" width="16.6640625" style="234" bestFit="1" customWidth="1"/>
    <col min="4" max="4" width="18.1640625" style="234" bestFit="1" customWidth="1"/>
    <col min="5" max="5" width="16.6640625" style="234" bestFit="1" customWidth="1"/>
    <col min="6" max="6" width="17.5" style="234" bestFit="1" customWidth="1"/>
    <col min="7" max="7" width="30.83203125" style="234" bestFit="1" customWidth="1"/>
    <col min="8" max="8" width="2.83203125" style="234" customWidth="1"/>
    <col min="9" max="9" width="14.6640625" style="234" bestFit="1" customWidth="1"/>
    <col min="10" max="10" width="16.6640625" style="234" bestFit="1" customWidth="1"/>
    <col min="11" max="11" width="18.1640625" style="234" bestFit="1" customWidth="1"/>
    <col min="12" max="12" width="16.6640625" style="234" bestFit="1" customWidth="1"/>
    <col min="13" max="13" width="17.5" style="234" bestFit="1" customWidth="1"/>
    <col min="14" max="14" width="24.6640625" style="234" bestFit="1" customWidth="1"/>
    <col min="15" max="15" width="2.83203125" style="234" customWidth="1"/>
    <col min="16" max="16" width="14.6640625" style="234" bestFit="1" customWidth="1"/>
    <col min="17" max="17" width="7.83203125" style="238" customWidth="1"/>
    <col min="18" max="18" width="19.1640625" style="238" customWidth="1"/>
    <col min="19" max="19" width="5.83203125" style="238" customWidth="1"/>
    <col min="20" max="20" width="19.1640625" style="238" customWidth="1"/>
    <col min="21" max="21" width="23.83203125" style="238" bestFit="1" customWidth="1"/>
    <col min="22" max="22" width="14.33203125" style="238" bestFit="1" customWidth="1"/>
    <col min="23" max="23" width="15.5" style="238" bestFit="1" customWidth="1"/>
    <col min="24" max="236" width="9.33203125" style="238"/>
    <col min="237" max="237" width="5.83203125" style="238" bestFit="1" customWidth="1"/>
    <col min="238" max="238" width="43.6640625" style="238" customWidth="1"/>
    <col min="239" max="239" width="19.83203125" style="238" bestFit="1" customWidth="1"/>
    <col min="240" max="240" width="22" style="238" bestFit="1" customWidth="1"/>
    <col min="241" max="241" width="20.5" style="238" bestFit="1" customWidth="1"/>
    <col min="242" max="242" width="24.83203125" style="238" customWidth="1"/>
    <col min="243" max="243" width="23.33203125" style="238" customWidth="1"/>
    <col min="244" max="244" width="2.83203125" style="238" customWidth="1"/>
    <col min="245" max="245" width="17.33203125" style="238" bestFit="1" customWidth="1"/>
    <col min="246" max="246" width="26.83203125" style="238" customWidth="1"/>
    <col min="247" max="247" width="22.33203125" style="238" customWidth="1"/>
    <col min="248" max="248" width="22.6640625" style="238" bestFit="1" customWidth="1"/>
    <col min="249" max="249" width="26.83203125" style="238" customWidth="1"/>
    <col min="250" max="251" width="26.33203125" style="238" customWidth="1"/>
    <col min="252" max="252" width="28" style="238" bestFit="1" customWidth="1"/>
    <col min="253" max="253" width="18.6640625" style="238" customWidth="1"/>
    <col min="254" max="254" width="32.33203125" style="238" customWidth="1"/>
    <col min="255" max="255" width="26.33203125" style="238" bestFit="1" customWidth="1"/>
    <col min="256" max="256" width="23.6640625" style="238" customWidth="1"/>
    <col min="257" max="257" width="27" style="238" customWidth="1"/>
    <col min="258" max="258" width="15.5" style="238" bestFit="1" customWidth="1"/>
    <col min="259" max="259" width="23.6640625" style="238" customWidth="1"/>
    <col min="260" max="260" width="15.33203125" style="238" bestFit="1" customWidth="1"/>
    <col min="261" max="261" width="20.83203125" style="238" bestFit="1" customWidth="1"/>
    <col min="262" max="262" width="16.6640625" style="238" customWidth="1"/>
    <col min="263" max="263" width="27.5" style="238" customWidth="1"/>
    <col min="264" max="264" width="20.6640625" style="238" customWidth="1"/>
    <col min="265" max="265" width="26.5" style="238" bestFit="1" customWidth="1"/>
    <col min="266" max="266" width="24.83203125" style="238" customWidth="1"/>
    <col min="267" max="267" width="22.33203125" style="238" customWidth="1"/>
    <col min="268" max="270" width="23.6640625" style="238" customWidth="1"/>
    <col min="271" max="271" width="24.83203125" style="238" bestFit="1" customWidth="1"/>
    <col min="272" max="272" width="20.5" style="238" bestFit="1" customWidth="1"/>
    <col min="273" max="273" width="9.33203125" style="238"/>
    <col min="274" max="274" width="31" style="238" customWidth="1"/>
    <col min="275" max="275" width="15.5" style="238" bestFit="1" customWidth="1"/>
    <col min="276" max="276" width="14.83203125" style="238" bestFit="1" customWidth="1"/>
    <col min="277" max="277" width="15.5" style="238" bestFit="1" customWidth="1"/>
    <col min="278" max="278" width="14.33203125" style="238" bestFit="1" customWidth="1"/>
    <col min="279" max="279" width="15.5" style="238" bestFit="1" customWidth="1"/>
    <col min="280" max="492" width="9.33203125" style="238"/>
    <col min="493" max="493" width="5.83203125" style="238" bestFit="1" customWidth="1"/>
    <col min="494" max="494" width="43.6640625" style="238" customWidth="1"/>
    <col min="495" max="495" width="19.83203125" style="238" bestFit="1" customWidth="1"/>
    <col min="496" max="496" width="22" style="238" bestFit="1" customWidth="1"/>
    <col min="497" max="497" width="20.5" style="238" bestFit="1" customWidth="1"/>
    <col min="498" max="498" width="24.83203125" style="238" customWidth="1"/>
    <col min="499" max="499" width="23.33203125" style="238" customWidth="1"/>
    <col min="500" max="500" width="2.83203125" style="238" customWidth="1"/>
    <col min="501" max="501" width="17.33203125" style="238" bestFit="1" customWidth="1"/>
    <col min="502" max="502" width="26.83203125" style="238" customWidth="1"/>
    <col min="503" max="503" width="22.33203125" style="238" customWidth="1"/>
    <col min="504" max="504" width="22.6640625" style="238" bestFit="1" customWidth="1"/>
    <col min="505" max="505" width="26.83203125" style="238" customWidth="1"/>
    <col min="506" max="507" width="26.33203125" style="238" customWidth="1"/>
    <col min="508" max="508" width="28" style="238" bestFit="1" customWidth="1"/>
    <col min="509" max="509" width="18.6640625" style="238" customWidth="1"/>
    <col min="510" max="510" width="32.33203125" style="238" customWidth="1"/>
    <col min="511" max="511" width="26.33203125" style="238" bestFit="1" customWidth="1"/>
    <col min="512" max="512" width="23.6640625" style="238" customWidth="1"/>
    <col min="513" max="513" width="27" style="238" customWidth="1"/>
    <col min="514" max="514" width="15.5" style="238" bestFit="1" customWidth="1"/>
    <col min="515" max="515" width="23.6640625" style="238" customWidth="1"/>
    <col min="516" max="516" width="15.33203125" style="238" bestFit="1" customWidth="1"/>
    <col min="517" max="517" width="20.83203125" style="238" bestFit="1" customWidth="1"/>
    <col min="518" max="518" width="16.6640625" style="238" customWidth="1"/>
    <col min="519" max="519" width="27.5" style="238" customWidth="1"/>
    <col min="520" max="520" width="20.6640625" style="238" customWidth="1"/>
    <col min="521" max="521" width="26.5" style="238" bestFit="1" customWidth="1"/>
    <col min="522" max="522" width="24.83203125" style="238" customWidth="1"/>
    <col min="523" max="523" width="22.33203125" style="238" customWidth="1"/>
    <col min="524" max="526" width="23.6640625" style="238" customWidth="1"/>
    <col min="527" max="527" width="24.83203125" style="238" bestFit="1" customWidth="1"/>
    <col min="528" max="528" width="20.5" style="238" bestFit="1" customWidth="1"/>
    <col min="529" max="529" width="9.33203125" style="238"/>
    <col min="530" max="530" width="31" style="238" customWidth="1"/>
    <col min="531" max="531" width="15.5" style="238" bestFit="1" customWidth="1"/>
    <col min="532" max="532" width="14.83203125" style="238" bestFit="1" customWidth="1"/>
    <col min="533" max="533" width="15.5" style="238" bestFit="1" customWidth="1"/>
    <col min="534" max="534" width="14.33203125" style="238" bestFit="1" customWidth="1"/>
    <col min="535" max="535" width="15.5" style="238" bestFit="1" customWidth="1"/>
    <col min="536" max="748" width="9.33203125" style="238"/>
    <col min="749" max="749" width="5.83203125" style="238" bestFit="1" customWidth="1"/>
    <col min="750" max="750" width="43.6640625" style="238" customWidth="1"/>
    <col min="751" max="751" width="19.83203125" style="238" bestFit="1" customWidth="1"/>
    <col min="752" max="752" width="22" style="238" bestFit="1" customWidth="1"/>
    <col min="753" max="753" width="20.5" style="238" bestFit="1" customWidth="1"/>
    <col min="754" max="754" width="24.83203125" style="238" customWidth="1"/>
    <col min="755" max="755" width="23.33203125" style="238" customWidth="1"/>
    <col min="756" max="756" width="2.83203125" style="238" customWidth="1"/>
    <col min="757" max="757" width="17.33203125" style="238" bestFit="1" customWidth="1"/>
    <col min="758" max="758" width="26.83203125" style="238" customWidth="1"/>
    <col min="759" max="759" width="22.33203125" style="238" customWidth="1"/>
    <col min="760" max="760" width="22.6640625" style="238" bestFit="1" customWidth="1"/>
    <col min="761" max="761" width="26.83203125" style="238" customWidth="1"/>
    <col min="762" max="763" width="26.33203125" style="238" customWidth="1"/>
    <col min="764" max="764" width="28" style="238" bestFit="1" customWidth="1"/>
    <col min="765" max="765" width="18.6640625" style="238" customWidth="1"/>
    <col min="766" max="766" width="32.33203125" style="238" customWidth="1"/>
    <col min="767" max="767" width="26.33203125" style="238" bestFit="1" customWidth="1"/>
    <col min="768" max="768" width="23.6640625" style="238" customWidth="1"/>
    <col min="769" max="769" width="27" style="238" customWidth="1"/>
    <col min="770" max="770" width="15.5" style="238" bestFit="1" customWidth="1"/>
    <col min="771" max="771" width="23.6640625" style="238" customWidth="1"/>
    <col min="772" max="772" width="15.33203125" style="238" bestFit="1" customWidth="1"/>
    <col min="773" max="773" width="20.83203125" style="238" bestFit="1" customWidth="1"/>
    <col min="774" max="774" width="16.6640625" style="238" customWidth="1"/>
    <col min="775" max="775" width="27.5" style="238" customWidth="1"/>
    <col min="776" max="776" width="20.6640625" style="238" customWidth="1"/>
    <col min="777" max="777" width="26.5" style="238" bestFit="1" customWidth="1"/>
    <col min="778" max="778" width="24.83203125" style="238" customWidth="1"/>
    <col min="779" max="779" width="22.33203125" style="238" customWidth="1"/>
    <col min="780" max="782" width="23.6640625" style="238" customWidth="1"/>
    <col min="783" max="783" width="24.83203125" style="238" bestFit="1" customWidth="1"/>
    <col min="784" max="784" width="20.5" style="238" bestFit="1" customWidth="1"/>
    <col min="785" max="785" width="9.33203125" style="238"/>
    <col min="786" max="786" width="31" style="238" customWidth="1"/>
    <col min="787" max="787" width="15.5" style="238" bestFit="1" customWidth="1"/>
    <col min="788" max="788" width="14.83203125" style="238" bestFit="1" customWidth="1"/>
    <col min="789" max="789" width="15.5" style="238" bestFit="1" customWidth="1"/>
    <col min="790" max="790" width="14.33203125" style="238" bestFit="1" customWidth="1"/>
    <col min="791" max="791" width="15.5" style="238" bestFit="1" customWidth="1"/>
    <col min="792" max="1004" width="9.33203125" style="238"/>
    <col min="1005" max="1005" width="5.83203125" style="238" bestFit="1" customWidth="1"/>
    <col min="1006" max="1006" width="43.6640625" style="238" customWidth="1"/>
    <col min="1007" max="1007" width="19.83203125" style="238" bestFit="1" customWidth="1"/>
    <col min="1008" max="1008" width="22" style="238" bestFit="1" customWidth="1"/>
    <col min="1009" max="1009" width="20.5" style="238" bestFit="1" customWidth="1"/>
    <col min="1010" max="1010" width="24.83203125" style="238" customWidth="1"/>
    <col min="1011" max="1011" width="23.33203125" style="238" customWidth="1"/>
    <col min="1012" max="1012" width="2.83203125" style="238" customWidth="1"/>
    <col min="1013" max="1013" width="17.33203125" style="238" bestFit="1" customWidth="1"/>
    <col min="1014" max="1014" width="26.83203125" style="238" customWidth="1"/>
    <col min="1015" max="1015" width="22.33203125" style="238" customWidth="1"/>
    <col min="1016" max="1016" width="22.6640625" style="238" bestFit="1" customWidth="1"/>
    <col min="1017" max="1017" width="26.83203125" style="238" customWidth="1"/>
    <col min="1018" max="1019" width="26.33203125" style="238" customWidth="1"/>
    <col min="1020" max="1020" width="28" style="238" bestFit="1" customWidth="1"/>
    <col min="1021" max="1021" width="18.6640625" style="238" customWidth="1"/>
    <col min="1022" max="1022" width="32.33203125" style="238" customWidth="1"/>
    <col min="1023" max="1023" width="26.33203125" style="238" bestFit="1" customWidth="1"/>
    <col min="1024" max="1024" width="23.6640625" style="238" customWidth="1"/>
    <col min="1025" max="1025" width="27" style="238" customWidth="1"/>
    <col min="1026" max="1026" width="15.5" style="238" bestFit="1" customWidth="1"/>
    <col min="1027" max="1027" width="23.6640625" style="238" customWidth="1"/>
    <col min="1028" max="1028" width="15.33203125" style="238" bestFit="1" customWidth="1"/>
    <col min="1029" max="1029" width="20.83203125" style="238" bestFit="1" customWidth="1"/>
    <col min="1030" max="1030" width="16.6640625" style="238" customWidth="1"/>
    <col min="1031" max="1031" width="27.5" style="238" customWidth="1"/>
    <col min="1032" max="1032" width="20.6640625" style="238" customWidth="1"/>
    <col min="1033" max="1033" width="26.5" style="238" bestFit="1" customWidth="1"/>
    <col min="1034" max="1034" width="24.83203125" style="238" customWidth="1"/>
    <col min="1035" max="1035" width="22.33203125" style="238" customWidth="1"/>
    <col min="1036" max="1038" width="23.6640625" style="238" customWidth="1"/>
    <col min="1039" max="1039" width="24.83203125" style="238" bestFit="1" customWidth="1"/>
    <col min="1040" max="1040" width="20.5" style="238" bestFit="1" customWidth="1"/>
    <col min="1041" max="1041" width="9.33203125" style="238"/>
    <col min="1042" max="1042" width="31" style="238" customWidth="1"/>
    <col min="1043" max="1043" width="15.5" style="238" bestFit="1" customWidth="1"/>
    <col min="1044" max="1044" width="14.83203125" style="238" bestFit="1" customWidth="1"/>
    <col min="1045" max="1045" width="15.5" style="238" bestFit="1" customWidth="1"/>
    <col min="1046" max="1046" width="14.33203125" style="238" bestFit="1" customWidth="1"/>
    <col min="1047" max="1047" width="15.5" style="238" bestFit="1" customWidth="1"/>
    <col min="1048" max="1260" width="9.33203125" style="238"/>
    <col min="1261" max="1261" width="5.83203125" style="238" bestFit="1" customWidth="1"/>
    <col min="1262" max="1262" width="43.6640625" style="238" customWidth="1"/>
    <col min="1263" max="1263" width="19.83203125" style="238" bestFit="1" customWidth="1"/>
    <col min="1264" max="1264" width="22" style="238" bestFit="1" customWidth="1"/>
    <col min="1265" max="1265" width="20.5" style="238" bestFit="1" customWidth="1"/>
    <col min="1266" max="1266" width="24.83203125" style="238" customWidth="1"/>
    <col min="1267" max="1267" width="23.33203125" style="238" customWidth="1"/>
    <col min="1268" max="1268" width="2.83203125" style="238" customWidth="1"/>
    <col min="1269" max="1269" width="17.33203125" style="238" bestFit="1" customWidth="1"/>
    <col min="1270" max="1270" width="26.83203125" style="238" customWidth="1"/>
    <col min="1271" max="1271" width="22.33203125" style="238" customWidth="1"/>
    <col min="1272" max="1272" width="22.6640625" style="238" bestFit="1" customWidth="1"/>
    <col min="1273" max="1273" width="26.83203125" style="238" customWidth="1"/>
    <col min="1274" max="1275" width="26.33203125" style="238" customWidth="1"/>
    <col min="1276" max="1276" width="28" style="238" bestFit="1" customWidth="1"/>
    <col min="1277" max="1277" width="18.6640625" style="238" customWidth="1"/>
    <col min="1278" max="1278" width="32.33203125" style="238" customWidth="1"/>
    <col min="1279" max="1279" width="26.33203125" style="238" bestFit="1" customWidth="1"/>
    <col min="1280" max="1280" width="23.6640625" style="238" customWidth="1"/>
    <col min="1281" max="1281" width="27" style="238" customWidth="1"/>
    <col min="1282" max="1282" width="15.5" style="238" bestFit="1" customWidth="1"/>
    <col min="1283" max="1283" width="23.6640625" style="238" customWidth="1"/>
    <col min="1284" max="1284" width="15.33203125" style="238" bestFit="1" customWidth="1"/>
    <col min="1285" max="1285" width="20.83203125" style="238" bestFit="1" customWidth="1"/>
    <col min="1286" max="1286" width="16.6640625" style="238" customWidth="1"/>
    <col min="1287" max="1287" width="27.5" style="238" customWidth="1"/>
    <col min="1288" max="1288" width="20.6640625" style="238" customWidth="1"/>
    <col min="1289" max="1289" width="26.5" style="238" bestFit="1" customWidth="1"/>
    <col min="1290" max="1290" width="24.83203125" style="238" customWidth="1"/>
    <col min="1291" max="1291" width="22.33203125" style="238" customWidth="1"/>
    <col min="1292" max="1294" width="23.6640625" style="238" customWidth="1"/>
    <col min="1295" max="1295" width="24.83203125" style="238" bestFit="1" customWidth="1"/>
    <col min="1296" max="1296" width="20.5" style="238" bestFit="1" customWidth="1"/>
    <col min="1297" max="1297" width="9.33203125" style="238"/>
    <col min="1298" max="1298" width="31" style="238" customWidth="1"/>
    <col min="1299" max="1299" width="15.5" style="238" bestFit="1" customWidth="1"/>
    <col min="1300" max="1300" width="14.83203125" style="238" bestFit="1" customWidth="1"/>
    <col min="1301" max="1301" width="15.5" style="238" bestFit="1" customWidth="1"/>
    <col min="1302" max="1302" width="14.33203125" style="238" bestFit="1" customWidth="1"/>
    <col min="1303" max="1303" width="15.5" style="238" bestFit="1" customWidth="1"/>
    <col min="1304" max="1516" width="9.33203125" style="238"/>
    <col min="1517" max="1517" width="5.83203125" style="238" bestFit="1" customWidth="1"/>
    <col min="1518" max="1518" width="43.6640625" style="238" customWidth="1"/>
    <col min="1519" max="1519" width="19.83203125" style="238" bestFit="1" customWidth="1"/>
    <col min="1520" max="1520" width="22" style="238" bestFit="1" customWidth="1"/>
    <col min="1521" max="1521" width="20.5" style="238" bestFit="1" customWidth="1"/>
    <col min="1522" max="1522" width="24.83203125" style="238" customWidth="1"/>
    <col min="1523" max="1523" width="23.33203125" style="238" customWidth="1"/>
    <col min="1524" max="1524" width="2.83203125" style="238" customWidth="1"/>
    <col min="1525" max="1525" width="17.33203125" style="238" bestFit="1" customWidth="1"/>
    <col min="1526" max="1526" width="26.83203125" style="238" customWidth="1"/>
    <col min="1527" max="1527" width="22.33203125" style="238" customWidth="1"/>
    <col min="1528" max="1528" width="22.6640625" style="238" bestFit="1" customWidth="1"/>
    <col min="1529" max="1529" width="26.83203125" style="238" customWidth="1"/>
    <col min="1530" max="1531" width="26.33203125" style="238" customWidth="1"/>
    <col min="1532" max="1532" width="28" style="238" bestFit="1" customWidth="1"/>
    <col min="1533" max="1533" width="18.6640625" style="238" customWidth="1"/>
    <col min="1534" max="1534" width="32.33203125" style="238" customWidth="1"/>
    <col min="1535" max="1535" width="26.33203125" style="238" bestFit="1" customWidth="1"/>
    <col min="1536" max="1536" width="23.6640625" style="238" customWidth="1"/>
    <col min="1537" max="1537" width="27" style="238" customWidth="1"/>
    <col min="1538" max="1538" width="15.5" style="238" bestFit="1" customWidth="1"/>
    <col min="1539" max="1539" width="23.6640625" style="238" customWidth="1"/>
    <col min="1540" max="1540" width="15.33203125" style="238" bestFit="1" customWidth="1"/>
    <col min="1541" max="1541" width="20.83203125" style="238" bestFit="1" customWidth="1"/>
    <col min="1542" max="1542" width="16.6640625" style="238" customWidth="1"/>
    <col min="1543" max="1543" width="27.5" style="238" customWidth="1"/>
    <col min="1544" max="1544" width="20.6640625" style="238" customWidth="1"/>
    <col min="1545" max="1545" width="26.5" style="238" bestFit="1" customWidth="1"/>
    <col min="1546" max="1546" width="24.83203125" style="238" customWidth="1"/>
    <col min="1547" max="1547" width="22.33203125" style="238" customWidth="1"/>
    <col min="1548" max="1550" width="23.6640625" style="238" customWidth="1"/>
    <col min="1551" max="1551" width="24.83203125" style="238" bestFit="1" customWidth="1"/>
    <col min="1552" max="1552" width="20.5" style="238" bestFit="1" customWidth="1"/>
    <col min="1553" max="1553" width="9.33203125" style="238"/>
    <col min="1554" max="1554" width="31" style="238" customWidth="1"/>
    <col min="1555" max="1555" width="15.5" style="238" bestFit="1" customWidth="1"/>
    <col min="1556" max="1556" width="14.83203125" style="238" bestFit="1" customWidth="1"/>
    <col min="1557" max="1557" width="15.5" style="238" bestFit="1" customWidth="1"/>
    <col min="1558" max="1558" width="14.33203125" style="238" bestFit="1" customWidth="1"/>
    <col min="1559" max="1559" width="15.5" style="238" bestFit="1" customWidth="1"/>
    <col min="1560" max="1772" width="9.33203125" style="238"/>
    <col min="1773" max="1773" width="5.83203125" style="238" bestFit="1" customWidth="1"/>
    <col min="1774" max="1774" width="43.6640625" style="238" customWidth="1"/>
    <col min="1775" max="1775" width="19.83203125" style="238" bestFit="1" customWidth="1"/>
    <col min="1776" max="1776" width="22" style="238" bestFit="1" customWidth="1"/>
    <col min="1777" max="1777" width="20.5" style="238" bestFit="1" customWidth="1"/>
    <col min="1778" max="1778" width="24.83203125" style="238" customWidth="1"/>
    <col min="1779" max="1779" width="23.33203125" style="238" customWidth="1"/>
    <col min="1780" max="1780" width="2.83203125" style="238" customWidth="1"/>
    <col min="1781" max="1781" width="17.33203125" style="238" bestFit="1" customWidth="1"/>
    <col min="1782" max="1782" width="26.83203125" style="238" customWidth="1"/>
    <col min="1783" max="1783" width="22.33203125" style="238" customWidth="1"/>
    <col min="1784" max="1784" width="22.6640625" style="238" bestFit="1" customWidth="1"/>
    <col min="1785" max="1785" width="26.83203125" style="238" customWidth="1"/>
    <col min="1786" max="1787" width="26.33203125" style="238" customWidth="1"/>
    <col min="1788" max="1788" width="28" style="238" bestFit="1" customWidth="1"/>
    <col min="1789" max="1789" width="18.6640625" style="238" customWidth="1"/>
    <col min="1790" max="1790" width="32.33203125" style="238" customWidth="1"/>
    <col min="1791" max="1791" width="26.33203125" style="238" bestFit="1" customWidth="1"/>
    <col min="1792" max="1792" width="23.6640625" style="238" customWidth="1"/>
    <col min="1793" max="1793" width="27" style="238" customWidth="1"/>
    <col min="1794" max="1794" width="15.5" style="238" bestFit="1" customWidth="1"/>
    <col min="1795" max="1795" width="23.6640625" style="238" customWidth="1"/>
    <col min="1796" max="1796" width="15.33203125" style="238" bestFit="1" customWidth="1"/>
    <col min="1797" max="1797" width="20.83203125" style="238" bestFit="1" customWidth="1"/>
    <col min="1798" max="1798" width="16.6640625" style="238" customWidth="1"/>
    <col min="1799" max="1799" width="27.5" style="238" customWidth="1"/>
    <col min="1800" max="1800" width="20.6640625" style="238" customWidth="1"/>
    <col min="1801" max="1801" width="26.5" style="238" bestFit="1" customWidth="1"/>
    <col min="1802" max="1802" width="24.83203125" style="238" customWidth="1"/>
    <col min="1803" max="1803" width="22.33203125" style="238" customWidth="1"/>
    <col min="1804" max="1806" width="23.6640625" style="238" customWidth="1"/>
    <col min="1807" max="1807" width="24.83203125" style="238" bestFit="1" customWidth="1"/>
    <col min="1808" max="1808" width="20.5" style="238" bestFit="1" customWidth="1"/>
    <col min="1809" max="1809" width="9.33203125" style="238"/>
    <col min="1810" max="1810" width="31" style="238" customWidth="1"/>
    <col min="1811" max="1811" width="15.5" style="238" bestFit="1" customWidth="1"/>
    <col min="1812" max="1812" width="14.83203125" style="238" bestFit="1" customWidth="1"/>
    <col min="1813" max="1813" width="15.5" style="238" bestFit="1" customWidth="1"/>
    <col min="1814" max="1814" width="14.33203125" style="238" bestFit="1" customWidth="1"/>
    <col min="1815" max="1815" width="15.5" style="238" bestFit="1" customWidth="1"/>
    <col min="1816" max="2028" width="9.33203125" style="238"/>
    <col min="2029" max="2029" width="5.83203125" style="238" bestFit="1" customWidth="1"/>
    <col min="2030" max="2030" width="43.6640625" style="238" customWidth="1"/>
    <col min="2031" max="2031" width="19.83203125" style="238" bestFit="1" customWidth="1"/>
    <col min="2032" max="2032" width="22" style="238" bestFit="1" customWidth="1"/>
    <col min="2033" max="2033" width="20.5" style="238" bestFit="1" customWidth="1"/>
    <col min="2034" max="2034" width="24.83203125" style="238" customWidth="1"/>
    <col min="2035" max="2035" width="23.33203125" style="238" customWidth="1"/>
    <col min="2036" max="2036" width="2.83203125" style="238" customWidth="1"/>
    <col min="2037" max="2037" width="17.33203125" style="238" bestFit="1" customWidth="1"/>
    <col min="2038" max="2038" width="26.83203125" style="238" customWidth="1"/>
    <col min="2039" max="2039" width="22.33203125" style="238" customWidth="1"/>
    <col min="2040" max="2040" width="22.6640625" style="238" bestFit="1" customWidth="1"/>
    <col min="2041" max="2041" width="26.83203125" style="238" customWidth="1"/>
    <col min="2042" max="2043" width="26.33203125" style="238" customWidth="1"/>
    <col min="2044" max="2044" width="28" style="238" bestFit="1" customWidth="1"/>
    <col min="2045" max="2045" width="18.6640625" style="238" customWidth="1"/>
    <col min="2046" max="2046" width="32.33203125" style="238" customWidth="1"/>
    <col min="2047" max="2047" width="26.33203125" style="238" bestFit="1" customWidth="1"/>
    <col min="2048" max="2048" width="23.6640625" style="238" customWidth="1"/>
    <col min="2049" max="2049" width="27" style="238" customWidth="1"/>
    <col min="2050" max="2050" width="15.5" style="238" bestFit="1" customWidth="1"/>
    <col min="2051" max="2051" width="23.6640625" style="238" customWidth="1"/>
    <col min="2052" max="2052" width="15.33203125" style="238" bestFit="1" customWidth="1"/>
    <col min="2053" max="2053" width="20.83203125" style="238" bestFit="1" customWidth="1"/>
    <col min="2054" max="2054" width="16.6640625" style="238" customWidth="1"/>
    <col min="2055" max="2055" width="27.5" style="238" customWidth="1"/>
    <col min="2056" max="2056" width="20.6640625" style="238" customWidth="1"/>
    <col min="2057" max="2057" width="26.5" style="238" bestFit="1" customWidth="1"/>
    <col min="2058" max="2058" width="24.83203125" style="238" customWidth="1"/>
    <col min="2059" max="2059" width="22.33203125" style="238" customWidth="1"/>
    <col min="2060" max="2062" width="23.6640625" style="238" customWidth="1"/>
    <col min="2063" max="2063" width="24.83203125" style="238" bestFit="1" customWidth="1"/>
    <col min="2064" max="2064" width="20.5" style="238" bestFit="1" customWidth="1"/>
    <col min="2065" max="2065" width="9.33203125" style="238"/>
    <col min="2066" max="2066" width="31" style="238" customWidth="1"/>
    <col min="2067" max="2067" width="15.5" style="238" bestFit="1" customWidth="1"/>
    <col min="2068" max="2068" width="14.83203125" style="238" bestFit="1" customWidth="1"/>
    <col min="2069" max="2069" width="15.5" style="238" bestFit="1" customWidth="1"/>
    <col min="2070" max="2070" width="14.33203125" style="238" bestFit="1" customWidth="1"/>
    <col min="2071" max="2071" width="15.5" style="238" bestFit="1" customWidth="1"/>
    <col min="2072" max="2284" width="9.33203125" style="238"/>
    <col min="2285" max="2285" width="5.83203125" style="238" bestFit="1" customWidth="1"/>
    <col min="2286" max="2286" width="43.6640625" style="238" customWidth="1"/>
    <col min="2287" max="2287" width="19.83203125" style="238" bestFit="1" customWidth="1"/>
    <col min="2288" max="2288" width="22" style="238" bestFit="1" customWidth="1"/>
    <col min="2289" max="2289" width="20.5" style="238" bestFit="1" customWidth="1"/>
    <col min="2290" max="2290" width="24.83203125" style="238" customWidth="1"/>
    <col min="2291" max="2291" width="23.33203125" style="238" customWidth="1"/>
    <col min="2292" max="2292" width="2.83203125" style="238" customWidth="1"/>
    <col min="2293" max="2293" width="17.33203125" style="238" bestFit="1" customWidth="1"/>
    <col min="2294" max="2294" width="26.83203125" style="238" customWidth="1"/>
    <col min="2295" max="2295" width="22.33203125" style="238" customWidth="1"/>
    <col min="2296" max="2296" width="22.6640625" style="238" bestFit="1" customWidth="1"/>
    <col min="2297" max="2297" width="26.83203125" style="238" customWidth="1"/>
    <col min="2298" max="2299" width="26.33203125" style="238" customWidth="1"/>
    <col min="2300" max="2300" width="28" style="238" bestFit="1" customWidth="1"/>
    <col min="2301" max="2301" width="18.6640625" style="238" customWidth="1"/>
    <col min="2302" max="2302" width="32.33203125" style="238" customWidth="1"/>
    <col min="2303" max="2303" width="26.33203125" style="238" bestFit="1" customWidth="1"/>
    <col min="2304" max="2304" width="23.6640625" style="238" customWidth="1"/>
    <col min="2305" max="2305" width="27" style="238" customWidth="1"/>
    <col min="2306" max="2306" width="15.5" style="238" bestFit="1" customWidth="1"/>
    <col min="2307" max="2307" width="23.6640625" style="238" customWidth="1"/>
    <col min="2308" max="2308" width="15.33203125" style="238" bestFit="1" customWidth="1"/>
    <col min="2309" max="2309" width="20.83203125" style="238" bestFit="1" customWidth="1"/>
    <col min="2310" max="2310" width="16.6640625" style="238" customWidth="1"/>
    <col min="2311" max="2311" width="27.5" style="238" customWidth="1"/>
    <col min="2312" max="2312" width="20.6640625" style="238" customWidth="1"/>
    <col min="2313" max="2313" width="26.5" style="238" bestFit="1" customWidth="1"/>
    <col min="2314" max="2314" width="24.83203125" style="238" customWidth="1"/>
    <col min="2315" max="2315" width="22.33203125" style="238" customWidth="1"/>
    <col min="2316" max="2318" width="23.6640625" style="238" customWidth="1"/>
    <col min="2319" max="2319" width="24.83203125" style="238" bestFit="1" customWidth="1"/>
    <col min="2320" max="2320" width="20.5" style="238" bestFit="1" customWidth="1"/>
    <col min="2321" max="2321" width="9.33203125" style="238"/>
    <col min="2322" max="2322" width="31" style="238" customWidth="1"/>
    <col min="2323" max="2323" width="15.5" style="238" bestFit="1" customWidth="1"/>
    <col min="2324" max="2324" width="14.83203125" style="238" bestFit="1" customWidth="1"/>
    <col min="2325" max="2325" width="15.5" style="238" bestFit="1" customWidth="1"/>
    <col min="2326" max="2326" width="14.33203125" style="238" bestFit="1" customWidth="1"/>
    <col min="2327" max="2327" width="15.5" style="238" bestFit="1" customWidth="1"/>
    <col min="2328" max="2540" width="9.33203125" style="238"/>
    <col min="2541" max="2541" width="5.83203125" style="238" bestFit="1" customWidth="1"/>
    <col min="2542" max="2542" width="43.6640625" style="238" customWidth="1"/>
    <col min="2543" max="2543" width="19.83203125" style="238" bestFit="1" customWidth="1"/>
    <col min="2544" max="2544" width="22" style="238" bestFit="1" customWidth="1"/>
    <col min="2545" max="2545" width="20.5" style="238" bestFit="1" customWidth="1"/>
    <col min="2546" max="2546" width="24.83203125" style="238" customWidth="1"/>
    <col min="2547" max="2547" width="23.33203125" style="238" customWidth="1"/>
    <col min="2548" max="2548" width="2.83203125" style="238" customWidth="1"/>
    <col min="2549" max="2549" width="17.33203125" style="238" bestFit="1" customWidth="1"/>
    <col min="2550" max="2550" width="26.83203125" style="238" customWidth="1"/>
    <col min="2551" max="2551" width="22.33203125" style="238" customWidth="1"/>
    <col min="2552" max="2552" width="22.6640625" style="238" bestFit="1" customWidth="1"/>
    <col min="2553" max="2553" width="26.83203125" style="238" customWidth="1"/>
    <col min="2554" max="2555" width="26.33203125" style="238" customWidth="1"/>
    <col min="2556" max="2556" width="28" style="238" bestFit="1" customWidth="1"/>
    <col min="2557" max="2557" width="18.6640625" style="238" customWidth="1"/>
    <col min="2558" max="2558" width="32.33203125" style="238" customWidth="1"/>
    <col min="2559" max="2559" width="26.33203125" style="238" bestFit="1" customWidth="1"/>
    <col min="2560" max="2560" width="23.6640625" style="238" customWidth="1"/>
    <col min="2561" max="2561" width="27" style="238" customWidth="1"/>
    <col min="2562" max="2562" width="15.5" style="238" bestFit="1" customWidth="1"/>
    <col min="2563" max="2563" width="23.6640625" style="238" customWidth="1"/>
    <col min="2564" max="2564" width="15.33203125" style="238" bestFit="1" customWidth="1"/>
    <col min="2565" max="2565" width="20.83203125" style="238" bestFit="1" customWidth="1"/>
    <col min="2566" max="2566" width="16.6640625" style="238" customWidth="1"/>
    <col min="2567" max="2567" width="27.5" style="238" customWidth="1"/>
    <col min="2568" max="2568" width="20.6640625" style="238" customWidth="1"/>
    <col min="2569" max="2569" width="26.5" style="238" bestFit="1" customWidth="1"/>
    <col min="2570" max="2570" width="24.83203125" style="238" customWidth="1"/>
    <col min="2571" max="2571" width="22.33203125" style="238" customWidth="1"/>
    <col min="2572" max="2574" width="23.6640625" style="238" customWidth="1"/>
    <col min="2575" max="2575" width="24.83203125" style="238" bestFit="1" customWidth="1"/>
    <col min="2576" max="2576" width="20.5" style="238" bestFit="1" customWidth="1"/>
    <col min="2577" max="2577" width="9.33203125" style="238"/>
    <col min="2578" max="2578" width="31" style="238" customWidth="1"/>
    <col min="2579" max="2579" width="15.5" style="238" bestFit="1" customWidth="1"/>
    <col min="2580" max="2580" width="14.83203125" style="238" bestFit="1" customWidth="1"/>
    <col min="2581" max="2581" width="15.5" style="238" bestFit="1" customWidth="1"/>
    <col min="2582" max="2582" width="14.33203125" style="238" bestFit="1" customWidth="1"/>
    <col min="2583" max="2583" width="15.5" style="238" bestFit="1" customWidth="1"/>
    <col min="2584" max="2796" width="9.33203125" style="238"/>
    <col min="2797" max="2797" width="5.83203125" style="238" bestFit="1" customWidth="1"/>
    <col min="2798" max="2798" width="43.6640625" style="238" customWidth="1"/>
    <col min="2799" max="2799" width="19.83203125" style="238" bestFit="1" customWidth="1"/>
    <col min="2800" max="2800" width="22" style="238" bestFit="1" customWidth="1"/>
    <col min="2801" max="2801" width="20.5" style="238" bestFit="1" customWidth="1"/>
    <col min="2802" max="2802" width="24.83203125" style="238" customWidth="1"/>
    <col min="2803" max="2803" width="23.33203125" style="238" customWidth="1"/>
    <col min="2804" max="2804" width="2.83203125" style="238" customWidth="1"/>
    <col min="2805" max="2805" width="17.33203125" style="238" bestFit="1" customWidth="1"/>
    <col min="2806" max="2806" width="26.83203125" style="238" customWidth="1"/>
    <col min="2807" max="2807" width="22.33203125" style="238" customWidth="1"/>
    <col min="2808" max="2808" width="22.6640625" style="238" bestFit="1" customWidth="1"/>
    <col min="2809" max="2809" width="26.83203125" style="238" customWidth="1"/>
    <col min="2810" max="2811" width="26.33203125" style="238" customWidth="1"/>
    <col min="2812" max="2812" width="28" style="238" bestFit="1" customWidth="1"/>
    <col min="2813" max="2813" width="18.6640625" style="238" customWidth="1"/>
    <col min="2814" max="2814" width="32.33203125" style="238" customWidth="1"/>
    <col min="2815" max="2815" width="26.33203125" style="238" bestFit="1" customWidth="1"/>
    <col min="2816" max="2816" width="23.6640625" style="238" customWidth="1"/>
    <col min="2817" max="2817" width="27" style="238" customWidth="1"/>
    <col min="2818" max="2818" width="15.5" style="238" bestFit="1" customWidth="1"/>
    <col min="2819" max="2819" width="23.6640625" style="238" customWidth="1"/>
    <col min="2820" max="2820" width="15.33203125" style="238" bestFit="1" customWidth="1"/>
    <col min="2821" max="2821" width="20.83203125" style="238" bestFit="1" customWidth="1"/>
    <col min="2822" max="2822" width="16.6640625" style="238" customWidth="1"/>
    <col min="2823" max="2823" width="27.5" style="238" customWidth="1"/>
    <col min="2824" max="2824" width="20.6640625" style="238" customWidth="1"/>
    <col min="2825" max="2825" width="26.5" style="238" bestFit="1" customWidth="1"/>
    <col min="2826" max="2826" width="24.83203125" style="238" customWidth="1"/>
    <col min="2827" max="2827" width="22.33203125" style="238" customWidth="1"/>
    <col min="2828" max="2830" width="23.6640625" style="238" customWidth="1"/>
    <col min="2831" max="2831" width="24.83203125" style="238" bestFit="1" customWidth="1"/>
    <col min="2832" max="2832" width="20.5" style="238" bestFit="1" customWidth="1"/>
    <col min="2833" max="2833" width="9.33203125" style="238"/>
    <col min="2834" max="2834" width="31" style="238" customWidth="1"/>
    <col min="2835" max="2835" width="15.5" style="238" bestFit="1" customWidth="1"/>
    <col min="2836" max="2836" width="14.83203125" style="238" bestFit="1" customWidth="1"/>
    <col min="2837" max="2837" width="15.5" style="238" bestFit="1" customWidth="1"/>
    <col min="2838" max="2838" width="14.33203125" style="238" bestFit="1" customWidth="1"/>
    <col min="2839" max="2839" width="15.5" style="238" bestFit="1" customWidth="1"/>
    <col min="2840" max="3052" width="9.33203125" style="238"/>
    <col min="3053" max="3053" width="5.83203125" style="238" bestFit="1" customWidth="1"/>
    <col min="3054" max="3054" width="43.6640625" style="238" customWidth="1"/>
    <col min="3055" max="3055" width="19.83203125" style="238" bestFit="1" customWidth="1"/>
    <col min="3056" max="3056" width="22" style="238" bestFit="1" customWidth="1"/>
    <col min="3057" max="3057" width="20.5" style="238" bestFit="1" customWidth="1"/>
    <col min="3058" max="3058" width="24.83203125" style="238" customWidth="1"/>
    <col min="3059" max="3059" width="23.33203125" style="238" customWidth="1"/>
    <col min="3060" max="3060" width="2.83203125" style="238" customWidth="1"/>
    <col min="3061" max="3061" width="17.33203125" style="238" bestFit="1" customWidth="1"/>
    <col min="3062" max="3062" width="26.83203125" style="238" customWidth="1"/>
    <col min="3063" max="3063" width="22.33203125" style="238" customWidth="1"/>
    <col min="3064" max="3064" width="22.6640625" style="238" bestFit="1" customWidth="1"/>
    <col min="3065" max="3065" width="26.83203125" style="238" customWidth="1"/>
    <col min="3066" max="3067" width="26.33203125" style="238" customWidth="1"/>
    <col min="3068" max="3068" width="28" style="238" bestFit="1" customWidth="1"/>
    <col min="3069" max="3069" width="18.6640625" style="238" customWidth="1"/>
    <col min="3070" max="3070" width="32.33203125" style="238" customWidth="1"/>
    <col min="3071" max="3071" width="26.33203125" style="238" bestFit="1" customWidth="1"/>
    <col min="3072" max="3072" width="23.6640625" style="238" customWidth="1"/>
    <col min="3073" max="3073" width="27" style="238" customWidth="1"/>
    <col min="3074" max="3074" width="15.5" style="238" bestFit="1" customWidth="1"/>
    <col min="3075" max="3075" width="23.6640625" style="238" customWidth="1"/>
    <col min="3076" max="3076" width="15.33203125" style="238" bestFit="1" customWidth="1"/>
    <col min="3077" max="3077" width="20.83203125" style="238" bestFit="1" customWidth="1"/>
    <col min="3078" max="3078" width="16.6640625" style="238" customWidth="1"/>
    <col min="3079" max="3079" width="27.5" style="238" customWidth="1"/>
    <col min="3080" max="3080" width="20.6640625" style="238" customWidth="1"/>
    <col min="3081" max="3081" width="26.5" style="238" bestFit="1" customWidth="1"/>
    <col min="3082" max="3082" width="24.83203125" style="238" customWidth="1"/>
    <col min="3083" max="3083" width="22.33203125" style="238" customWidth="1"/>
    <col min="3084" max="3086" width="23.6640625" style="238" customWidth="1"/>
    <col min="3087" max="3087" width="24.83203125" style="238" bestFit="1" customWidth="1"/>
    <col min="3088" max="3088" width="20.5" style="238" bestFit="1" customWidth="1"/>
    <col min="3089" max="3089" width="9.33203125" style="238"/>
    <col min="3090" max="3090" width="31" style="238" customWidth="1"/>
    <col min="3091" max="3091" width="15.5" style="238" bestFit="1" customWidth="1"/>
    <col min="3092" max="3092" width="14.83203125" style="238" bestFit="1" customWidth="1"/>
    <col min="3093" max="3093" width="15.5" style="238" bestFit="1" customWidth="1"/>
    <col min="3094" max="3094" width="14.33203125" style="238" bestFit="1" customWidth="1"/>
    <col min="3095" max="3095" width="15.5" style="238" bestFit="1" customWidth="1"/>
    <col min="3096" max="3308" width="9.33203125" style="238"/>
    <col min="3309" max="3309" width="5.83203125" style="238" bestFit="1" customWidth="1"/>
    <col min="3310" max="3310" width="43.6640625" style="238" customWidth="1"/>
    <col min="3311" max="3311" width="19.83203125" style="238" bestFit="1" customWidth="1"/>
    <col min="3312" max="3312" width="22" style="238" bestFit="1" customWidth="1"/>
    <col min="3313" max="3313" width="20.5" style="238" bestFit="1" customWidth="1"/>
    <col min="3314" max="3314" width="24.83203125" style="238" customWidth="1"/>
    <col min="3315" max="3315" width="23.33203125" style="238" customWidth="1"/>
    <col min="3316" max="3316" width="2.83203125" style="238" customWidth="1"/>
    <col min="3317" max="3317" width="17.33203125" style="238" bestFit="1" customWidth="1"/>
    <col min="3318" max="3318" width="26.83203125" style="238" customWidth="1"/>
    <col min="3319" max="3319" width="22.33203125" style="238" customWidth="1"/>
    <col min="3320" max="3320" width="22.6640625" style="238" bestFit="1" customWidth="1"/>
    <col min="3321" max="3321" width="26.83203125" style="238" customWidth="1"/>
    <col min="3322" max="3323" width="26.33203125" style="238" customWidth="1"/>
    <col min="3324" max="3324" width="28" style="238" bestFit="1" customWidth="1"/>
    <col min="3325" max="3325" width="18.6640625" style="238" customWidth="1"/>
    <col min="3326" max="3326" width="32.33203125" style="238" customWidth="1"/>
    <col min="3327" max="3327" width="26.33203125" style="238" bestFit="1" customWidth="1"/>
    <col min="3328" max="3328" width="23.6640625" style="238" customWidth="1"/>
    <col min="3329" max="3329" width="27" style="238" customWidth="1"/>
    <col min="3330" max="3330" width="15.5" style="238" bestFit="1" customWidth="1"/>
    <col min="3331" max="3331" width="23.6640625" style="238" customWidth="1"/>
    <col min="3332" max="3332" width="15.33203125" style="238" bestFit="1" customWidth="1"/>
    <col min="3333" max="3333" width="20.83203125" style="238" bestFit="1" customWidth="1"/>
    <col min="3334" max="3334" width="16.6640625" style="238" customWidth="1"/>
    <col min="3335" max="3335" width="27.5" style="238" customWidth="1"/>
    <col min="3336" max="3336" width="20.6640625" style="238" customWidth="1"/>
    <col min="3337" max="3337" width="26.5" style="238" bestFit="1" customWidth="1"/>
    <col min="3338" max="3338" width="24.83203125" style="238" customWidth="1"/>
    <col min="3339" max="3339" width="22.33203125" style="238" customWidth="1"/>
    <col min="3340" max="3342" width="23.6640625" style="238" customWidth="1"/>
    <col min="3343" max="3343" width="24.83203125" style="238" bestFit="1" customWidth="1"/>
    <col min="3344" max="3344" width="20.5" style="238" bestFit="1" customWidth="1"/>
    <col min="3345" max="3345" width="9.33203125" style="238"/>
    <col min="3346" max="3346" width="31" style="238" customWidth="1"/>
    <col min="3347" max="3347" width="15.5" style="238" bestFit="1" customWidth="1"/>
    <col min="3348" max="3348" width="14.83203125" style="238" bestFit="1" customWidth="1"/>
    <col min="3349" max="3349" width="15.5" style="238" bestFit="1" customWidth="1"/>
    <col min="3350" max="3350" width="14.33203125" style="238" bestFit="1" customWidth="1"/>
    <col min="3351" max="3351" width="15.5" style="238" bestFit="1" customWidth="1"/>
    <col min="3352" max="3564" width="9.33203125" style="238"/>
    <col min="3565" max="3565" width="5.83203125" style="238" bestFit="1" customWidth="1"/>
    <col min="3566" max="3566" width="43.6640625" style="238" customWidth="1"/>
    <col min="3567" max="3567" width="19.83203125" style="238" bestFit="1" customWidth="1"/>
    <col min="3568" max="3568" width="22" style="238" bestFit="1" customWidth="1"/>
    <col min="3569" max="3569" width="20.5" style="238" bestFit="1" customWidth="1"/>
    <col min="3570" max="3570" width="24.83203125" style="238" customWidth="1"/>
    <col min="3571" max="3571" width="23.33203125" style="238" customWidth="1"/>
    <col min="3572" max="3572" width="2.83203125" style="238" customWidth="1"/>
    <col min="3573" max="3573" width="17.33203125" style="238" bestFit="1" customWidth="1"/>
    <col min="3574" max="3574" width="26.83203125" style="238" customWidth="1"/>
    <col min="3575" max="3575" width="22.33203125" style="238" customWidth="1"/>
    <col min="3576" max="3576" width="22.6640625" style="238" bestFit="1" customWidth="1"/>
    <col min="3577" max="3577" width="26.83203125" style="238" customWidth="1"/>
    <col min="3578" max="3579" width="26.33203125" style="238" customWidth="1"/>
    <col min="3580" max="3580" width="28" style="238" bestFit="1" customWidth="1"/>
    <col min="3581" max="3581" width="18.6640625" style="238" customWidth="1"/>
    <col min="3582" max="3582" width="32.33203125" style="238" customWidth="1"/>
    <col min="3583" max="3583" width="26.33203125" style="238" bestFit="1" customWidth="1"/>
    <col min="3584" max="3584" width="23.6640625" style="238" customWidth="1"/>
    <col min="3585" max="3585" width="27" style="238" customWidth="1"/>
    <col min="3586" max="3586" width="15.5" style="238" bestFit="1" customWidth="1"/>
    <col min="3587" max="3587" width="23.6640625" style="238" customWidth="1"/>
    <col min="3588" max="3588" width="15.33203125" style="238" bestFit="1" customWidth="1"/>
    <col min="3589" max="3589" width="20.83203125" style="238" bestFit="1" customWidth="1"/>
    <col min="3590" max="3590" width="16.6640625" style="238" customWidth="1"/>
    <col min="3591" max="3591" width="27.5" style="238" customWidth="1"/>
    <col min="3592" max="3592" width="20.6640625" style="238" customWidth="1"/>
    <col min="3593" max="3593" width="26.5" style="238" bestFit="1" customWidth="1"/>
    <col min="3594" max="3594" width="24.83203125" style="238" customWidth="1"/>
    <col min="3595" max="3595" width="22.33203125" style="238" customWidth="1"/>
    <col min="3596" max="3598" width="23.6640625" style="238" customWidth="1"/>
    <col min="3599" max="3599" width="24.83203125" style="238" bestFit="1" customWidth="1"/>
    <col min="3600" max="3600" width="20.5" style="238" bestFit="1" customWidth="1"/>
    <col min="3601" max="3601" width="9.33203125" style="238"/>
    <col min="3602" max="3602" width="31" style="238" customWidth="1"/>
    <col min="3603" max="3603" width="15.5" style="238" bestFit="1" customWidth="1"/>
    <col min="3604" max="3604" width="14.83203125" style="238" bestFit="1" customWidth="1"/>
    <col min="3605" max="3605" width="15.5" style="238" bestFit="1" customWidth="1"/>
    <col min="3606" max="3606" width="14.33203125" style="238" bestFit="1" customWidth="1"/>
    <col min="3607" max="3607" width="15.5" style="238" bestFit="1" customWidth="1"/>
    <col min="3608" max="3820" width="9.33203125" style="238"/>
    <col min="3821" max="3821" width="5.83203125" style="238" bestFit="1" customWidth="1"/>
    <col min="3822" max="3822" width="43.6640625" style="238" customWidth="1"/>
    <col min="3823" max="3823" width="19.83203125" style="238" bestFit="1" customWidth="1"/>
    <col min="3824" max="3824" width="22" style="238" bestFit="1" customWidth="1"/>
    <col min="3825" max="3825" width="20.5" style="238" bestFit="1" customWidth="1"/>
    <col min="3826" max="3826" width="24.83203125" style="238" customWidth="1"/>
    <col min="3827" max="3827" width="23.33203125" style="238" customWidth="1"/>
    <col min="3828" max="3828" width="2.83203125" style="238" customWidth="1"/>
    <col min="3829" max="3829" width="17.33203125" style="238" bestFit="1" customWidth="1"/>
    <col min="3830" max="3830" width="26.83203125" style="238" customWidth="1"/>
    <col min="3831" max="3831" width="22.33203125" style="238" customWidth="1"/>
    <col min="3832" max="3832" width="22.6640625" style="238" bestFit="1" customWidth="1"/>
    <col min="3833" max="3833" width="26.83203125" style="238" customWidth="1"/>
    <col min="3834" max="3835" width="26.33203125" style="238" customWidth="1"/>
    <col min="3836" max="3836" width="28" style="238" bestFit="1" customWidth="1"/>
    <col min="3837" max="3837" width="18.6640625" style="238" customWidth="1"/>
    <col min="3838" max="3838" width="32.33203125" style="238" customWidth="1"/>
    <col min="3839" max="3839" width="26.33203125" style="238" bestFit="1" customWidth="1"/>
    <col min="3840" max="3840" width="23.6640625" style="238" customWidth="1"/>
    <col min="3841" max="3841" width="27" style="238" customWidth="1"/>
    <col min="3842" max="3842" width="15.5" style="238" bestFit="1" customWidth="1"/>
    <col min="3843" max="3843" width="23.6640625" style="238" customWidth="1"/>
    <col min="3844" max="3844" width="15.33203125" style="238" bestFit="1" customWidth="1"/>
    <col min="3845" max="3845" width="20.83203125" style="238" bestFit="1" customWidth="1"/>
    <col min="3846" max="3846" width="16.6640625" style="238" customWidth="1"/>
    <col min="3847" max="3847" width="27.5" style="238" customWidth="1"/>
    <col min="3848" max="3848" width="20.6640625" style="238" customWidth="1"/>
    <col min="3849" max="3849" width="26.5" style="238" bestFit="1" customWidth="1"/>
    <col min="3850" max="3850" width="24.83203125" style="238" customWidth="1"/>
    <col min="3851" max="3851" width="22.33203125" style="238" customWidth="1"/>
    <col min="3852" max="3854" width="23.6640625" style="238" customWidth="1"/>
    <col min="3855" max="3855" width="24.83203125" style="238" bestFit="1" customWidth="1"/>
    <col min="3856" max="3856" width="20.5" style="238" bestFit="1" customWidth="1"/>
    <col min="3857" max="3857" width="9.33203125" style="238"/>
    <col min="3858" max="3858" width="31" style="238" customWidth="1"/>
    <col min="3859" max="3859" width="15.5" style="238" bestFit="1" customWidth="1"/>
    <col min="3860" max="3860" width="14.83203125" style="238" bestFit="1" customWidth="1"/>
    <col min="3861" max="3861" width="15.5" style="238" bestFit="1" customWidth="1"/>
    <col min="3862" max="3862" width="14.33203125" style="238" bestFit="1" customWidth="1"/>
    <col min="3863" max="3863" width="15.5" style="238" bestFit="1" customWidth="1"/>
    <col min="3864" max="4076" width="9.33203125" style="238"/>
    <col min="4077" max="4077" width="5.83203125" style="238" bestFit="1" customWidth="1"/>
    <col min="4078" max="4078" width="43.6640625" style="238" customWidth="1"/>
    <col min="4079" max="4079" width="19.83203125" style="238" bestFit="1" customWidth="1"/>
    <col min="4080" max="4080" width="22" style="238" bestFit="1" customWidth="1"/>
    <col min="4081" max="4081" width="20.5" style="238" bestFit="1" customWidth="1"/>
    <col min="4082" max="4082" width="24.83203125" style="238" customWidth="1"/>
    <col min="4083" max="4083" width="23.33203125" style="238" customWidth="1"/>
    <col min="4084" max="4084" width="2.83203125" style="238" customWidth="1"/>
    <col min="4085" max="4085" width="17.33203125" style="238" bestFit="1" customWidth="1"/>
    <col min="4086" max="4086" width="26.83203125" style="238" customWidth="1"/>
    <col min="4087" max="4087" width="22.33203125" style="238" customWidth="1"/>
    <col min="4088" max="4088" width="22.6640625" style="238" bestFit="1" customWidth="1"/>
    <col min="4089" max="4089" width="26.83203125" style="238" customWidth="1"/>
    <col min="4090" max="4091" width="26.33203125" style="238" customWidth="1"/>
    <col min="4092" max="4092" width="28" style="238" bestFit="1" customWidth="1"/>
    <col min="4093" max="4093" width="18.6640625" style="238" customWidth="1"/>
    <col min="4094" max="4094" width="32.33203125" style="238" customWidth="1"/>
    <col min="4095" max="4095" width="26.33203125" style="238" bestFit="1" customWidth="1"/>
    <col min="4096" max="4096" width="23.6640625" style="238" customWidth="1"/>
    <col min="4097" max="4097" width="27" style="238" customWidth="1"/>
    <col min="4098" max="4098" width="15.5" style="238" bestFit="1" customWidth="1"/>
    <col min="4099" max="4099" width="23.6640625" style="238" customWidth="1"/>
    <col min="4100" max="4100" width="15.33203125" style="238" bestFit="1" customWidth="1"/>
    <col min="4101" max="4101" width="20.83203125" style="238" bestFit="1" customWidth="1"/>
    <col min="4102" max="4102" width="16.6640625" style="238" customWidth="1"/>
    <col min="4103" max="4103" width="27.5" style="238" customWidth="1"/>
    <col min="4104" max="4104" width="20.6640625" style="238" customWidth="1"/>
    <col min="4105" max="4105" width="26.5" style="238" bestFit="1" customWidth="1"/>
    <col min="4106" max="4106" width="24.83203125" style="238" customWidth="1"/>
    <col min="4107" max="4107" width="22.33203125" style="238" customWidth="1"/>
    <col min="4108" max="4110" width="23.6640625" style="238" customWidth="1"/>
    <col min="4111" max="4111" width="24.83203125" style="238" bestFit="1" customWidth="1"/>
    <col min="4112" max="4112" width="20.5" style="238" bestFit="1" customWidth="1"/>
    <col min="4113" max="4113" width="9.33203125" style="238"/>
    <col min="4114" max="4114" width="31" style="238" customWidth="1"/>
    <col min="4115" max="4115" width="15.5" style="238" bestFit="1" customWidth="1"/>
    <col min="4116" max="4116" width="14.83203125" style="238" bestFit="1" customWidth="1"/>
    <col min="4117" max="4117" width="15.5" style="238" bestFit="1" customWidth="1"/>
    <col min="4118" max="4118" width="14.33203125" style="238" bestFit="1" customWidth="1"/>
    <col min="4119" max="4119" width="15.5" style="238" bestFit="1" customWidth="1"/>
    <col min="4120" max="4332" width="9.33203125" style="238"/>
    <col min="4333" max="4333" width="5.83203125" style="238" bestFit="1" customWidth="1"/>
    <col min="4334" max="4334" width="43.6640625" style="238" customWidth="1"/>
    <col min="4335" max="4335" width="19.83203125" style="238" bestFit="1" customWidth="1"/>
    <col min="4336" max="4336" width="22" style="238" bestFit="1" customWidth="1"/>
    <col min="4337" max="4337" width="20.5" style="238" bestFit="1" customWidth="1"/>
    <col min="4338" max="4338" width="24.83203125" style="238" customWidth="1"/>
    <col min="4339" max="4339" width="23.33203125" style="238" customWidth="1"/>
    <col min="4340" max="4340" width="2.83203125" style="238" customWidth="1"/>
    <col min="4341" max="4341" width="17.33203125" style="238" bestFit="1" customWidth="1"/>
    <col min="4342" max="4342" width="26.83203125" style="238" customWidth="1"/>
    <col min="4343" max="4343" width="22.33203125" style="238" customWidth="1"/>
    <col min="4344" max="4344" width="22.6640625" style="238" bestFit="1" customWidth="1"/>
    <col min="4345" max="4345" width="26.83203125" style="238" customWidth="1"/>
    <col min="4346" max="4347" width="26.33203125" style="238" customWidth="1"/>
    <col min="4348" max="4348" width="28" style="238" bestFit="1" customWidth="1"/>
    <col min="4349" max="4349" width="18.6640625" style="238" customWidth="1"/>
    <col min="4350" max="4350" width="32.33203125" style="238" customWidth="1"/>
    <col min="4351" max="4351" width="26.33203125" style="238" bestFit="1" customWidth="1"/>
    <col min="4352" max="4352" width="23.6640625" style="238" customWidth="1"/>
    <col min="4353" max="4353" width="27" style="238" customWidth="1"/>
    <col min="4354" max="4354" width="15.5" style="238" bestFit="1" customWidth="1"/>
    <col min="4355" max="4355" width="23.6640625" style="238" customWidth="1"/>
    <col min="4356" max="4356" width="15.33203125" style="238" bestFit="1" customWidth="1"/>
    <col min="4357" max="4357" width="20.83203125" style="238" bestFit="1" customWidth="1"/>
    <col min="4358" max="4358" width="16.6640625" style="238" customWidth="1"/>
    <col min="4359" max="4359" width="27.5" style="238" customWidth="1"/>
    <col min="4360" max="4360" width="20.6640625" style="238" customWidth="1"/>
    <col min="4361" max="4361" width="26.5" style="238" bestFit="1" customWidth="1"/>
    <col min="4362" max="4362" width="24.83203125" style="238" customWidth="1"/>
    <col min="4363" max="4363" width="22.33203125" style="238" customWidth="1"/>
    <col min="4364" max="4366" width="23.6640625" style="238" customWidth="1"/>
    <col min="4367" max="4367" width="24.83203125" style="238" bestFit="1" customWidth="1"/>
    <col min="4368" max="4368" width="20.5" style="238" bestFit="1" customWidth="1"/>
    <col min="4369" max="4369" width="9.33203125" style="238"/>
    <col min="4370" max="4370" width="31" style="238" customWidth="1"/>
    <col min="4371" max="4371" width="15.5" style="238" bestFit="1" customWidth="1"/>
    <col min="4372" max="4372" width="14.83203125" style="238" bestFit="1" customWidth="1"/>
    <col min="4373" max="4373" width="15.5" style="238" bestFit="1" customWidth="1"/>
    <col min="4374" max="4374" width="14.33203125" style="238" bestFit="1" customWidth="1"/>
    <col min="4375" max="4375" width="15.5" style="238" bestFit="1" customWidth="1"/>
    <col min="4376" max="4588" width="9.33203125" style="238"/>
    <col min="4589" max="4589" width="5.83203125" style="238" bestFit="1" customWidth="1"/>
    <col min="4590" max="4590" width="43.6640625" style="238" customWidth="1"/>
    <col min="4591" max="4591" width="19.83203125" style="238" bestFit="1" customWidth="1"/>
    <col min="4592" max="4592" width="22" style="238" bestFit="1" customWidth="1"/>
    <col min="4593" max="4593" width="20.5" style="238" bestFit="1" customWidth="1"/>
    <col min="4594" max="4594" width="24.83203125" style="238" customWidth="1"/>
    <col min="4595" max="4595" width="23.33203125" style="238" customWidth="1"/>
    <col min="4596" max="4596" width="2.83203125" style="238" customWidth="1"/>
    <col min="4597" max="4597" width="17.33203125" style="238" bestFit="1" customWidth="1"/>
    <col min="4598" max="4598" width="26.83203125" style="238" customWidth="1"/>
    <col min="4599" max="4599" width="22.33203125" style="238" customWidth="1"/>
    <col min="4600" max="4600" width="22.6640625" style="238" bestFit="1" customWidth="1"/>
    <col min="4601" max="4601" width="26.83203125" style="238" customWidth="1"/>
    <col min="4602" max="4603" width="26.33203125" style="238" customWidth="1"/>
    <col min="4604" max="4604" width="28" style="238" bestFit="1" customWidth="1"/>
    <col min="4605" max="4605" width="18.6640625" style="238" customWidth="1"/>
    <col min="4606" max="4606" width="32.33203125" style="238" customWidth="1"/>
    <col min="4607" max="4607" width="26.33203125" style="238" bestFit="1" customWidth="1"/>
    <col min="4608" max="4608" width="23.6640625" style="238" customWidth="1"/>
    <col min="4609" max="4609" width="27" style="238" customWidth="1"/>
    <col min="4610" max="4610" width="15.5" style="238" bestFit="1" customWidth="1"/>
    <col min="4611" max="4611" width="23.6640625" style="238" customWidth="1"/>
    <col min="4612" max="4612" width="15.33203125" style="238" bestFit="1" customWidth="1"/>
    <col min="4613" max="4613" width="20.83203125" style="238" bestFit="1" customWidth="1"/>
    <col min="4614" max="4614" width="16.6640625" style="238" customWidth="1"/>
    <col min="4615" max="4615" width="27.5" style="238" customWidth="1"/>
    <col min="4616" max="4616" width="20.6640625" style="238" customWidth="1"/>
    <col min="4617" max="4617" width="26.5" style="238" bestFit="1" customWidth="1"/>
    <col min="4618" max="4618" width="24.83203125" style="238" customWidth="1"/>
    <col min="4619" max="4619" width="22.33203125" style="238" customWidth="1"/>
    <col min="4620" max="4622" width="23.6640625" style="238" customWidth="1"/>
    <col min="4623" max="4623" width="24.83203125" style="238" bestFit="1" customWidth="1"/>
    <col min="4624" max="4624" width="20.5" style="238" bestFit="1" customWidth="1"/>
    <col min="4625" max="4625" width="9.33203125" style="238"/>
    <col min="4626" max="4626" width="31" style="238" customWidth="1"/>
    <col min="4627" max="4627" width="15.5" style="238" bestFit="1" customWidth="1"/>
    <col min="4628" max="4628" width="14.83203125" style="238" bestFit="1" customWidth="1"/>
    <col min="4629" max="4629" width="15.5" style="238" bestFit="1" customWidth="1"/>
    <col min="4630" max="4630" width="14.33203125" style="238" bestFit="1" customWidth="1"/>
    <col min="4631" max="4631" width="15.5" style="238" bestFit="1" customWidth="1"/>
    <col min="4632" max="4844" width="9.33203125" style="238"/>
    <col min="4845" max="4845" width="5.83203125" style="238" bestFit="1" customWidth="1"/>
    <col min="4846" max="4846" width="43.6640625" style="238" customWidth="1"/>
    <col min="4847" max="4847" width="19.83203125" style="238" bestFit="1" customWidth="1"/>
    <col min="4848" max="4848" width="22" style="238" bestFit="1" customWidth="1"/>
    <col min="4849" max="4849" width="20.5" style="238" bestFit="1" customWidth="1"/>
    <col min="4850" max="4850" width="24.83203125" style="238" customWidth="1"/>
    <col min="4851" max="4851" width="23.33203125" style="238" customWidth="1"/>
    <col min="4852" max="4852" width="2.83203125" style="238" customWidth="1"/>
    <col min="4853" max="4853" width="17.33203125" style="238" bestFit="1" customWidth="1"/>
    <col min="4854" max="4854" width="26.83203125" style="238" customWidth="1"/>
    <col min="4855" max="4855" width="22.33203125" style="238" customWidth="1"/>
    <col min="4856" max="4856" width="22.6640625" style="238" bestFit="1" customWidth="1"/>
    <col min="4857" max="4857" width="26.83203125" style="238" customWidth="1"/>
    <col min="4858" max="4859" width="26.33203125" style="238" customWidth="1"/>
    <col min="4860" max="4860" width="28" style="238" bestFit="1" customWidth="1"/>
    <col min="4861" max="4861" width="18.6640625" style="238" customWidth="1"/>
    <col min="4862" max="4862" width="32.33203125" style="238" customWidth="1"/>
    <col min="4863" max="4863" width="26.33203125" style="238" bestFit="1" customWidth="1"/>
    <col min="4864" max="4864" width="23.6640625" style="238" customWidth="1"/>
    <col min="4865" max="4865" width="27" style="238" customWidth="1"/>
    <col min="4866" max="4866" width="15.5" style="238" bestFit="1" customWidth="1"/>
    <col min="4867" max="4867" width="23.6640625" style="238" customWidth="1"/>
    <col min="4868" max="4868" width="15.33203125" style="238" bestFit="1" customWidth="1"/>
    <col min="4869" max="4869" width="20.83203125" style="238" bestFit="1" customWidth="1"/>
    <col min="4870" max="4870" width="16.6640625" style="238" customWidth="1"/>
    <col min="4871" max="4871" width="27.5" style="238" customWidth="1"/>
    <col min="4872" max="4872" width="20.6640625" style="238" customWidth="1"/>
    <col min="4873" max="4873" width="26.5" style="238" bestFit="1" customWidth="1"/>
    <col min="4874" max="4874" width="24.83203125" style="238" customWidth="1"/>
    <col min="4875" max="4875" width="22.33203125" style="238" customWidth="1"/>
    <col min="4876" max="4878" width="23.6640625" style="238" customWidth="1"/>
    <col min="4879" max="4879" width="24.83203125" style="238" bestFit="1" customWidth="1"/>
    <col min="4880" max="4880" width="20.5" style="238" bestFit="1" customWidth="1"/>
    <col min="4881" max="4881" width="9.33203125" style="238"/>
    <col min="4882" max="4882" width="31" style="238" customWidth="1"/>
    <col min="4883" max="4883" width="15.5" style="238" bestFit="1" customWidth="1"/>
    <col min="4884" max="4884" width="14.83203125" style="238" bestFit="1" customWidth="1"/>
    <col min="4885" max="4885" width="15.5" style="238" bestFit="1" customWidth="1"/>
    <col min="4886" max="4886" width="14.33203125" style="238" bestFit="1" customWidth="1"/>
    <col min="4887" max="4887" width="15.5" style="238" bestFit="1" customWidth="1"/>
    <col min="4888" max="5100" width="9.33203125" style="238"/>
    <col min="5101" max="5101" width="5.83203125" style="238" bestFit="1" customWidth="1"/>
    <col min="5102" max="5102" width="43.6640625" style="238" customWidth="1"/>
    <col min="5103" max="5103" width="19.83203125" style="238" bestFit="1" customWidth="1"/>
    <col min="5104" max="5104" width="22" style="238" bestFit="1" customWidth="1"/>
    <col min="5105" max="5105" width="20.5" style="238" bestFit="1" customWidth="1"/>
    <col min="5106" max="5106" width="24.83203125" style="238" customWidth="1"/>
    <col min="5107" max="5107" width="23.33203125" style="238" customWidth="1"/>
    <col min="5108" max="5108" width="2.83203125" style="238" customWidth="1"/>
    <col min="5109" max="5109" width="17.33203125" style="238" bestFit="1" customWidth="1"/>
    <col min="5110" max="5110" width="26.83203125" style="238" customWidth="1"/>
    <col min="5111" max="5111" width="22.33203125" style="238" customWidth="1"/>
    <col min="5112" max="5112" width="22.6640625" style="238" bestFit="1" customWidth="1"/>
    <col min="5113" max="5113" width="26.83203125" style="238" customWidth="1"/>
    <col min="5114" max="5115" width="26.33203125" style="238" customWidth="1"/>
    <col min="5116" max="5116" width="28" style="238" bestFit="1" customWidth="1"/>
    <col min="5117" max="5117" width="18.6640625" style="238" customWidth="1"/>
    <col min="5118" max="5118" width="32.33203125" style="238" customWidth="1"/>
    <col min="5119" max="5119" width="26.33203125" style="238" bestFit="1" customWidth="1"/>
    <col min="5120" max="5120" width="23.6640625" style="238" customWidth="1"/>
    <col min="5121" max="5121" width="27" style="238" customWidth="1"/>
    <col min="5122" max="5122" width="15.5" style="238" bestFit="1" customWidth="1"/>
    <col min="5123" max="5123" width="23.6640625" style="238" customWidth="1"/>
    <col min="5124" max="5124" width="15.33203125" style="238" bestFit="1" customWidth="1"/>
    <col min="5125" max="5125" width="20.83203125" style="238" bestFit="1" customWidth="1"/>
    <col min="5126" max="5126" width="16.6640625" style="238" customWidth="1"/>
    <col min="5127" max="5127" width="27.5" style="238" customWidth="1"/>
    <col min="5128" max="5128" width="20.6640625" style="238" customWidth="1"/>
    <col min="5129" max="5129" width="26.5" style="238" bestFit="1" customWidth="1"/>
    <col min="5130" max="5130" width="24.83203125" style="238" customWidth="1"/>
    <col min="5131" max="5131" width="22.33203125" style="238" customWidth="1"/>
    <col min="5132" max="5134" width="23.6640625" style="238" customWidth="1"/>
    <col min="5135" max="5135" width="24.83203125" style="238" bestFit="1" customWidth="1"/>
    <col min="5136" max="5136" width="20.5" style="238" bestFit="1" customWidth="1"/>
    <col min="5137" max="5137" width="9.33203125" style="238"/>
    <col min="5138" max="5138" width="31" style="238" customWidth="1"/>
    <col min="5139" max="5139" width="15.5" style="238" bestFit="1" customWidth="1"/>
    <col min="5140" max="5140" width="14.83203125" style="238" bestFit="1" customWidth="1"/>
    <col min="5141" max="5141" width="15.5" style="238" bestFit="1" customWidth="1"/>
    <col min="5142" max="5142" width="14.33203125" style="238" bestFit="1" customWidth="1"/>
    <col min="5143" max="5143" width="15.5" style="238" bestFit="1" customWidth="1"/>
    <col min="5144" max="5356" width="9.33203125" style="238"/>
    <col min="5357" max="5357" width="5.83203125" style="238" bestFit="1" customWidth="1"/>
    <col min="5358" max="5358" width="43.6640625" style="238" customWidth="1"/>
    <col min="5359" max="5359" width="19.83203125" style="238" bestFit="1" customWidth="1"/>
    <col min="5360" max="5360" width="22" style="238" bestFit="1" customWidth="1"/>
    <col min="5361" max="5361" width="20.5" style="238" bestFit="1" customWidth="1"/>
    <col min="5362" max="5362" width="24.83203125" style="238" customWidth="1"/>
    <col min="5363" max="5363" width="23.33203125" style="238" customWidth="1"/>
    <col min="5364" max="5364" width="2.83203125" style="238" customWidth="1"/>
    <col min="5365" max="5365" width="17.33203125" style="238" bestFit="1" customWidth="1"/>
    <col min="5366" max="5366" width="26.83203125" style="238" customWidth="1"/>
    <col min="5367" max="5367" width="22.33203125" style="238" customWidth="1"/>
    <col min="5368" max="5368" width="22.6640625" style="238" bestFit="1" customWidth="1"/>
    <col min="5369" max="5369" width="26.83203125" style="238" customWidth="1"/>
    <col min="5370" max="5371" width="26.33203125" style="238" customWidth="1"/>
    <col min="5372" max="5372" width="28" style="238" bestFit="1" customWidth="1"/>
    <col min="5373" max="5373" width="18.6640625" style="238" customWidth="1"/>
    <col min="5374" max="5374" width="32.33203125" style="238" customWidth="1"/>
    <col min="5375" max="5375" width="26.33203125" style="238" bestFit="1" customWidth="1"/>
    <col min="5376" max="5376" width="23.6640625" style="238" customWidth="1"/>
    <col min="5377" max="5377" width="27" style="238" customWidth="1"/>
    <col min="5378" max="5378" width="15.5" style="238" bestFit="1" customWidth="1"/>
    <col min="5379" max="5379" width="23.6640625" style="238" customWidth="1"/>
    <col min="5380" max="5380" width="15.33203125" style="238" bestFit="1" customWidth="1"/>
    <col min="5381" max="5381" width="20.83203125" style="238" bestFit="1" customWidth="1"/>
    <col min="5382" max="5382" width="16.6640625" style="238" customWidth="1"/>
    <col min="5383" max="5383" width="27.5" style="238" customWidth="1"/>
    <col min="5384" max="5384" width="20.6640625" style="238" customWidth="1"/>
    <col min="5385" max="5385" width="26.5" style="238" bestFit="1" customWidth="1"/>
    <col min="5386" max="5386" width="24.83203125" style="238" customWidth="1"/>
    <col min="5387" max="5387" width="22.33203125" style="238" customWidth="1"/>
    <col min="5388" max="5390" width="23.6640625" style="238" customWidth="1"/>
    <col min="5391" max="5391" width="24.83203125" style="238" bestFit="1" customWidth="1"/>
    <col min="5392" max="5392" width="20.5" style="238" bestFit="1" customWidth="1"/>
    <col min="5393" max="5393" width="9.33203125" style="238"/>
    <col min="5394" max="5394" width="31" style="238" customWidth="1"/>
    <col min="5395" max="5395" width="15.5" style="238" bestFit="1" customWidth="1"/>
    <col min="5396" max="5396" width="14.83203125" style="238" bestFit="1" customWidth="1"/>
    <col min="5397" max="5397" width="15.5" style="238" bestFit="1" customWidth="1"/>
    <col min="5398" max="5398" width="14.33203125" style="238" bestFit="1" customWidth="1"/>
    <col min="5399" max="5399" width="15.5" style="238" bestFit="1" customWidth="1"/>
    <col min="5400" max="5612" width="9.33203125" style="238"/>
    <col min="5613" max="5613" width="5.83203125" style="238" bestFit="1" customWidth="1"/>
    <col min="5614" max="5614" width="43.6640625" style="238" customWidth="1"/>
    <col min="5615" max="5615" width="19.83203125" style="238" bestFit="1" customWidth="1"/>
    <col min="5616" max="5616" width="22" style="238" bestFit="1" customWidth="1"/>
    <col min="5617" max="5617" width="20.5" style="238" bestFit="1" customWidth="1"/>
    <col min="5618" max="5618" width="24.83203125" style="238" customWidth="1"/>
    <col min="5619" max="5619" width="23.33203125" style="238" customWidth="1"/>
    <col min="5620" max="5620" width="2.83203125" style="238" customWidth="1"/>
    <col min="5621" max="5621" width="17.33203125" style="238" bestFit="1" customWidth="1"/>
    <col min="5622" max="5622" width="26.83203125" style="238" customWidth="1"/>
    <col min="5623" max="5623" width="22.33203125" style="238" customWidth="1"/>
    <col min="5624" max="5624" width="22.6640625" style="238" bestFit="1" customWidth="1"/>
    <col min="5625" max="5625" width="26.83203125" style="238" customWidth="1"/>
    <col min="5626" max="5627" width="26.33203125" style="238" customWidth="1"/>
    <col min="5628" max="5628" width="28" style="238" bestFit="1" customWidth="1"/>
    <col min="5629" max="5629" width="18.6640625" style="238" customWidth="1"/>
    <col min="5630" max="5630" width="32.33203125" style="238" customWidth="1"/>
    <col min="5631" max="5631" width="26.33203125" style="238" bestFit="1" customWidth="1"/>
    <col min="5632" max="5632" width="23.6640625" style="238" customWidth="1"/>
    <col min="5633" max="5633" width="27" style="238" customWidth="1"/>
    <col min="5634" max="5634" width="15.5" style="238" bestFit="1" customWidth="1"/>
    <col min="5635" max="5635" width="23.6640625" style="238" customWidth="1"/>
    <col min="5636" max="5636" width="15.33203125" style="238" bestFit="1" customWidth="1"/>
    <col min="5637" max="5637" width="20.83203125" style="238" bestFit="1" customWidth="1"/>
    <col min="5638" max="5638" width="16.6640625" style="238" customWidth="1"/>
    <col min="5639" max="5639" width="27.5" style="238" customWidth="1"/>
    <col min="5640" max="5640" width="20.6640625" style="238" customWidth="1"/>
    <col min="5641" max="5641" width="26.5" style="238" bestFit="1" customWidth="1"/>
    <col min="5642" max="5642" width="24.83203125" style="238" customWidth="1"/>
    <col min="5643" max="5643" width="22.33203125" style="238" customWidth="1"/>
    <col min="5644" max="5646" width="23.6640625" style="238" customWidth="1"/>
    <col min="5647" max="5647" width="24.83203125" style="238" bestFit="1" customWidth="1"/>
    <col min="5648" max="5648" width="20.5" style="238" bestFit="1" customWidth="1"/>
    <col min="5649" max="5649" width="9.33203125" style="238"/>
    <col min="5650" max="5650" width="31" style="238" customWidth="1"/>
    <col min="5651" max="5651" width="15.5" style="238" bestFit="1" customWidth="1"/>
    <col min="5652" max="5652" width="14.83203125" style="238" bestFit="1" customWidth="1"/>
    <col min="5653" max="5653" width="15.5" style="238" bestFit="1" customWidth="1"/>
    <col min="5654" max="5654" width="14.33203125" style="238" bestFit="1" customWidth="1"/>
    <col min="5655" max="5655" width="15.5" style="238" bestFit="1" customWidth="1"/>
    <col min="5656" max="5868" width="9.33203125" style="238"/>
    <col min="5869" max="5869" width="5.83203125" style="238" bestFit="1" customWidth="1"/>
    <col min="5870" max="5870" width="43.6640625" style="238" customWidth="1"/>
    <col min="5871" max="5871" width="19.83203125" style="238" bestFit="1" customWidth="1"/>
    <col min="5872" max="5872" width="22" style="238" bestFit="1" customWidth="1"/>
    <col min="5873" max="5873" width="20.5" style="238" bestFit="1" customWidth="1"/>
    <col min="5874" max="5874" width="24.83203125" style="238" customWidth="1"/>
    <col min="5875" max="5875" width="23.33203125" style="238" customWidth="1"/>
    <col min="5876" max="5876" width="2.83203125" style="238" customWidth="1"/>
    <col min="5877" max="5877" width="17.33203125" style="238" bestFit="1" customWidth="1"/>
    <col min="5878" max="5878" width="26.83203125" style="238" customWidth="1"/>
    <col min="5879" max="5879" width="22.33203125" style="238" customWidth="1"/>
    <col min="5880" max="5880" width="22.6640625" style="238" bestFit="1" customWidth="1"/>
    <col min="5881" max="5881" width="26.83203125" style="238" customWidth="1"/>
    <col min="5882" max="5883" width="26.33203125" style="238" customWidth="1"/>
    <col min="5884" max="5884" width="28" style="238" bestFit="1" customWidth="1"/>
    <col min="5885" max="5885" width="18.6640625" style="238" customWidth="1"/>
    <col min="5886" max="5886" width="32.33203125" style="238" customWidth="1"/>
    <col min="5887" max="5887" width="26.33203125" style="238" bestFit="1" customWidth="1"/>
    <col min="5888" max="5888" width="23.6640625" style="238" customWidth="1"/>
    <col min="5889" max="5889" width="27" style="238" customWidth="1"/>
    <col min="5890" max="5890" width="15.5" style="238" bestFit="1" customWidth="1"/>
    <col min="5891" max="5891" width="23.6640625" style="238" customWidth="1"/>
    <col min="5892" max="5892" width="15.33203125" style="238" bestFit="1" customWidth="1"/>
    <col min="5893" max="5893" width="20.83203125" style="238" bestFit="1" customWidth="1"/>
    <col min="5894" max="5894" width="16.6640625" style="238" customWidth="1"/>
    <col min="5895" max="5895" width="27.5" style="238" customWidth="1"/>
    <col min="5896" max="5896" width="20.6640625" style="238" customWidth="1"/>
    <col min="5897" max="5897" width="26.5" style="238" bestFit="1" customWidth="1"/>
    <col min="5898" max="5898" width="24.83203125" style="238" customWidth="1"/>
    <col min="5899" max="5899" width="22.33203125" style="238" customWidth="1"/>
    <col min="5900" max="5902" width="23.6640625" style="238" customWidth="1"/>
    <col min="5903" max="5903" width="24.83203125" style="238" bestFit="1" customWidth="1"/>
    <col min="5904" max="5904" width="20.5" style="238" bestFit="1" customWidth="1"/>
    <col min="5905" max="5905" width="9.33203125" style="238"/>
    <col min="5906" max="5906" width="31" style="238" customWidth="1"/>
    <col min="5907" max="5907" width="15.5" style="238" bestFit="1" customWidth="1"/>
    <col min="5908" max="5908" width="14.83203125" style="238" bestFit="1" customWidth="1"/>
    <col min="5909" max="5909" width="15.5" style="238" bestFit="1" customWidth="1"/>
    <col min="5910" max="5910" width="14.33203125" style="238" bestFit="1" customWidth="1"/>
    <col min="5911" max="5911" width="15.5" style="238" bestFit="1" customWidth="1"/>
    <col min="5912" max="6124" width="9.33203125" style="238"/>
    <col min="6125" max="6125" width="5.83203125" style="238" bestFit="1" customWidth="1"/>
    <col min="6126" max="6126" width="43.6640625" style="238" customWidth="1"/>
    <col min="6127" max="6127" width="19.83203125" style="238" bestFit="1" customWidth="1"/>
    <col min="6128" max="6128" width="22" style="238" bestFit="1" customWidth="1"/>
    <col min="6129" max="6129" width="20.5" style="238" bestFit="1" customWidth="1"/>
    <col min="6130" max="6130" width="24.83203125" style="238" customWidth="1"/>
    <col min="6131" max="6131" width="23.33203125" style="238" customWidth="1"/>
    <col min="6132" max="6132" width="2.83203125" style="238" customWidth="1"/>
    <col min="6133" max="6133" width="17.33203125" style="238" bestFit="1" customWidth="1"/>
    <col min="6134" max="6134" width="26.83203125" style="238" customWidth="1"/>
    <col min="6135" max="6135" width="22.33203125" style="238" customWidth="1"/>
    <col min="6136" max="6136" width="22.6640625" style="238" bestFit="1" customWidth="1"/>
    <col min="6137" max="6137" width="26.83203125" style="238" customWidth="1"/>
    <col min="6138" max="6139" width="26.33203125" style="238" customWidth="1"/>
    <col min="6140" max="6140" width="28" style="238" bestFit="1" customWidth="1"/>
    <col min="6141" max="6141" width="18.6640625" style="238" customWidth="1"/>
    <col min="6142" max="6142" width="32.33203125" style="238" customWidth="1"/>
    <col min="6143" max="6143" width="26.33203125" style="238" bestFit="1" customWidth="1"/>
    <col min="6144" max="6144" width="23.6640625" style="238" customWidth="1"/>
    <col min="6145" max="6145" width="27" style="238" customWidth="1"/>
    <col min="6146" max="6146" width="15.5" style="238" bestFit="1" customWidth="1"/>
    <col min="6147" max="6147" width="23.6640625" style="238" customWidth="1"/>
    <col min="6148" max="6148" width="15.33203125" style="238" bestFit="1" customWidth="1"/>
    <col min="6149" max="6149" width="20.83203125" style="238" bestFit="1" customWidth="1"/>
    <col min="6150" max="6150" width="16.6640625" style="238" customWidth="1"/>
    <col min="6151" max="6151" width="27.5" style="238" customWidth="1"/>
    <col min="6152" max="6152" width="20.6640625" style="238" customWidth="1"/>
    <col min="6153" max="6153" width="26.5" style="238" bestFit="1" customWidth="1"/>
    <col min="6154" max="6154" width="24.83203125" style="238" customWidth="1"/>
    <col min="6155" max="6155" width="22.33203125" style="238" customWidth="1"/>
    <col min="6156" max="6158" width="23.6640625" style="238" customWidth="1"/>
    <col min="6159" max="6159" width="24.83203125" style="238" bestFit="1" customWidth="1"/>
    <col min="6160" max="6160" width="20.5" style="238" bestFit="1" customWidth="1"/>
    <col min="6161" max="6161" width="9.33203125" style="238"/>
    <col min="6162" max="6162" width="31" style="238" customWidth="1"/>
    <col min="6163" max="6163" width="15.5" style="238" bestFit="1" customWidth="1"/>
    <col min="6164" max="6164" width="14.83203125" style="238" bestFit="1" customWidth="1"/>
    <col min="6165" max="6165" width="15.5" style="238" bestFit="1" customWidth="1"/>
    <col min="6166" max="6166" width="14.33203125" style="238" bestFit="1" customWidth="1"/>
    <col min="6167" max="6167" width="15.5" style="238" bestFit="1" customWidth="1"/>
    <col min="6168" max="6380" width="9.33203125" style="238"/>
    <col min="6381" max="6381" width="5.83203125" style="238" bestFit="1" customWidth="1"/>
    <col min="6382" max="6382" width="43.6640625" style="238" customWidth="1"/>
    <col min="6383" max="6383" width="19.83203125" style="238" bestFit="1" customWidth="1"/>
    <col min="6384" max="6384" width="22" style="238" bestFit="1" customWidth="1"/>
    <col min="6385" max="6385" width="20.5" style="238" bestFit="1" customWidth="1"/>
    <col min="6386" max="6386" width="24.83203125" style="238" customWidth="1"/>
    <col min="6387" max="6387" width="23.33203125" style="238" customWidth="1"/>
    <col min="6388" max="6388" width="2.83203125" style="238" customWidth="1"/>
    <col min="6389" max="6389" width="17.33203125" style="238" bestFit="1" customWidth="1"/>
    <col min="6390" max="6390" width="26.83203125" style="238" customWidth="1"/>
    <col min="6391" max="6391" width="22.33203125" style="238" customWidth="1"/>
    <col min="6392" max="6392" width="22.6640625" style="238" bestFit="1" customWidth="1"/>
    <col min="6393" max="6393" width="26.83203125" style="238" customWidth="1"/>
    <col min="6394" max="6395" width="26.33203125" style="238" customWidth="1"/>
    <col min="6396" max="6396" width="28" style="238" bestFit="1" customWidth="1"/>
    <col min="6397" max="6397" width="18.6640625" style="238" customWidth="1"/>
    <col min="6398" max="6398" width="32.33203125" style="238" customWidth="1"/>
    <col min="6399" max="6399" width="26.33203125" style="238" bestFit="1" customWidth="1"/>
    <col min="6400" max="6400" width="23.6640625" style="238" customWidth="1"/>
    <col min="6401" max="6401" width="27" style="238" customWidth="1"/>
    <col min="6402" max="6402" width="15.5" style="238" bestFit="1" customWidth="1"/>
    <col min="6403" max="6403" width="23.6640625" style="238" customWidth="1"/>
    <col min="6404" max="6404" width="15.33203125" style="238" bestFit="1" customWidth="1"/>
    <col min="6405" max="6405" width="20.83203125" style="238" bestFit="1" customWidth="1"/>
    <col min="6406" max="6406" width="16.6640625" style="238" customWidth="1"/>
    <col min="6407" max="6407" width="27.5" style="238" customWidth="1"/>
    <col min="6408" max="6408" width="20.6640625" style="238" customWidth="1"/>
    <col min="6409" max="6409" width="26.5" style="238" bestFit="1" customWidth="1"/>
    <col min="6410" max="6410" width="24.83203125" style="238" customWidth="1"/>
    <col min="6411" max="6411" width="22.33203125" style="238" customWidth="1"/>
    <col min="6412" max="6414" width="23.6640625" style="238" customWidth="1"/>
    <col min="6415" max="6415" width="24.83203125" style="238" bestFit="1" customWidth="1"/>
    <col min="6416" max="6416" width="20.5" style="238" bestFit="1" customWidth="1"/>
    <col min="6417" max="6417" width="9.33203125" style="238"/>
    <col min="6418" max="6418" width="31" style="238" customWidth="1"/>
    <col min="6419" max="6419" width="15.5" style="238" bestFit="1" customWidth="1"/>
    <col min="6420" max="6420" width="14.83203125" style="238" bestFit="1" customWidth="1"/>
    <col min="6421" max="6421" width="15.5" style="238" bestFit="1" customWidth="1"/>
    <col min="6422" max="6422" width="14.33203125" style="238" bestFit="1" customWidth="1"/>
    <col min="6423" max="6423" width="15.5" style="238" bestFit="1" customWidth="1"/>
    <col min="6424" max="6636" width="9.33203125" style="238"/>
    <col min="6637" max="6637" width="5.83203125" style="238" bestFit="1" customWidth="1"/>
    <col min="6638" max="6638" width="43.6640625" style="238" customWidth="1"/>
    <col min="6639" max="6639" width="19.83203125" style="238" bestFit="1" customWidth="1"/>
    <col min="6640" max="6640" width="22" style="238" bestFit="1" customWidth="1"/>
    <col min="6641" max="6641" width="20.5" style="238" bestFit="1" customWidth="1"/>
    <col min="6642" max="6642" width="24.83203125" style="238" customWidth="1"/>
    <col min="6643" max="6643" width="23.33203125" style="238" customWidth="1"/>
    <col min="6644" max="6644" width="2.83203125" style="238" customWidth="1"/>
    <col min="6645" max="6645" width="17.33203125" style="238" bestFit="1" customWidth="1"/>
    <col min="6646" max="6646" width="26.83203125" style="238" customWidth="1"/>
    <col min="6647" max="6647" width="22.33203125" style="238" customWidth="1"/>
    <col min="6648" max="6648" width="22.6640625" style="238" bestFit="1" customWidth="1"/>
    <col min="6649" max="6649" width="26.83203125" style="238" customWidth="1"/>
    <col min="6650" max="6651" width="26.33203125" style="238" customWidth="1"/>
    <col min="6652" max="6652" width="28" style="238" bestFit="1" customWidth="1"/>
    <col min="6653" max="6653" width="18.6640625" style="238" customWidth="1"/>
    <col min="6654" max="6654" width="32.33203125" style="238" customWidth="1"/>
    <col min="6655" max="6655" width="26.33203125" style="238" bestFit="1" customWidth="1"/>
    <col min="6656" max="6656" width="23.6640625" style="238" customWidth="1"/>
    <col min="6657" max="6657" width="27" style="238" customWidth="1"/>
    <col min="6658" max="6658" width="15.5" style="238" bestFit="1" customWidth="1"/>
    <col min="6659" max="6659" width="23.6640625" style="238" customWidth="1"/>
    <col min="6660" max="6660" width="15.33203125" style="238" bestFit="1" customWidth="1"/>
    <col min="6661" max="6661" width="20.83203125" style="238" bestFit="1" customWidth="1"/>
    <col min="6662" max="6662" width="16.6640625" style="238" customWidth="1"/>
    <col min="6663" max="6663" width="27.5" style="238" customWidth="1"/>
    <col min="6664" max="6664" width="20.6640625" style="238" customWidth="1"/>
    <col min="6665" max="6665" width="26.5" style="238" bestFit="1" customWidth="1"/>
    <col min="6666" max="6666" width="24.83203125" style="238" customWidth="1"/>
    <col min="6667" max="6667" width="22.33203125" style="238" customWidth="1"/>
    <col min="6668" max="6670" width="23.6640625" style="238" customWidth="1"/>
    <col min="6671" max="6671" width="24.83203125" style="238" bestFit="1" customWidth="1"/>
    <col min="6672" max="6672" width="20.5" style="238" bestFit="1" customWidth="1"/>
    <col min="6673" max="6673" width="9.33203125" style="238"/>
    <col min="6674" max="6674" width="31" style="238" customWidth="1"/>
    <col min="6675" max="6675" width="15.5" style="238" bestFit="1" customWidth="1"/>
    <col min="6676" max="6676" width="14.83203125" style="238" bestFit="1" customWidth="1"/>
    <col min="6677" max="6677" width="15.5" style="238" bestFit="1" customWidth="1"/>
    <col min="6678" max="6678" width="14.33203125" style="238" bestFit="1" customWidth="1"/>
    <col min="6679" max="6679" width="15.5" style="238" bestFit="1" customWidth="1"/>
    <col min="6680" max="6892" width="9.33203125" style="238"/>
    <col min="6893" max="6893" width="5.83203125" style="238" bestFit="1" customWidth="1"/>
    <col min="6894" max="6894" width="43.6640625" style="238" customWidth="1"/>
    <col min="6895" max="6895" width="19.83203125" style="238" bestFit="1" customWidth="1"/>
    <col min="6896" max="6896" width="22" style="238" bestFit="1" customWidth="1"/>
    <col min="6897" max="6897" width="20.5" style="238" bestFit="1" customWidth="1"/>
    <col min="6898" max="6898" width="24.83203125" style="238" customWidth="1"/>
    <col min="6899" max="6899" width="23.33203125" style="238" customWidth="1"/>
    <col min="6900" max="6900" width="2.83203125" style="238" customWidth="1"/>
    <col min="6901" max="6901" width="17.33203125" style="238" bestFit="1" customWidth="1"/>
    <col min="6902" max="6902" width="26.83203125" style="238" customWidth="1"/>
    <col min="6903" max="6903" width="22.33203125" style="238" customWidth="1"/>
    <col min="6904" max="6904" width="22.6640625" style="238" bestFit="1" customWidth="1"/>
    <col min="6905" max="6905" width="26.83203125" style="238" customWidth="1"/>
    <col min="6906" max="6907" width="26.33203125" style="238" customWidth="1"/>
    <col min="6908" max="6908" width="28" style="238" bestFit="1" customWidth="1"/>
    <col min="6909" max="6909" width="18.6640625" style="238" customWidth="1"/>
    <col min="6910" max="6910" width="32.33203125" style="238" customWidth="1"/>
    <col min="6911" max="6911" width="26.33203125" style="238" bestFit="1" customWidth="1"/>
    <col min="6912" max="6912" width="23.6640625" style="238" customWidth="1"/>
    <col min="6913" max="6913" width="27" style="238" customWidth="1"/>
    <col min="6914" max="6914" width="15.5" style="238" bestFit="1" customWidth="1"/>
    <col min="6915" max="6915" width="23.6640625" style="238" customWidth="1"/>
    <col min="6916" max="6916" width="15.33203125" style="238" bestFit="1" customWidth="1"/>
    <col min="6917" max="6917" width="20.83203125" style="238" bestFit="1" customWidth="1"/>
    <col min="6918" max="6918" width="16.6640625" style="238" customWidth="1"/>
    <col min="6919" max="6919" width="27.5" style="238" customWidth="1"/>
    <col min="6920" max="6920" width="20.6640625" style="238" customWidth="1"/>
    <col min="6921" max="6921" width="26.5" style="238" bestFit="1" customWidth="1"/>
    <col min="6922" max="6922" width="24.83203125" style="238" customWidth="1"/>
    <col min="6923" max="6923" width="22.33203125" style="238" customWidth="1"/>
    <col min="6924" max="6926" width="23.6640625" style="238" customWidth="1"/>
    <col min="6927" max="6927" width="24.83203125" style="238" bestFit="1" customWidth="1"/>
    <col min="6928" max="6928" width="20.5" style="238" bestFit="1" customWidth="1"/>
    <col min="6929" max="6929" width="9.33203125" style="238"/>
    <col min="6930" max="6930" width="31" style="238" customWidth="1"/>
    <col min="6931" max="6931" width="15.5" style="238" bestFit="1" customWidth="1"/>
    <col min="6932" max="6932" width="14.83203125" style="238" bestFit="1" customWidth="1"/>
    <col min="6933" max="6933" width="15.5" style="238" bestFit="1" customWidth="1"/>
    <col min="6934" max="6934" width="14.33203125" style="238" bestFit="1" customWidth="1"/>
    <col min="6935" max="6935" width="15.5" style="238" bestFit="1" customWidth="1"/>
    <col min="6936" max="7148" width="9.33203125" style="238"/>
    <col min="7149" max="7149" width="5.83203125" style="238" bestFit="1" customWidth="1"/>
    <col min="7150" max="7150" width="43.6640625" style="238" customWidth="1"/>
    <col min="7151" max="7151" width="19.83203125" style="238" bestFit="1" customWidth="1"/>
    <col min="7152" max="7152" width="22" style="238" bestFit="1" customWidth="1"/>
    <col min="7153" max="7153" width="20.5" style="238" bestFit="1" customWidth="1"/>
    <col min="7154" max="7154" width="24.83203125" style="238" customWidth="1"/>
    <col min="7155" max="7155" width="23.33203125" style="238" customWidth="1"/>
    <col min="7156" max="7156" width="2.83203125" style="238" customWidth="1"/>
    <col min="7157" max="7157" width="17.33203125" style="238" bestFit="1" customWidth="1"/>
    <col min="7158" max="7158" width="26.83203125" style="238" customWidth="1"/>
    <col min="7159" max="7159" width="22.33203125" style="238" customWidth="1"/>
    <col min="7160" max="7160" width="22.6640625" style="238" bestFit="1" customWidth="1"/>
    <col min="7161" max="7161" width="26.83203125" style="238" customWidth="1"/>
    <col min="7162" max="7163" width="26.33203125" style="238" customWidth="1"/>
    <col min="7164" max="7164" width="28" style="238" bestFit="1" customWidth="1"/>
    <col min="7165" max="7165" width="18.6640625" style="238" customWidth="1"/>
    <col min="7166" max="7166" width="32.33203125" style="238" customWidth="1"/>
    <col min="7167" max="7167" width="26.33203125" style="238" bestFit="1" customWidth="1"/>
    <col min="7168" max="7168" width="23.6640625" style="238" customWidth="1"/>
    <col min="7169" max="7169" width="27" style="238" customWidth="1"/>
    <col min="7170" max="7170" width="15.5" style="238" bestFit="1" customWidth="1"/>
    <col min="7171" max="7171" width="23.6640625" style="238" customWidth="1"/>
    <col min="7172" max="7172" width="15.33203125" style="238" bestFit="1" customWidth="1"/>
    <col min="7173" max="7173" width="20.83203125" style="238" bestFit="1" customWidth="1"/>
    <col min="7174" max="7174" width="16.6640625" style="238" customWidth="1"/>
    <col min="7175" max="7175" width="27.5" style="238" customWidth="1"/>
    <col min="7176" max="7176" width="20.6640625" style="238" customWidth="1"/>
    <col min="7177" max="7177" width="26.5" style="238" bestFit="1" customWidth="1"/>
    <col min="7178" max="7178" width="24.83203125" style="238" customWidth="1"/>
    <col min="7179" max="7179" width="22.33203125" style="238" customWidth="1"/>
    <col min="7180" max="7182" width="23.6640625" style="238" customWidth="1"/>
    <col min="7183" max="7183" width="24.83203125" style="238" bestFit="1" customWidth="1"/>
    <col min="7184" max="7184" width="20.5" style="238" bestFit="1" customWidth="1"/>
    <col min="7185" max="7185" width="9.33203125" style="238"/>
    <col min="7186" max="7186" width="31" style="238" customWidth="1"/>
    <col min="7187" max="7187" width="15.5" style="238" bestFit="1" customWidth="1"/>
    <col min="7188" max="7188" width="14.83203125" style="238" bestFit="1" customWidth="1"/>
    <col min="7189" max="7189" width="15.5" style="238" bestFit="1" customWidth="1"/>
    <col min="7190" max="7190" width="14.33203125" style="238" bestFit="1" customWidth="1"/>
    <col min="7191" max="7191" width="15.5" style="238" bestFit="1" customWidth="1"/>
    <col min="7192" max="7404" width="9.33203125" style="238"/>
    <col min="7405" max="7405" width="5.83203125" style="238" bestFit="1" customWidth="1"/>
    <col min="7406" max="7406" width="43.6640625" style="238" customWidth="1"/>
    <col min="7407" max="7407" width="19.83203125" style="238" bestFit="1" customWidth="1"/>
    <col min="7408" max="7408" width="22" style="238" bestFit="1" customWidth="1"/>
    <col min="7409" max="7409" width="20.5" style="238" bestFit="1" customWidth="1"/>
    <col min="7410" max="7410" width="24.83203125" style="238" customWidth="1"/>
    <col min="7411" max="7411" width="23.33203125" style="238" customWidth="1"/>
    <col min="7412" max="7412" width="2.83203125" style="238" customWidth="1"/>
    <col min="7413" max="7413" width="17.33203125" style="238" bestFit="1" customWidth="1"/>
    <col min="7414" max="7414" width="26.83203125" style="238" customWidth="1"/>
    <col min="7415" max="7415" width="22.33203125" style="238" customWidth="1"/>
    <col min="7416" max="7416" width="22.6640625" style="238" bestFit="1" customWidth="1"/>
    <col min="7417" max="7417" width="26.83203125" style="238" customWidth="1"/>
    <col min="7418" max="7419" width="26.33203125" style="238" customWidth="1"/>
    <col min="7420" max="7420" width="28" style="238" bestFit="1" customWidth="1"/>
    <col min="7421" max="7421" width="18.6640625" style="238" customWidth="1"/>
    <col min="7422" max="7422" width="32.33203125" style="238" customWidth="1"/>
    <col min="7423" max="7423" width="26.33203125" style="238" bestFit="1" customWidth="1"/>
    <col min="7424" max="7424" width="23.6640625" style="238" customWidth="1"/>
    <col min="7425" max="7425" width="27" style="238" customWidth="1"/>
    <col min="7426" max="7426" width="15.5" style="238" bestFit="1" customWidth="1"/>
    <col min="7427" max="7427" width="23.6640625" style="238" customWidth="1"/>
    <col min="7428" max="7428" width="15.33203125" style="238" bestFit="1" customWidth="1"/>
    <col min="7429" max="7429" width="20.83203125" style="238" bestFit="1" customWidth="1"/>
    <col min="7430" max="7430" width="16.6640625" style="238" customWidth="1"/>
    <col min="7431" max="7431" width="27.5" style="238" customWidth="1"/>
    <col min="7432" max="7432" width="20.6640625" style="238" customWidth="1"/>
    <col min="7433" max="7433" width="26.5" style="238" bestFit="1" customWidth="1"/>
    <col min="7434" max="7434" width="24.83203125" style="238" customWidth="1"/>
    <col min="7435" max="7435" width="22.33203125" style="238" customWidth="1"/>
    <col min="7436" max="7438" width="23.6640625" style="238" customWidth="1"/>
    <col min="7439" max="7439" width="24.83203125" style="238" bestFit="1" customWidth="1"/>
    <col min="7440" max="7440" width="20.5" style="238" bestFit="1" customWidth="1"/>
    <col min="7441" max="7441" width="9.33203125" style="238"/>
    <col min="7442" max="7442" width="31" style="238" customWidth="1"/>
    <col min="7443" max="7443" width="15.5" style="238" bestFit="1" customWidth="1"/>
    <col min="7444" max="7444" width="14.83203125" style="238" bestFit="1" customWidth="1"/>
    <col min="7445" max="7445" width="15.5" style="238" bestFit="1" customWidth="1"/>
    <col min="7446" max="7446" width="14.33203125" style="238" bestFit="1" customWidth="1"/>
    <col min="7447" max="7447" width="15.5" style="238" bestFit="1" customWidth="1"/>
    <col min="7448" max="7660" width="9.33203125" style="238"/>
    <col min="7661" max="7661" width="5.83203125" style="238" bestFit="1" customWidth="1"/>
    <col min="7662" max="7662" width="43.6640625" style="238" customWidth="1"/>
    <col min="7663" max="7663" width="19.83203125" style="238" bestFit="1" customWidth="1"/>
    <col min="7664" max="7664" width="22" style="238" bestFit="1" customWidth="1"/>
    <col min="7665" max="7665" width="20.5" style="238" bestFit="1" customWidth="1"/>
    <col min="7666" max="7666" width="24.83203125" style="238" customWidth="1"/>
    <col min="7667" max="7667" width="23.33203125" style="238" customWidth="1"/>
    <col min="7668" max="7668" width="2.83203125" style="238" customWidth="1"/>
    <col min="7669" max="7669" width="17.33203125" style="238" bestFit="1" customWidth="1"/>
    <col min="7670" max="7670" width="26.83203125" style="238" customWidth="1"/>
    <col min="7671" max="7671" width="22.33203125" style="238" customWidth="1"/>
    <col min="7672" max="7672" width="22.6640625" style="238" bestFit="1" customWidth="1"/>
    <col min="7673" max="7673" width="26.83203125" style="238" customWidth="1"/>
    <col min="7674" max="7675" width="26.33203125" style="238" customWidth="1"/>
    <col min="7676" max="7676" width="28" style="238" bestFit="1" customWidth="1"/>
    <col min="7677" max="7677" width="18.6640625" style="238" customWidth="1"/>
    <col min="7678" max="7678" width="32.33203125" style="238" customWidth="1"/>
    <col min="7679" max="7679" width="26.33203125" style="238" bestFit="1" customWidth="1"/>
    <col min="7680" max="7680" width="23.6640625" style="238" customWidth="1"/>
    <col min="7681" max="7681" width="27" style="238" customWidth="1"/>
    <col min="7682" max="7682" width="15.5" style="238" bestFit="1" customWidth="1"/>
    <col min="7683" max="7683" width="23.6640625" style="238" customWidth="1"/>
    <col min="7684" max="7684" width="15.33203125" style="238" bestFit="1" customWidth="1"/>
    <col min="7685" max="7685" width="20.83203125" style="238" bestFit="1" customWidth="1"/>
    <col min="7686" max="7686" width="16.6640625" style="238" customWidth="1"/>
    <col min="7687" max="7687" width="27.5" style="238" customWidth="1"/>
    <col min="7688" max="7688" width="20.6640625" style="238" customWidth="1"/>
    <col min="7689" max="7689" width="26.5" style="238" bestFit="1" customWidth="1"/>
    <col min="7690" max="7690" width="24.83203125" style="238" customWidth="1"/>
    <col min="7691" max="7691" width="22.33203125" style="238" customWidth="1"/>
    <col min="7692" max="7694" width="23.6640625" style="238" customWidth="1"/>
    <col min="7695" max="7695" width="24.83203125" style="238" bestFit="1" customWidth="1"/>
    <col min="7696" max="7696" width="20.5" style="238" bestFit="1" customWidth="1"/>
    <col min="7697" max="7697" width="9.33203125" style="238"/>
    <col min="7698" max="7698" width="31" style="238" customWidth="1"/>
    <col min="7699" max="7699" width="15.5" style="238" bestFit="1" customWidth="1"/>
    <col min="7700" max="7700" width="14.83203125" style="238" bestFit="1" customWidth="1"/>
    <col min="7701" max="7701" width="15.5" style="238" bestFit="1" customWidth="1"/>
    <col min="7702" max="7702" width="14.33203125" style="238" bestFit="1" customWidth="1"/>
    <col min="7703" max="7703" width="15.5" style="238" bestFit="1" customWidth="1"/>
    <col min="7704" max="7916" width="9.33203125" style="238"/>
    <col min="7917" max="7917" width="5.83203125" style="238" bestFit="1" customWidth="1"/>
    <col min="7918" max="7918" width="43.6640625" style="238" customWidth="1"/>
    <col min="7919" max="7919" width="19.83203125" style="238" bestFit="1" customWidth="1"/>
    <col min="7920" max="7920" width="22" style="238" bestFit="1" customWidth="1"/>
    <col min="7921" max="7921" width="20.5" style="238" bestFit="1" customWidth="1"/>
    <col min="7922" max="7922" width="24.83203125" style="238" customWidth="1"/>
    <col min="7923" max="7923" width="23.33203125" style="238" customWidth="1"/>
    <col min="7924" max="7924" width="2.83203125" style="238" customWidth="1"/>
    <col min="7925" max="7925" width="17.33203125" style="238" bestFit="1" customWidth="1"/>
    <col min="7926" max="7926" width="26.83203125" style="238" customWidth="1"/>
    <col min="7927" max="7927" width="22.33203125" style="238" customWidth="1"/>
    <col min="7928" max="7928" width="22.6640625" style="238" bestFit="1" customWidth="1"/>
    <col min="7929" max="7929" width="26.83203125" style="238" customWidth="1"/>
    <col min="7930" max="7931" width="26.33203125" style="238" customWidth="1"/>
    <col min="7932" max="7932" width="28" style="238" bestFit="1" customWidth="1"/>
    <col min="7933" max="7933" width="18.6640625" style="238" customWidth="1"/>
    <col min="7934" max="7934" width="32.33203125" style="238" customWidth="1"/>
    <col min="7935" max="7935" width="26.33203125" style="238" bestFit="1" customWidth="1"/>
    <col min="7936" max="7936" width="23.6640625" style="238" customWidth="1"/>
    <col min="7937" max="7937" width="27" style="238" customWidth="1"/>
    <col min="7938" max="7938" width="15.5" style="238" bestFit="1" customWidth="1"/>
    <col min="7939" max="7939" width="23.6640625" style="238" customWidth="1"/>
    <col min="7940" max="7940" width="15.33203125" style="238" bestFit="1" customWidth="1"/>
    <col min="7941" max="7941" width="20.83203125" style="238" bestFit="1" customWidth="1"/>
    <col min="7942" max="7942" width="16.6640625" style="238" customWidth="1"/>
    <col min="7943" max="7943" width="27.5" style="238" customWidth="1"/>
    <col min="7944" max="7944" width="20.6640625" style="238" customWidth="1"/>
    <col min="7945" max="7945" width="26.5" style="238" bestFit="1" customWidth="1"/>
    <col min="7946" max="7946" width="24.83203125" style="238" customWidth="1"/>
    <col min="7947" max="7947" width="22.33203125" style="238" customWidth="1"/>
    <col min="7948" max="7950" width="23.6640625" style="238" customWidth="1"/>
    <col min="7951" max="7951" width="24.83203125" style="238" bestFit="1" customWidth="1"/>
    <col min="7952" max="7952" width="20.5" style="238" bestFit="1" customWidth="1"/>
    <col min="7953" max="7953" width="9.33203125" style="238"/>
    <col min="7954" max="7954" width="31" style="238" customWidth="1"/>
    <col min="7955" max="7955" width="15.5" style="238" bestFit="1" customWidth="1"/>
    <col min="7956" max="7956" width="14.83203125" style="238" bestFit="1" customWidth="1"/>
    <col min="7957" max="7957" width="15.5" style="238" bestFit="1" customWidth="1"/>
    <col min="7958" max="7958" width="14.33203125" style="238" bestFit="1" customWidth="1"/>
    <col min="7959" max="7959" width="15.5" style="238" bestFit="1" customWidth="1"/>
    <col min="7960" max="8172" width="9.33203125" style="238"/>
    <col min="8173" max="8173" width="5.83203125" style="238" bestFit="1" customWidth="1"/>
    <col min="8174" max="8174" width="43.6640625" style="238" customWidth="1"/>
    <col min="8175" max="8175" width="19.83203125" style="238" bestFit="1" customWidth="1"/>
    <col min="8176" max="8176" width="22" style="238" bestFit="1" customWidth="1"/>
    <col min="8177" max="8177" width="20.5" style="238" bestFit="1" customWidth="1"/>
    <col min="8178" max="8178" width="24.83203125" style="238" customWidth="1"/>
    <col min="8179" max="8179" width="23.33203125" style="238" customWidth="1"/>
    <col min="8180" max="8180" width="2.83203125" style="238" customWidth="1"/>
    <col min="8181" max="8181" width="17.33203125" style="238" bestFit="1" customWidth="1"/>
    <col min="8182" max="8182" width="26.83203125" style="238" customWidth="1"/>
    <col min="8183" max="8183" width="22.33203125" style="238" customWidth="1"/>
    <col min="8184" max="8184" width="22.6640625" style="238" bestFit="1" customWidth="1"/>
    <col min="8185" max="8185" width="26.83203125" style="238" customWidth="1"/>
    <col min="8186" max="8187" width="26.33203125" style="238" customWidth="1"/>
    <col min="8188" max="8188" width="28" style="238" bestFit="1" customWidth="1"/>
    <col min="8189" max="8189" width="18.6640625" style="238" customWidth="1"/>
    <col min="8190" max="8190" width="32.33203125" style="238" customWidth="1"/>
    <col min="8191" max="8191" width="26.33203125" style="238" bestFit="1" customWidth="1"/>
    <col min="8192" max="8192" width="23.6640625" style="238" customWidth="1"/>
    <col min="8193" max="8193" width="27" style="238" customWidth="1"/>
    <col min="8194" max="8194" width="15.5" style="238" bestFit="1" customWidth="1"/>
    <col min="8195" max="8195" width="23.6640625" style="238" customWidth="1"/>
    <col min="8196" max="8196" width="15.33203125" style="238" bestFit="1" customWidth="1"/>
    <col min="8197" max="8197" width="20.83203125" style="238" bestFit="1" customWidth="1"/>
    <col min="8198" max="8198" width="16.6640625" style="238" customWidth="1"/>
    <col min="8199" max="8199" width="27.5" style="238" customWidth="1"/>
    <col min="8200" max="8200" width="20.6640625" style="238" customWidth="1"/>
    <col min="8201" max="8201" width="26.5" style="238" bestFit="1" customWidth="1"/>
    <col min="8202" max="8202" width="24.83203125" style="238" customWidth="1"/>
    <col min="8203" max="8203" width="22.33203125" style="238" customWidth="1"/>
    <col min="8204" max="8206" width="23.6640625" style="238" customWidth="1"/>
    <col min="8207" max="8207" width="24.83203125" style="238" bestFit="1" customWidth="1"/>
    <col min="8208" max="8208" width="20.5" style="238" bestFit="1" customWidth="1"/>
    <col min="8209" max="8209" width="9.33203125" style="238"/>
    <col min="8210" max="8210" width="31" style="238" customWidth="1"/>
    <col min="8211" max="8211" width="15.5" style="238" bestFit="1" customWidth="1"/>
    <col min="8212" max="8212" width="14.83203125" style="238" bestFit="1" customWidth="1"/>
    <col min="8213" max="8213" width="15.5" style="238" bestFit="1" customWidth="1"/>
    <col min="8214" max="8214" width="14.33203125" style="238" bestFit="1" customWidth="1"/>
    <col min="8215" max="8215" width="15.5" style="238" bestFit="1" customWidth="1"/>
    <col min="8216" max="8428" width="9.33203125" style="238"/>
    <col min="8429" max="8429" width="5.83203125" style="238" bestFit="1" customWidth="1"/>
    <col min="8430" max="8430" width="43.6640625" style="238" customWidth="1"/>
    <col min="8431" max="8431" width="19.83203125" style="238" bestFit="1" customWidth="1"/>
    <col min="8432" max="8432" width="22" style="238" bestFit="1" customWidth="1"/>
    <col min="8433" max="8433" width="20.5" style="238" bestFit="1" customWidth="1"/>
    <col min="8434" max="8434" width="24.83203125" style="238" customWidth="1"/>
    <col min="8435" max="8435" width="23.33203125" style="238" customWidth="1"/>
    <col min="8436" max="8436" width="2.83203125" style="238" customWidth="1"/>
    <col min="8437" max="8437" width="17.33203125" style="238" bestFit="1" customWidth="1"/>
    <col min="8438" max="8438" width="26.83203125" style="238" customWidth="1"/>
    <col min="8439" max="8439" width="22.33203125" style="238" customWidth="1"/>
    <col min="8440" max="8440" width="22.6640625" style="238" bestFit="1" customWidth="1"/>
    <col min="8441" max="8441" width="26.83203125" style="238" customWidth="1"/>
    <col min="8442" max="8443" width="26.33203125" style="238" customWidth="1"/>
    <col min="8444" max="8444" width="28" style="238" bestFit="1" customWidth="1"/>
    <col min="8445" max="8445" width="18.6640625" style="238" customWidth="1"/>
    <col min="8446" max="8446" width="32.33203125" style="238" customWidth="1"/>
    <col min="8447" max="8447" width="26.33203125" style="238" bestFit="1" customWidth="1"/>
    <col min="8448" max="8448" width="23.6640625" style="238" customWidth="1"/>
    <col min="8449" max="8449" width="27" style="238" customWidth="1"/>
    <col min="8450" max="8450" width="15.5" style="238" bestFit="1" customWidth="1"/>
    <col min="8451" max="8451" width="23.6640625" style="238" customWidth="1"/>
    <col min="8452" max="8452" width="15.33203125" style="238" bestFit="1" customWidth="1"/>
    <col min="8453" max="8453" width="20.83203125" style="238" bestFit="1" customWidth="1"/>
    <col min="8454" max="8454" width="16.6640625" style="238" customWidth="1"/>
    <col min="8455" max="8455" width="27.5" style="238" customWidth="1"/>
    <col min="8456" max="8456" width="20.6640625" style="238" customWidth="1"/>
    <col min="8457" max="8457" width="26.5" style="238" bestFit="1" customWidth="1"/>
    <col min="8458" max="8458" width="24.83203125" style="238" customWidth="1"/>
    <col min="8459" max="8459" width="22.33203125" style="238" customWidth="1"/>
    <col min="8460" max="8462" width="23.6640625" style="238" customWidth="1"/>
    <col min="8463" max="8463" width="24.83203125" style="238" bestFit="1" customWidth="1"/>
    <col min="8464" max="8464" width="20.5" style="238" bestFit="1" customWidth="1"/>
    <col min="8465" max="8465" width="9.33203125" style="238"/>
    <col min="8466" max="8466" width="31" style="238" customWidth="1"/>
    <col min="8467" max="8467" width="15.5" style="238" bestFit="1" customWidth="1"/>
    <col min="8468" max="8468" width="14.83203125" style="238" bestFit="1" customWidth="1"/>
    <col min="8469" max="8469" width="15.5" style="238" bestFit="1" customWidth="1"/>
    <col min="8470" max="8470" width="14.33203125" style="238" bestFit="1" customWidth="1"/>
    <col min="8471" max="8471" width="15.5" style="238" bestFit="1" customWidth="1"/>
    <col min="8472" max="8684" width="9.33203125" style="238"/>
    <col min="8685" max="8685" width="5.83203125" style="238" bestFit="1" customWidth="1"/>
    <col min="8686" max="8686" width="43.6640625" style="238" customWidth="1"/>
    <col min="8687" max="8687" width="19.83203125" style="238" bestFit="1" customWidth="1"/>
    <col min="8688" max="8688" width="22" style="238" bestFit="1" customWidth="1"/>
    <col min="8689" max="8689" width="20.5" style="238" bestFit="1" customWidth="1"/>
    <col min="8690" max="8690" width="24.83203125" style="238" customWidth="1"/>
    <col min="8691" max="8691" width="23.33203125" style="238" customWidth="1"/>
    <col min="8692" max="8692" width="2.83203125" style="238" customWidth="1"/>
    <col min="8693" max="8693" width="17.33203125" style="238" bestFit="1" customWidth="1"/>
    <col min="8694" max="8694" width="26.83203125" style="238" customWidth="1"/>
    <col min="8695" max="8695" width="22.33203125" style="238" customWidth="1"/>
    <col min="8696" max="8696" width="22.6640625" style="238" bestFit="1" customWidth="1"/>
    <col min="8697" max="8697" width="26.83203125" style="238" customWidth="1"/>
    <col min="8698" max="8699" width="26.33203125" style="238" customWidth="1"/>
    <col min="8700" max="8700" width="28" style="238" bestFit="1" customWidth="1"/>
    <col min="8701" max="8701" width="18.6640625" style="238" customWidth="1"/>
    <col min="8702" max="8702" width="32.33203125" style="238" customWidth="1"/>
    <col min="8703" max="8703" width="26.33203125" style="238" bestFit="1" customWidth="1"/>
    <col min="8704" max="8704" width="23.6640625" style="238" customWidth="1"/>
    <col min="8705" max="8705" width="27" style="238" customWidth="1"/>
    <col min="8706" max="8706" width="15.5" style="238" bestFit="1" customWidth="1"/>
    <col min="8707" max="8707" width="23.6640625" style="238" customWidth="1"/>
    <col min="8708" max="8708" width="15.33203125" style="238" bestFit="1" customWidth="1"/>
    <col min="8709" max="8709" width="20.83203125" style="238" bestFit="1" customWidth="1"/>
    <col min="8710" max="8710" width="16.6640625" style="238" customWidth="1"/>
    <col min="8711" max="8711" width="27.5" style="238" customWidth="1"/>
    <col min="8712" max="8712" width="20.6640625" style="238" customWidth="1"/>
    <col min="8713" max="8713" width="26.5" style="238" bestFit="1" customWidth="1"/>
    <col min="8714" max="8714" width="24.83203125" style="238" customWidth="1"/>
    <col min="8715" max="8715" width="22.33203125" style="238" customWidth="1"/>
    <col min="8716" max="8718" width="23.6640625" style="238" customWidth="1"/>
    <col min="8719" max="8719" width="24.83203125" style="238" bestFit="1" customWidth="1"/>
    <col min="8720" max="8720" width="20.5" style="238" bestFit="1" customWidth="1"/>
    <col min="8721" max="8721" width="9.33203125" style="238"/>
    <col min="8722" max="8722" width="31" style="238" customWidth="1"/>
    <col min="8723" max="8723" width="15.5" style="238" bestFit="1" customWidth="1"/>
    <col min="8724" max="8724" width="14.83203125" style="238" bestFit="1" customWidth="1"/>
    <col min="8725" max="8725" width="15.5" style="238" bestFit="1" customWidth="1"/>
    <col min="8726" max="8726" width="14.33203125" style="238" bestFit="1" customWidth="1"/>
    <col min="8727" max="8727" width="15.5" style="238" bestFit="1" customWidth="1"/>
    <col min="8728" max="8940" width="9.33203125" style="238"/>
    <col min="8941" max="8941" width="5.83203125" style="238" bestFit="1" customWidth="1"/>
    <col min="8942" max="8942" width="43.6640625" style="238" customWidth="1"/>
    <col min="8943" max="8943" width="19.83203125" style="238" bestFit="1" customWidth="1"/>
    <col min="8944" max="8944" width="22" style="238" bestFit="1" customWidth="1"/>
    <col min="8945" max="8945" width="20.5" style="238" bestFit="1" customWidth="1"/>
    <col min="8946" max="8946" width="24.83203125" style="238" customWidth="1"/>
    <col min="8947" max="8947" width="23.33203125" style="238" customWidth="1"/>
    <col min="8948" max="8948" width="2.83203125" style="238" customWidth="1"/>
    <col min="8949" max="8949" width="17.33203125" style="238" bestFit="1" customWidth="1"/>
    <col min="8950" max="8950" width="26.83203125" style="238" customWidth="1"/>
    <col min="8951" max="8951" width="22.33203125" style="238" customWidth="1"/>
    <col min="8952" max="8952" width="22.6640625" style="238" bestFit="1" customWidth="1"/>
    <col min="8953" max="8953" width="26.83203125" style="238" customWidth="1"/>
    <col min="8954" max="8955" width="26.33203125" style="238" customWidth="1"/>
    <col min="8956" max="8956" width="28" style="238" bestFit="1" customWidth="1"/>
    <col min="8957" max="8957" width="18.6640625" style="238" customWidth="1"/>
    <col min="8958" max="8958" width="32.33203125" style="238" customWidth="1"/>
    <col min="8959" max="8959" width="26.33203125" style="238" bestFit="1" customWidth="1"/>
    <col min="8960" max="8960" width="23.6640625" style="238" customWidth="1"/>
    <col min="8961" max="8961" width="27" style="238" customWidth="1"/>
    <col min="8962" max="8962" width="15.5" style="238" bestFit="1" customWidth="1"/>
    <col min="8963" max="8963" width="23.6640625" style="238" customWidth="1"/>
    <col min="8964" max="8964" width="15.33203125" style="238" bestFit="1" customWidth="1"/>
    <col min="8965" max="8965" width="20.83203125" style="238" bestFit="1" customWidth="1"/>
    <col min="8966" max="8966" width="16.6640625" style="238" customWidth="1"/>
    <col min="8967" max="8967" width="27.5" style="238" customWidth="1"/>
    <col min="8968" max="8968" width="20.6640625" style="238" customWidth="1"/>
    <col min="8969" max="8969" width="26.5" style="238" bestFit="1" customWidth="1"/>
    <col min="8970" max="8970" width="24.83203125" style="238" customWidth="1"/>
    <col min="8971" max="8971" width="22.33203125" style="238" customWidth="1"/>
    <col min="8972" max="8974" width="23.6640625" style="238" customWidth="1"/>
    <col min="8975" max="8975" width="24.83203125" style="238" bestFit="1" customWidth="1"/>
    <col min="8976" max="8976" width="20.5" style="238" bestFit="1" customWidth="1"/>
    <col min="8977" max="8977" width="9.33203125" style="238"/>
    <col min="8978" max="8978" width="31" style="238" customWidth="1"/>
    <col min="8979" max="8979" width="15.5" style="238" bestFit="1" customWidth="1"/>
    <col min="8980" max="8980" width="14.83203125" style="238" bestFit="1" customWidth="1"/>
    <col min="8981" max="8981" width="15.5" style="238" bestFit="1" customWidth="1"/>
    <col min="8982" max="8982" width="14.33203125" style="238" bestFit="1" customWidth="1"/>
    <col min="8983" max="8983" width="15.5" style="238" bestFit="1" customWidth="1"/>
    <col min="8984" max="9196" width="9.33203125" style="238"/>
    <col min="9197" max="9197" width="5.83203125" style="238" bestFit="1" customWidth="1"/>
    <col min="9198" max="9198" width="43.6640625" style="238" customWidth="1"/>
    <col min="9199" max="9199" width="19.83203125" style="238" bestFit="1" customWidth="1"/>
    <col min="9200" max="9200" width="22" style="238" bestFit="1" customWidth="1"/>
    <col min="9201" max="9201" width="20.5" style="238" bestFit="1" customWidth="1"/>
    <col min="9202" max="9202" width="24.83203125" style="238" customWidth="1"/>
    <col min="9203" max="9203" width="23.33203125" style="238" customWidth="1"/>
    <col min="9204" max="9204" width="2.83203125" style="238" customWidth="1"/>
    <col min="9205" max="9205" width="17.33203125" style="238" bestFit="1" customWidth="1"/>
    <col min="9206" max="9206" width="26.83203125" style="238" customWidth="1"/>
    <col min="9207" max="9207" width="22.33203125" style="238" customWidth="1"/>
    <col min="9208" max="9208" width="22.6640625" style="238" bestFit="1" customWidth="1"/>
    <col min="9209" max="9209" width="26.83203125" style="238" customWidth="1"/>
    <col min="9210" max="9211" width="26.33203125" style="238" customWidth="1"/>
    <col min="9212" max="9212" width="28" style="238" bestFit="1" customWidth="1"/>
    <col min="9213" max="9213" width="18.6640625" style="238" customWidth="1"/>
    <col min="9214" max="9214" width="32.33203125" style="238" customWidth="1"/>
    <col min="9215" max="9215" width="26.33203125" style="238" bestFit="1" customWidth="1"/>
    <col min="9216" max="9216" width="23.6640625" style="238" customWidth="1"/>
    <col min="9217" max="9217" width="27" style="238" customWidth="1"/>
    <col min="9218" max="9218" width="15.5" style="238" bestFit="1" customWidth="1"/>
    <col min="9219" max="9219" width="23.6640625" style="238" customWidth="1"/>
    <col min="9220" max="9220" width="15.33203125" style="238" bestFit="1" customWidth="1"/>
    <col min="9221" max="9221" width="20.83203125" style="238" bestFit="1" customWidth="1"/>
    <col min="9222" max="9222" width="16.6640625" style="238" customWidth="1"/>
    <col min="9223" max="9223" width="27.5" style="238" customWidth="1"/>
    <col min="9224" max="9224" width="20.6640625" style="238" customWidth="1"/>
    <col min="9225" max="9225" width="26.5" style="238" bestFit="1" customWidth="1"/>
    <col min="9226" max="9226" width="24.83203125" style="238" customWidth="1"/>
    <col min="9227" max="9227" width="22.33203125" style="238" customWidth="1"/>
    <col min="9228" max="9230" width="23.6640625" style="238" customWidth="1"/>
    <col min="9231" max="9231" width="24.83203125" style="238" bestFit="1" customWidth="1"/>
    <col min="9232" max="9232" width="20.5" style="238" bestFit="1" customWidth="1"/>
    <col min="9233" max="9233" width="9.33203125" style="238"/>
    <col min="9234" max="9234" width="31" style="238" customWidth="1"/>
    <col min="9235" max="9235" width="15.5" style="238" bestFit="1" customWidth="1"/>
    <col min="9236" max="9236" width="14.83203125" style="238" bestFit="1" customWidth="1"/>
    <col min="9237" max="9237" width="15.5" style="238" bestFit="1" customWidth="1"/>
    <col min="9238" max="9238" width="14.33203125" style="238" bestFit="1" customWidth="1"/>
    <col min="9239" max="9239" width="15.5" style="238" bestFit="1" customWidth="1"/>
    <col min="9240" max="9452" width="9.33203125" style="238"/>
    <col min="9453" max="9453" width="5.83203125" style="238" bestFit="1" customWidth="1"/>
    <col min="9454" max="9454" width="43.6640625" style="238" customWidth="1"/>
    <col min="9455" max="9455" width="19.83203125" style="238" bestFit="1" customWidth="1"/>
    <col min="9456" max="9456" width="22" style="238" bestFit="1" customWidth="1"/>
    <col min="9457" max="9457" width="20.5" style="238" bestFit="1" customWidth="1"/>
    <col min="9458" max="9458" width="24.83203125" style="238" customWidth="1"/>
    <col min="9459" max="9459" width="23.33203125" style="238" customWidth="1"/>
    <col min="9460" max="9460" width="2.83203125" style="238" customWidth="1"/>
    <col min="9461" max="9461" width="17.33203125" style="238" bestFit="1" customWidth="1"/>
    <col min="9462" max="9462" width="26.83203125" style="238" customWidth="1"/>
    <col min="9463" max="9463" width="22.33203125" style="238" customWidth="1"/>
    <col min="9464" max="9464" width="22.6640625" style="238" bestFit="1" customWidth="1"/>
    <col min="9465" max="9465" width="26.83203125" style="238" customWidth="1"/>
    <col min="9466" max="9467" width="26.33203125" style="238" customWidth="1"/>
    <col min="9468" max="9468" width="28" style="238" bestFit="1" customWidth="1"/>
    <col min="9469" max="9469" width="18.6640625" style="238" customWidth="1"/>
    <col min="9470" max="9470" width="32.33203125" style="238" customWidth="1"/>
    <col min="9471" max="9471" width="26.33203125" style="238" bestFit="1" customWidth="1"/>
    <col min="9472" max="9472" width="23.6640625" style="238" customWidth="1"/>
    <col min="9473" max="9473" width="27" style="238" customWidth="1"/>
    <col min="9474" max="9474" width="15.5" style="238" bestFit="1" customWidth="1"/>
    <col min="9475" max="9475" width="23.6640625" style="238" customWidth="1"/>
    <col min="9476" max="9476" width="15.33203125" style="238" bestFit="1" customWidth="1"/>
    <col min="9477" max="9477" width="20.83203125" style="238" bestFit="1" customWidth="1"/>
    <col min="9478" max="9478" width="16.6640625" style="238" customWidth="1"/>
    <col min="9479" max="9479" width="27.5" style="238" customWidth="1"/>
    <col min="9480" max="9480" width="20.6640625" style="238" customWidth="1"/>
    <col min="9481" max="9481" width="26.5" style="238" bestFit="1" customWidth="1"/>
    <col min="9482" max="9482" width="24.83203125" style="238" customWidth="1"/>
    <col min="9483" max="9483" width="22.33203125" style="238" customWidth="1"/>
    <col min="9484" max="9486" width="23.6640625" style="238" customWidth="1"/>
    <col min="9487" max="9487" width="24.83203125" style="238" bestFit="1" customWidth="1"/>
    <col min="9488" max="9488" width="20.5" style="238" bestFit="1" customWidth="1"/>
    <col min="9489" max="9489" width="9.33203125" style="238"/>
    <col min="9490" max="9490" width="31" style="238" customWidth="1"/>
    <col min="9491" max="9491" width="15.5" style="238" bestFit="1" customWidth="1"/>
    <col min="9492" max="9492" width="14.83203125" style="238" bestFit="1" customWidth="1"/>
    <col min="9493" max="9493" width="15.5" style="238" bestFit="1" customWidth="1"/>
    <col min="9494" max="9494" width="14.33203125" style="238" bestFit="1" customWidth="1"/>
    <col min="9495" max="9495" width="15.5" style="238" bestFit="1" customWidth="1"/>
    <col min="9496" max="9708" width="9.33203125" style="238"/>
    <col min="9709" max="9709" width="5.83203125" style="238" bestFit="1" customWidth="1"/>
    <col min="9710" max="9710" width="43.6640625" style="238" customWidth="1"/>
    <col min="9711" max="9711" width="19.83203125" style="238" bestFit="1" customWidth="1"/>
    <col min="9712" max="9712" width="22" style="238" bestFit="1" customWidth="1"/>
    <col min="9713" max="9713" width="20.5" style="238" bestFit="1" customWidth="1"/>
    <col min="9714" max="9714" width="24.83203125" style="238" customWidth="1"/>
    <col min="9715" max="9715" width="23.33203125" style="238" customWidth="1"/>
    <col min="9716" max="9716" width="2.83203125" style="238" customWidth="1"/>
    <col min="9717" max="9717" width="17.33203125" style="238" bestFit="1" customWidth="1"/>
    <col min="9718" max="9718" width="26.83203125" style="238" customWidth="1"/>
    <col min="9719" max="9719" width="22.33203125" style="238" customWidth="1"/>
    <col min="9720" max="9720" width="22.6640625" style="238" bestFit="1" customWidth="1"/>
    <col min="9721" max="9721" width="26.83203125" style="238" customWidth="1"/>
    <col min="9722" max="9723" width="26.33203125" style="238" customWidth="1"/>
    <col min="9724" max="9724" width="28" style="238" bestFit="1" customWidth="1"/>
    <col min="9725" max="9725" width="18.6640625" style="238" customWidth="1"/>
    <col min="9726" max="9726" width="32.33203125" style="238" customWidth="1"/>
    <col min="9727" max="9727" width="26.33203125" style="238" bestFit="1" customWidth="1"/>
    <col min="9728" max="9728" width="23.6640625" style="238" customWidth="1"/>
    <col min="9729" max="9729" width="27" style="238" customWidth="1"/>
    <col min="9730" max="9730" width="15.5" style="238" bestFit="1" customWidth="1"/>
    <col min="9731" max="9731" width="23.6640625" style="238" customWidth="1"/>
    <col min="9732" max="9732" width="15.33203125" style="238" bestFit="1" customWidth="1"/>
    <col min="9733" max="9733" width="20.83203125" style="238" bestFit="1" customWidth="1"/>
    <col min="9734" max="9734" width="16.6640625" style="238" customWidth="1"/>
    <col min="9735" max="9735" width="27.5" style="238" customWidth="1"/>
    <col min="9736" max="9736" width="20.6640625" style="238" customWidth="1"/>
    <col min="9737" max="9737" width="26.5" style="238" bestFit="1" customWidth="1"/>
    <col min="9738" max="9738" width="24.83203125" style="238" customWidth="1"/>
    <col min="9739" max="9739" width="22.33203125" style="238" customWidth="1"/>
    <col min="9740" max="9742" width="23.6640625" style="238" customWidth="1"/>
    <col min="9743" max="9743" width="24.83203125" style="238" bestFit="1" customWidth="1"/>
    <col min="9744" max="9744" width="20.5" style="238" bestFit="1" customWidth="1"/>
    <col min="9745" max="9745" width="9.33203125" style="238"/>
    <col min="9746" max="9746" width="31" style="238" customWidth="1"/>
    <col min="9747" max="9747" width="15.5" style="238" bestFit="1" customWidth="1"/>
    <col min="9748" max="9748" width="14.83203125" style="238" bestFit="1" customWidth="1"/>
    <col min="9749" max="9749" width="15.5" style="238" bestFit="1" customWidth="1"/>
    <col min="9750" max="9750" width="14.33203125" style="238" bestFit="1" customWidth="1"/>
    <col min="9751" max="9751" width="15.5" style="238" bestFit="1" customWidth="1"/>
    <col min="9752" max="9964" width="9.33203125" style="238"/>
    <col min="9965" max="9965" width="5.83203125" style="238" bestFit="1" customWidth="1"/>
    <col min="9966" max="9966" width="43.6640625" style="238" customWidth="1"/>
    <col min="9967" max="9967" width="19.83203125" style="238" bestFit="1" customWidth="1"/>
    <col min="9968" max="9968" width="22" style="238" bestFit="1" customWidth="1"/>
    <col min="9969" max="9969" width="20.5" style="238" bestFit="1" customWidth="1"/>
    <col min="9970" max="9970" width="24.83203125" style="238" customWidth="1"/>
    <col min="9971" max="9971" width="23.33203125" style="238" customWidth="1"/>
    <col min="9972" max="9972" width="2.83203125" style="238" customWidth="1"/>
    <col min="9973" max="9973" width="17.33203125" style="238" bestFit="1" customWidth="1"/>
    <col min="9974" max="9974" width="26.83203125" style="238" customWidth="1"/>
    <col min="9975" max="9975" width="22.33203125" style="238" customWidth="1"/>
    <col min="9976" max="9976" width="22.6640625" style="238" bestFit="1" customWidth="1"/>
    <col min="9977" max="9977" width="26.83203125" style="238" customWidth="1"/>
    <col min="9978" max="9979" width="26.33203125" style="238" customWidth="1"/>
    <col min="9980" max="9980" width="28" style="238" bestFit="1" customWidth="1"/>
    <col min="9981" max="9981" width="18.6640625" style="238" customWidth="1"/>
    <col min="9982" max="9982" width="32.33203125" style="238" customWidth="1"/>
    <col min="9983" max="9983" width="26.33203125" style="238" bestFit="1" customWidth="1"/>
    <col min="9984" max="9984" width="23.6640625" style="238" customWidth="1"/>
    <col min="9985" max="9985" width="27" style="238" customWidth="1"/>
    <col min="9986" max="9986" width="15.5" style="238" bestFit="1" customWidth="1"/>
    <col min="9987" max="9987" width="23.6640625" style="238" customWidth="1"/>
    <col min="9988" max="9988" width="15.33203125" style="238" bestFit="1" customWidth="1"/>
    <col min="9989" max="9989" width="20.83203125" style="238" bestFit="1" customWidth="1"/>
    <col min="9990" max="9990" width="16.6640625" style="238" customWidth="1"/>
    <col min="9991" max="9991" width="27.5" style="238" customWidth="1"/>
    <col min="9992" max="9992" width="20.6640625" style="238" customWidth="1"/>
    <col min="9993" max="9993" width="26.5" style="238" bestFit="1" customWidth="1"/>
    <col min="9994" max="9994" width="24.83203125" style="238" customWidth="1"/>
    <col min="9995" max="9995" width="22.33203125" style="238" customWidth="1"/>
    <col min="9996" max="9998" width="23.6640625" style="238" customWidth="1"/>
    <col min="9999" max="9999" width="24.83203125" style="238" bestFit="1" customWidth="1"/>
    <col min="10000" max="10000" width="20.5" style="238" bestFit="1" customWidth="1"/>
    <col min="10001" max="10001" width="9.33203125" style="238"/>
    <col min="10002" max="10002" width="31" style="238" customWidth="1"/>
    <col min="10003" max="10003" width="15.5" style="238" bestFit="1" customWidth="1"/>
    <col min="10004" max="10004" width="14.83203125" style="238" bestFit="1" customWidth="1"/>
    <col min="10005" max="10005" width="15.5" style="238" bestFit="1" customWidth="1"/>
    <col min="10006" max="10006" width="14.33203125" style="238" bestFit="1" customWidth="1"/>
    <col min="10007" max="10007" width="15.5" style="238" bestFit="1" customWidth="1"/>
    <col min="10008" max="10220" width="9.33203125" style="238"/>
    <col min="10221" max="10221" width="5.83203125" style="238" bestFit="1" customWidth="1"/>
    <col min="10222" max="10222" width="43.6640625" style="238" customWidth="1"/>
    <col min="10223" max="10223" width="19.83203125" style="238" bestFit="1" customWidth="1"/>
    <col min="10224" max="10224" width="22" style="238" bestFit="1" customWidth="1"/>
    <col min="10225" max="10225" width="20.5" style="238" bestFit="1" customWidth="1"/>
    <col min="10226" max="10226" width="24.83203125" style="238" customWidth="1"/>
    <col min="10227" max="10227" width="23.33203125" style="238" customWidth="1"/>
    <col min="10228" max="10228" width="2.83203125" style="238" customWidth="1"/>
    <col min="10229" max="10229" width="17.33203125" style="238" bestFit="1" customWidth="1"/>
    <col min="10230" max="10230" width="26.83203125" style="238" customWidth="1"/>
    <col min="10231" max="10231" width="22.33203125" style="238" customWidth="1"/>
    <col min="10232" max="10232" width="22.6640625" style="238" bestFit="1" customWidth="1"/>
    <col min="10233" max="10233" width="26.83203125" style="238" customWidth="1"/>
    <col min="10234" max="10235" width="26.33203125" style="238" customWidth="1"/>
    <col min="10236" max="10236" width="28" style="238" bestFit="1" customWidth="1"/>
    <col min="10237" max="10237" width="18.6640625" style="238" customWidth="1"/>
    <col min="10238" max="10238" width="32.33203125" style="238" customWidth="1"/>
    <col min="10239" max="10239" width="26.33203125" style="238" bestFit="1" customWidth="1"/>
    <col min="10240" max="10240" width="23.6640625" style="238" customWidth="1"/>
    <col min="10241" max="10241" width="27" style="238" customWidth="1"/>
    <col min="10242" max="10242" width="15.5" style="238" bestFit="1" customWidth="1"/>
    <col min="10243" max="10243" width="23.6640625" style="238" customWidth="1"/>
    <col min="10244" max="10244" width="15.33203125" style="238" bestFit="1" customWidth="1"/>
    <col min="10245" max="10245" width="20.83203125" style="238" bestFit="1" customWidth="1"/>
    <col min="10246" max="10246" width="16.6640625" style="238" customWidth="1"/>
    <col min="10247" max="10247" width="27.5" style="238" customWidth="1"/>
    <col min="10248" max="10248" width="20.6640625" style="238" customWidth="1"/>
    <col min="10249" max="10249" width="26.5" style="238" bestFit="1" customWidth="1"/>
    <col min="10250" max="10250" width="24.83203125" style="238" customWidth="1"/>
    <col min="10251" max="10251" width="22.33203125" style="238" customWidth="1"/>
    <col min="10252" max="10254" width="23.6640625" style="238" customWidth="1"/>
    <col min="10255" max="10255" width="24.83203125" style="238" bestFit="1" customWidth="1"/>
    <col min="10256" max="10256" width="20.5" style="238" bestFit="1" customWidth="1"/>
    <col min="10257" max="10257" width="9.33203125" style="238"/>
    <col min="10258" max="10258" width="31" style="238" customWidth="1"/>
    <col min="10259" max="10259" width="15.5" style="238" bestFit="1" customWidth="1"/>
    <col min="10260" max="10260" width="14.83203125" style="238" bestFit="1" customWidth="1"/>
    <col min="10261" max="10261" width="15.5" style="238" bestFit="1" customWidth="1"/>
    <col min="10262" max="10262" width="14.33203125" style="238" bestFit="1" customWidth="1"/>
    <col min="10263" max="10263" width="15.5" style="238" bestFit="1" customWidth="1"/>
    <col min="10264" max="10476" width="9.33203125" style="238"/>
    <col min="10477" max="10477" width="5.83203125" style="238" bestFit="1" customWidth="1"/>
    <col min="10478" max="10478" width="43.6640625" style="238" customWidth="1"/>
    <col min="10479" max="10479" width="19.83203125" style="238" bestFit="1" customWidth="1"/>
    <col min="10480" max="10480" width="22" style="238" bestFit="1" customWidth="1"/>
    <col min="10481" max="10481" width="20.5" style="238" bestFit="1" customWidth="1"/>
    <col min="10482" max="10482" width="24.83203125" style="238" customWidth="1"/>
    <col min="10483" max="10483" width="23.33203125" style="238" customWidth="1"/>
    <col min="10484" max="10484" width="2.83203125" style="238" customWidth="1"/>
    <col min="10485" max="10485" width="17.33203125" style="238" bestFit="1" customWidth="1"/>
    <col min="10486" max="10486" width="26.83203125" style="238" customWidth="1"/>
    <col min="10487" max="10487" width="22.33203125" style="238" customWidth="1"/>
    <col min="10488" max="10488" width="22.6640625" style="238" bestFit="1" customWidth="1"/>
    <col min="10489" max="10489" width="26.83203125" style="238" customWidth="1"/>
    <col min="10490" max="10491" width="26.33203125" style="238" customWidth="1"/>
    <col min="10492" max="10492" width="28" style="238" bestFit="1" customWidth="1"/>
    <col min="10493" max="10493" width="18.6640625" style="238" customWidth="1"/>
    <col min="10494" max="10494" width="32.33203125" style="238" customWidth="1"/>
    <col min="10495" max="10495" width="26.33203125" style="238" bestFit="1" customWidth="1"/>
    <col min="10496" max="10496" width="23.6640625" style="238" customWidth="1"/>
    <col min="10497" max="10497" width="27" style="238" customWidth="1"/>
    <col min="10498" max="10498" width="15.5" style="238" bestFit="1" customWidth="1"/>
    <col min="10499" max="10499" width="23.6640625" style="238" customWidth="1"/>
    <col min="10500" max="10500" width="15.33203125" style="238" bestFit="1" customWidth="1"/>
    <col min="10501" max="10501" width="20.83203125" style="238" bestFit="1" customWidth="1"/>
    <col min="10502" max="10502" width="16.6640625" style="238" customWidth="1"/>
    <col min="10503" max="10503" width="27.5" style="238" customWidth="1"/>
    <col min="10504" max="10504" width="20.6640625" style="238" customWidth="1"/>
    <col min="10505" max="10505" width="26.5" style="238" bestFit="1" customWidth="1"/>
    <col min="10506" max="10506" width="24.83203125" style="238" customWidth="1"/>
    <col min="10507" max="10507" width="22.33203125" style="238" customWidth="1"/>
    <col min="10508" max="10510" width="23.6640625" style="238" customWidth="1"/>
    <col min="10511" max="10511" width="24.83203125" style="238" bestFit="1" customWidth="1"/>
    <col min="10512" max="10512" width="20.5" style="238" bestFit="1" customWidth="1"/>
    <col min="10513" max="10513" width="9.33203125" style="238"/>
    <col min="10514" max="10514" width="31" style="238" customWidth="1"/>
    <col min="10515" max="10515" width="15.5" style="238" bestFit="1" customWidth="1"/>
    <col min="10516" max="10516" width="14.83203125" style="238" bestFit="1" customWidth="1"/>
    <col min="10517" max="10517" width="15.5" style="238" bestFit="1" customWidth="1"/>
    <col min="10518" max="10518" width="14.33203125" style="238" bestFit="1" customWidth="1"/>
    <col min="10519" max="10519" width="15.5" style="238" bestFit="1" customWidth="1"/>
    <col min="10520" max="10732" width="9.33203125" style="238"/>
    <col min="10733" max="10733" width="5.83203125" style="238" bestFit="1" customWidth="1"/>
    <col min="10734" max="10734" width="43.6640625" style="238" customWidth="1"/>
    <col min="10735" max="10735" width="19.83203125" style="238" bestFit="1" customWidth="1"/>
    <col min="10736" max="10736" width="22" style="238" bestFit="1" customWidth="1"/>
    <col min="10737" max="10737" width="20.5" style="238" bestFit="1" customWidth="1"/>
    <col min="10738" max="10738" width="24.83203125" style="238" customWidth="1"/>
    <col min="10739" max="10739" width="23.33203125" style="238" customWidth="1"/>
    <col min="10740" max="10740" width="2.83203125" style="238" customWidth="1"/>
    <col min="10741" max="10741" width="17.33203125" style="238" bestFit="1" customWidth="1"/>
    <col min="10742" max="10742" width="26.83203125" style="238" customWidth="1"/>
    <col min="10743" max="10743" width="22.33203125" style="238" customWidth="1"/>
    <col min="10744" max="10744" width="22.6640625" style="238" bestFit="1" customWidth="1"/>
    <col min="10745" max="10745" width="26.83203125" style="238" customWidth="1"/>
    <col min="10746" max="10747" width="26.33203125" style="238" customWidth="1"/>
    <col min="10748" max="10748" width="28" style="238" bestFit="1" customWidth="1"/>
    <col min="10749" max="10749" width="18.6640625" style="238" customWidth="1"/>
    <col min="10750" max="10750" width="32.33203125" style="238" customWidth="1"/>
    <col min="10751" max="10751" width="26.33203125" style="238" bestFit="1" customWidth="1"/>
    <col min="10752" max="10752" width="23.6640625" style="238" customWidth="1"/>
    <col min="10753" max="10753" width="27" style="238" customWidth="1"/>
    <col min="10754" max="10754" width="15.5" style="238" bestFit="1" customWidth="1"/>
    <col min="10755" max="10755" width="23.6640625" style="238" customWidth="1"/>
    <col min="10756" max="10756" width="15.33203125" style="238" bestFit="1" customWidth="1"/>
    <col min="10757" max="10757" width="20.83203125" style="238" bestFit="1" customWidth="1"/>
    <col min="10758" max="10758" width="16.6640625" style="238" customWidth="1"/>
    <col min="10759" max="10759" width="27.5" style="238" customWidth="1"/>
    <col min="10760" max="10760" width="20.6640625" style="238" customWidth="1"/>
    <col min="10761" max="10761" width="26.5" style="238" bestFit="1" customWidth="1"/>
    <col min="10762" max="10762" width="24.83203125" style="238" customWidth="1"/>
    <col min="10763" max="10763" width="22.33203125" style="238" customWidth="1"/>
    <col min="10764" max="10766" width="23.6640625" style="238" customWidth="1"/>
    <col min="10767" max="10767" width="24.83203125" style="238" bestFit="1" customWidth="1"/>
    <col min="10768" max="10768" width="20.5" style="238" bestFit="1" customWidth="1"/>
    <col min="10769" max="10769" width="9.33203125" style="238"/>
    <col min="10770" max="10770" width="31" style="238" customWidth="1"/>
    <col min="10771" max="10771" width="15.5" style="238" bestFit="1" customWidth="1"/>
    <col min="10772" max="10772" width="14.83203125" style="238" bestFit="1" customWidth="1"/>
    <col min="10773" max="10773" width="15.5" style="238" bestFit="1" customWidth="1"/>
    <col min="10774" max="10774" width="14.33203125" style="238" bestFit="1" customWidth="1"/>
    <col min="10775" max="10775" width="15.5" style="238" bestFit="1" customWidth="1"/>
    <col min="10776" max="10988" width="9.33203125" style="238"/>
    <col min="10989" max="10989" width="5.83203125" style="238" bestFit="1" customWidth="1"/>
    <col min="10990" max="10990" width="43.6640625" style="238" customWidth="1"/>
    <col min="10991" max="10991" width="19.83203125" style="238" bestFit="1" customWidth="1"/>
    <col min="10992" max="10992" width="22" style="238" bestFit="1" customWidth="1"/>
    <col min="10993" max="10993" width="20.5" style="238" bestFit="1" customWidth="1"/>
    <col min="10994" max="10994" width="24.83203125" style="238" customWidth="1"/>
    <col min="10995" max="10995" width="23.33203125" style="238" customWidth="1"/>
    <col min="10996" max="10996" width="2.83203125" style="238" customWidth="1"/>
    <col min="10997" max="10997" width="17.33203125" style="238" bestFit="1" customWidth="1"/>
    <col min="10998" max="10998" width="26.83203125" style="238" customWidth="1"/>
    <col min="10999" max="10999" width="22.33203125" style="238" customWidth="1"/>
    <col min="11000" max="11000" width="22.6640625" style="238" bestFit="1" customWidth="1"/>
    <col min="11001" max="11001" width="26.83203125" style="238" customWidth="1"/>
    <col min="11002" max="11003" width="26.33203125" style="238" customWidth="1"/>
    <col min="11004" max="11004" width="28" style="238" bestFit="1" customWidth="1"/>
    <col min="11005" max="11005" width="18.6640625" style="238" customWidth="1"/>
    <col min="11006" max="11006" width="32.33203125" style="238" customWidth="1"/>
    <col min="11007" max="11007" width="26.33203125" style="238" bestFit="1" customWidth="1"/>
    <col min="11008" max="11008" width="23.6640625" style="238" customWidth="1"/>
    <col min="11009" max="11009" width="27" style="238" customWidth="1"/>
    <col min="11010" max="11010" width="15.5" style="238" bestFit="1" customWidth="1"/>
    <col min="11011" max="11011" width="23.6640625" style="238" customWidth="1"/>
    <col min="11012" max="11012" width="15.33203125" style="238" bestFit="1" customWidth="1"/>
    <col min="11013" max="11013" width="20.83203125" style="238" bestFit="1" customWidth="1"/>
    <col min="11014" max="11014" width="16.6640625" style="238" customWidth="1"/>
    <col min="11015" max="11015" width="27.5" style="238" customWidth="1"/>
    <col min="11016" max="11016" width="20.6640625" style="238" customWidth="1"/>
    <col min="11017" max="11017" width="26.5" style="238" bestFit="1" customWidth="1"/>
    <col min="11018" max="11018" width="24.83203125" style="238" customWidth="1"/>
    <col min="11019" max="11019" width="22.33203125" style="238" customWidth="1"/>
    <col min="11020" max="11022" width="23.6640625" style="238" customWidth="1"/>
    <col min="11023" max="11023" width="24.83203125" style="238" bestFit="1" customWidth="1"/>
    <col min="11024" max="11024" width="20.5" style="238" bestFit="1" customWidth="1"/>
    <col min="11025" max="11025" width="9.33203125" style="238"/>
    <col min="11026" max="11026" width="31" style="238" customWidth="1"/>
    <col min="11027" max="11027" width="15.5" style="238" bestFit="1" customWidth="1"/>
    <col min="11028" max="11028" width="14.83203125" style="238" bestFit="1" customWidth="1"/>
    <col min="11029" max="11029" width="15.5" style="238" bestFit="1" customWidth="1"/>
    <col min="11030" max="11030" width="14.33203125" style="238" bestFit="1" customWidth="1"/>
    <col min="11031" max="11031" width="15.5" style="238" bestFit="1" customWidth="1"/>
    <col min="11032" max="11244" width="9.33203125" style="238"/>
    <col min="11245" max="11245" width="5.83203125" style="238" bestFit="1" customWidth="1"/>
    <col min="11246" max="11246" width="43.6640625" style="238" customWidth="1"/>
    <col min="11247" max="11247" width="19.83203125" style="238" bestFit="1" customWidth="1"/>
    <col min="11248" max="11248" width="22" style="238" bestFit="1" customWidth="1"/>
    <col min="11249" max="11249" width="20.5" style="238" bestFit="1" customWidth="1"/>
    <col min="11250" max="11250" width="24.83203125" style="238" customWidth="1"/>
    <col min="11251" max="11251" width="23.33203125" style="238" customWidth="1"/>
    <col min="11252" max="11252" width="2.83203125" style="238" customWidth="1"/>
    <col min="11253" max="11253" width="17.33203125" style="238" bestFit="1" customWidth="1"/>
    <col min="11254" max="11254" width="26.83203125" style="238" customWidth="1"/>
    <col min="11255" max="11255" width="22.33203125" style="238" customWidth="1"/>
    <col min="11256" max="11256" width="22.6640625" style="238" bestFit="1" customWidth="1"/>
    <col min="11257" max="11257" width="26.83203125" style="238" customWidth="1"/>
    <col min="11258" max="11259" width="26.33203125" style="238" customWidth="1"/>
    <col min="11260" max="11260" width="28" style="238" bestFit="1" customWidth="1"/>
    <col min="11261" max="11261" width="18.6640625" style="238" customWidth="1"/>
    <col min="11262" max="11262" width="32.33203125" style="238" customWidth="1"/>
    <col min="11263" max="11263" width="26.33203125" style="238" bestFit="1" customWidth="1"/>
    <col min="11264" max="11264" width="23.6640625" style="238" customWidth="1"/>
    <col min="11265" max="11265" width="27" style="238" customWidth="1"/>
    <col min="11266" max="11266" width="15.5" style="238" bestFit="1" customWidth="1"/>
    <col min="11267" max="11267" width="23.6640625" style="238" customWidth="1"/>
    <col min="11268" max="11268" width="15.33203125" style="238" bestFit="1" customWidth="1"/>
    <col min="11269" max="11269" width="20.83203125" style="238" bestFit="1" customWidth="1"/>
    <col min="11270" max="11270" width="16.6640625" style="238" customWidth="1"/>
    <col min="11271" max="11271" width="27.5" style="238" customWidth="1"/>
    <col min="11272" max="11272" width="20.6640625" style="238" customWidth="1"/>
    <col min="11273" max="11273" width="26.5" style="238" bestFit="1" customWidth="1"/>
    <col min="11274" max="11274" width="24.83203125" style="238" customWidth="1"/>
    <col min="11275" max="11275" width="22.33203125" style="238" customWidth="1"/>
    <col min="11276" max="11278" width="23.6640625" style="238" customWidth="1"/>
    <col min="11279" max="11279" width="24.83203125" style="238" bestFit="1" customWidth="1"/>
    <col min="11280" max="11280" width="20.5" style="238" bestFit="1" customWidth="1"/>
    <col min="11281" max="11281" width="9.33203125" style="238"/>
    <col min="11282" max="11282" width="31" style="238" customWidth="1"/>
    <col min="11283" max="11283" width="15.5" style="238" bestFit="1" customWidth="1"/>
    <col min="11284" max="11284" width="14.83203125" style="238" bestFit="1" customWidth="1"/>
    <col min="11285" max="11285" width="15.5" style="238" bestFit="1" customWidth="1"/>
    <col min="11286" max="11286" width="14.33203125" style="238" bestFit="1" customWidth="1"/>
    <col min="11287" max="11287" width="15.5" style="238" bestFit="1" customWidth="1"/>
    <col min="11288" max="11500" width="9.33203125" style="238"/>
    <col min="11501" max="11501" width="5.83203125" style="238" bestFit="1" customWidth="1"/>
    <col min="11502" max="11502" width="43.6640625" style="238" customWidth="1"/>
    <col min="11503" max="11503" width="19.83203125" style="238" bestFit="1" customWidth="1"/>
    <col min="11504" max="11504" width="22" style="238" bestFit="1" customWidth="1"/>
    <col min="11505" max="11505" width="20.5" style="238" bestFit="1" customWidth="1"/>
    <col min="11506" max="11506" width="24.83203125" style="238" customWidth="1"/>
    <col min="11507" max="11507" width="23.33203125" style="238" customWidth="1"/>
    <col min="11508" max="11508" width="2.83203125" style="238" customWidth="1"/>
    <col min="11509" max="11509" width="17.33203125" style="238" bestFit="1" customWidth="1"/>
    <col min="11510" max="11510" width="26.83203125" style="238" customWidth="1"/>
    <col min="11511" max="11511" width="22.33203125" style="238" customWidth="1"/>
    <col min="11512" max="11512" width="22.6640625" style="238" bestFit="1" customWidth="1"/>
    <col min="11513" max="11513" width="26.83203125" style="238" customWidth="1"/>
    <col min="11514" max="11515" width="26.33203125" style="238" customWidth="1"/>
    <col min="11516" max="11516" width="28" style="238" bestFit="1" customWidth="1"/>
    <col min="11517" max="11517" width="18.6640625" style="238" customWidth="1"/>
    <col min="11518" max="11518" width="32.33203125" style="238" customWidth="1"/>
    <col min="11519" max="11519" width="26.33203125" style="238" bestFit="1" customWidth="1"/>
    <col min="11520" max="11520" width="23.6640625" style="238" customWidth="1"/>
    <col min="11521" max="11521" width="27" style="238" customWidth="1"/>
    <col min="11522" max="11522" width="15.5" style="238" bestFit="1" customWidth="1"/>
    <col min="11523" max="11523" width="23.6640625" style="238" customWidth="1"/>
    <col min="11524" max="11524" width="15.33203125" style="238" bestFit="1" customWidth="1"/>
    <col min="11525" max="11525" width="20.83203125" style="238" bestFit="1" customWidth="1"/>
    <col min="11526" max="11526" width="16.6640625" style="238" customWidth="1"/>
    <col min="11527" max="11527" width="27.5" style="238" customWidth="1"/>
    <col min="11528" max="11528" width="20.6640625" style="238" customWidth="1"/>
    <col min="11529" max="11529" width="26.5" style="238" bestFit="1" customWidth="1"/>
    <col min="11530" max="11530" width="24.83203125" style="238" customWidth="1"/>
    <col min="11531" max="11531" width="22.33203125" style="238" customWidth="1"/>
    <col min="11532" max="11534" width="23.6640625" style="238" customWidth="1"/>
    <col min="11535" max="11535" width="24.83203125" style="238" bestFit="1" customWidth="1"/>
    <col min="11536" max="11536" width="20.5" style="238" bestFit="1" customWidth="1"/>
    <col min="11537" max="11537" width="9.33203125" style="238"/>
    <col min="11538" max="11538" width="31" style="238" customWidth="1"/>
    <col min="11539" max="11539" width="15.5" style="238" bestFit="1" customWidth="1"/>
    <col min="11540" max="11540" width="14.83203125" style="238" bestFit="1" customWidth="1"/>
    <col min="11541" max="11541" width="15.5" style="238" bestFit="1" customWidth="1"/>
    <col min="11542" max="11542" width="14.33203125" style="238" bestFit="1" customWidth="1"/>
    <col min="11543" max="11543" width="15.5" style="238" bestFit="1" customWidth="1"/>
    <col min="11544" max="11756" width="9.33203125" style="238"/>
    <col min="11757" max="11757" width="5.83203125" style="238" bestFit="1" customWidth="1"/>
    <col min="11758" max="11758" width="43.6640625" style="238" customWidth="1"/>
    <col min="11759" max="11759" width="19.83203125" style="238" bestFit="1" customWidth="1"/>
    <col min="11760" max="11760" width="22" style="238" bestFit="1" customWidth="1"/>
    <col min="11761" max="11761" width="20.5" style="238" bestFit="1" customWidth="1"/>
    <col min="11762" max="11762" width="24.83203125" style="238" customWidth="1"/>
    <col min="11763" max="11763" width="23.33203125" style="238" customWidth="1"/>
    <col min="11764" max="11764" width="2.83203125" style="238" customWidth="1"/>
    <col min="11765" max="11765" width="17.33203125" style="238" bestFit="1" customWidth="1"/>
    <col min="11766" max="11766" width="26.83203125" style="238" customWidth="1"/>
    <col min="11767" max="11767" width="22.33203125" style="238" customWidth="1"/>
    <col min="11768" max="11768" width="22.6640625" style="238" bestFit="1" customWidth="1"/>
    <col min="11769" max="11769" width="26.83203125" style="238" customWidth="1"/>
    <col min="11770" max="11771" width="26.33203125" style="238" customWidth="1"/>
    <col min="11772" max="11772" width="28" style="238" bestFit="1" customWidth="1"/>
    <col min="11773" max="11773" width="18.6640625" style="238" customWidth="1"/>
    <col min="11774" max="11774" width="32.33203125" style="238" customWidth="1"/>
    <col min="11775" max="11775" width="26.33203125" style="238" bestFit="1" customWidth="1"/>
    <col min="11776" max="11776" width="23.6640625" style="238" customWidth="1"/>
    <col min="11777" max="11777" width="27" style="238" customWidth="1"/>
    <col min="11778" max="11778" width="15.5" style="238" bestFit="1" customWidth="1"/>
    <col min="11779" max="11779" width="23.6640625" style="238" customWidth="1"/>
    <col min="11780" max="11780" width="15.33203125" style="238" bestFit="1" customWidth="1"/>
    <col min="11781" max="11781" width="20.83203125" style="238" bestFit="1" customWidth="1"/>
    <col min="11782" max="11782" width="16.6640625" style="238" customWidth="1"/>
    <col min="11783" max="11783" width="27.5" style="238" customWidth="1"/>
    <col min="11784" max="11784" width="20.6640625" style="238" customWidth="1"/>
    <col min="11785" max="11785" width="26.5" style="238" bestFit="1" customWidth="1"/>
    <col min="11786" max="11786" width="24.83203125" style="238" customWidth="1"/>
    <col min="11787" max="11787" width="22.33203125" style="238" customWidth="1"/>
    <col min="11788" max="11790" width="23.6640625" style="238" customWidth="1"/>
    <col min="11791" max="11791" width="24.83203125" style="238" bestFit="1" customWidth="1"/>
    <col min="11792" max="11792" width="20.5" style="238" bestFit="1" customWidth="1"/>
    <col min="11793" max="11793" width="9.33203125" style="238"/>
    <col min="11794" max="11794" width="31" style="238" customWidth="1"/>
    <col min="11795" max="11795" width="15.5" style="238" bestFit="1" customWidth="1"/>
    <col min="11796" max="11796" width="14.83203125" style="238" bestFit="1" customWidth="1"/>
    <col min="11797" max="11797" width="15.5" style="238" bestFit="1" customWidth="1"/>
    <col min="11798" max="11798" width="14.33203125" style="238" bestFit="1" customWidth="1"/>
    <col min="11799" max="11799" width="15.5" style="238" bestFit="1" customWidth="1"/>
    <col min="11800" max="12012" width="9.33203125" style="238"/>
    <col min="12013" max="12013" width="5.83203125" style="238" bestFit="1" customWidth="1"/>
    <col min="12014" max="12014" width="43.6640625" style="238" customWidth="1"/>
    <col min="12015" max="12015" width="19.83203125" style="238" bestFit="1" customWidth="1"/>
    <col min="12016" max="12016" width="22" style="238" bestFit="1" customWidth="1"/>
    <col min="12017" max="12017" width="20.5" style="238" bestFit="1" customWidth="1"/>
    <col min="12018" max="12018" width="24.83203125" style="238" customWidth="1"/>
    <col min="12019" max="12019" width="23.33203125" style="238" customWidth="1"/>
    <col min="12020" max="12020" width="2.83203125" style="238" customWidth="1"/>
    <col min="12021" max="12021" width="17.33203125" style="238" bestFit="1" customWidth="1"/>
    <col min="12022" max="12022" width="26.83203125" style="238" customWidth="1"/>
    <col min="12023" max="12023" width="22.33203125" style="238" customWidth="1"/>
    <col min="12024" max="12024" width="22.6640625" style="238" bestFit="1" customWidth="1"/>
    <col min="12025" max="12025" width="26.83203125" style="238" customWidth="1"/>
    <col min="12026" max="12027" width="26.33203125" style="238" customWidth="1"/>
    <col min="12028" max="12028" width="28" style="238" bestFit="1" customWidth="1"/>
    <col min="12029" max="12029" width="18.6640625" style="238" customWidth="1"/>
    <col min="12030" max="12030" width="32.33203125" style="238" customWidth="1"/>
    <col min="12031" max="12031" width="26.33203125" style="238" bestFit="1" customWidth="1"/>
    <col min="12032" max="12032" width="23.6640625" style="238" customWidth="1"/>
    <col min="12033" max="12033" width="27" style="238" customWidth="1"/>
    <col min="12034" max="12034" width="15.5" style="238" bestFit="1" customWidth="1"/>
    <col min="12035" max="12035" width="23.6640625" style="238" customWidth="1"/>
    <col min="12036" max="12036" width="15.33203125" style="238" bestFit="1" customWidth="1"/>
    <col min="12037" max="12037" width="20.83203125" style="238" bestFit="1" customWidth="1"/>
    <col min="12038" max="12038" width="16.6640625" style="238" customWidth="1"/>
    <col min="12039" max="12039" width="27.5" style="238" customWidth="1"/>
    <col min="12040" max="12040" width="20.6640625" style="238" customWidth="1"/>
    <col min="12041" max="12041" width="26.5" style="238" bestFit="1" customWidth="1"/>
    <col min="12042" max="12042" width="24.83203125" style="238" customWidth="1"/>
    <col min="12043" max="12043" width="22.33203125" style="238" customWidth="1"/>
    <col min="12044" max="12046" width="23.6640625" style="238" customWidth="1"/>
    <col min="12047" max="12047" width="24.83203125" style="238" bestFit="1" customWidth="1"/>
    <col min="12048" max="12048" width="20.5" style="238" bestFit="1" customWidth="1"/>
    <col min="12049" max="12049" width="9.33203125" style="238"/>
    <col min="12050" max="12050" width="31" style="238" customWidth="1"/>
    <col min="12051" max="12051" width="15.5" style="238" bestFit="1" customWidth="1"/>
    <col min="12052" max="12052" width="14.83203125" style="238" bestFit="1" customWidth="1"/>
    <col min="12053" max="12053" width="15.5" style="238" bestFit="1" customWidth="1"/>
    <col min="12054" max="12054" width="14.33203125" style="238" bestFit="1" customWidth="1"/>
    <col min="12055" max="12055" width="15.5" style="238" bestFit="1" customWidth="1"/>
    <col min="12056" max="12268" width="9.33203125" style="238"/>
    <col min="12269" max="12269" width="5.83203125" style="238" bestFit="1" customWidth="1"/>
    <col min="12270" max="12270" width="43.6640625" style="238" customWidth="1"/>
    <col min="12271" max="12271" width="19.83203125" style="238" bestFit="1" customWidth="1"/>
    <col min="12272" max="12272" width="22" style="238" bestFit="1" customWidth="1"/>
    <col min="12273" max="12273" width="20.5" style="238" bestFit="1" customWidth="1"/>
    <col min="12274" max="12274" width="24.83203125" style="238" customWidth="1"/>
    <col min="12275" max="12275" width="23.33203125" style="238" customWidth="1"/>
    <col min="12276" max="12276" width="2.83203125" style="238" customWidth="1"/>
    <col min="12277" max="12277" width="17.33203125" style="238" bestFit="1" customWidth="1"/>
    <col min="12278" max="12278" width="26.83203125" style="238" customWidth="1"/>
    <col min="12279" max="12279" width="22.33203125" style="238" customWidth="1"/>
    <col min="12280" max="12280" width="22.6640625" style="238" bestFit="1" customWidth="1"/>
    <col min="12281" max="12281" width="26.83203125" style="238" customWidth="1"/>
    <col min="12282" max="12283" width="26.33203125" style="238" customWidth="1"/>
    <col min="12284" max="12284" width="28" style="238" bestFit="1" customWidth="1"/>
    <col min="12285" max="12285" width="18.6640625" style="238" customWidth="1"/>
    <col min="12286" max="12286" width="32.33203125" style="238" customWidth="1"/>
    <col min="12287" max="12287" width="26.33203125" style="238" bestFit="1" customWidth="1"/>
    <col min="12288" max="12288" width="23.6640625" style="238" customWidth="1"/>
    <col min="12289" max="12289" width="27" style="238" customWidth="1"/>
    <col min="12290" max="12290" width="15.5" style="238" bestFit="1" customWidth="1"/>
    <col min="12291" max="12291" width="23.6640625" style="238" customWidth="1"/>
    <col min="12292" max="12292" width="15.33203125" style="238" bestFit="1" customWidth="1"/>
    <col min="12293" max="12293" width="20.83203125" style="238" bestFit="1" customWidth="1"/>
    <col min="12294" max="12294" width="16.6640625" style="238" customWidth="1"/>
    <col min="12295" max="12295" width="27.5" style="238" customWidth="1"/>
    <col min="12296" max="12296" width="20.6640625" style="238" customWidth="1"/>
    <col min="12297" max="12297" width="26.5" style="238" bestFit="1" customWidth="1"/>
    <col min="12298" max="12298" width="24.83203125" style="238" customWidth="1"/>
    <col min="12299" max="12299" width="22.33203125" style="238" customWidth="1"/>
    <col min="12300" max="12302" width="23.6640625" style="238" customWidth="1"/>
    <col min="12303" max="12303" width="24.83203125" style="238" bestFit="1" customWidth="1"/>
    <col min="12304" max="12304" width="20.5" style="238" bestFit="1" customWidth="1"/>
    <col min="12305" max="12305" width="9.33203125" style="238"/>
    <col min="12306" max="12306" width="31" style="238" customWidth="1"/>
    <col min="12307" max="12307" width="15.5" style="238" bestFit="1" customWidth="1"/>
    <col min="12308" max="12308" width="14.83203125" style="238" bestFit="1" customWidth="1"/>
    <col min="12309" max="12309" width="15.5" style="238" bestFit="1" customWidth="1"/>
    <col min="12310" max="12310" width="14.33203125" style="238" bestFit="1" customWidth="1"/>
    <col min="12311" max="12311" width="15.5" style="238" bestFit="1" customWidth="1"/>
    <col min="12312" max="12524" width="9.33203125" style="238"/>
    <col min="12525" max="12525" width="5.83203125" style="238" bestFit="1" customWidth="1"/>
    <col min="12526" max="12526" width="43.6640625" style="238" customWidth="1"/>
    <col min="12527" max="12527" width="19.83203125" style="238" bestFit="1" customWidth="1"/>
    <col min="12528" max="12528" width="22" style="238" bestFit="1" customWidth="1"/>
    <col min="12529" max="12529" width="20.5" style="238" bestFit="1" customWidth="1"/>
    <col min="12530" max="12530" width="24.83203125" style="238" customWidth="1"/>
    <col min="12531" max="12531" width="23.33203125" style="238" customWidth="1"/>
    <col min="12532" max="12532" width="2.83203125" style="238" customWidth="1"/>
    <col min="12533" max="12533" width="17.33203125" style="238" bestFit="1" customWidth="1"/>
    <col min="12534" max="12534" width="26.83203125" style="238" customWidth="1"/>
    <col min="12535" max="12535" width="22.33203125" style="238" customWidth="1"/>
    <col min="12536" max="12536" width="22.6640625" style="238" bestFit="1" customWidth="1"/>
    <col min="12537" max="12537" width="26.83203125" style="238" customWidth="1"/>
    <col min="12538" max="12539" width="26.33203125" style="238" customWidth="1"/>
    <col min="12540" max="12540" width="28" style="238" bestFit="1" customWidth="1"/>
    <col min="12541" max="12541" width="18.6640625" style="238" customWidth="1"/>
    <col min="12542" max="12542" width="32.33203125" style="238" customWidth="1"/>
    <col min="12543" max="12543" width="26.33203125" style="238" bestFit="1" customWidth="1"/>
    <col min="12544" max="12544" width="23.6640625" style="238" customWidth="1"/>
    <col min="12545" max="12545" width="27" style="238" customWidth="1"/>
    <col min="12546" max="12546" width="15.5" style="238" bestFit="1" customWidth="1"/>
    <col min="12547" max="12547" width="23.6640625" style="238" customWidth="1"/>
    <col min="12548" max="12548" width="15.33203125" style="238" bestFit="1" customWidth="1"/>
    <col min="12549" max="12549" width="20.83203125" style="238" bestFit="1" customWidth="1"/>
    <col min="12550" max="12550" width="16.6640625" style="238" customWidth="1"/>
    <col min="12551" max="12551" width="27.5" style="238" customWidth="1"/>
    <col min="12552" max="12552" width="20.6640625" style="238" customWidth="1"/>
    <col min="12553" max="12553" width="26.5" style="238" bestFit="1" customWidth="1"/>
    <col min="12554" max="12554" width="24.83203125" style="238" customWidth="1"/>
    <col min="12555" max="12555" width="22.33203125" style="238" customWidth="1"/>
    <col min="12556" max="12558" width="23.6640625" style="238" customWidth="1"/>
    <col min="12559" max="12559" width="24.83203125" style="238" bestFit="1" customWidth="1"/>
    <col min="12560" max="12560" width="20.5" style="238" bestFit="1" customWidth="1"/>
    <col min="12561" max="12561" width="9.33203125" style="238"/>
    <col min="12562" max="12562" width="31" style="238" customWidth="1"/>
    <col min="12563" max="12563" width="15.5" style="238" bestFit="1" customWidth="1"/>
    <col min="12564" max="12564" width="14.83203125" style="238" bestFit="1" customWidth="1"/>
    <col min="12565" max="12565" width="15.5" style="238" bestFit="1" customWidth="1"/>
    <col min="12566" max="12566" width="14.33203125" style="238" bestFit="1" customWidth="1"/>
    <col min="12567" max="12567" width="15.5" style="238" bestFit="1" customWidth="1"/>
    <col min="12568" max="12780" width="9.33203125" style="238"/>
    <col min="12781" max="12781" width="5.83203125" style="238" bestFit="1" customWidth="1"/>
    <col min="12782" max="12782" width="43.6640625" style="238" customWidth="1"/>
    <col min="12783" max="12783" width="19.83203125" style="238" bestFit="1" customWidth="1"/>
    <col min="12784" max="12784" width="22" style="238" bestFit="1" customWidth="1"/>
    <col min="12785" max="12785" width="20.5" style="238" bestFit="1" customWidth="1"/>
    <col min="12786" max="12786" width="24.83203125" style="238" customWidth="1"/>
    <col min="12787" max="12787" width="23.33203125" style="238" customWidth="1"/>
    <col min="12788" max="12788" width="2.83203125" style="238" customWidth="1"/>
    <col min="12789" max="12789" width="17.33203125" style="238" bestFit="1" customWidth="1"/>
    <col min="12790" max="12790" width="26.83203125" style="238" customWidth="1"/>
    <col min="12791" max="12791" width="22.33203125" style="238" customWidth="1"/>
    <col min="12792" max="12792" width="22.6640625" style="238" bestFit="1" customWidth="1"/>
    <col min="12793" max="12793" width="26.83203125" style="238" customWidth="1"/>
    <col min="12794" max="12795" width="26.33203125" style="238" customWidth="1"/>
    <col min="12796" max="12796" width="28" style="238" bestFit="1" customWidth="1"/>
    <col min="12797" max="12797" width="18.6640625" style="238" customWidth="1"/>
    <col min="12798" max="12798" width="32.33203125" style="238" customWidth="1"/>
    <col min="12799" max="12799" width="26.33203125" style="238" bestFit="1" customWidth="1"/>
    <col min="12800" max="12800" width="23.6640625" style="238" customWidth="1"/>
    <col min="12801" max="12801" width="27" style="238" customWidth="1"/>
    <col min="12802" max="12802" width="15.5" style="238" bestFit="1" customWidth="1"/>
    <col min="12803" max="12803" width="23.6640625" style="238" customWidth="1"/>
    <col min="12804" max="12804" width="15.33203125" style="238" bestFit="1" customWidth="1"/>
    <col min="12805" max="12805" width="20.83203125" style="238" bestFit="1" customWidth="1"/>
    <col min="12806" max="12806" width="16.6640625" style="238" customWidth="1"/>
    <col min="12807" max="12807" width="27.5" style="238" customWidth="1"/>
    <col min="12808" max="12808" width="20.6640625" style="238" customWidth="1"/>
    <col min="12809" max="12809" width="26.5" style="238" bestFit="1" customWidth="1"/>
    <col min="12810" max="12810" width="24.83203125" style="238" customWidth="1"/>
    <col min="12811" max="12811" width="22.33203125" style="238" customWidth="1"/>
    <col min="12812" max="12814" width="23.6640625" style="238" customWidth="1"/>
    <col min="12815" max="12815" width="24.83203125" style="238" bestFit="1" customWidth="1"/>
    <col min="12816" max="12816" width="20.5" style="238" bestFit="1" customWidth="1"/>
    <col min="12817" max="12817" width="9.33203125" style="238"/>
    <col min="12818" max="12818" width="31" style="238" customWidth="1"/>
    <col min="12819" max="12819" width="15.5" style="238" bestFit="1" customWidth="1"/>
    <col min="12820" max="12820" width="14.83203125" style="238" bestFit="1" customWidth="1"/>
    <col min="12821" max="12821" width="15.5" style="238" bestFit="1" customWidth="1"/>
    <col min="12822" max="12822" width="14.33203125" style="238" bestFit="1" customWidth="1"/>
    <col min="12823" max="12823" width="15.5" style="238" bestFit="1" customWidth="1"/>
    <col min="12824" max="13036" width="9.33203125" style="238"/>
    <col min="13037" max="13037" width="5.83203125" style="238" bestFit="1" customWidth="1"/>
    <col min="13038" max="13038" width="43.6640625" style="238" customWidth="1"/>
    <col min="13039" max="13039" width="19.83203125" style="238" bestFit="1" customWidth="1"/>
    <col min="13040" max="13040" width="22" style="238" bestFit="1" customWidth="1"/>
    <col min="13041" max="13041" width="20.5" style="238" bestFit="1" customWidth="1"/>
    <col min="13042" max="13042" width="24.83203125" style="238" customWidth="1"/>
    <col min="13043" max="13043" width="23.33203125" style="238" customWidth="1"/>
    <col min="13044" max="13044" width="2.83203125" style="238" customWidth="1"/>
    <col min="13045" max="13045" width="17.33203125" style="238" bestFit="1" customWidth="1"/>
    <col min="13046" max="13046" width="26.83203125" style="238" customWidth="1"/>
    <col min="13047" max="13047" width="22.33203125" style="238" customWidth="1"/>
    <col min="13048" max="13048" width="22.6640625" style="238" bestFit="1" customWidth="1"/>
    <col min="13049" max="13049" width="26.83203125" style="238" customWidth="1"/>
    <col min="13050" max="13051" width="26.33203125" style="238" customWidth="1"/>
    <col min="13052" max="13052" width="28" style="238" bestFit="1" customWidth="1"/>
    <col min="13053" max="13053" width="18.6640625" style="238" customWidth="1"/>
    <col min="13054" max="13054" width="32.33203125" style="238" customWidth="1"/>
    <col min="13055" max="13055" width="26.33203125" style="238" bestFit="1" customWidth="1"/>
    <col min="13056" max="13056" width="23.6640625" style="238" customWidth="1"/>
    <col min="13057" max="13057" width="27" style="238" customWidth="1"/>
    <col min="13058" max="13058" width="15.5" style="238" bestFit="1" customWidth="1"/>
    <col min="13059" max="13059" width="23.6640625" style="238" customWidth="1"/>
    <col min="13060" max="13060" width="15.33203125" style="238" bestFit="1" customWidth="1"/>
    <col min="13061" max="13061" width="20.83203125" style="238" bestFit="1" customWidth="1"/>
    <col min="13062" max="13062" width="16.6640625" style="238" customWidth="1"/>
    <col min="13063" max="13063" width="27.5" style="238" customWidth="1"/>
    <col min="13064" max="13064" width="20.6640625" style="238" customWidth="1"/>
    <col min="13065" max="13065" width="26.5" style="238" bestFit="1" customWidth="1"/>
    <col min="13066" max="13066" width="24.83203125" style="238" customWidth="1"/>
    <col min="13067" max="13067" width="22.33203125" style="238" customWidth="1"/>
    <col min="13068" max="13070" width="23.6640625" style="238" customWidth="1"/>
    <col min="13071" max="13071" width="24.83203125" style="238" bestFit="1" customWidth="1"/>
    <col min="13072" max="13072" width="20.5" style="238" bestFit="1" customWidth="1"/>
    <col min="13073" max="13073" width="9.33203125" style="238"/>
    <col min="13074" max="13074" width="31" style="238" customWidth="1"/>
    <col min="13075" max="13075" width="15.5" style="238" bestFit="1" customWidth="1"/>
    <col min="13076" max="13076" width="14.83203125" style="238" bestFit="1" customWidth="1"/>
    <col min="13077" max="13077" width="15.5" style="238" bestFit="1" customWidth="1"/>
    <col min="13078" max="13078" width="14.33203125" style="238" bestFit="1" customWidth="1"/>
    <col min="13079" max="13079" width="15.5" style="238" bestFit="1" customWidth="1"/>
    <col min="13080" max="13292" width="9.33203125" style="238"/>
    <col min="13293" max="13293" width="5.83203125" style="238" bestFit="1" customWidth="1"/>
    <col min="13294" max="13294" width="43.6640625" style="238" customWidth="1"/>
    <col min="13295" max="13295" width="19.83203125" style="238" bestFit="1" customWidth="1"/>
    <col min="13296" max="13296" width="22" style="238" bestFit="1" customWidth="1"/>
    <col min="13297" max="13297" width="20.5" style="238" bestFit="1" customWidth="1"/>
    <col min="13298" max="13298" width="24.83203125" style="238" customWidth="1"/>
    <col min="13299" max="13299" width="23.33203125" style="238" customWidth="1"/>
    <col min="13300" max="13300" width="2.83203125" style="238" customWidth="1"/>
    <col min="13301" max="13301" width="17.33203125" style="238" bestFit="1" customWidth="1"/>
    <col min="13302" max="13302" width="26.83203125" style="238" customWidth="1"/>
    <col min="13303" max="13303" width="22.33203125" style="238" customWidth="1"/>
    <col min="13304" max="13304" width="22.6640625" style="238" bestFit="1" customWidth="1"/>
    <col min="13305" max="13305" width="26.83203125" style="238" customWidth="1"/>
    <col min="13306" max="13307" width="26.33203125" style="238" customWidth="1"/>
    <col min="13308" max="13308" width="28" style="238" bestFit="1" customWidth="1"/>
    <col min="13309" max="13309" width="18.6640625" style="238" customWidth="1"/>
    <col min="13310" max="13310" width="32.33203125" style="238" customWidth="1"/>
    <col min="13311" max="13311" width="26.33203125" style="238" bestFit="1" customWidth="1"/>
    <col min="13312" max="13312" width="23.6640625" style="238" customWidth="1"/>
    <col min="13313" max="13313" width="27" style="238" customWidth="1"/>
    <col min="13314" max="13314" width="15.5" style="238" bestFit="1" customWidth="1"/>
    <col min="13315" max="13315" width="23.6640625" style="238" customWidth="1"/>
    <col min="13316" max="13316" width="15.33203125" style="238" bestFit="1" customWidth="1"/>
    <col min="13317" max="13317" width="20.83203125" style="238" bestFit="1" customWidth="1"/>
    <col min="13318" max="13318" width="16.6640625" style="238" customWidth="1"/>
    <col min="13319" max="13319" width="27.5" style="238" customWidth="1"/>
    <col min="13320" max="13320" width="20.6640625" style="238" customWidth="1"/>
    <col min="13321" max="13321" width="26.5" style="238" bestFit="1" customWidth="1"/>
    <col min="13322" max="13322" width="24.83203125" style="238" customWidth="1"/>
    <col min="13323" max="13323" width="22.33203125" style="238" customWidth="1"/>
    <col min="13324" max="13326" width="23.6640625" style="238" customWidth="1"/>
    <col min="13327" max="13327" width="24.83203125" style="238" bestFit="1" customWidth="1"/>
    <col min="13328" max="13328" width="20.5" style="238" bestFit="1" customWidth="1"/>
    <col min="13329" max="13329" width="9.33203125" style="238"/>
    <col min="13330" max="13330" width="31" style="238" customWidth="1"/>
    <col min="13331" max="13331" width="15.5" style="238" bestFit="1" customWidth="1"/>
    <col min="13332" max="13332" width="14.83203125" style="238" bestFit="1" customWidth="1"/>
    <col min="13333" max="13333" width="15.5" style="238" bestFit="1" customWidth="1"/>
    <col min="13334" max="13334" width="14.33203125" style="238" bestFit="1" customWidth="1"/>
    <col min="13335" max="13335" width="15.5" style="238" bestFit="1" customWidth="1"/>
    <col min="13336" max="13548" width="9.33203125" style="238"/>
    <col min="13549" max="13549" width="5.83203125" style="238" bestFit="1" customWidth="1"/>
    <col min="13550" max="13550" width="43.6640625" style="238" customWidth="1"/>
    <col min="13551" max="13551" width="19.83203125" style="238" bestFit="1" customWidth="1"/>
    <col min="13552" max="13552" width="22" style="238" bestFit="1" customWidth="1"/>
    <col min="13553" max="13553" width="20.5" style="238" bestFit="1" customWidth="1"/>
    <col min="13554" max="13554" width="24.83203125" style="238" customWidth="1"/>
    <col min="13555" max="13555" width="23.33203125" style="238" customWidth="1"/>
    <col min="13556" max="13556" width="2.83203125" style="238" customWidth="1"/>
    <col min="13557" max="13557" width="17.33203125" style="238" bestFit="1" customWidth="1"/>
    <col min="13558" max="13558" width="26.83203125" style="238" customWidth="1"/>
    <col min="13559" max="13559" width="22.33203125" style="238" customWidth="1"/>
    <col min="13560" max="13560" width="22.6640625" style="238" bestFit="1" customWidth="1"/>
    <col min="13561" max="13561" width="26.83203125" style="238" customWidth="1"/>
    <col min="13562" max="13563" width="26.33203125" style="238" customWidth="1"/>
    <col min="13564" max="13564" width="28" style="238" bestFit="1" customWidth="1"/>
    <col min="13565" max="13565" width="18.6640625" style="238" customWidth="1"/>
    <col min="13566" max="13566" width="32.33203125" style="238" customWidth="1"/>
    <col min="13567" max="13567" width="26.33203125" style="238" bestFit="1" customWidth="1"/>
    <col min="13568" max="13568" width="23.6640625" style="238" customWidth="1"/>
    <col min="13569" max="13569" width="27" style="238" customWidth="1"/>
    <col min="13570" max="13570" width="15.5" style="238" bestFit="1" customWidth="1"/>
    <col min="13571" max="13571" width="23.6640625" style="238" customWidth="1"/>
    <col min="13572" max="13572" width="15.33203125" style="238" bestFit="1" customWidth="1"/>
    <col min="13573" max="13573" width="20.83203125" style="238" bestFit="1" customWidth="1"/>
    <col min="13574" max="13574" width="16.6640625" style="238" customWidth="1"/>
    <col min="13575" max="13575" width="27.5" style="238" customWidth="1"/>
    <col min="13576" max="13576" width="20.6640625" style="238" customWidth="1"/>
    <col min="13577" max="13577" width="26.5" style="238" bestFit="1" customWidth="1"/>
    <col min="13578" max="13578" width="24.83203125" style="238" customWidth="1"/>
    <col min="13579" max="13579" width="22.33203125" style="238" customWidth="1"/>
    <col min="13580" max="13582" width="23.6640625" style="238" customWidth="1"/>
    <col min="13583" max="13583" width="24.83203125" style="238" bestFit="1" customWidth="1"/>
    <col min="13584" max="13584" width="20.5" style="238" bestFit="1" customWidth="1"/>
    <col min="13585" max="13585" width="9.33203125" style="238"/>
    <col min="13586" max="13586" width="31" style="238" customWidth="1"/>
    <col min="13587" max="13587" width="15.5" style="238" bestFit="1" customWidth="1"/>
    <col min="13588" max="13588" width="14.83203125" style="238" bestFit="1" customWidth="1"/>
    <col min="13589" max="13589" width="15.5" style="238" bestFit="1" customWidth="1"/>
    <col min="13590" max="13590" width="14.33203125" style="238" bestFit="1" customWidth="1"/>
    <col min="13591" max="13591" width="15.5" style="238" bestFit="1" customWidth="1"/>
    <col min="13592" max="13804" width="9.33203125" style="238"/>
    <col min="13805" max="13805" width="5.83203125" style="238" bestFit="1" customWidth="1"/>
    <col min="13806" max="13806" width="43.6640625" style="238" customWidth="1"/>
    <col min="13807" max="13807" width="19.83203125" style="238" bestFit="1" customWidth="1"/>
    <col min="13808" max="13808" width="22" style="238" bestFit="1" customWidth="1"/>
    <col min="13809" max="13809" width="20.5" style="238" bestFit="1" customWidth="1"/>
    <col min="13810" max="13810" width="24.83203125" style="238" customWidth="1"/>
    <col min="13811" max="13811" width="23.33203125" style="238" customWidth="1"/>
    <col min="13812" max="13812" width="2.83203125" style="238" customWidth="1"/>
    <col min="13813" max="13813" width="17.33203125" style="238" bestFit="1" customWidth="1"/>
    <col min="13814" max="13814" width="26.83203125" style="238" customWidth="1"/>
    <col min="13815" max="13815" width="22.33203125" style="238" customWidth="1"/>
    <col min="13816" max="13816" width="22.6640625" style="238" bestFit="1" customWidth="1"/>
    <col min="13817" max="13817" width="26.83203125" style="238" customWidth="1"/>
    <col min="13818" max="13819" width="26.33203125" style="238" customWidth="1"/>
    <col min="13820" max="13820" width="28" style="238" bestFit="1" customWidth="1"/>
    <col min="13821" max="13821" width="18.6640625" style="238" customWidth="1"/>
    <col min="13822" max="13822" width="32.33203125" style="238" customWidth="1"/>
    <col min="13823" max="13823" width="26.33203125" style="238" bestFit="1" customWidth="1"/>
    <col min="13824" max="13824" width="23.6640625" style="238" customWidth="1"/>
    <col min="13825" max="13825" width="27" style="238" customWidth="1"/>
    <col min="13826" max="13826" width="15.5" style="238" bestFit="1" customWidth="1"/>
    <col min="13827" max="13827" width="23.6640625" style="238" customWidth="1"/>
    <col min="13828" max="13828" width="15.33203125" style="238" bestFit="1" customWidth="1"/>
    <col min="13829" max="13829" width="20.83203125" style="238" bestFit="1" customWidth="1"/>
    <col min="13830" max="13830" width="16.6640625" style="238" customWidth="1"/>
    <col min="13831" max="13831" width="27.5" style="238" customWidth="1"/>
    <col min="13832" max="13832" width="20.6640625" style="238" customWidth="1"/>
    <col min="13833" max="13833" width="26.5" style="238" bestFit="1" customWidth="1"/>
    <col min="13834" max="13834" width="24.83203125" style="238" customWidth="1"/>
    <col min="13835" max="13835" width="22.33203125" style="238" customWidth="1"/>
    <col min="13836" max="13838" width="23.6640625" style="238" customWidth="1"/>
    <col min="13839" max="13839" width="24.83203125" style="238" bestFit="1" customWidth="1"/>
    <col min="13840" max="13840" width="20.5" style="238" bestFit="1" customWidth="1"/>
    <col min="13841" max="13841" width="9.33203125" style="238"/>
    <col min="13842" max="13842" width="31" style="238" customWidth="1"/>
    <col min="13843" max="13843" width="15.5" style="238" bestFit="1" customWidth="1"/>
    <col min="13844" max="13844" width="14.83203125" style="238" bestFit="1" customWidth="1"/>
    <col min="13845" max="13845" width="15.5" style="238" bestFit="1" customWidth="1"/>
    <col min="13846" max="13846" width="14.33203125" style="238" bestFit="1" customWidth="1"/>
    <col min="13847" max="13847" width="15.5" style="238" bestFit="1" customWidth="1"/>
    <col min="13848" max="14060" width="9.33203125" style="238"/>
    <col min="14061" max="14061" width="5.83203125" style="238" bestFit="1" customWidth="1"/>
    <col min="14062" max="14062" width="43.6640625" style="238" customWidth="1"/>
    <col min="14063" max="14063" width="19.83203125" style="238" bestFit="1" customWidth="1"/>
    <col min="14064" max="14064" width="22" style="238" bestFit="1" customWidth="1"/>
    <col min="14065" max="14065" width="20.5" style="238" bestFit="1" customWidth="1"/>
    <col min="14066" max="14066" width="24.83203125" style="238" customWidth="1"/>
    <col min="14067" max="14067" width="23.33203125" style="238" customWidth="1"/>
    <col min="14068" max="14068" width="2.83203125" style="238" customWidth="1"/>
    <col min="14069" max="14069" width="17.33203125" style="238" bestFit="1" customWidth="1"/>
    <col min="14070" max="14070" width="26.83203125" style="238" customWidth="1"/>
    <col min="14071" max="14071" width="22.33203125" style="238" customWidth="1"/>
    <col min="14072" max="14072" width="22.6640625" style="238" bestFit="1" customWidth="1"/>
    <col min="14073" max="14073" width="26.83203125" style="238" customWidth="1"/>
    <col min="14074" max="14075" width="26.33203125" style="238" customWidth="1"/>
    <col min="14076" max="14076" width="28" style="238" bestFit="1" customWidth="1"/>
    <col min="14077" max="14077" width="18.6640625" style="238" customWidth="1"/>
    <col min="14078" max="14078" width="32.33203125" style="238" customWidth="1"/>
    <col min="14079" max="14079" width="26.33203125" style="238" bestFit="1" customWidth="1"/>
    <col min="14080" max="14080" width="23.6640625" style="238" customWidth="1"/>
    <col min="14081" max="14081" width="27" style="238" customWidth="1"/>
    <col min="14082" max="14082" width="15.5" style="238" bestFit="1" customWidth="1"/>
    <col min="14083" max="14083" width="23.6640625" style="238" customWidth="1"/>
    <col min="14084" max="14084" width="15.33203125" style="238" bestFit="1" customWidth="1"/>
    <col min="14085" max="14085" width="20.83203125" style="238" bestFit="1" customWidth="1"/>
    <col min="14086" max="14086" width="16.6640625" style="238" customWidth="1"/>
    <col min="14087" max="14087" width="27.5" style="238" customWidth="1"/>
    <col min="14088" max="14088" width="20.6640625" style="238" customWidth="1"/>
    <col min="14089" max="14089" width="26.5" style="238" bestFit="1" customWidth="1"/>
    <col min="14090" max="14090" width="24.83203125" style="238" customWidth="1"/>
    <col min="14091" max="14091" width="22.33203125" style="238" customWidth="1"/>
    <col min="14092" max="14094" width="23.6640625" style="238" customWidth="1"/>
    <col min="14095" max="14095" width="24.83203125" style="238" bestFit="1" customWidth="1"/>
    <col min="14096" max="14096" width="20.5" style="238" bestFit="1" customWidth="1"/>
    <col min="14097" max="14097" width="9.33203125" style="238"/>
    <col min="14098" max="14098" width="31" style="238" customWidth="1"/>
    <col min="14099" max="14099" width="15.5" style="238" bestFit="1" customWidth="1"/>
    <col min="14100" max="14100" width="14.83203125" style="238" bestFit="1" customWidth="1"/>
    <col min="14101" max="14101" width="15.5" style="238" bestFit="1" customWidth="1"/>
    <col min="14102" max="14102" width="14.33203125" style="238" bestFit="1" customWidth="1"/>
    <col min="14103" max="14103" width="15.5" style="238" bestFit="1" customWidth="1"/>
    <col min="14104" max="14316" width="9.33203125" style="238"/>
    <col min="14317" max="14317" width="5.83203125" style="238" bestFit="1" customWidth="1"/>
    <col min="14318" max="14318" width="43.6640625" style="238" customWidth="1"/>
    <col min="14319" max="14319" width="19.83203125" style="238" bestFit="1" customWidth="1"/>
    <col min="14320" max="14320" width="22" style="238" bestFit="1" customWidth="1"/>
    <col min="14321" max="14321" width="20.5" style="238" bestFit="1" customWidth="1"/>
    <col min="14322" max="14322" width="24.83203125" style="238" customWidth="1"/>
    <col min="14323" max="14323" width="23.33203125" style="238" customWidth="1"/>
    <col min="14324" max="14324" width="2.83203125" style="238" customWidth="1"/>
    <col min="14325" max="14325" width="17.33203125" style="238" bestFit="1" customWidth="1"/>
    <col min="14326" max="14326" width="26.83203125" style="238" customWidth="1"/>
    <col min="14327" max="14327" width="22.33203125" style="238" customWidth="1"/>
    <col min="14328" max="14328" width="22.6640625" style="238" bestFit="1" customWidth="1"/>
    <col min="14329" max="14329" width="26.83203125" style="238" customWidth="1"/>
    <col min="14330" max="14331" width="26.33203125" style="238" customWidth="1"/>
    <col min="14332" max="14332" width="28" style="238" bestFit="1" customWidth="1"/>
    <col min="14333" max="14333" width="18.6640625" style="238" customWidth="1"/>
    <col min="14334" max="14334" width="32.33203125" style="238" customWidth="1"/>
    <col min="14335" max="14335" width="26.33203125" style="238" bestFit="1" customWidth="1"/>
    <col min="14336" max="14336" width="23.6640625" style="238" customWidth="1"/>
    <col min="14337" max="14337" width="27" style="238" customWidth="1"/>
    <col min="14338" max="14338" width="15.5" style="238" bestFit="1" customWidth="1"/>
    <col min="14339" max="14339" width="23.6640625" style="238" customWidth="1"/>
    <col min="14340" max="14340" width="15.33203125" style="238" bestFit="1" customWidth="1"/>
    <col min="14341" max="14341" width="20.83203125" style="238" bestFit="1" customWidth="1"/>
    <col min="14342" max="14342" width="16.6640625" style="238" customWidth="1"/>
    <col min="14343" max="14343" width="27.5" style="238" customWidth="1"/>
    <col min="14344" max="14344" width="20.6640625" style="238" customWidth="1"/>
    <col min="14345" max="14345" width="26.5" style="238" bestFit="1" customWidth="1"/>
    <col min="14346" max="14346" width="24.83203125" style="238" customWidth="1"/>
    <col min="14347" max="14347" width="22.33203125" style="238" customWidth="1"/>
    <col min="14348" max="14350" width="23.6640625" style="238" customWidth="1"/>
    <col min="14351" max="14351" width="24.83203125" style="238" bestFit="1" customWidth="1"/>
    <col min="14352" max="14352" width="20.5" style="238" bestFit="1" customWidth="1"/>
    <col min="14353" max="14353" width="9.33203125" style="238"/>
    <col min="14354" max="14354" width="31" style="238" customWidth="1"/>
    <col min="14355" max="14355" width="15.5" style="238" bestFit="1" customWidth="1"/>
    <col min="14356" max="14356" width="14.83203125" style="238" bestFit="1" customWidth="1"/>
    <col min="14357" max="14357" width="15.5" style="238" bestFit="1" customWidth="1"/>
    <col min="14358" max="14358" width="14.33203125" style="238" bestFit="1" customWidth="1"/>
    <col min="14359" max="14359" width="15.5" style="238" bestFit="1" customWidth="1"/>
    <col min="14360" max="14572" width="9.33203125" style="238"/>
    <col min="14573" max="14573" width="5.83203125" style="238" bestFit="1" customWidth="1"/>
    <col min="14574" max="14574" width="43.6640625" style="238" customWidth="1"/>
    <col min="14575" max="14575" width="19.83203125" style="238" bestFit="1" customWidth="1"/>
    <col min="14576" max="14576" width="22" style="238" bestFit="1" customWidth="1"/>
    <col min="14577" max="14577" width="20.5" style="238" bestFit="1" customWidth="1"/>
    <col min="14578" max="14578" width="24.83203125" style="238" customWidth="1"/>
    <col min="14579" max="14579" width="23.33203125" style="238" customWidth="1"/>
    <col min="14580" max="14580" width="2.83203125" style="238" customWidth="1"/>
    <col min="14581" max="14581" width="17.33203125" style="238" bestFit="1" customWidth="1"/>
    <col min="14582" max="14582" width="26.83203125" style="238" customWidth="1"/>
    <col min="14583" max="14583" width="22.33203125" style="238" customWidth="1"/>
    <col min="14584" max="14584" width="22.6640625" style="238" bestFit="1" customWidth="1"/>
    <col min="14585" max="14585" width="26.83203125" style="238" customWidth="1"/>
    <col min="14586" max="14587" width="26.33203125" style="238" customWidth="1"/>
    <col min="14588" max="14588" width="28" style="238" bestFit="1" customWidth="1"/>
    <col min="14589" max="14589" width="18.6640625" style="238" customWidth="1"/>
    <col min="14590" max="14590" width="32.33203125" style="238" customWidth="1"/>
    <col min="14591" max="14591" width="26.33203125" style="238" bestFit="1" customWidth="1"/>
    <col min="14592" max="14592" width="23.6640625" style="238" customWidth="1"/>
    <col min="14593" max="14593" width="27" style="238" customWidth="1"/>
    <col min="14594" max="14594" width="15.5" style="238" bestFit="1" customWidth="1"/>
    <col min="14595" max="14595" width="23.6640625" style="238" customWidth="1"/>
    <col min="14596" max="14596" width="15.33203125" style="238" bestFit="1" customWidth="1"/>
    <col min="14597" max="14597" width="20.83203125" style="238" bestFit="1" customWidth="1"/>
    <col min="14598" max="14598" width="16.6640625" style="238" customWidth="1"/>
    <col min="14599" max="14599" width="27.5" style="238" customWidth="1"/>
    <col min="14600" max="14600" width="20.6640625" style="238" customWidth="1"/>
    <col min="14601" max="14601" width="26.5" style="238" bestFit="1" customWidth="1"/>
    <col min="14602" max="14602" width="24.83203125" style="238" customWidth="1"/>
    <col min="14603" max="14603" width="22.33203125" style="238" customWidth="1"/>
    <col min="14604" max="14606" width="23.6640625" style="238" customWidth="1"/>
    <col min="14607" max="14607" width="24.83203125" style="238" bestFit="1" customWidth="1"/>
    <col min="14608" max="14608" width="20.5" style="238" bestFit="1" customWidth="1"/>
    <col min="14609" max="14609" width="9.33203125" style="238"/>
    <col min="14610" max="14610" width="31" style="238" customWidth="1"/>
    <col min="14611" max="14611" width="15.5" style="238" bestFit="1" customWidth="1"/>
    <col min="14612" max="14612" width="14.83203125" style="238" bestFit="1" customWidth="1"/>
    <col min="14613" max="14613" width="15.5" style="238" bestFit="1" customWidth="1"/>
    <col min="14614" max="14614" width="14.33203125" style="238" bestFit="1" customWidth="1"/>
    <col min="14615" max="14615" width="15.5" style="238" bestFit="1" customWidth="1"/>
    <col min="14616" max="14828" width="9.33203125" style="238"/>
    <col min="14829" max="14829" width="5.83203125" style="238" bestFit="1" customWidth="1"/>
    <col min="14830" max="14830" width="43.6640625" style="238" customWidth="1"/>
    <col min="14831" max="14831" width="19.83203125" style="238" bestFit="1" customWidth="1"/>
    <col min="14832" max="14832" width="22" style="238" bestFit="1" customWidth="1"/>
    <col min="14833" max="14833" width="20.5" style="238" bestFit="1" customWidth="1"/>
    <col min="14834" max="14834" width="24.83203125" style="238" customWidth="1"/>
    <col min="14835" max="14835" width="23.33203125" style="238" customWidth="1"/>
    <col min="14836" max="14836" width="2.83203125" style="238" customWidth="1"/>
    <col min="14837" max="14837" width="17.33203125" style="238" bestFit="1" customWidth="1"/>
    <col min="14838" max="14838" width="26.83203125" style="238" customWidth="1"/>
    <col min="14839" max="14839" width="22.33203125" style="238" customWidth="1"/>
    <col min="14840" max="14840" width="22.6640625" style="238" bestFit="1" customWidth="1"/>
    <col min="14841" max="14841" width="26.83203125" style="238" customWidth="1"/>
    <col min="14842" max="14843" width="26.33203125" style="238" customWidth="1"/>
    <col min="14844" max="14844" width="28" style="238" bestFit="1" customWidth="1"/>
    <col min="14845" max="14845" width="18.6640625" style="238" customWidth="1"/>
    <col min="14846" max="14846" width="32.33203125" style="238" customWidth="1"/>
    <col min="14847" max="14847" width="26.33203125" style="238" bestFit="1" customWidth="1"/>
    <col min="14848" max="14848" width="23.6640625" style="238" customWidth="1"/>
    <col min="14849" max="14849" width="27" style="238" customWidth="1"/>
    <col min="14850" max="14850" width="15.5" style="238" bestFit="1" customWidth="1"/>
    <col min="14851" max="14851" width="23.6640625" style="238" customWidth="1"/>
    <col min="14852" max="14852" width="15.33203125" style="238" bestFit="1" customWidth="1"/>
    <col min="14853" max="14853" width="20.83203125" style="238" bestFit="1" customWidth="1"/>
    <col min="14854" max="14854" width="16.6640625" style="238" customWidth="1"/>
    <col min="14855" max="14855" width="27.5" style="238" customWidth="1"/>
    <col min="14856" max="14856" width="20.6640625" style="238" customWidth="1"/>
    <col min="14857" max="14857" width="26.5" style="238" bestFit="1" customWidth="1"/>
    <col min="14858" max="14858" width="24.83203125" style="238" customWidth="1"/>
    <col min="14859" max="14859" width="22.33203125" style="238" customWidth="1"/>
    <col min="14860" max="14862" width="23.6640625" style="238" customWidth="1"/>
    <col min="14863" max="14863" width="24.83203125" style="238" bestFit="1" customWidth="1"/>
    <col min="14864" max="14864" width="20.5" style="238" bestFit="1" customWidth="1"/>
    <col min="14865" max="14865" width="9.33203125" style="238"/>
    <col min="14866" max="14866" width="31" style="238" customWidth="1"/>
    <col min="14867" max="14867" width="15.5" style="238" bestFit="1" customWidth="1"/>
    <col min="14868" max="14868" width="14.83203125" style="238" bestFit="1" customWidth="1"/>
    <col min="14869" max="14869" width="15.5" style="238" bestFit="1" customWidth="1"/>
    <col min="14870" max="14870" width="14.33203125" style="238" bestFit="1" customWidth="1"/>
    <col min="14871" max="14871" width="15.5" style="238" bestFit="1" customWidth="1"/>
    <col min="14872" max="15084" width="9.33203125" style="238"/>
    <col min="15085" max="15085" width="5.83203125" style="238" bestFit="1" customWidth="1"/>
    <col min="15086" max="15086" width="43.6640625" style="238" customWidth="1"/>
    <col min="15087" max="15087" width="19.83203125" style="238" bestFit="1" customWidth="1"/>
    <col min="15088" max="15088" width="22" style="238" bestFit="1" customWidth="1"/>
    <col min="15089" max="15089" width="20.5" style="238" bestFit="1" customWidth="1"/>
    <col min="15090" max="15090" width="24.83203125" style="238" customWidth="1"/>
    <col min="15091" max="15091" width="23.33203125" style="238" customWidth="1"/>
    <col min="15092" max="15092" width="2.83203125" style="238" customWidth="1"/>
    <col min="15093" max="15093" width="17.33203125" style="238" bestFit="1" customWidth="1"/>
    <col min="15094" max="15094" width="26.83203125" style="238" customWidth="1"/>
    <col min="15095" max="15095" width="22.33203125" style="238" customWidth="1"/>
    <col min="15096" max="15096" width="22.6640625" style="238" bestFit="1" customWidth="1"/>
    <col min="15097" max="15097" width="26.83203125" style="238" customWidth="1"/>
    <col min="15098" max="15099" width="26.33203125" style="238" customWidth="1"/>
    <col min="15100" max="15100" width="28" style="238" bestFit="1" customWidth="1"/>
    <col min="15101" max="15101" width="18.6640625" style="238" customWidth="1"/>
    <col min="15102" max="15102" width="32.33203125" style="238" customWidth="1"/>
    <col min="15103" max="15103" width="26.33203125" style="238" bestFit="1" customWidth="1"/>
    <col min="15104" max="15104" width="23.6640625" style="238" customWidth="1"/>
    <col min="15105" max="15105" width="27" style="238" customWidth="1"/>
    <col min="15106" max="15106" width="15.5" style="238" bestFit="1" customWidth="1"/>
    <col min="15107" max="15107" width="23.6640625" style="238" customWidth="1"/>
    <col min="15108" max="15108" width="15.33203125" style="238" bestFit="1" customWidth="1"/>
    <col min="15109" max="15109" width="20.83203125" style="238" bestFit="1" customWidth="1"/>
    <col min="15110" max="15110" width="16.6640625" style="238" customWidth="1"/>
    <col min="15111" max="15111" width="27.5" style="238" customWidth="1"/>
    <col min="15112" max="15112" width="20.6640625" style="238" customWidth="1"/>
    <col min="15113" max="15113" width="26.5" style="238" bestFit="1" customWidth="1"/>
    <col min="15114" max="15114" width="24.83203125" style="238" customWidth="1"/>
    <col min="15115" max="15115" width="22.33203125" style="238" customWidth="1"/>
    <col min="15116" max="15118" width="23.6640625" style="238" customWidth="1"/>
    <col min="15119" max="15119" width="24.83203125" style="238" bestFit="1" customWidth="1"/>
    <col min="15120" max="15120" width="20.5" style="238" bestFit="1" customWidth="1"/>
    <col min="15121" max="15121" width="9.33203125" style="238"/>
    <col min="15122" max="15122" width="31" style="238" customWidth="1"/>
    <col min="15123" max="15123" width="15.5" style="238" bestFit="1" customWidth="1"/>
    <col min="15124" max="15124" width="14.83203125" style="238" bestFit="1" customWidth="1"/>
    <col min="15125" max="15125" width="15.5" style="238" bestFit="1" customWidth="1"/>
    <col min="15126" max="15126" width="14.33203125" style="238" bestFit="1" customWidth="1"/>
    <col min="15127" max="15127" width="15.5" style="238" bestFit="1" customWidth="1"/>
    <col min="15128" max="15340" width="9.33203125" style="238"/>
    <col min="15341" max="15341" width="5.83203125" style="238" bestFit="1" customWidth="1"/>
    <col min="15342" max="15342" width="43.6640625" style="238" customWidth="1"/>
    <col min="15343" max="15343" width="19.83203125" style="238" bestFit="1" customWidth="1"/>
    <col min="15344" max="15344" width="22" style="238" bestFit="1" customWidth="1"/>
    <col min="15345" max="15345" width="20.5" style="238" bestFit="1" customWidth="1"/>
    <col min="15346" max="15346" width="24.83203125" style="238" customWidth="1"/>
    <col min="15347" max="15347" width="23.33203125" style="238" customWidth="1"/>
    <col min="15348" max="15348" width="2.83203125" style="238" customWidth="1"/>
    <col min="15349" max="15349" width="17.33203125" style="238" bestFit="1" customWidth="1"/>
    <col min="15350" max="15350" width="26.83203125" style="238" customWidth="1"/>
    <col min="15351" max="15351" width="22.33203125" style="238" customWidth="1"/>
    <col min="15352" max="15352" width="22.6640625" style="238" bestFit="1" customWidth="1"/>
    <col min="15353" max="15353" width="26.83203125" style="238" customWidth="1"/>
    <col min="15354" max="15355" width="26.33203125" style="238" customWidth="1"/>
    <col min="15356" max="15356" width="28" style="238" bestFit="1" customWidth="1"/>
    <col min="15357" max="15357" width="18.6640625" style="238" customWidth="1"/>
    <col min="15358" max="15358" width="32.33203125" style="238" customWidth="1"/>
    <col min="15359" max="15359" width="26.33203125" style="238" bestFit="1" customWidth="1"/>
    <col min="15360" max="15360" width="23.6640625" style="238" customWidth="1"/>
    <col min="15361" max="15361" width="27" style="238" customWidth="1"/>
    <col min="15362" max="15362" width="15.5" style="238" bestFit="1" customWidth="1"/>
    <col min="15363" max="15363" width="23.6640625" style="238" customWidth="1"/>
    <col min="15364" max="15364" width="15.33203125" style="238" bestFit="1" customWidth="1"/>
    <col min="15365" max="15365" width="20.83203125" style="238" bestFit="1" customWidth="1"/>
    <col min="15366" max="15366" width="16.6640625" style="238" customWidth="1"/>
    <col min="15367" max="15367" width="27.5" style="238" customWidth="1"/>
    <col min="15368" max="15368" width="20.6640625" style="238" customWidth="1"/>
    <col min="15369" max="15369" width="26.5" style="238" bestFit="1" customWidth="1"/>
    <col min="15370" max="15370" width="24.83203125" style="238" customWidth="1"/>
    <col min="15371" max="15371" width="22.33203125" style="238" customWidth="1"/>
    <col min="15372" max="15374" width="23.6640625" style="238" customWidth="1"/>
    <col min="15375" max="15375" width="24.83203125" style="238" bestFit="1" customWidth="1"/>
    <col min="15376" max="15376" width="20.5" style="238" bestFit="1" customWidth="1"/>
    <col min="15377" max="15377" width="9.33203125" style="238"/>
    <col min="15378" max="15378" width="31" style="238" customWidth="1"/>
    <col min="15379" max="15379" width="15.5" style="238" bestFit="1" customWidth="1"/>
    <col min="15380" max="15380" width="14.83203125" style="238" bestFit="1" customWidth="1"/>
    <col min="15381" max="15381" width="15.5" style="238" bestFit="1" customWidth="1"/>
    <col min="15382" max="15382" width="14.33203125" style="238" bestFit="1" customWidth="1"/>
    <col min="15383" max="15383" width="15.5" style="238" bestFit="1" customWidth="1"/>
    <col min="15384" max="15596" width="9.33203125" style="238"/>
    <col min="15597" max="15597" width="5.83203125" style="238" bestFit="1" customWidth="1"/>
    <col min="15598" max="15598" width="43.6640625" style="238" customWidth="1"/>
    <col min="15599" max="15599" width="19.83203125" style="238" bestFit="1" customWidth="1"/>
    <col min="15600" max="15600" width="22" style="238" bestFit="1" customWidth="1"/>
    <col min="15601" max="15601" width="20.5" style="238" bestFit="1" customWidth="1"/>
    <col min="15602" max="15602" width="24.83203125" style="238" customWidth="1"/>
    <col min="15603" max="15603" width="23.33203125" style="238" customWidth="1"/>
    <col min="15604" max="15604" width="2.83203125" style="238" customWidth="1"/>
    <col min="15605" max="15605" width="17.33203125" style="238" bestFit="1" customWidth="1"/>
    <col min="15606" max="15606" width="26.83203125" style="238" customWidth="1"/>
    <col min="15607" max="15607" width="22.33203125" style="238" customWidth="1"/>
    <col min="15608" max="15608" width="22.6640625" style="238" bestFit="1" customWidth="1"/>
    <col min="15609" max="15609" width="26.83203125" style="238" customWidth="1"/>
    <col min="15610" max="15611" width="26.33203125" style="238" customWidth="1"/>
    <col min="15612" max="15612" width="28" style="238" bestFit="1" customWidth="1"/>
    <col min="15613" max="15613" width="18.6640625" style="238" customWidth="1"/>
    <col min="15614" max="15614" width="32.33203125" style="238" customWidth="1"/>
    <col min="15615" max="15615" width="26.33203125" style="238" bestFit="1" customWidth="1"/>
    <col min="15616" max="15616" width="23.6640625" style="238" customWidth="1"/>
    <col min="15617" max="15617" width="27" style="238" customWidth="1"/>
    <col min="15618" max="15618" width="15.5" style="238" bestFit="1" customWidth="1"/>
    <col min="15619" max="15619" width="23.6640625" style="238" customWidth="1"/>
    <col min="15620" max="15620" width="15.33203125" style="238" bestFit="1" customWidth="1"/>
    <col min="15621" max="15621" width="20.83203125" style="238" bestFit="1" customWidth="1"/>
    <col min="15622" max="15622" width="16.6640625" style="238" customWidth="1"/>
    <col min="15623" max="15623" width="27.5" style="238" customWidth="1"/>
    <col min="15624" max="15624" width="20.6640625" style="238" customWidth="1"/>
    <col min="15625" max="15625" width="26.5" style="238" bestFit="1" customWidth="1"/>
    <col min="15626" max="15626" width="24.83203125" style="238" customWidth="1"/>
    <col min="15627" max="15627" width="22.33203125" style="238" customWidth="1"/>
    <col min="15628" max="15630" width="23.6640625" style="238" customWidth="1"/>
    <col min="15631" max="15631" width="24.83203125" style="238" bestFit="1" customWidth="1"/>
    <col min="15632" max="15632" width="20.5" style="238" bestFit="1" customWidth="1"/>
    <col min="15633" max="15633" width="9.33203125" style="238"/>
    <col min="15634" max="15634" width="31" style="238" customWidth="1"/>
    <col min="15635" max="15635" width="15.5" style="238" bestFit="1" customWidth="1"/>
    <col min="15636" max="15636" width="14.83203125" style="238" bestFit="1" customWidth="1"/>
    <col min="15637" max="15637" width="15.5" style="238" bestFit="1" customWidth="1"/>
    <col min="15638" max="15638" width="14.33203125" style="238" bestFit="1" customWidth="1"/>
    <col min="15639" max="15639" width="15.5" style="238" bestFit="1" customWidth="1"/>
    <col min="15640" max="15852" width="9.33203125" style="238"/>
    <col min="15853" max="15853" width="5.83203125" style="238" bestFit="1" customWidth="1"/>
    <col min="15854" max="15854" width="43.6640625" style="238" customWidth="1"/>
    <col min="15855" max="15855" width="19.83203125" style="238" bestFit="1" customWidth="1"/>
    <col min="15856" max="15856" width="22" style="238" bestFit="1" customWidth="1"/>
    <col min="15857" max="15857" width="20.5" style="238" bestFit="1" customWidth="1"/>
    <col min="15858" max="15858" width="24.83203125" style="238" customWidth="1"/>
    <col min="15859" max="15859" width="23.33203125" style="238" customWidth="1"/>
    <col min="15860" max="15860" width="2.83203125" style="238" customWidth="1"/>
    <col min="15861" max="15861" width="17.33203125" style="238" bestFit="1" customWidth="1"/>
    <col min="15862" max="15862" width="26.83203125" style="238" customWidth="1"/>
    <col min="15863" max="15863" width="22.33203125" style="238" customWidth="1"/>
    <col min="15864" max="15864" width="22.6640625" style="238" bestFit="1" customWidth="1"/>
    <col min="15865" max="15865" width="26.83203125" style="238" customWidth="1"/>
    <col min="15866" max="15867" width="26.33203125" style="238" customWidth="1"/>
    <col min="15868" max="15868" width="28" style="238" bestFit="1" customWidth="1"/>
    <col min="15869" max="15869" width="18.6640625" style="238" customWidth="1"/>
    <col min="15870" max="15870" width="32.33203125" style="238" customWidth="1"/>
    <col min="15871" max="15871" width="26.33203125" style="238" bestFit="1" customWidth="1"/>
    <col min="15872" max="15872" width="23.6640625" style="238" customWidth="1"/>
    <col min="15873" max="15873" width="27" style="238" customWidth="1"/>
    <col min="15874" max="15874" width="15.5" style="238" bestFit="1" customWidth="1"/>
    <col min="15875" max="15875" width="23.6640625" style="238" customWidth="1"/>
    <col min="15876" max="15876" width="15.33203125" style="238" bestFit="1" customWidth="1"/>
    <col min="15877" max="15877" width="20.83203125" style="238" bestFit="1" customWidth="1"/>
    <col min="15878" max="15878" width="16.6640625" style="238" customWidth="1"/>
    <col min="15879" max="15879" width="27.5" style="238" customWidth="1"/>
    <col min="15880" max="15880" width="20.6640625" style="238" customWidth="1"/>
    <col min="15881" max="15881" width="26.5" style="238" bestFit="1" customWidth="1"/>
    <col min="15882" max="15882" width="24.83203125" style="238" customWidth="1"/>
    <col min="15883" max="15883" width="22.33203125" style="238" customWidth="1"/>
    <col min="15884" max="15886" width="23.6640625" style="238" customWidth="1"/>
    <col min="15887" max="15887" width="24.83203125" style="238" bestFit="1" customWidth="1"/>
    <col min="15888" max="15888" width="20.5" style="238" bestFit="1" customWidth="1"/>
    <col min="15889" max="15889" width="9.33203125" style="238"/>
    <col min="15890" max="15890" width="31" style="238" customWidth="1"/>
    <col min="15891" max="15891" width="15.5" style="238" bestFit="1" customWidth="1"/>
    <col min="15892" max="15892" width="14.83203125" style="238" bestFit="1" customWidth="1"/>
    <col min="15893" max="15893" width="15.5" style="238" bestFit="1" customWidth="1"/>
    <col min="15894" max="15894" width="14.33203125" style="238" bestFit="1" customWidth="1"/>
    <col min="15895" max="15895" width="15.5" style="238" bestFit="1" customWidth="1"/>
    <col min="15896" max="16108" width="9.33203125" style="238"/>
    <col min="16109" max="16109" width="5.83203125" style="238" bestFit="1" customWidth="1"/>
    <col min="16110" max="16110" width="43.6640625" style="238" customWidth="1"/>
    <col min="16111" max="16111" width="19.83203125" style="238" bestFit="1" customWidth="1"/>
    <col min="16112" max="16112" width="22" style="238" bestFit="1" customWidth="1"/>
    <col min="16113" max="16113" width="20.5" style="238" bestFit="1" customWidth="1"/>
    <col min="16114" max="16114" width="24.83203125" style="238" customWidth="1"/>
    <col min="16115" max="16115" width="23.33203125" style="238" customWidth="1"/>
    <col min="16116" max="16116" width="2.83203125" style="238" customWidth="1"/>
    <col min="16117" max="16117" width="17.33203125" style="238" bestFit="1" customWidth="1"/>
    <col min="16118" max="16118" width="26.83203125" style="238" customWidth="1"/>
    <col min="16119" max="16119" width="22.33203125" style="238" customWidth="1"/>
    <col min="16120" max="16120" width="22.6640625" style="238" bestFit="1" customWidth="1"/>
    <col min="16121" max="16121" width="26.83203125" style="238" customWidth="1"/>
    <col min="16122" max="16123" width="26.33203125" style="238" customWidth="1"/>
    <col min="16124" max="16124" width="28" style="238" bestFit="1" customWidth="1"/>
    <col min="16125" max="16125" width="18.6640625" style="238" customWidth="1"/>
    <col min="16126" max="16126" width="32.33203125" style="238" customWidth="1"/>
    <col min="16127" max="16127" width="26.33203125" style="238" bestFit="1" customWidth="1"/>
    <col min="16128" max="16128" width="23.6640625" style="238" customWidth="1"/>
    <col min="16129" max="16129" width="27" style="238" customWidth="1"/>
    <col min="16130" max="16130" width="15.5" style="238" bestFit="1" customWidth="1"/>
    <col min="16131" max="16131" width="23.6640625" style="238" customWidth="1"/>
    <col min="16132" max="16132" width="15.33203125" style="238" bestFit="1" customWidth="1"/>
    <col min="16133" max="16133" width="20.83203125" style="238" bestFit="1" customWidth="1"/>
    <col min="16134" max="16134" width="16.6640625" style="238" customWidth="1"/>
    <col min="16135" max="16135" width="27.5" style="238" customWidth="1"/>
    <col min="16136" max="16136" width="20.6640625" style="238" customWidth="1"/>
    <col min="16137" max="16137" width="26.5" style="238" bestFit="1" customWidth="1"/>
    <col min="16138" max="16138" width="24.83203125" style="238" customWidth="1"/>
    <col min="16139" max="16139" width="22.33203125" style="238" customWidth="1"/>
    <col min="16140" max="16142" width="23.6640625" style="238" customWidth="1"/>
    <col min="16143" max="16143" width="24.83203125" style="238" bestFit="1" customWidth="1"/>
    <col min="16144" max="16144" width="20.5" style="238" bestFit="1" customWidth="1"/>
    <col min="16145" max="16145" width="9.33203125" style="238"/>
    <col min="16146" max="16146" width="31" style="238" customWidth="1"/>
    <col min="16147" max="16147" width="15.5" style="238" bestFit="1" customWidth="1"/>
    <col min="16148" max="16148" width="14.83203125" style="238" bestFit="1" customWidth="1"/>
    <col min="16149" max="16149" width="15.5" style="238" bestFit="1" customWidth="1"/>
    <col min="16150" max="16150" width="14.33203125" style="238" bestFit="1" customWidth="1"/>
    <col min="16151" max="16151" width="15.5" style="238" bestFit="1" customWidth="1"/>
    <col min="16152" max="16384" width="9.33203125" style="238"/>
  </cols>
  <sheetData>
    <row r="1" spans="1:71">
      <c r="A1" s="233"/>
      <c r="E1" s="235"/>
      <c r="F1" s="236"/>
      <c r="G1" s="237" t="str">
        <f>'Exhibit No._(CTM-2), Pg. 2-6'!L2</f>
        <v>Exhibit No.__ (CTM-2) revised per Bench Request No. 26</v>
      </c>
      <c r="L1" s="235"/>
      <c r="M1" s="236"/>
      <c r="N1" s="237"/>
      <c r="Q1" s="234"/>
      <c r="R1" s="234"/>
      <c r="S1" s="234"/>
      <c r="T1" s="234"/>
      <c r="U1" s="234"/>
      <c r="V1" s="234"/>
      <c r="W1" s="234"/>
    </row>
    <row r="2" spans="1:71" ht="13.5" thickBot="1">
      <c r="E2" s="239"/>
      <c r="G2" s="49" t="s">
        <v>2886</v>
      </c>
      <c r="H2" s="236"/>
      <c r="L2" s="239"/>
      <c r="N2" s="240" t="str">
        <f>G2</f>
        <v>Exhibit No. CTM-2</v>
      </c>
      <c r="O2" s="236"/>
      <c r="Q2" s="234"/>
      <c r="R2" s="234"/>
      <c r="S2" s="234"/>
      <c r="T2" s="234"/>
      <c r="U2" s="234"/>
      <c r="V2" s="234"/>
      <c r="W2" s="234"/>
    </row>
    <row r="3" spans="1:71" ht="14.25" thickTop="1" thickBot="1">
      <c r="A3" s="241"/>
      <c r="B3" s="241"/>
      <c r="C3" s="241"/>
      <c r="D3" s="241"/>
      <c r="G3" s="242" t="s">
        <v>2887</v>
      </c>
      <c r="H3" s="243"/>
      <c r="J3" s="241"/>
      <c r="K3" s="241"/>
      <c r="N3" s="242" t="s">
        <v>550</v>
      </c>
      <c r="O3" s="243"/>
      <c r="Q3" s="234"/>
      <c r="R3" s="234"/>
      <c r="S3" s="234"/>
      <c r="T3" s="234"/>
      <c r="U3" s="234"/>
      <c r="V3" s="234"/>
      <c r="W3" s="234"/>
    </row>
    <row r="4" spans="1:71" ht="13.5" thickTop="1">
      <c r="A4" s="2891" t="str">
        <f>'Exhibit No._(CTM-2), Pg. 2-6'!A5</f>
        <v>Puget Sound Energy - Gas</v>
      </c>
      <c r="B4" s="2891"/>
      <c r="C4" s="2891"/>
      <c r="D4" s="2891"/>
      <c r="E4" s="2891"/>
      <c r="F4" s="2891"/>
      <c r="G4" s="2891"/>
      <c r="H4" s="2891"/>
      <c r="I4" s="243"/>
      <c r="J4" s="2891" t="str">
        <f>A4</f>
        <v>Puget Sound Energy - Gas</v>
      </c>
      <c r="K4" s="2891"/>
      <c r="L4" s="2891"/>
      <c r="M4" s="2891"/>
      <c r="N4" s="244"/>
      <c r="O4" s="245"/>
      <c r="P4" s="243"/>
      <c r="Q4" s="235"/>
      <c r="R4" s="235"/>
      <c r="S4" s="235"/>
      <c r="T4" s="235"/>
      <c r="U4" s="235"/>
      <c r="V4" s="235"/>
      <c r="W4" s="235"/>
    </row>
    <row r="5" spans="1:71">
      <c r="A5" s="2891" t="s">
        <v>23</v>
      </c>
      <c r="B5" s="2891"/>
      <c r="C5" s="2891"/>
      <c r="D5" s="2891"/>
      <c r="E5" s="2891"/>
      <c r="F5" s="2891"/>
      <c r="G5" s="2891"/>
      <c r="H5" s="2891"/>
      <c r="I5" s="246" t="s">
        <v>17</v>
      </c>
      <c r="J5" s="2891" t="str">
        <f>A5</f>
        <v>RESULTS OF OPERATIONS</v>
      </c>
      <c r="K5" s="2891"/>
      <c r="L5" s="2891"/>
      <c r="M5" s="2891"/>
      <c r="N5" s="244"/>
      <c r="O5" s="245"/>
      <c r="P5" s="246" t="s">
        <v>17</v>
      </c>
      <c r="Q5" s="235"/>
      <c r="R5" s="235"/>
      <c r="S5" s="235"/>
      <c r="T5" s="235"/>
      <c r="U5" s="235"/>
      <c r="V5" s="235"/>
      <c r="W5" s="235"/>
    </row>
    <row r="6" spans="1:71">
      <c r="A6" s="2891" t="str">
        <f>'Exhibit No._(CTM-2), Pg. 2-6'!A7</f>
        <v>For the Twelve Months Ended December 31, 2010</v>
      </c>
      <c r="B6" s="2891"/>
      <c r="C6" s="2891"/>
      <c r="D6" s="2891"/>
      <c r="E6" s="2891"/>
      <c r="F6" s="2891"/>
      <c r="G6" s="2891"/>
      <c r="H6" s="2891"/>
      <c r="I6" s="246" t="s">
        <v>17</v>
      </c>
      <c r="J6" s="2891" t="s">
        <v>981</v>
      </c>
      <c r="K6" s="2891"/>
      <c r="L6" s="2891"/>
      <c r="M6" s="2891"/>
      <c r="N6" s="244"/>
      <c r="O6" s="245"/>
      <c r="P6" s="246" t="s">
        <v>17</v>
      </c>
      <c r="Q6" s="235"/>
      <c r="R6" s="235"/>
      <c r="S6" s="235"/>
      <c r="T6" s="235"/>
      <c r="U6" s="235"/>
      <c r="V6" s="235"/>
      <c r="W6" s="235"/>
    </row>
    <row r="7" spans="1:71">
      <c r="A7" s="244" t="s">
        <v>617</v>
      </c>
      <c r="B7" s="244"/>
      <c r="C7" s="244"/>
      <c r="D7" s="244"/>
      <c r="E7" s="244"/>
      <c r="F7" s="244"/>
      <c r="G7" s="244"/>
      <c r="H7" s="245"/>
      <c r="I7" s="246" t="s">
        <v>17</v>
      </c>
      <c r="J7" s="2891" t="s">
        <v>618</v>
      </c>
      <c r="K7" s="2891"/>
      <c r="L7" s="2891"/>
      <c r="M7" s="2891"/>
      <c r="N7" s="244"/>
      <c r="O7" s="245"/>
      <c r="P7" s="246" t="s">
        <v>17</v>
      </c>
      <c r="Q7" s="235"/>
      <c r="R7" s="2890" t="s">
        <v>619</v>
      </c>
      <c r="S7" s="2890"/>
      <c r="T7" s="2890"/>
      <c r="U7" s="235"/>
      <c r="V7" s="235"/>
      <c r="W7" s="235"/>
    </row>
    <row r="8" spans="1:71">
      <c r="A8" s="243"/>
      <c r="B8" s="243"/>
      <c r="C8" s="243"/>
      <c r="D8" s="247"/>
      <c r="E8" s="247"/>
      <c r="F8" s="247"/>
      <c r="G8" s="247"/>
      <c r="H8" s="248"/>
      <c r="I8" s="249"/>
      <c r="J8" s="243"/>
      <c r="K8" s="247"/>
      <c r="L8" s="247"/>
      <c r="M8" s="247"/>
      <c r="N8" s="247"/>
      <c r="O8" s="248"/>
      <c r="P8" s="249"/>
      <c r="Q8" s="235"/>
      <c r="R8" s="2890"/>
      <c r="S8" s="2890"/>
      <c r="T8" s="2890"/>
      <c r="U8" s="235"/>
      <c r="V8" s="235"/>
      <c r="W8" s="235"/>
      <c r="BS8" s="238" t="s">
        <v>978</v>
      </c>
    </row>
    <row r="9" spans="1:71" ht="13.5">
      <c r="A9" s="235"/>
      <c r="B9" s="235"/>
      <c r="C9" s="250"/>
      <c r="D9" s="250"/>
      <c r="E9" s="250"/>
      <c r="F9" s="250"/>
      <c r="G9" s="250"/>
      <c r="H9" s="235"/>
      <c r="I9" s="235"/>
      <c r="J9" s="250"/>
      <c r="K9" s="250"/>
      <c r="L9" s="250"/>
      <c r="M9" s="250"/>
      <c r="N9" s="250"/>
      <c r="O9" s="235"/>
      <c r="P9" s="235"/>
      <c r="Q9" s="235"/>
      <c r="R9" s="2890" t="s">
        <v>620</v>
      </c>
      <c r="S9" s="2890"/>
      <c r="T9" s="2890"/>
      <c r="U9" s="235"/>
      <c r="V9" s="235"/>
      <c r="W9" s="235"/>
    </row>
    <row r="10" spans="1:71">
      <c r="A10" s="235"/>
      <c r="B10" s="235"/>
      <c r="C10" s="251" t="s">
        <v>36</v>
      </c>
      <c r="D10" s="251"/>
      <c r="E10" s="251" t="s">
        <v>123</v>
      </c>
      <c r="F10" s="251" t="s">
        <v>124</v>
      </c>
      <c r="G10" s="251" t="s">
        <v>125</v>
      </c>
      <c r="H10" s="251"/>
      <c r="I10" s="251"/>
      <c r="J10" s="251" t="s">
        <v>36</v>
      </c>
      <c r="K10" s="251"/>
      <c r="L10" s="251" t="s">
        <v>123</v>
      </c>
      <c r="M10" s="251" t="s">
        <v>124</v>
      </c>
      <c r="N10" s="251" t="s">
        <v>125</v>
      </c>
      <c r="O10" s="251"/>
      <c r="P10" s="251"/>
      <c r="Q10" s="235"/>
      <c r="R10" s="2890" t="s">
        <v>621</v>
      </c>
      <c r="S10" s="2890"/>
      <c r="T10" s="2890"/>
      <c r="U10" s="235"/>
      <c r="V10" s="235"/>
      <c r="W10" s="235"/>
    </row>
    <row r="11" spans="1:71">
      <c r="A11" s="251" t="s">
        <v>24</v>
      </c>
      <c r="B11" s="235"/>
      <c r="C11" s="251" t="s">
        <v>55</v>
      </c>
      <c r="D11" s="251" t="s">
        <v>37</v>
      </c>
      <c r="E11" s="251" t="s">
        <v>55</v>
      </c>
      <c r="F11" s="251" t="s">
        <v>126</v>
      </c>
      <c r="G11" s="251" t="s">
        <v>56</v>
      </c>
      <c r="H11" s="251"/>
      <c r="I11" s="251"/>
      <c r="J11" s="251" t="s">
        <v>55</v>
      </c>
      <c r="K11" s="251" t="s">
        <v>37</v>
      </c>
      <c r="L11" s="251" t="s">
        <v>55</v>
      </c>
      <c r="M11" s="251" t="s">
        <v>126</v>
      </c>
      <c r="N11" s="251" t="s">
        <v>56</v>
      </c>
      <c r="O11" s="251"/>
      <c r="P11" s="251"/>
      <c r="Q11" s="235"/>
      <c r="R11" s="251"/>
      <c r="S11" s="251"/>
      <c r="T11" s="251"/>
      <c r="U11" s="235"/>
      <c r="V11" s="235"/>
      <c r="W11" s="235"/>
    </row>
    <row r="12" spans="1:71">
      <c r="A12" s="243" t="s">
        <v>38</v>
      </c>
      <c r="B12" s="252"/>
      <c r="C12" s="243" t="s">
        <v>45</v>
      </c>
      <c r="D12" s="243" t="s">
        <v>49</v>
      </c>
      <c r="E12" s="243" t="s">
        <v>45</v>
      </c>
      <c r="F12" s="243" t="s">
        <v>127</v>
      </c>
      <c r="G12" s="243" t="s">
        <v>25</v>
      </c>
      <c r="H12" s="251"/>
      <c r="I12" s="251"/>
      <c r="J12" s="253" t="s">
        <v>45</v>
      </c>
      <c r="K12" s="253" t="s">
        <v>49</v>
      </c>
      <c r="L12" s="253" t="s">
        <v>45</v>
      </c>
      <c r="M12" s="253" t="s">
        <v>127</v>
      </c>
      <c r="N12" s="253" t="s">
        <v>25</v>
      </c>
      <c r="O12" s="243"/>
      <c r="P12" s="243"/>
      <c r="Q12" s="234"/>
      <c r="R12" s="253" t="s">
        <v>622</v>
      </c>
      <c r="S12" s="253"/>
      <c r="T12" s="253" t="s">
        <v>623</v>
      </c>
      <c r="U12" s="234"/>
      <c r="V12" s="234"/>
      <c r="W12" s="234"/>
    </row>
    <row r="13" spans="1:71" ht="13.5" thickBot="1">
      <c r="A13" s="254" t="s">
        <v>58</v>
      </c>
      <c r="B13" s="254"/>
      <c r="C13" s="254"/>
      <c r="D13" s="254"/>
      <c r="E13" s="254"/>
      <c r="F13" s="254"/>
      <c r="G13" s="254"/>
      <c r="H13" s="254"/>
      <c r="I13" s="254"/>
      <c r="Q13" s="234"/>
      <c r="R13" s="234"/>
      <c r="S13" s="234"/>
      <c r="T13" s="234"/>
      <c r="U13" s="234"/>
      <c r="V13" s="234"/>
      <c r="W13" s="234"/>
    </row>
    <row r="14" spans="1:71">
      <c r="A14" s="255">
        <v>1</v>
      </c>
      <c r="B14" s="256" t="s">
        <v>0</v>
      </c>
      <c r="C14" s="257"/>
      <c r="I14" s="258" t="s">
        <v>153</v>
      </c>
      <c r="J14" s="257"/>
      <c r="P14" s="258" t="s">
        <v>153</v>
      </c>
      <c r="Q14" s="234"/>
      <c r="R14" s="234"/>
      <c r="S14" s="234"/>
      <c r="T14" s="234"/>
      <c r="U14" s="234"/>
      <c r="V14" s="234"/>
      <c r="W14" s="234"/>
    </row>
    <row r="15" spans="1:71" ht="13.5">
      <c r="A15" s="255">
        <f t="shared" ref="A15:A58" si="0">+A14+1</f>
        <v>2</v>
      </c>
      <c r="B15" s="259" t="s">
        <v>1</v>
      </c>
      <c r="C15" s="8">
        <f>'Exhibit No._(CTM-2), Pg. 2-6'!D16</f>
        <v>953445525.50999999</v>
      </c>
      <c r="D15" s="8">
        <f>'Exhibit No._(CTM-2), Pg. 2-6'!E16</f>
        <v>86342727.155601606</v>
      </c>
      <c r="E15" s="24">
        <f>'Exhibit No._(CTM-2), Pg. 2-6'!G16</f>
        <v>0</v>
      </c>
      <c r="F15" s="24">
        <f>'Exhibit No._(CTM-2), Pg. 2-6'!I16</f>
        <v>2211414</v>
      </c>
      <c r="G15" s="24">
        <f>'Exhibit No._(CTM-2), Pg. 2-6'!J16</f>
        <v>1041999666.6656016</v>
      </c>
      <c r="H15" s="261"/>
      <c r="I15" s="262" t="e">
        <f>F15/E15</f>
        <v>#DIV/0!</v>
      </c>
      <c r="J15" s="260">
        <v>963232858.51999998</v>
      </c>
      <c r="K15" s="260">
        <v>87476342.906975016</v>
      </c>
      <c r="L15" s="261">
        <v>1050709201.426975</v>
      </c>
      <c r="M15" s="261">
        <v>24412897.460000001</v>
      </c>
      <c r="N15" s="261">
        <v>1075122098.886975</v>
      </c>
      <c r="O15" s="261"/>
      <c r="P15" s="262">
        <f>M15/L15</f>
        <v>2.3234685131570836E-2</v>
      </c>
      <c r="Q15" s="234"/>
      <c r="R15" s="261">
        <f>C15-J15</f>
        <v>-9787333.0099999905</v>
      </c>
      <c r="S15" s="261"/>
      <c r="T15" s="261">
        <f>E15-L15</f>
        <v>-1050709201.426975</v>
      </c>
      <c r="U15" s="234"/>
      <c r="V15" s="234"/>
      <c r="W15" s="234"/>
    </row>
    <row r="16" spans="1:71" ht="13.5">
      <c r="A16" s="255">
        <f t="shared" si="0"/>
        <v>3</v>
      </c>
      <c r="B16" s="259" t="s">
        <v>66</v>
      </c>
      <c r="C16" s="3">
        <f>'Exhibit No._(CTM-2), Pg. 2-6'!D17</f>
        <v>43761997</v>
      </c>
      <c r="D16" s="30">
        <f>'Exhibit No._(CTM-2), Pg. 2-6'!E17</f>
        <v>-43761996.879999995</v>
      </c>
      <c r="E16" s="25">
        <f>'Exhibit No._(CTM-2), Pg. 2-6'!G17</f>
        <v>0</v>
      </c>
      <c r="F16" s="25">
        <f>'Exhibit No._(CTM-2), Pg. 2-6'!I17</f>
        <v>0</v>
      </c>
      <c r="G16" s="25">
        <f>'Exhibit No._(CTM-2), Pg. 2-6'!J17</f>
        <v>0.12000000476837158</v>
      </c>
      <c r="H16" s="265"/>
      <c r="I16" s="266"/>
      <c r="J16" s="263">
        <v>43439732.07</v>
      </c>
      <c r="K16" s="264">
        <v>-43439732.07</v>
      </c>
      <c r="L16" s="265">
        <v>0</v>
      </c>
      <c r="M16" s="265">
        <v>0</v>
      </c>
      <c r="N16" s="265">
        <v>0</v>
      </c>
      <c r="O16" s="265"/>
      <c r="P16" s="266"/>
      <c r="Q16" s="234"/>
      <c r="R16" s="265">
        <f>C16-J16</f>
        <v>322264.9299999997</v>
      </c>
      <c r="S16" s="265"/>
      <c r="T16" s="265">
        <f>E16-L16</f>
        <v>0</v>
      </c>
      <c r="U16" s="234"/>
      <c r="V16" s="234"/>
      <c r="W16" s="234"/>
    </row>
    <row r="17" spans="1:23" ht="13.5" thickBot="1">
      <c r="A17" s="255">
        <f t="shared" si="0"/>
        <v>4</v>
      </c>
      <c r="B17" s="259" t="s">
        <v>2</v>
      </c>
      <c r="C17" s="29">
        <f>'Exhibit No._(CTM-2), Pg. 2-6'!D18</f>
        <v>14322993.74</v>
      </c>
      <c r="D17" s="31">
        <f>'Exhibit No._(CTM-2), Pg. 2-6'!E18</f>
        <v>575830.26499999966</v>
      </c>
      <c r="E17" s="26">
        <f>'Exhibit No._(CTM-2), Pg. 2-6'!G18</f>
        <v>0</v>
      </c>
      <c r="F17" s="26">
        <f>'Exhibit No._(CTM-2), Pg. 2-6'!I18</f>
        <v>0</v>
      </c>
      <c r="G17" s="26">
        <f>'Exhibit No._(CTM-2), Pg. 2-6'!J18</f>
        <v>14898824.004999999</v>
      </c>
      <c r="H17" s="270"/>
      <c r="I17" s="271" t="e">
        <f>+F17/E17</f>
        <v>#DIV/0!</v>
      </c>
      <c r="J17" s="267">
        <v>16566667.609999999</v>
      </c>
      <c r="K17" s="268">
        <v>-1457309.1450000003</v>
      </c>
      <c r="L17" s="269">
        <v>15109358.465</v>
      </c>
      <c r="M17" s="269">
        <v>230106.54000000004</v>
      </c>
      <c r="N17" s="269">
        <v>15339465.004999999</v>
      </c>
      <c r="O17" s="270"/>
      <c r="P17" s="271">
        <f>+M17/L17</f>
        <v>1.5229405042777243E-2</v>
      </c>
      <c r="Q17" s="234"/>
      <c r="R17" s="269">
        <f>C17-J17</f>
        <v>-2243673.8699999992</v>
      </c>
      <c r="S17" s="269"/>
      <c r="T17" s="269">
        <f>E17-L17</f>
        <v>-15109358.465</v>
      </c>
      <c r="U17" s="234"/>
      <c r="V17" s="234"/>
      <c r="W17" s="234"/>
    </row>
    <row r="18" spans="1:23" ht="14.25" thickBot="1">
      <c r="A18" s="255">
        <f t="shared" si="0"/>
        <v>5</v>
      </c>
      <c r="B18" s="259" t="s">
        <v>3</v>
      </c>
      <c r="C18" s="8">
        <f>'Exhibit No._(CTM-2), Pg. 2-6'!D19</f>
        <v>1011530516.25</v>
      </c>
      <c r="D18" s="8">
        <f>'Exhibit No._(CTM-2), Pg. 2-6'!E19</f>
        <v>43156560.540601611</v>
      </c>
      <c r="E18" s="12">
        <f>'Exhibit No._(CTM-2), Pg. 2-6'!G19</f>
        <v>0</v>
      </c>
      <c r="F18" s="156">
        <f>'Exhibit No._(CTM-2), Pg. 2-6'!I19</f>
        <v>2211414</v>
      </c>
      <c r="G18" s="12">
        <f>'Exhibit No._(CTM-2), Pg. 2-6'!J19</f>
        <v>1056898490.7906016</v>
      </c>
      <c r="H18" s="273"/>
      <c r="I18" s="274" t="e">
        <f>+F18/E18</f>
        <v>#DIV/0!</v>
      </c>
      <c r="J18" s="260">
        <v>1023239258.2</v>
      </c>
      <c r="K18" s="260">
        <v>42579301.691975012</v>
      </c>
      <c r="L18" s="272">
        <v>1065818559.891975</v>
      </c>
      <c r="M18" s="275">
        <v>24643004</v>
      </c>
      <c r="N18" s="272">
        <v>1090461563.8919752</v>
      </c>
      <c r="O18" s="273"/>
      <c r="P18" s="274">
        <f>+M18/L18</f>
        <v>2.312119991839668E-2</v>
      </c>
      <c r="Q18" s="234"/>
      <c r="R18" s="272">
        <f>C18-J18</f>
        <v>-11708741.950000048</v>
      </c>
      <c r="S18" s="272"/>
      <c r="T18" s="272">
        <f>E18-L18</f>
        <v>-1065818559.891975</v>
      </c>
      <c r="U18" s="234"/>
      <c r="V18" s="234"/>
      <c r="W18" s="234"/>
    </row>
    <row r="19" spans="1:23">
      <c r="A19" s="255">
        <f t="shared" si="0"/>
        <v>6</v>
      </c>
      <c r="C19" s="1"/>
      <c r="D19" s="9"/>
      <c r="E19" s="7"/>
      <c r="F19" s="157"/>
      <c r="G19" s="1"/>
      <c r="K19" s="276"/>
      <c r="L19" s="257"/>
      <c r="M19" s="277"/>
      <c r="Q19" s="234"/>
      <c r="R19" s="257"/>
      <c r="S19" s="257"/>
      <c r="T19" s="257"/>
      <c r="U19" s="234"/>
      <c r="V19" s="234"/>
      <c r="W19" s="234"/>
    </row>
    <row r="20" spans="1:23">
      <c r="A20" s="255">
        <f t="shared" si="0"/>
        <v>7</v>
      </c>
      <c r="C20" s="7"/>
      <c r="D20" s="7"/>
      <c r="E20" s="7"/>
      <c r="F20" s="35"/>
      <c r="G20" s="7"/>
      <c r="H20" s="257"/>
      <c r="I20" s="257"/>
      <c r="J20" s="257"/>
      <c r="K20" s="257"/>
      <c r="L20" s="257"/>
      <c r="M20" s="278"/>
      <c r="N20" s="257"/>
      <c r="O20" s="257"/>
      <c r="P20" s="257"/>
      <c r="Q20" s="234"/>
      <c r="R20" s="257"/>
      <c r="S20" s="257"/>
      <c r="T20" s="257"/>
      <c r="U20" s="234"/>
      <c r="V20" s="234"/>
      <c r="W20" s="234"/>
    </row>
    <row r="21" spans="1:23">
      <c r="A21" s="255">
        <f t="shared" si="0"/>
        <v>8</v>
      </c>
      <c r="B21" s="279" t="s">
        <v>4</v>
      </c>
      <c r="C21" s="7"/>
      <c r="D21" s="7"/>
      <c r="E21" s="7"/>
      <c r="F21" s="7"/>
      <c r="G21" s="7"/>
      <c r="H21" s="257"/>
      <c r="I21" s="280"/>
      <c r="J21" s="257"/>
      <c r="K21" s="257"/>
      <c r="L21" s="257"/>
      <c r="M21" s="257"/>
      <c r="N21" s="257"/>
      <c r="O21" s="257"/>
      <c r="P21" s="280"/>
      <c r="Q21" s="234"/>
      <c r="R21" s="257"/>
      <c r="S21" s="257"/>
      <c r="T21" s="257"/>
      <c r="U21" s="234"/>
      <c r="V21" s="234"/>
      <c r="W21" s="234"/>
    </row>
    <row r="22" spans="1:23">
      <c r="A22" s="255">
        <f t="shared" si="0"/>
        <v>9</v>
      </c>
      <c r="C22" s="7"/>
      <c r="D22" s="7"/>
      <c r="E22" s="7"/>
      <c r="F22" s="7"/>
      <c r="G22" s="7"/>
      <c r="H22" s="257"/>
      <c r="I22" s="281"/>
      <c r="J22" s="257"/>
      <c r="K22" s="257"/>
      <c r="L22" s="257"/>
      <c r="M22" s="257" t="s">
        <v>18</v>
      </c>
      <c r="N22" s="257"/>
      <c r="O22" s="257"/>
      <c r="P22" s="281"/>
      <c r="Q22" s="234"/>
      <c r="R22" s="257"/>
      <c r="S22" s="257"/>
      <c r="T22" s="257"/>
      <c r="U22" s="234"/>
      <c r="V22" s="234"/>
      <c r="W22" s="234"/>
    </row>
    <row r="23" spans="1:23">
      <c r="A23" s="255">
        <f t="shared" si="0"/>
        <v>10</v>
      </c>
      <c r="B23" s="259" t="s">
        <v>145</v>
      </c>
      <c r="C23" s="7"/>
      <c r="D23" s="7"/>
      <c r="E23" s="7"/>
      <c r="F23" s="7"/>
      <c r="G23" s="7"/>
      <c r="H23" s="257"/>
      <c r="I23" s="281"/>
      <c r="J23" s="257"/>
      <c r="K23" s="257"/>
      <c r="L23" s="257"/>
      <c r="M23" s="257" t="s">
        <v>18</v>
      </c>
      <c r="N23" s="257"/>
      <c r="O23" s="257"/>
      <c r="P23" s="281"/>
      <c r="Q23" s="234"/>
      <c r="R23" s="257"/>
      <c r="S23" s="257"/>
      <c r="T23" s="257"/>
      <c r="U23" s="234"/>
      <c r="V23" s="234"/>
      <c r="W23" s="234"/>
    </row>
    <row r="24" spans="1:23">
      <c r="A24" s="255">
        <f t="shared" si="0"/>
        <v>11</v>
      </c>
      <c r="B24" s="259"/>
      <c r="C24" s="20"/>
      <c r="D24" s="20"/>
      <c r="E24" s="27"/>
      <c r="F24" s="27"/>
      <c r="G24" s="27"/>
      <c r="H24" s="283"/>
      <c r="I24" s="284"/>
      <c r="J24" s="282"/>
      <c r="K24" s="282"/>
      <c r="L24" s="283"/>
      <c r="M24" s="283"/>
      <c r="N24" s="283"/>
      <c r="O24" s="283"/>
      <c r="P24" s="284"/>
      <c r="Q24" s="234"/>
      <c r="R24" s="283"/>
      <c r="S24" s="283"/>
      <c r="T24" s="283"/>
      <c r="U24" s="234"/>
      <c r="V24" s="234"/>
      <c r="W24" s="234"/>
    </row>
    <row r="25" spans="1:23">
      <c r="A25" s="255">
        <f t="shared" si="0"/>
        <v>12</v>
      </c>
      <c r="B25" s="259" t="s">
        <v>146</v>
      </c>
      <c r="C25" s="8">
        <f>'Exhibit No._(CTM-2), Pg. 2-6'!D26</f>
        <v>535932510.26999903</v>
      </c>
      <c r="D25" s="8">
        <f>'Exhibit No._(CTM-2), Pg. 2-6'!E26</f>
        <v>64990761.938795984</v>
      </c>
      <c r="E25" s="24">
        <f>'Exhibit No._(CTM-2), Pg. 2-6'!G26</f>
        <v>0</v>
      </c>
      <c r="F25" s="24">
        <f>'Exhibit No._(CTM-2), Pg. 2-6'!I26</f>
        <v>0</v>
      </c>
      <c r="G25" s="24">
        <f>'Exhibit No._(CTM-2), Pg. 2-6'!J26</f>
        <v>600923272.20879507</v>
      </c>
      <c r="H25" s="261"/>
      <c r="I25" s="265"/>
      <c r="J25" s="260">
        <v>550153571.02999997</v>
      </c>
      <c r="K25" s="260">
        <v>79150696.637493879</v>
      </c>
      <c r="L25" s="261">
        <v>629304267.66749382</v>
      </c>
      <c r="M25" s="261">
        <v>0</v>
      </c>
      <c r="N25" s="261">
        <v>629304267.66749382</v>
      </c>
      <c r="O25" s="261"/>
      <c r="P25" s="265"/>
      <c r="Q25" s="234"/>
      <c r="R25" s="261">
        <f>C25-J25</f>
        <v>-14221060.760000944</v>
      </c>
      <c r="S25" s="261"/>
      <c r="T25" s="261">
        <f>E25-L25</f>
        <v>-629304267.66749382</v>
      </c>
      <c r="U25" s="234"/>
      <c r="V25" s="234"/>
      <c r="W25" s="234"/>
    </row>
    <row r="26" spans="1:23">
      <c r="A26" s="255">
        <f t="shared" si="0"/>
        <v>13</v>
      </c>
      <c r="B26" s="259"/>
      <c r="C26" s="15"/>
      <c r="D26" s="14"/>
      <c r="E26" s="25"/>
      <c r="F26" s="25"/>
      <c r="G26" s="26"/>
      <c r="H26" s="270"/>
      <c r="I26" s="265"/>
      <c r="J26" s="285"/>
      <c r="K26" s="286"/>
      <c r="L26" s="265"/>
      <c r="M26" s="265"/>
      <c r="N26" s="269"/>
      <c r="O26" s="270"/>
      <c r="P26" s="265"/>
      <c r="Q26" s="234"/>
      <c r="R26" s="265"/>
      <c r="S26" s="265"/>
      <c r="T26" s="265"/>
      <c r="U26" s="234"/>
      <c r="V26" s="234"/>
      <c r="W26" s="234"/>
    </row>
    <row r="27" spans="1:23">
      <c r="A27" s="255">
        <f t="shared" si="0"/>
        <v>14</v>
      </c>
      <c r="B27" s="259" t="s">
        <v>5</v>
      </c>
      <c r="C27" s="13">
        <f>'Exhibit No._(CTM-2), Pg. 2-6'!D28</f>
        <v>535932510.26999903</v>
      </c>
      <c r="D27" s="13">
        <f>'Exhibit No._(CTM-2), Pg. 2-6'!E28</f>
        <v>64990761.938795984</v>
      </c>
      <c r="E27" s="13">
        <f>'Exhibit No._(CTM-2), Pg. 2-6'!G28</f>
        <v>0</v>
      </c>
      <c r="F27" s="13">
        <f>'Exhibit No._(CTM-2), Pg. 2-6'!I28</f>
        <v>0</v>
      </c>
      <c r="G27" s="13">
        <f>'Exhibit No._(CTM-2), Pg. 2-6'!J28</f>
        <v>600923272.20879507</v>
      </c>
      <c r="H27" s="288"/>
      <c r="I27" s="288"/>
      <c r="J27" s="287">
        <f>SUM(J23:J26)</f>
        <v>550153571.02999997</v>
      </c>
      <c r="K27" s="287">
        <f>SUM(K23:K26)</f>
        <v>79150696.637493879</v>
      </c>
      <c r="L27" s="287">
        <f>SUM(L23:L26)</f>
        <v>629304267.66749382</v>
      </c>
      <c r="M27" s="287">
        <f>SUM(M23:M26)</f>
        <v>0</v>
      </c>
      <c r="N27" s="287">
        <f>SUM(N23:N26)</f>
        <v>629304267.66749382</v>
      </c>
      <c r="O27" s="288"/>
      <c r="P27" s="288"/>
      <c r="Q27" s="234"/>
      <c r="R27" s="287">
        <f>C27-J27</f>
        <v>-14221060.760000944</v>
      </c>
      <c r="S27" s="287"/>
      <c r="T27" s="287">
        <f>E27-L27</f>
        <v>-629304267.66749382</v>
      </c>
      <c r="U27" s="234"/>
      <c r="V27" s="234"/>
      <c r="W27" s="234"/>
    </row>
    <row r="28" spans="1:23">
      <c r="A28" s="255">
        <f t="shared" si="0"/>
        <v>15</v>
      </c>
      <c r="B28" s="289"/>
      <c r="C28" s="11"/>
      <c r="D28" s="11"/>
      <c r="E28" s="11"/>
      <c r="F28" s="11"/>
      <c r="G28" s="11"/>
      <c r="H28" s="290"/>
      <c r="I28" s="290"/>
      <c r="J28" s="290"/>
      <c r="K28" s="290"/>
      <c r="L28" s="290"/>
      <c r="M28" s="290"/>
      <c r="N28" s="290"/>
      <c r="O28" s="290"/>
      <c r="P28" s="290"/>
      <c r="Q28" s="291"/>
      <c r="R28" s="290"/>
      <c r="S28" s="290"/>
      <c r="T28" s="290"/>
      <c r="U28" s="291"/>
      <c r="V28" s="291"/>
      <c r="W28" s="291"/>
    </row>
    <row r="29" spans="1:23">
      <c r="A29" s="255">
        <f t="shared" si="0"/>
        <v>16</v>
      </c>
      <c r="B29" s="279" t="s">
        <v>90</v>
      </c>
      <c r="C29" s="8">
        <f>'Exhibit No._(CTM-2), Pg. 2-6'!D30</f>
        <v>1937121.8</v>
      </c>
      <c r="D29" s="8">
        <f>'Exhibit No._(CTM-2), Pg. 2-6'!E30</f>
        <v>-12183.608367001798</v>
      </c>
      <c r="E29" s="24">
        <f>'Exhibit No._(CTM-2), Pg. 2-6'!G30</f>
        <v>0</v>
      </c>
      <c r="F29" s="24">
        <f>'Exhibit No._(CTM-2), Pg. 2-6'!I30</f>
        <v>0</v>
      </c>
      <c r="G29" s="24">
        <f>'Exhibit No._(CTM-2), Pg. 2-6'!J30</f>
        <v>1924938.1916329982</v>
      </c>
      <c r="H29" s="261"/>
      <c r="I29" s="261"/>
      <c r="J29" s="260">
        <v>1995330.38</v>
      </c>
      <c r="K29" s="260">
        <v>-7546.2490662939017</v>
      </c>
      <c r="L29" s="261">
        <v>1987784.130933706</v>
      </c>
      <c r="M29" s="261">
        <v>0</v>
      </c>
      <c r="N29" s="261">
        <v>1987784.130933706</v>
      </c>
      <c r="O29" s="261"/>
      <c r="P29" s="261"/>
      <c r="Q29" s="234"/>
      <c r="R29" s="261">
        <f t="shared" ref="R29:R44" si="1">C29-J29</f>
        <v>-58208.579999999842</v>
      </c>
      <c r="S29" s="261"/>
      <c r="T29" s="261">
        <f t="shared" ref="T29:T44" si="2">E29-L29</f>
        <v>-1987784.130933706</v>
      </c>
      <c r="U29" s="234"/>
      <c r="V29" s="234"/>
      <c r="W29" s="234"/>
    </row>
    <row r="30" spans="1:23">
      <c r="A30" s="255">
        <f t="shared" si="0"/>
        <v>17</v>
      </c>
      <c r="B30" s="259" t="s">
        <v>6</v>
      </c>
      <c r="C30" s="14">
        <f>'Exhibit No._(CTM-2), Pg. 2-6'!D31</f>
        <v>226853.49999999901</v>
      </c>
      <c r="D30" s="30">
        <f>'Exhibit No._(CTM-2), Pg. 2-6'!E31</f>
        <v>-1167.1990189814755</v>
      </c>
      <c r="E30" s="25">
        <f>'Exhibit No._(CTM-2), Pg. 2-6'!G31</f>
        <v>0</v>
      </c>
      <c r="F30" s="25">
        <f>'Exhibit No._(CTM-2), Pg. 2-6'!I31</f>
        <v>0</v>
      </c>
      <c r="G30" s="25">
        <f>'Exhibit No._(CTM-2), Pg. 2-6'!J31</f>
        <v>225686.30098101753</v>
      </c>
      <c r="H30" s="265"/>
      <c r="I30" s="265"/>
      <c r="J30" s="286">
        <v>819169.86999999895</v>
      </c>
      <c r="K30" s="264">
        <v>-524.06877257906854</v>
      </c>
      <c r="L30" s="265">
        <v>818645.80122741987</v>
      </c>
      <c r="M30" s="265"/>
      <c r="N30" s="265">
        <v>818645.80122741987</v>
      </c>
      <c r="O30" s="265"/>
      <c r="P30" s="265"/>
      <c r="Q30" s="234"/>
      <c r="R30" s="265">
        <f t="shared" si="1"/>
        <v>-592316.36999999988</v>
      </c>
      <c r="S30" s="265"/>
      <c r="T30" s="265">
        <f t="shared" si="2"/>
        <v>-818645.80122741987</v>
      </c>
      <c r="U30" s="234"/>
      <c r="V30" s="234"/>
      <c r="W30" s="234"/>
    </row>
    <row r="31" spans="1:23">
      <c r="A31" s="255">
        <f t="shared" si="0"/>
        <v>18</v>
      </c>
      <c r="B31" s="259" t="s">
        <v>7</v>
      </c>
      <c r="C31" s="14">
        <f>'Exhibit No._(CTM-2), Pg. 2-6'!D32</f>
        <v>50238405.469999999</v>
      </c>
      <c r="D31" s="30">
        <f>'Exhibit No._(CTM-2), Pg. 2-6'!E32</f>
        <v>-1324566.4874619185</v>
      </c>
      <c r="E31" s="25">
        <f>'Exhibit No._(CTM-2), Pg. 2-6'!G32</f>
        <v>0</v>
      </c>
      <c r="F31" s="25">
        <f>'Exhibit No._(CTM-2), Pg. 2-6'!I32</f>
        <v>0</v>
      </c>
      <c r="G31" s="25">
        <f>'Exhibit No._(CTM-2), Pg. 2-6'!J32</f>
        <v>48913838.982538082</v>
      </c>
      <c r="H31" s="265"/>
      <c r="I31" s="265"/>
      <c r="J31" s="286">
        <v>49275442.899999999</v>
      </c>
      <c r="K31" s="264">
        <v>-66098.986804723507</v>
      </c>
      <c r="L31" s="265">
        <v>49209343.913195275</v>
      </c>
      <c r="M31" s="265"/>
      <c r="N31" s="265">
        <v>49209343.913195275</v>
      </c>
      <c r="O31" s="265"/>
      <c r="P31" s="265"/>
      <c r="Q31" s="234"/>
      <c r="R31" s="265">
        <f t="shared" si="1"/>
        <v>962962.5700000003</v>
      </c>
      <c r="S31" s="265"/>
      <c r="T31" s="265">
        <f t="shared" si="2"/>
        <v>-49209343.913195275</v>
      </c>
      <c r="U31" s="234"/>
      <c r="V31" s="234"/>
      <c r="W31" s="234"/>
    </row>
    <row r="32" spans="1:23">
      <c r="A32" s="255">
        <f t="shared" si="0"/>
        <v>19</v>
      </c>
      <c r="B32" s="292" t="s">
        <v>96</v>
      </c>
      <c r="C32" s="14">
        <f>'Exhibit No._(CTM-2), Pg. 2-6'!D33</f>
        <v>32629594.350795999</v>
      </c>
      <c r="D32" s="30">
        <f>'Exhibit No._(CTM-2), Pg. 2-6'!E33</f>
        <v>-2364884.1682441453</v>
      </c>
      <c r="E32" s="25">
        <f>'Exhibit No._(CTM-2), Pg. 2-6'!G33</f>
        <v>0</v>
      </c>
      <c r="F32" s="25">
        <f>'Exhibit No._(CTM-2), Pg. 2-6'!I33</f>
        <v>7684.6636499999995</v>
      </c>
      <c r="G32" s="25">
        <f>'Exhibit No._(CTM-2), Pg. 2-6'!J33</f>
        <v>30272394.846201852</v>
      </c>
      <c r="H32" s="265"/>
      <c r="I32" s="265"/>
      <c r="J32" s="286">
        <v>33716567.670124903</v>
      </c>
      <c r="K32" s="264">
        <v>-3675345.2004878446</v>
      </c>
      <c r="L32" s="265">
        <v>30041222.469637059</v>
      </c>
      <c r="M32" s="265">
        <v>73657.938955999998</v>
      </c>
      <c r="N32" s="265">
        <v>30114880.408593059</v>
      </c>
      <c r="O32" s="265"/>
      <c r="P32" s="265"/>
      <c r="Q32" s="234"/>
      <c r="R32" s="265">
        <f t="shared" si="1"/>
        <v>-1086973.3193289042</v>
      </c>
      <c r="S32" s="265"/>
      <c r="T32" s="265">
        <f t="shared" si="2"/>
        <v>-30041222.469637059</v>
      </c>
      <c r="U32" s="234"/>
      <c r="V32" s="234"/>
      <c r="W32" s="234"/>
    </row>
    <row r="33" spans="1:23">
      <c r="A33" s="255">
        <f t="shared" si="0"/>
        <v>20</v>
      </c>
      <c r="B33" s="259" t="s">
        <v>8</v>
      </c>
      <c r="C33" s="14">
        <f>'Exhibit No._(CTM-2), Pg. 2-6'!D34</f>
        <v>4454345.868047989</v>
      </c>
      <c r="D33" s="30">
        <f>'Exhibit No._(CTM-2), Pg. 2-6'!E34</f>
        <v>-3346359.6706389124</v>
      </c>
      <c r="E33" s="25">
        <f>'Exhibit No._(CTM-2), Pg. 2-6'!G34</f>
        <v>0</v>
      </c>
      <c r="F33" s="25">
        <f>'Exhibit No._(CTM-2), Pg. 2-6'!I34</f>
        <v>0</v>
      </c>
      <c r="G33" s="25">
        <f>'Exhibit No._(CTM-2), Pg. 2-6'!J34</f>
        <v>1107986.1974090766</v>
      </c>
      <c r="H33" s="265"/>
      <c r="I33" s="265"/>
      <c r="J33" s="286">
        <v>4493582.6269680001</v>
      </c>
      <c r="K33" s="264">
        <v>-3250838.0673737773</v>
      </c>
      <c r="L33" s="265">
        <v>1242744.5595942228</v>
      </c>
      <c r="M33" s="265"/>
      <c r="N33" s="265">
        <v>1242744.5595942228</v>
      </c>
      <c r="O33" s="265"/>
      <c r="P33" s="265"/>
      <c r="Q33" s="234"/>
      <c r="R33" s="265">
        <f t="shared" si="1"/>
        <v>-39236.758920011111</v>
      </c>
      <c r="S33" s="265"/>
      <c r="T33" s="265">
        <f t="shared" si="2"/>
        <v>-1242744.5595942228</v>
      </c>
      <c r="U33" s="234"/>
      <c r="V33" s="234"/>
      <c r="W33" s="234"/>
    </row>
    <row r="34" spans="1:23">
      <c r="A34" s="255">
        <f t="shared" si="0"/>
        <v>21</v>
      </c>
      <c r="B34" s="259" t="s">
        <v>9</v>
      </c>
      <c r="C34" s="14">
        <f>'Exhibit No._(CTM-2), Pg. 2-6'!D35</f>
        <v>14771681.6299999</v>
      </c>
      <c r="D34" s="30">
        <f>'Exhibit No._(CTM-2), Pg. 2-6'!E35</f>
        <v>-14771681.630000001</v>
      </c>
      <c r="E34" s="25">
        <f>'Exhibit No._(CTM-2), Pg. 2-6'!G35</f>
        <v>0</v>
      </c>
      <c r="F34" s="25">
        <f>'Exhibit No._(CTM-2), Pg. 2-6'!I35</f>
        <v>0</v>
      </c>
      <c r="G34" s="25">
        <f>'Exhibit No._(CTM-2), Pg. 2-6'!J35</f>
        <v>-1.0058283805847168E-7</v>
      </c>
      <c r="H34" s="265"/>
      <c r="I34" s="265"/>
      <c r="J34" s="286">
        <v>12533942.7999999</v>
      </c>
      <c r="K34" s="264">
        <v>-12533942.800000001</v>
      </c>
      <c r="L34" s="265">
        <v>-1.0058283805847168E-7</v>
      </c>
      <c r="M34" s="265"/>
      <c r="N34" s="265">
        <v>-1.0058283805847168E-7</v>
      </c>
      <c r="O34" s="265"/>
      <c r="P34" s="265"/>
      <c r="Q34" s="293"/>
      <c r="R34" s="265">
        <f t="shared" si="1"/>
        <v>2237738.83</v>
      </c>
      <c r="S34" s="265"/>
      <c r="T34" s="265">
        <f t="shared" si="2"/>
        <v>1.0058283805847168E-7</v>
      </c>
      <c r="U34" s="293"/>
      <c r="V34" s="293"/>
      <c r="W34" s="293"/>
    </row>
    <row r="35" spans="1:23">
      <c r="A35" s="255">
        <f t="shared" si="0"/>
        <v>22</v>
      </c>
      <c r="B35" s="259" t="s">
        <v>10</v>
      </c>
      <c r="C35" s="14">
        <f>'Exhibit No._(CTM-2), Pg. 2-6'!D36</f>
        <v>42818070.121348001</v>
      </c>
      <c r="D35" s="30">
        <f>'Exhibit No._(CTM-2), Pg. 2-6'!E36</f>
        <v>538919.86224287329</v>
      </c>
      <c r="E35" s="25">
        <f>'Exhibit No._(CTM-2), Pg. 2-6'!G36</f>
        <v>0</v>
      </c>
      <c r="F35" s="25">
        <f>'Exhibit No._(CTM-2), Pg. 2-6'!I36</f>
        <v>4422.8280000000004</v>
      </c>
      <c r="G35" s="25">
        <f>'Exhibit No._(CTM-2), Pg. 2-6'!J36</f>
        <v>43361412.811590873</v>
      </c>
      <c r="H35" s="265"/>
      <c r="I35" s="265"/>
      <c r="J35" s="286">
        <v>44718807.023647904</v>
      </c>
      <c r="K35" s="264">
        <v>-109959.57919966494</v>
      </c>
      <c r="L35" s="265">
        <v>44608847.44444824</v>
      </c>
      <c r="M35" s="265">
        <v>49286.008000000002</v>
      </c>
      <c r="N35" s="265">
        <v>44658133.452448241</v>
      </c>
      <c r="O35" s="265"/>
      <c r="P35" s="265"/>
      <c r="Q35" s="234"/>
      <c r="R35" s="265">
        <f t="shared" si="1"/>
        <v>-1900736.9022999033</v>
      </c>
      <c r="S35" s="265"/>
      <c r="T35" s="265">
        <f t="shared" si="2"/>
        <v>-44608847.44444824</v>
      </c>
      <c r="U35" s="234"/>
      <c r="V35" s="234"/>
      <c r="W35" s="234"/>
    </row>
    <row r="36" spans="1:23">
      <c r="A36" s="255">
        <f t="shared" si="0"/>
        <v>23</v>
      </c>
      <c r="B36" s="259" t="s">
        <v>154</v>
      </c>
      <c r="C36" s="14">
        <f>'Exhibit No._(CTM-2), Pg. 2-6'!D37</f>
        <v>102386842.97985891</v>
      </c>
      <c r="D36" s="30">
        <f>'Exhibit No._(CTM-2), Pg. 2-6'!E37</f>
        <v>-6555171.5269017387</v>
      </c>
      <c r="E36" s="25">
        <f>'Exhibit No._(CTM-2), Pg. 2-6'!G37</f>
        <v>0</v>
      </c>
      <c r="F36" s="25">
        <f>'Exhibit No._(CTM-2), Pg. 2-6'!I37</f>
        <v>0</v>
      </c>
      <c r="G36" s="25">
        <f>'Exhibit No._(CTM-2), Pg. 2-6'!J37</f>
        <v>95831671.452957168</v>
      </c>
      <c r="H36" s="265"/>
      <c r="I36" s="265"/>
      <c r="J36" s="286">
        <v>98032900.729743987</v>
      </c>
      <c r="K36" s="264">
        <v>-6032225.342286896</v>
      </c>
      <c r="L36" s="265">
        <v>92000675.387457088</v>
      </c>
      <c r="M36" s="265"/>
      <c r="N36" s="265">
        <v>92000675.387457088</v>
      </c>
      <c r="O36" s="265"/>
      <c r="P36" s="265"/>
      <c r="Q36" s="234"/>
      <c r="R36" s="265">
        <f t="shared" si="1"/>
        <v>4353942.2501149178</v>
      </c>
      <c r="S36" s="265"/>
      <c r="T36" s="265">
        <f t="shared" si="2"/>
        <v>-92000675.387457088</v>
      </c>
      <c r="U36" s="234"/>
      <c r="V36" s="234"/>
      <c r="W36" s="234"/>
    </row>
    <row r="37" spans="1:23">
      <c r="A37" s="255">
        <f t="shared" si="0"/>
        <v>24</v>
      </c>
      <c r="B37" s="259" t="s">
        <v>46</v>
      </c>
      <c r="C37" s="14">
        <f>'Exhibit No._(CTM-2), Pg. 2-6'!D38</f>
        <v>12778120.276430989</v>
      </c>
      <c r="D37" s="30">
        <f>'Exhibit No._(CTM-2), Pg. 2-6'!E38</f>
        <v>0</v>
      </c>
      <c r="E37" s="25">
        <f>'Exhibit No._(CTM-2), Pg. 2-6'!G38</f>
        <v>0</v>
      </c>
      <c r="F37" s="25">
        <f>'Exhibit No._(CTM-2), Pg. 2-6'!I38</f>
        <v>0</v>
      </c>
      <c r="G37" s="25">
        <f>'Exhibit No._(CTM-2), Pg. 2-6'!J38</f>
        <v>12778120.276430989</v>
      </c>
      <c r="H37" s="265"/>
      <c r="I37" s="265"/>
      <c r="J37" s="286">
        <v>15432434.761570001</v>
      </c>
      <c r="K37" s="264">
        <v>0</v>
      </c>
      <c r="L37" s="265">
        <v>15432434.761570001</v>
      </c>
      <c r="M37" s="265"/>
      <c r="N37" s="265">
        <v>15432434.761570001</v>
      </c>
      <c r="O37" s="265"/>
      <c r="P37" s="265"/>
      <c r="Q37" s="234"/>
      <c r="R37" s="265">
        <f t="shared" si="1"/>
        <v>-2654314.4851390123</v>
      </c>
      <c r="S37" s="265"/>
      <c r="T37" s="265">
        <f t="shared" si="2"/>
        <v>-15432434.761570001</v>
      </c>
      <c r="U37" s="234"/>
      <c r="V37" s="234"/>
      <c r="W37" s="234"/>
    </row>
    <row r="38" spans="1:23">
      <c r="A38" s="255">
        <f t="shared" si="0"/>
        <v>25</v>
      </c>
      <c r="B38" s="259" t="s">
        <v>98</v>
      </c>
      <c r="C38" s="14">
        <f>'Exhibit No._(CTM-2), Pg. 2-6'!D39</f>
        <v>0</v>
      </c>
      <c r="D38" s="30">
        <f>'Exhibit No._(CTM-2), Pg. 2-6'!E39</f>
        <v>0</v>
      </c>
      <c r="E38" s="25">
        <f>'Exhibit No._(CTM-2), Pg. 2-6'!G39</f>
        <v>0</v>
      </c>
      <c r="F38" s="25">
        <f>'Exhibit No._(CTM-2), Pg. 2-6'!I39</f>
        <v>0</v>
      </c>
      <c r="G38" s="25">
        <f>'Exhibit No._(CTM-2), Pg. 2-6'!J39</f>
        <v>0</v>
      </c>
      <c r="H38" s="265"/>
      <c r="I38" s="265"/>
      <c r="J38" s="286">
        <v>0</v>
      </c>
      <c r="K38" s="264">
        <v>0</v>
      </c>
      <c r="L38" s="265">
        <v>0</v>
      </c>
      <c r="M38" s="265"/>
      <c r="N38" s="265">
        <v>0</v>
      </c>
      <c r="O38" s="265"/>
      <c r="P38" s="265"/>
      <c r="Q38" s="234"/>
      <c r="R38" s="265">
        <f t="shared" si="1"/>
        <v>0</v>
      </c>
      <c r="S38" s="265"/>
      <c r="T38" s="265">
        <f t="shared" si="2"/>
        <v>0</v>
      </c>
      <c r="U38" s="234"/>
      <c r="V38" s="234"/>
      <c r="W38" s="234"/>
    </row>
    <row r="39" spans="1:23">
      <c r="A39" s="255">
        <f t="shared" si="0"/>
        <v>26</v>
      </c>
      <c r="B39" s="259" t="s">
        <v>11</v>
      </c>
      <c r="C39" s="14">
        <f>'Exhibit No._(CTM-2), Pg. 2-6'!D40</f>
        <v>-187823.5</v>
      </c>
      <c r="D39" s="30">
        <f>'Exhibit No._(CTM-2), Pg. 2-6'!E40</f>
        <v>142453.22666666686</v>
      </c>
      <c r="E39" s="25">
        <f>'Exhibit No._(CTM-2), Pg. 2-6'!G40</f>
        <v>0</v>
      </c>
      <c r="F39" s="25">
        <f>'Exhibit No._(CTM-2), Pg. 2-6'!I40</f>
        <v>0</v>
      </c>
      <c r="G39" s="25">
        <f>'Exhibit No._(CTM-2), Pg. 2-6'!J40</f>
        <v>-45370.273333333142</v>
      </c>
      <c r="H39" s="265"/>
      <c r="I39" s="265"/>
      <c r="J39" s="286">
        <v>-255495.82</v>
      </c>
      <c r="K39" s="264">
        <v>105354.88000000024</v>
      </c>
      <c r="L39" s="265">
        <v>-150140.93999999977</v>
      </c>
      <c r="M39" s="265"/>
      <c r="N39" s="265">
        <v>-150140.93999999977</v>
      </c>
      <c r="O39" s="265"/>
      <c r="P39" s="265"/>
      <c r="Q39" s="234"/>
      <c r="R39" s="265">
        <f t="shared" si="1"/>
        <v>67672.320000000007</v>
      </c>
      <c r="S39" s="265"/>
      <c r="T39" s="265">
        <f t="shared" si="2"/>
        <v>150140.93999999977</v>
      </c>
      <c r="U39" s="234"/>
      <c r="V39" s="234"/>
      <c r="W39" s="234"/>
    </row>
    <row r="40" spans="1:23">
      <c r="A40" s="255">
        <f t="shared" si="0"/>
        <v>27</v>
      </c>
      <c r="B40" s="234" t="s">
        <v>163</v>
      </c>
      <c r="C40" s="14">
        <f>'Exhibit No._(CTM-2), Pg. 2-6'!D41</f>
        <v>0</v>
      </c>
      <c r="D40" s="30">
        <f>'Exhibit No._(CTM-2), Pg. 2-6'!E41</f>
        <v>0</v>
      </c>
      <c r="E40" s="25">
        <f>'Exhibit No._(CTM-2), Pg. 2-6'!G41</f>
        <v>0</v>
      </c>
      <c r="F40" s="25">
        <f>'Exhibit No._(CTM-2), Pg. 2-6'!I41</f>
        <v>0</v>
      </c>
      <c r="G40" s="25">
        <f>'Exhibit No._(CTM-2), Pg. 2-6'!J41</f>
        <v>0</v>
      </c>
      <c r="H40" s="265"/>
      <c r="I40" s="265"/>
      <c r="J40" s="286">
        <v>0</v>
      </c>
      <c r="K40" s="264">
        <v>0</v>
      </c>
      <c r="L40" s="265">
        <v>0</v>
      </c>
      <c r="M40" s="265"/>
      <c r="N40" s="265">
        <v>0</v>
      </c>
      <c r="O40" s="265"/>
      <c r="P40" s="265"/>
      <c r="Q40" s="234"/>
      <c r="R40" s="265">
        <f t="shared" si="1"/>
        <v>0</v>
      </c>
      <c r="S40" s="265"/>
      <c r="T40" s="265">
        <f t="shared" si="2"/>
        <v>0</v>
      </c>
      <c r="U40" s="234"/>
      <c r="V40" s="234"/>
      <c r="W40" s="234"/>
    </row>
    <row r="41" spans="1:23">
      <c r="A41" s="255">
        <f t="shared" si="0"/>
        <v>28</v>
      </c>
      <c r="B41" s="259" t="s">
        <v>194</v>
      </c>
      <c r="C41" s="14">
        <f>'Exhibit No._(CTM-2), Pg. 2-6'!D42</f>
        <v>98746987.673014</v>
      </c>
      <c r="D41" s="30">
        <f>'Exhibit No._(CTM-2), Pg. 2-6'!E42</f>
        <v>-39606732.615406498</v>
      </c>
      <c r="E41" s="25">
        <f>'Exhibit No._(CTM-2), Pg. 2-6'!G42</f>
        <v>0</v>
      </c>
      <c r="F41" s="25">
        <f>'Exhibit No._(CTM-2), Pg. 2-6'!I42</f>
        <v>84887.33780400001</v>
      </c>
      <c r="G41" s="25">
        <f>'Exhibit No._(CTM-2), Pg. 2-6'!J42</f>
        <v>59225142.395411499</v>
      </c>
      <c r="H41" s="265"/>
      <c r="I41" s="270"/>
      <c r="J41" s="286">
        <v>97432690.758463994</v>
      </c>
      <c r="K41" s="264">
        <v>-41082818.678065412</v>
      </c>
      <c r="L41" s="265">
        <v>56349872.080398582</v>
      </c>
      <c r="M41" s="265">
        <v>946414.56862000003</v>
      </c>
      <c r="N41" s="265">
        <v>57296286.649018586</v>
      </c>
      <c r="O41" s="265"/>
      <c r="P41" s="270"/>
      <c r="Q41" s="234"/>
      <c r="R41" s="265">
        <f t="shared" si="1"/>
        <v>1314296.9145500064</v>
      </c>
      <c r="S41" s="265"/>
      <c r="T41" s="265">
        <f t="shared" si="2"/>
        <v>-56349872.080398582</v>
      </c>
      <c r="U41" s="234"/>
      <c r="V41" s="234"/>
      <c r="W41" s="234"/>
    </row>
    <row r="42" spans="1:23">
      <c r="A42" s="255">
        <f t="shared" si="0"/>
        <v>29</v>
      </c>
      <c r="B42" s="259" t="s">
        <v>193</v>
      </c>
      <c r="C42" s="14">
        <f>'Exhibit No._(CTM-2), Pg. 2-6'!D43</f>
        <v>15204117</v>
      </c>
      <c r="D42" s="30">
        <f>'Exhibit No._(CTM-2), Pg. 2-6'!E43</f>
        <v>-19191228.360356014</v>
      </c>
      <c r="E42" s="25">
        <f>'Exhibit No._(CTM-2), Pg. 2-6'!G43</f>
        <v>3987111.3603560142</v>
      </c>
      <c r="F42" s="25">
        <f>'Exhibit No._(CTM-2), Pg. 2-6'!I43</f>
        <v>0</v>
      </c>
      <c r="G42" s="25">
        <f>'Exhibit No._(CTM-2), Pg. 2-6'!J43</f>
        <v>0</v>
      </c>
      <c r="H42" s="270"/>
      <c r="I42" s="294"/>
      <c r="J42" s="286">
        <v>-35657054</v>
      </c>
      <c r="K42" s="264">
        <v>44412752.390160754</v>
      </c>
      <c r="L42" s="265">
        <v>8755698.3901607543</v>
      </c>
      <c r="M42" s="265">
        <v>8250773.4552480001</v>
      </c>
      <c r="N42" s="265">
        <v>17006471.845408753</v>
      </c>
      <c r="O42" s="270"/>
      <c r="P42" s="294"/>
      <c r="Q42" s="234"/>
      <c r="R42" s="265">
        <f t="shared" si="1"/>
        <v>50861171</v>
      </c>
      <c r="S42" s="265"/>
      <c r="T42" s="265">
        <f t="shared" si="2"/>
        <v>-4768587.0298047401</v>
      </c>
      <c r="U42" s="234"/>
      <c r="V42" s="234"/>
      <c r="W42" s="234"/>
    </row>
    <row r="43" spans="1:23">
      <c r="A43" s="255">
        <f t="shared" si="0"/>
        <v>30</v>
      </c>
      <c r="B43" s="234" t="s">
        <v>12</v>
      </c>
      <c r="C43" s="15">
        <f>'Exhibit No._(CTM-2), Pg. 2-6'!D44</f>
        <v>-3067770.7089999998</v>
      </c>
      <c r="D43" s="31">
        <f>'Exhibit No._(CTM-2), Pg. 2-6'!E44</f>
        <v>45680807.810784996</v>
      </c>
      <c r="E43" s="26">
        <f>'Exhibit No._(CTM-2), Pg. 2-6'!G44</f>
        <v>-3987111.3603560142</v>
      </c>
      <c r="F43" s="26">
        <f>'Exhibit No._(CTM-2), Pg. 2-6'!I44</f>
        <v>740047.48368599999</v>
      </c>
      <c r="G43" s="26">
        <f>'Exhibit No._(CTM-2), Pg. 2-6'!J44</f>
        <v>39365973.225114986</v>
      </c>
      <c r="H43" s="288"/>
      <c r="J43" s="285">
        <v>48545918.480400003</v>
      </c>
      <c r="K43" s="268">
        <v>-27884481</v>
      </c>
      <c r="L43" s="269">
        <v>20661437.480400003</v>
      </c>
      <c r="M43" s="269"/>
      <c r="N43" s="269">
        <v>20661437.480400003</v>
      </c>
      <c r="O43" s="288"/>
      <c r="P43" s="295"/>
      <c r="Q43" s="234"/>
      <c r="R43" s="269">
        <f t="shared" si="1"/>
        <v>-51613689.189400002</v>
      </c>
      <c r="S43" s="269"/>
      <c r="T43" s="269">
        <f t="shared" si="2"/>
        <v>-24648548.840756018</v>
      </c>
      <c r="U43" s="234"/>
      <c r="V43" s="234"/>
      <c r="W43" s="234"/>
    </row>
    <row r="44" spans="1:23">
      <c r="A44" s="255">
        <f t="shared" si="0"/>
        <v>31</v>
      </c>
      <c r="B44" s="259" t="s">
        <v>13</v>
      </c>
      <c r="C44" s="13">
        <f>'Exhibit No._(CTM-2), Pg. 2-6'!D45</f>
        <v>908869056.73049474</v>
      </c>
      <c r="D44" s="13">
        <f>'Exhibit No._(CTM-2), Pg. 2-6'!E45</f>
        <v>24178967.572095301</v>
      </c>
      <c r="E44" s="13">
        <f>'Exhibit No._(CTM-2), Pg. 2-6'!G45</f>
        <v>0</v>
      </c>
      <c r="F44" s="13">
        <f>'Exhibit No._(CTM-2), Pg. 2-6'!I45</f>
        <v>837042.31313999998</v>
      </c>
      <c r="G44" s="13">
        <f>'Exhibit No._(CTM-2), Pg. 2-6'!J45</f>
        <v>933885066.61573017</v>
      </c>
      <c r="H44" s="276"/>
      <c r="J44" s="287">
        <f>SUM(J27:J43)</f>
        <v>921237809.21091855</v>
      </c>
      <c r="K44" s="287">
        <f t="shared" ref="K44:N44" si="3">SUM(K27:K43)</f>
        <v>29025023.935597435</v>
      </c>
      <c r="L44" s="287">
        <f t="shared" si="3"/>
        <v>950262833.14651608</v>
      </c>
      <c r="M44" s="287">
        <f t="shared" si="3"/>
        <v>9320131.9708239995</v>
      </c>
      <c r="N44" s="287">
        <f t="shared" si="3"/>
        <v>959582965.11734009</v>
      </c>
      <c r="O44" s="276"/>
      <c r="P44" s="296"/>
      <c r="Q44" s="234"/>
      <c r="R44" s="287">
        <f t="shared" si="1"/>
        <v>-12368752.480423808</v>
      </c>
      <c r="S44" s="287"/>
      <c r="T44" s="287">
        <f t="shared" si="2"/>
        <v>-950262833.14651608</v>
      </c>
      <c r="U44" s="234"/>
      <c r="V44" s="234"/>
      <c r="W44" s="234"/>
    </row>
    <row r="45" spans="1:23">
      <c r="A45" s="255">
        <f t="shared" si="0"/>
        <v>32</v>
      </c>
      <c r="C45" s="9"/>
      <c r="D45" s="9"/>
      <c r="E45" s="9"/>
      <c r="F45" s="9"/>
      <c r="G45" s="9"/>
      <c r="H45" s="296"/>
      <c r="J45" s="276"/>
      <c r="K45" s="276"/>
      <c r="L45" s="276" t="s">
        <v>18</v>
      </c>
      <c r="M45" s="276"/>
      <c r="N45" s="276"/>
      <c r="O45" s="296"/>
      <c r="P45" s="297"/>
      <c r="Q45" s="234"/>
      <c r="R45" s="276"/>
      <c r="S45" s="276"/>
      <c r="T45" s="276"/>
      <c r="U45" s="253" t="s">
        <v>624</v>
      </c>
      <c r="V45" s="234"/>
      <c r="W45" s="234"/>
    </row>
    <row r="46" spans="1:23">
      <c r="A46" s="255">
        <f t="shared" si="0"/>
        <v>33</v>
      </c>
      <c r="B46" s="234" t="s">
        <v>14</v>
      </c>
      <c r="C46" s="17">
        <f>'Exhibit No._(CTM-2), Pg. 2-6'!D47</f>
        <v>102661459.51950526</v>
      </c>
      <c r="D46" s="17">
        <f>'Exhibit No._(CTM-2), Pg. 2-6'!E47</f>
        <v>18977592.96850631</v>
      </c>
      <c r="E46" s="17">
        <f>'Exhibit No._(CTM-2), Pg. 2-6'!G47</f>
        <v>0</v>
      </c>
      <c r="F46" s="17">
        <f>'Exhibit No._(CTM-2), Pg. 2-6'!I47</f>
        <v>1374371.68686</v>
      </c>
      <c r="G46" s="17">
        <f>'Exhibit No._(CTM-2), Pg. 2-6'!J47</f>
        <v>123013424.17487144</v>
      </c>
      <c r="H46" s="297"/>
      <c r="J46" s="296">
        <f>J18-J44</f>
        <v>102001448.9890815</v>
      </c>
      <c r="K46" s="296">
        <f t="shared" ref="K46:N46" si="4">K18-K44</f>
        <v>13554277.756377578</v>
      </c>
      <c r="L46" s="296">
        <f t="shared" si="4"/>
        <v>115555726.74545896</v>
      </c>
      <c r="M46" s="296">
        <f t="shared" si="4"/>
        <v>15322872.029176001</v>
      </c>
      <c r="N46" s="296">
        <f t="shared" si="4"/>
        <v>130878598.77463508</v>
      </c>
      <c r="O46" s="297"/>
      <c r="P46" s="276"/>
      <c r="Q46" s="234"/>
      <c r="R46" s="296">
        <f>C46-J46</f>
        <v>660010.53042376041</v>
      </c>
      <c r="S46" s="296"/>
      <c r="T46" s="296">
        <f>E46-L46</f>
        <v>-115555726.74545896</v>
      </c>
      <c r="U46" s="2025">
        <f>F18-U59</f>
        <v>214429753.127083</v>
      </c>
      <c r="V46" s="234"/>
      <c r="W46" s="234"/>
    </row>
    <row r="47" spans="1:23">
      <c r="A47" s="255">
        <f t="shared" si="0"/>
        <v>34</v>
      </c>
      <c r="B47" s="259"/>
      <c r="C47" s="10"/>
      <c r="D47" s="10"/>
      <c r="E47" s="10"/>
      <c r="F47" s="10"/>
      <c r="G47" s="10"/>
      <c r="H47" s="276"/>
      <c r="J47" s="297"/>
      <c r="K47" s="297"/>
      <c r="L47" s="297"/>
      <c r="M47" s="297"/>
      <c r="N47" s="297"/>
      <c r="O47" s="276"/>
      <c r="Q47" s="234"/>
      <c r="R47" s="297"/>
      <c r="S47" s="297"/>
      <c r="T47" s="297"/>
      <c r="U47" s="234"/>
      <c r="V47" s="234"/>
      <c r="W47" s="234"/>
    </row>
    <row r="48" spans="1:23">
      <c r="A48" s="255">
        <f t="shared" si="0"/>
        <v>35</v>
      </c>
      <c r="B48" s="259" t="s">
        <v>15</v>
      </c>
      <c r="C48" s="9">
        <f>'Exhibit No._(CTM-2), Pg. 2-6'!D49</f>
        <v>1660735111.0538375</v>
      </c>
      <c r="D48" s="155">
        <f>'Exhibit No._(CTM-2), Pg. 2-6'!E49</f>
        <v>-40004886.00786756</v>
      </c>
      <c r="E48" s="9">
        <f>'Exhibit No._(CTM-2), Pg. 2-6'!G49</f>
        <v>0</v>
      </c>
      <c r="F48" s="9">
        <f>'Exhibit No._(CTM-2), Pg. 2-6'!I49</f>
        <v>0</v>
      </c>
      <c r="G48" s="9">
        <f>'Exhibit No._(CTM-2), Pg. 2-6'!J49</f>
        <v>1620730225.04597</v>
      </c>
      <c r="J48" s="276">
        <f>J59</f>
        <v>1593833326</v>
      </c>
      <c r="K48" s="276">
        <f t="shared" ref="K48:L48" si="5">K59</f>
        <v>21951844.914669655</v>
      </c>
      <c r="L48" s="276">
        <f t="shared" si="5"/>
        <v>1615785170.9146698</v>
      </c>
      <c r="M48" s="276">
        <v>0</v>
      </c>
      <c r="N48" s="276">
        <f>+L48+M48</f>
        <v>1615785170.9146698</v>
      </c>
      <c r="P48" s="276"/>
      <c r="Q48" s="234"/>
      <c r="R48" s="276">
        <f>C48-J48</f>
        <v>66901785.053837538</v>
      </c>
      <c r="S48" s="276"/>
      <c r="T48" s="276">
        <f>E48-L48</f>
        <v>-1615785170.9146698</v>
      </c>
      <c r="U48" s="234"/>
      <c r="V48" s="234"/>
      <c r="W48" s="234"/>
    </row>
    <row r="49" spans="1:23">
      <c r="A49" s="255">
        <f t="shared" si="0"/>
        <v>36</v>
      </c>
      <c r="C49" s="1"/>
      <c r="D49" s="1"/>
      <c r="E49" s="1"/>
      <c r="F49" s="1"/>
      <c r="G49" s="1"/>
      <c r="H49" s="299"/>
      <c r="O49" s="299"/>
      <c r="Q49" s="234"/>
      <c r="R49" s="234"/>
      <c r="S49" s="234"/>
      <c r="T49" s="234"/>
      <c r="U49" s="234"/>
      <c r="V49" s="234"/>
      <c r="W49" s="234"/>
    </row>
    <row r="50" spans="1:23">
      <c r="A50" s="255">
        <f t="shared" si="0"/>
        <v>37</v>
      </c>
      <c r="B50" s="259" t="s">
        <v>16</v>
      </c>
      <c r="C50" s="21">
        <f>'Exhibit No._(CTM-2), Pg. 2-6'!D51</f>
        <v>6.1816877861009582E-2</v>
      </c>
      <c r="D50" s="1"/>
      <c r="E50" s="21">
        <f>'Exhibit No._(CTM-2), Pg. 2-6'!G51</f>
        <v>0</v>
      </c>
      <c r="F50" s="21"/>
      <c r="G50" s="21">
        <f>'Exhibit No._(CTM-2), Pg. 2-6'!J51</f>
        <v>7.5900000057925937E-2</v>
      </c>
      <c r="H50" s="300"/>
      <c r="J50" s="299">
        <v>6.3997563186278555E-2</v>
      </c>
      <c r="L50" s="299">
        <f>L46/L48</f>
        <v>7.1516764001519295E-2</v>
      </c>
      <c r="M50" s="299"/>
      <c r="N50" s="299">
        <f>N46/N48</f>
        <v>8.0999999957015831E-2</v>
      </c>
      <c r="O50" s="300"/>
      <c r="P50" s="301"/>
      <c r="Q50" s="234"/>
      <c r="R50" s="299">
        <f>C50-J50</f>
        <v>-2.1806853252689731E-3</v>
      </c>
      <c r="S50" s="299"/>
      <c r="T50" s="299">
        <f>E50-L50</f>
        <v>-7.1516764001519295E-2</v>
      </c>
      <c r="U50" s="299">
        <f>G50-N50</f>
        <v>-5.0999998990898937E-3</v>
      </c>
      <c r="V50" s="234"/>
      <c r="W50" s="234"/>
    </row>
    <row r="51" spans="1:23">
      <c r="A51" s="255">
        <f t="shared" si="0"/>
        <v>38</v>
      </c>
      <c r="C51" s="28"/>
      <c r="D51" s="1"/>
      <c r="E51" s="28"/>
      <c r="F51" s="28"/>
      <c r="G51" s="28"/>
      <c r="J51" s="300"/>
      <c r="L51" s="300"/>
      <c r="M51" s="300"/>
      <c r="N51" s="300"/>
      <c r="Q51" s="234"/>
      <c r="R51" s="300"/>
      <c r="S51" s="300"/>
      <c r="T51" s="300"/>
      <c r="U51" s="234"/>
      <c r="V51" s="234"/>
      <c r="W51" s="234"/>
    </row>
    <row r="52" spans="1:23">
      <c r="A52" s="255">
        <f t="shared" si="0"/>
        <v>39</v>
      </c>
      <c r="B52" s="234" t="s">
        <v>118</v>
      </c>
      <c r="C52" s="1"/>
      <c r="D52" s="1"/>
      <c r="E52" s="1"/>
      <c r="F52" s="1"/>
      <c r="G52" s="1"/>
      <c r="P52" s="302"/>
      <c r="Q52" s="234"/>
      <c r="R52" s="234"/>
      <c r="S52" s="234"/>
      <c r="T52" s="234"/>
      <c r="U52" s="234"/>
      <c r="V52" s="234"/>
      <c r="W52" s="234"/>
    </row>
    <row r="53" spans="1:23">
      <c r="A53" s="255">
        <f t="shared" si="0"/>
        <v>40</v>
      </c>
      <c r="B53" s="303" t="s">
        <v>174</v>
      </c>
      <c r="C53" s="16">
        <f>'Exhibit No._(CTM-2), Pg. 2-6'!D54</f>
        <v>2787911459</v>
      </c>
      <c r="D53" s="41">
        <f>'Exhibit No._(CTM-2), Pg. 2-6'!E54</f>
        <v>0</v>
      </c>
      <c r="E53" s="2">
        <f>'Exhibit No._(CTM-2), Pg. 2-6'!G54</f>
        <v>0</v>
      </c>
      <c r="F53" s="1"/>
      <c r="G53" s="32"/>
      <c r="H53" s="302"/>
      <c r="J53" s="304">
        <v>2764280280</v>
      </c>
      <c r="K53" s="305">
        <v>2022959.2638907155</v>
      </c>
      <c r="L53" s="296">
        <f>+K53+J53</f>
        <v>2766303239.2638907</v>
      </c>
      <c r="N53" s="306"/>
      <c r="O53" s="302"/>
      <c r="P53" s="307"/>
      <c r="Q53" s="234"/>
      <c r="R53" s="296">
        <f t="shared" ref="R53:R59" si="6">C53-J53</f>
        <v>23631179</v>
      </c>
      <c r="S53" s="296"/>
      <c r="T53" s="296">
        <f t="shared" ref="T53:T59" si="7">E53-L53</f>
        <v>-2766303239.2638907</v>
      </c>
      <c r="U53" s="234"/>
      <c r="V53" s="234"/>
      <c r="W53" s="234"/>
    </row>
    <row r="54" spans="1:23">
      <c r="A54" s="255">
        <f t="shared" si="0"/>
        <v>41</v>
      </c>
      <c r="B54" s="302" t="s">
        <v>119</v>
      </c>
      <c r="C54" s="16">
        <f>'Exhibit No._(CTM-2), Pg. 2-6'!D55</f>
        <v>-924038095</v>
      </c>
      <c r="D54" s="16">
        <f>'Exhibit No._(CTM-2), Pg. 2-6'!E55</f>
        <v>-2755565.1687069084</v>
      </c>
      <c r="E54" s="16">
        <f>'Exhibit No._(CTM-2), Pg. 2-6'!G55</f>
        <v>0</v>
      </c>
      <c r="F54" s="42"/>
      <c r="G54" s="32"/>
      <c r="H54" s="307"/>
      <c r="J54" s="304">
        <v>-929174672</v>
      </c>
      <c r="K54" s="304">
        <v>2340971.8548679203</v>
      </c>
      <c r="L54" s="304">
        <f>+K54+J54</f>
        <v>-926833700.14513206</v>
      </c>
      <c r="M54" s="302"/>
      <c r="N54" s="306"/>
      <c r="O54" s="307"/>
      <c r="P54" s="305"/>
      <c r="Q54" s="234"/>
      <c r="R54" s="304">
        <f t="shared" si="6"/>
        <v>5136577</v>
      </c>
      <c r="S54" s="304"/>
      <c r="T54" s="304">
        <f t="shared" si="7"/>
        <v>926833700.14513206</v>
      </c>
      <c r="U54" s="234" t="s">
        <v>625</v>
      </c>
      <c r="V54" s="234"/>
      <c r="W54" s="234"/>
    </row>
    <row r="55" spans="1:23">
      <c r="A55" s="255">
        <f t="shared" si="0"/>
        <v>42</v>
      </c>
      <c r="B55" s="302" t="s">
        <v>509</v>
      </c>
      <c r="C55" s="33">
        <f>'Exhibit No._(CTM-2), Pg. 2-6'!D56</f>
        <v>-254856083.35497576</v>
      </c>
      <c r="D55" s="33">
        <f>'Exhibit No._(CTM-2), Pg. 2-6'!E56</f>
        <v>-24238319.657989971</v>
      </c>
      <c r="E55" s="33">
        <f>'Exhibit No._(CTM-2), Pg. 2-6'!G56</f>
        <v>0</v>
      </c>
      <c r="F55" s="43"/>
      <c r="G55" s="32"/>
      <c r="H55" s="305"/>
      <c r="J55" s="308">
        <v>-278318799</v>
      </c>
      <c r="K55" s="308">
        <v>17587913.795911018</v>
      </c>
      <c r="L55" s="308">
        <f>+K55+J55</f>
        <v>-260730885.20408899</v>
      </c>
      <c r="M55" s="307"/>
      <c r="N55" s="306"/>
      <c r="O55" s="305"/>
      <c r="P55" s="307"/>
      <c r="Q55" s="234"/>
      <c r="R55" s="308">
        <f t="shared" si="6"/>
        <v>23462715.64502424</v>
      </c>
      <c r="S55" s="308"/>
      <c r="T55" s="308">
        <f t="shared" si="7"/>
        <v>260730885.20408899</v>
      </c>
      <c r="U55" s="234" t="s">
        <v>625</v>
      </c>
      <c r="V55" s="234"/>
      <c r="W55" s="234"/>
    </row>
    <row r="56" spans="1:23">
      <c r="A56" s="255">
        <f t="shared" si="0"/>
        <v>43</v>
      </c>
      <c r="B56" s="302" t="s">
        <v>173</v>
      </c>
      <c r="C56" s="19">
        <f>'Exhibit No._(CTM-2), Pg. 2-6'!D57</f>
        <v>-27129125</v>
      </c>
      <c r="D56" s="19">
        <f>'Exhibit No._(CTM-2), Pg. 2-6'!E57</f>
        <v>0</v>
      </c>
      <c r="E56" s="19">
        <f>'Exhibit No._(CTM-2), Pg. 2-6'!G57</f>
        <v>0</v>
      </c>
      <c r="F56" s="41"/>
      <c r="G56" s="32"/>
      <c r="H56" s="307"/>
      <c r="I56" s="310"/>
      <c r="J56" s="309">
        <v>-39901507</v>
      </c>
      <c r="K56" s="309">
        <v>0</v>
      </c>
      <c r="L56" s="309">
        <f>+K56+J56</f>
        <v>-39901507</v>
      </c>
      <c r="M56" s="305"/>
      <c r="N56" s="306"/>
      <c r="O56" s="307"/>
      <c r="P56" s="310"/>
      <c r="Q56" s="234"/>
      <c r="R56" s="309">
        <f t="shared" si="6"/>
        <v>12772382</v>
      </c>
      <c r="S56" s="309"/>
      <c r="T56" s="309">
        <f t="shared" si="7"/>
        <v>39901507</v>
      </c>
      <c r="U56" s="234" t="s">
        <v>625</v>
      </c>
      <c r="V56" s="234"/>
      <c r="W56" s="234"/>
    </row>
    <row r="57" spans="1:23">
      <c r="A57" s="255">
        <f t="shared" si="0"/>
        <v>44</v>
      </c>
      <c r="B57" s="302" t="s">
        <v>122</v>
      </c>
      <c r="C57" s="41">
        <f>'Exhibit No._(CTM-2), Pg. 2-6'!D58</f>
        <v>1581888155.6450243</v>
      </c>
      <c r="D57" s="41">
        <f>'Exhibit No._(CTM-2), Pg. 2-6'!E58</f>
        <v>-26993884.82669688</v>
      </c>
      <c r="E57" s="41">
        <f>'Exhibit No._(CTM-2), Pg. 2-6'!G58</f>
        <v>0</v>
      </c>
      <c r="F57" s="43"/>
      <c r="G57" s="32"/>
      <c r="H57" s="310"/>
      <c r="I57" s="311"/>
      <c r="J57" s="305">
        <f>SUM(J53:J56)</f>
        <v>1516885302</v>
      </c>
      <c r="K57" s="305">
        <f>SUM(K53:K56)</f>
        <v>21951844.914669655</v>
      </c>
      <c r="L57" s="305">
        <f>SUM(L53:L56)</f>
        <v>1538837146.9146698</v>
      </c>
      <c r="M57" s="307"/>
      <c r="N57" s="306"/>
      <c r="O57" s="310"/>
      <c r="P57" s="311"/>
      <c r="Q57" s="234"/>
      <c r="R57" s="305">
        <f t="shared" si="6"/>
        <v>65002853.6450243</v>
      </c>
      <c r="S57" s="305"/>
      <c r="T57" s="305">
        <f t="shared" si="7"/>
        <v>-1538837146.9146698</v>
      </c>
      <c r="U57" s="234"/>
      <c r="V57" s="234"/>
      <c r="W57" s="234"/>
    </row>
    <row r="58" spans="1:23">
      <c r="A58" s="255">
        <f t="shared" si="0"/>
        <v>45</v>
      </c>
      <c r="B58" s="302" t="s">
        <v>120</v>
      </c>
      <c r="C58" s="19">
        <f>'Exhibit No._(CTM-2), Pg. 2-6'!D59</f>
        <v>78846955.408813253</v>
      </c>
      <c r="D58" s="19">
        <f>'Exhibit No._(CTM-2), Pg. 2-6'!E59</f>
        <v>-13011001.181170687</v>
      </c>
      <c r="E58" s="19">
        <f>'Exhibit No._(CTM-2), Pg. 2-6'!G59</f>
        <v>0</v>
      </c>
      <c r="F58" s="44"/>
      <c r="G58" s="32"/>
      <c r="H58" s="311"/>
      <c r="I58" s="312"/>
      <c r="J58" s="309">
        <v>76948024</v>
      </c>
      <c r="K58" s="309">
        <f>+I58</f>
        <v>0</v>
      </c>
      <c r="L58" s="309">
        <f>+K58+J58</f>
        <v>76948024</v>
      </c>
      <c r="M58" s="310"/>
      <c r="N58" s="306"/>
      <c r="O58" s="311"/>
      <c r="P58" s="312"/>
      <c r="Q58" s="234"/>
      <c r="R58" s="309">
        <f t="shared" si="6"/>
        <v>1898931.408813253</v>
      </c>
      <c r="S58" s="309"/>
      <c r="T58" s="309">
        <f t="shared" si="7"/>
        <v>-76948024</v>
      </c>
      <c r="U58" s="253" t="s">
        <v>626</v>
      </c>
      <c r="V58" s="234"/>
      <c r="W58" s="234"/>
    </row>
    <row r="59" spans="1:23" ht="13.5" thickBot="1">
      <c r="A59" s="255">
        <v>46</v>
      </c>
      <c r="B59" s="303" t="s">
        <v>121</v>
      </c>
      <c r="C59" s="205">
        <f>'Exhibit No._(CTM-2), Pg. 2-6'!D60</f>
        <v>1660735111.0538375</v>
      </c>
      <c r="D59" s="205">
        <f>'Exhibit No._(CTM-2), Pg. 2-6'!E60</f>
        <v>-40004886.007867567</v>
      </c>
      <c r="E59" s="205">
        <f>'Exhibit No._(CTM-2), Pg. 2-6'!G60</f>
        <v>0</v>
      </c>
      <c r="F59" s="45"/>
      <c r="G59" s="48"/>
      <c r="H59" s="312"/>
      <c r="J59" s="314">
        <f>SUM(J57:J58)</f>
        <v>1593833326</v>
      </c>
      <c r="K59" s="314">
        <f>SUM(K57:K58)</f>
        <v>21951844.914669655</v>
      </c>
      <c r="L59" s="314">
        <f>SUM(L57:L58)</f>
        <v>1615785170.9146698</v>
      </c>
      <c r="M59" s="311"/>
      <c r="N59" s="313"/>
      <c r="O59" s="312"/>
      <c r="Q59" s="234"/>
      <c r="R59" s="314">
        <f t="shared" si="6"/>
        <v>66901785.053837538</v>
      </c>
      <c r="S59" s="314"/>
      <c r="T59" s="314">
        <f t="shared" si="7"/>
        <v>-1615785170.9146698</v>
      </c>
      <c r="U59" s="334">
        <f>(((E59*G50)-(L59*N50))*'Exhibit No._(CTM-2), Pg. 32-34'!N22+((E59*G50)-(L59*N50)))</f>
        <v>-212218339.127083</v>
      </c>
      <c r="V59" s="234"/>
      <c r="W59" s="234"/>
    </row>
    <row r="60" spans="1:23" ht="13.5" thickTop="1">
      <c r="A60" s="255"/>
      <c r="F60" s="312"/>
      <c r="G60" s="312"/>
      <c r="M60" s="312"/>
      <c r="N60" s="312"/>
      <c r="Q60" s="234"/>
      <c r="R60" s="234"/>
      <c r="S60" s="234"/>
      <c r="T60" s="234"/>
      <c r="U60" s="315"/>
      <c r="V60" s="234"/>
      <c r="W60" s="234"/>
    </row>
    <row r="61" spans="1:23" ht="13.5">
      <c r="A61" s="316"/>
      <c r="E61" s="317"/>
      <c r="L61" s="317"/>
      <c r="Q61" s="234"/>
      <c r="R61" s="234"/>
      <c r="S61" s="234"/>
      <c r="T61" s="234"/>
      <c r="U61" s="298">
        <f>U59+U46</f>
        <v>2211414</v>
      </c>
      <c r="V61" s="234"/>
      <c r="W61" s="234"/>
    </row>
    <row r="62" spans="1:23" s="319" customFormat="1">
      <c r="A62" s="252"/>
      <c r="B62" s="252"/>
      <c r="C62" s="252"/>
      <c r="D62" s="252"/>
      <c r="E62" s="252"/>
      <c r="F62" s="252"/>
      <c r="G62" s="252"/>
      <c r="H62" s="252"/>
      <c r="I62" s="252"/>
      <c r="J62" s="234"/>
      <c r="K62" s="234"/>
      <c r="L62" s="318"/>
      <c r="M62" s="234"/>
      <c r="N62" s="234"/>
      <c r="O62" s="234"/>
      <c r="P62" s="234"/>
      <c r="Q62" s="252"/>
      <c r="R62" s="252"/>
      <c r="S62" s="252"/>
      <c r="T62" s="252"/>
      <c r="U62" s="252"/>
      <c r="V62" s="252"/>
      <c r="W62" s="252"/>
    </row>
    <row r="63" spans="1:23" s="319" customFormat="1">
      <c r="A63" s="252"/>
      <c r="B63" s="252"/>
      <c r="C63" s="320"/>
      <c r="D63" s="321"/>
      <c r="E63" s="252"/>
      <c r="F63" s="252"/>
      <c r="G63" s="252"/>
      <c r="H63" s="252"/>
      <c r="I63" s="252"/>
      <c r="J63" s="234"/>
      <c r="K63" s="234"/>
      <c r="L63" s="234"/>
      <c r="M63" s="234"/>
      <c r="N63" s="234"/>
      <c r="O63" s="234"/>
      <c r="P63" s="234"/>
      <c r="Q63" s="252"/>
      <c r="R63" s="252"/>
      <c r="S63" s="252"/>
      <c r="T63" s="252"/>
      <c r="U63" s="252"/>
      <c r="V63" s="252"/>
      <c r="W63" s="252"/>
    </row>
    <row r="64" spans="1:23" s="319" customFormat="1">
      <c r="A64" s="252"/>
      <c r="B64" s="252"/>
      <c r="C64" s="252"/>
      <c r="D64" s="307"/>
      <c r="E64" s="252"/>
      <c r="F64" s="252"/>
      <c r="G64" s="322"/>
      <c r="H64" s="252"/>
      <c r="I64" s="252"/>
      <c r="J64" s="252"/>
      <c r="K64" s="252"/>
      <c r="L64" s="321"/>
      <c r="M64" s="252"/>
      <c r="N64" s="252"/>
      <c r="O64" s="234"/>
      <c r="P64" s="234"/>
      <c r="Q64" s="252"/>
      <c r="R64" s="252"/>
      <c r="S64" s="252"/>
      <c r="T64" s="252"/>
      <c r="U64" s="321"/>
      <c r="V64" s="252"/>
      <c r="W64" s="252"/>
    </row>
    <row r="65" spans="1:23" s="319" customFormat="1">
      <c r="A65" s="252"/>
      <c r="B65" s="252"/>
      <c r="C65" s="323"/>
      <c r="D65" s="321"/>
      <c r="E65" s="252"/>
      <c r="F65" s="252"/>
      <c r="G65" s="280"/>
      <c r="H65" s="252"/>
      <c r="I65" s="252"/>
      <c r="J65" s="252"/>
      <c r="K65" s="252"/>
      <c r="L65" s="252"/>
      <c r="M65" s="252"/>
      <c r="N65" s="252"/>
      <c r="O65" s="234"/>
      <c r="P65" s="252"/>
      <c r="Q65" s="252"/>
      <c r="R65" s="252"/>
      <c r="S65" s="252"/>
      <c r="T65" s="252"/>
      <c r="U65" s="252"/>
      <c r="V65" s="252"/>
      <c r="W65" s="252"/>
    </row>
    <row r="66" spans="1:23" s="319" customFormat="1">
      <c r="A66" s="252"/>
      <c r="B66" s="252"/>
      <c r="C66" s="307"/>
      <c r="D66" s="281"/>
      <c r="E66" s="252"/>
      <c r="F66" s="252"/>
      <c r="G66" s="281"/>
      <c r="H66" s="252"/>
      <c r="I66" s="252"/>
      <c r="J66" s="252"/>
      <c r="K66" s="252"/>
      <c r="L66" s="252"/>
      <c r="M66" s="252"/>
      <c r="N66" s="252"/>
      <c r="O66" s="234"/>
      <c r="P66" s="252"/>
      <c r="Q66" s="252"/>
      <c r="R66" s="252"/>
      <c r="S66" s="252"/>
      <c r="T66" s="252"/>
      <c r="U66" s="252"/>
      <c r="V66" s="252"/>
      <c r="W66" s="252"/>
    </row>
    <row r="67" spans="1:23" s="319" customFormat="1">
      <c r="A67" s="252"/>
      <c r="B67" s="252"/>
      <c r="C67" s="310"/>
      <c r="D67" s="321"/>
      <c r="E67" s="252"/>
      <c r="F67" s="252"/>
      <c r="G67" s="281"/>
      <c r="H67" s="252"/>
      <c r="I67" s="252"/>
      <c r="J67" s="252"/>
      <c r="K67" s="252"/>
      <c r="L67" s="252"/>
      <c r="M67" s="252"/>
      <c r="N67" s="252"/>
      <c r="O67" s="234"/>
      <c r="P67" s="252"/>
      <c r="Q67" s="252"/>
      <c r="R67" s="252"/>
      <c r="S67" s="252"/>
      <c r="T67" s="252"/>
      <c r="U67" s="252"/>
      <c r="V67" s="252"/>
      <c r="W67" s="252"/>
    </row>
    <row r="68" spans="1:23" s="319" customFormat="1">
      <c r="A68" s="252"/>
      <c r="B68" s="252"/>
      <c r="C68" s="307"/>
      <c r="D68" s="324"/>
      <c r="E68" s="252"/>
      <c r="F68" s="252"/>
      <c r="G68" s="325"/>
      <c r="H68" s="252"/>
      <c r="I68" s="252"/>
      <c r="J68" s="252"/>
      <c r="K68" s="252"/>
      <c r="L68" s="252"/>
      <c r="M68" s="252"/>
      <c r="N68" s="252"/>
      <c r="O68" s="234"/>
      <c r="P68" s="252"/>
      <c r="Q68" s="252"/>
      <c r="R68" s="252"/>
      <c r="S68" s="252"/>
      <c r="T68" s="252"/>
      <c r="U68" s="252"/>
      <c r="V68" s="252"/>
      <c r="W68" s="252"/>
    </row>
    <row r="69" spans="1:23" s="319" customFormat="1">
      <c r="A69" s="252"/>
      <c r="B69" s="252"/>
      <c r="C69" s="252"/>
      <c r="D69" s="252"/>
      <c r="E69" s="252"/>
      <c r="F69" s="252"/>
      <c r="G69" s="280"/>
      <c r="H69" s="252"/>
      <c r="I69" s="252"/>
      <c r="J69" s="252"/>
      <c r="K69" s="252"/>
      <c r="L69" s="252"/>
      <c r="M69" s="252"/>
      <c r="N69" s="252"/>
      <c r="O69" s="234"/>
      <c r="P69" s="252"/>
      <c r="Q69" s="252"/>
      <c r="R69" s="252"/>
      <c r="S69" s="252"/>
      <c r="T69" s="252"/>
      <c r="U69" s="252"/>
      <c r="V69" s="252"/>
      <c r="W69" s="252"/>
    </row>
    <row r="70" spans="1:23" s="319" customFormat="1">
      <c r="A70" s="252"/>
      <c r="B70" s="252"/>
      <c r="C70" s="252"/>
      <c r="D70" s="252"/>
      <c r="E70" s="252"/>
      <c r="F70" s="252"/>
      <c r="G70" s="281"/>
      <c r="H70" s="252"/>
      <c r="I70" s="252"/>
      <c r="J70" s="252"/>
      <c r="K70" s="252"/>
      <c r="L70" s="252"/>
      <c r="M70" s="252"/>
      <c r="N70" s="252"/>
      <c r="O70" s="234"/>
      <c r="P70" s="252"/>
      <c r="Q70" s="252"/>
      <c r="R70" s="252"/>
      <c r="S70" s="252"/>
      <c r="T70" s="252"/>
      <c r="U70" s="252"/>
      <c r="V70" s="252"/>
      <c r="W70" s="252"/>
    </row>
    <row r="71" spans="1:23" s="319" customFormat="1">
      <c r="A71" s="252"/>
      <c r="B71" s="252"/>
      <c r="C71" s="252"/>
      <c r="D71" s="252"/>
      <c r="E71" s="252"/>
      <c r="F71" s="252"/>
      <c r="G71" s="281"/>
      <c r="H71" s="252"/>
      <c r="I71" s="252"/>
      <c r="J71" s="252"/>
      <c r="K71" s="252"/>
      <c r="L71" s="252"/>
      <c r="M71" s="252"/>
      <c r="N71" s="252"/>
      <c r="O71" s="234"/>
      <c r="P71" s="252"/>
      <c r="Q71" s="252"/>
      <c r="R71" s="252"/>
      <c r="S71" s="252"/>
      <c r="T71" s="252"/>
      <c r="U71" s="252"/>
      <c r="V71" s="252"/>
      <c r="W71" s="252"/>
    </row>
    <row r="72" spans="1:23" s="319" customFormat="1">
      <c r="A72" s="252"/>
      <c r="B72" s="252"/>
      <c r="C72" s="252"/>
      <c r="D72" s="252"/>
      <c r="E72" s="252"/>
      <c r="F72" s="252"/>
      <c r="G72" s="322"/>
      <c r="H72" s="252"/>
      <c r="I72" s="252"/>
      <c r="J72" s="252"/>
      <c r="K72" s="252"/>
      <c r="L72" s="252"/>
      <c r="M72" s="252"/>
      <c r="N72" s="252"/>
      <c r="O72" s="234"/>
      <c r="P72" s="252"/>
      <c r="Q72" s="252"/>
      <c r="R72" s="252"/>
      <c r="S72" s="252"/>
      <c r="T72" s="252"/>
      <c r="U72" s="252"/>
      <c r="V72" s="252"/>
      <c r="W72" s="252"/>
    </row>
    <row r="73" spans="1:23" s="319" customFormat="1">
      <c r="A73" s="252"/>
      <c r="B73" s="252"/>
      <c r="C73" s="252"/>
      <c r="D73" s="252"/>
      <c r="E73" s="252"/>
      <c r="F73" s="252"/>
      <c r="G73" s="280"/>
      <c r="H73" s="252"/>
      <c r="I73" s="252"/>
      <c r="J73" s="252"/>
      <c r="K73" s="252"/>
      <c r="L73" s="252"/>
      <c r="M73" s="252"/>
      <c r="N73" s="252"/>
      <c r="O73" s="234"/>
      <c r="P73" s="252"/>
      <c r="Q73" s="252"/>
      <c r="R73" s="252"/>
      <c r="S73" s="252"/>
      <c r="T73" s="252"/>
      <c r="U73" s="252"/>
      <c r="V73" s="252"/>
      <c r="W73" s="252"/>
    </row>
    <row r="74" spans="1:23" s="319" customFormat="1">
      <c r="A74" s="252"/>
      <c r="B74" s="252"/>
      <c r="C74" s="252"/>
      <c r="D74" s="252"/>
      <c r="E74" s="252"/>
      <c r="F74" s="252"/>
      <c r="G74" s="281"/>
      <c r="H74" s="252"/>
      <c r="I74" s="252"/>
      <c r="J74" s="252"/>
      <c r="K74" s="252"/>
      <c r="L74" s="252"/>
      <c r="M74" s="252"/>
      <c r="N74" s="252"/>
      <c r="O74" s="234"/>
      <c r="P74" s="252"/>
      <c r="Q74" s="252"/>
      <c r="R74" s="252"/>
      <c r="S74" s="252"/>
      <c r="T74" s="252"/>
      <c r="U74" s="252"/>
      <c r="V74" s="252"/>
      <c r="W74" s="252"/>
    </row>
    <row r="75" spans="1:23" s="319" customFormat="1">
      <c r="A75" s="252"/>
      <c r="B75" s="252"/>
      <c r="C75" s="252"/>
      <c r="D75" s="252"/>
      <c r="E75" s="252"/>
      <c r="F75" s="252"/>
      <c r="G75" s="281"/>
      <c r="H75" s="252"/>
      <c r="I75" s="252"/>
      <c r="J75" s="252"/>
      <c r="K75" s="252"/>
      <c r="L75" s="252"/>
      <c r="M75" s="252"/>
      <c r="N75" s="252"/>
      <c r="O75" s="252"/>
      <c r="P75" s="252"/>
      <c r="Q75" s="252"/>
      <c r="R75" s="252"/>
      <c r="S75" s="252"/>
      <c r="T75" s="252"/>
      <c r="U75" s="252"/>
      <c r="V75" s="252"/>
      <c r="W75" s="252"/>
    </row>
    <row r="76" spans="1:23" s="319" customFormat="1" ht="13.5">
      <c r="A76" s="252"/>
      <c r="B76" s="252"/>
      <c r="C76" s="252"/>
      <c r="D76" s="252"/>
      <c r="E76" s="252"/>
      <c r="F76" s="252"/>
      <c r="G76" s="322"/>
      <c r="H76" s="326"/>
      <c r="I76" s="252"/>
      <c r="J76" s="252"/>
      <c r="K76" s="252"/>
      <c r="L76" s="252"/>
      <c r="M76" s="252"/>
      <c r="N76" s="252"/>
      <c r="O76" s="326"/>
      <c r="P76" s="252"/>
      <c r="Q76" s="252"/>
      <c r="R76" s="252"/>
      <c r="S76" s="252"/>
      <c r="T76" s="252"/>
      <c r="U76" s="252"/>
      <c r="V76" s="252"/>
      <c r="W76" s="252"/>
    </row>
    <row r="77" spans="1:23" s="319" customFormat="1">
      <c r="A77" s="252"/>
      <c r="B77" s="252"/>
      <c r="C77" s="252"/>
      <c r="D77" s="252"/>
      <c r="E77" s="252"/>
      <c r="F77" s="252"/>
      <c r="G77" s="280"/>
      <c r="H77" s="252"/>
      <c r="I77" s="252"/>
      <c r="J77" s="252"/>
      <c r="K77" s="252"/>
      <c r="L77" s="252"/>
      <c r="M77" s="252"/>
      <c r="N77" s="252"/>
      <c r="O77" s="252"/>
      <c r="P77" s="252"/>
      <c r="Q77" s="252"/>
      <c r="R77" s="252"/>
      <c r="S77" s="252"/>
      <c r="T77" s="252"/>
      <c r="U77" s="252"/>
      <c r="V77" s="252"/>
      <c r="W77" s="252"/>
    </row>
    <row r="78" spans="1:23" s="319" customFormat="1">
      <c r="A78" s="252"/>
      <c r="B78" s="252"/>
      <c r="C78" s="252"/>
      <c r="D78" s="252"/>
      <c r="E78" s="252"/>
      <c r="F78" s="252"/>
      <c r="G78" s="325"/>
      <c r="H78" s="252"/>
      <c r="I78" s="252"/>
      <c r="J78" s="252"/>
      <c r="K78" s="252"/>
      <c r="L78" s="252"/>
      <c r="M78" s="252"/>
      <c r="N78" s="252"/>
      <c r="O78" s="252"/>
      <c r="P78" s="252"/>
      <c r="Q78" s="252"/>
      <c r="R78" s="252"/>
      <c r="S78" s="252"/>
      <c r="T78" s="252"/>
      <c r="U78" s="252"/>
      <c r="V78" s="252"/>
      <c r="W78" s="252"/>
    </row>
    <row r="79" spans="1:23" s="319" customFormat="1">
      <c r="A79" s="252"/>
      <c r="B79" s="252"/>
      <c r="C79" s="252"/>
      <c r="D79" s="252"/>
      <c r="E79" s="252"/>
      <c r="F79" s="252"/>
      <c r="G79" s="327"/>
      <c r="H79" s="252"/>
      <c r="I79" s="252"/>
      <c r="J79" s="252"/>
      <c r="K79" s="252"/>
      <c r="L79" s="252"/>
      <c r="M79" s="252"/>
      <c r="N79" s="252"/>
      <c r="O79" s="252"/>
      <c r="P79" s="252"/>
      <c r="Q79" s="252"/>
      <c r="R79" s="252"/>
      <c r="S79" s="252"/>
      <c r="T79" s="252"/>
      <c r="U79" s="252"/>
      <c r="V79" s="252"/>
      <c r="W79" s="252"/>
    </row>
    <row r="80" spans="1:23" s="319" customFormat="1">
      <c r="A80" s="252"/>
      <c r="B80" s="252"/>
      <c r="C80" s="252"/>
      <c r="D80" s="252"/>
      <c r="E80" s="252"/>
      <c r="F80" s="252"/>
      <c r="G80" s="328"/>
      <c r="H80" s="252"/>
      <c r="I80" s="252"/>
      <c r="J80" s="252"/>
      <c r="K80" s="252"/>
      <c r="L80" s="252"/>
      <c r="M80" s="252"/>
      <c r="N80" s="252"/>
      <c r="O80" s="234"/>
      <c r="P80" s="252"/>
      <c r="Q80" s="252"/>
      <c r="R80" s="252"/>
      <c r="S80" s="252"/>
      <c r="T80" s="252"/>
      <c r="U80" s="252"/>
      <c r="V80" s="252"/>
      <c r="W80" s="252"/>
    </row>
    <row r="81" spans="1:23" s="319" customFormat="1">
      <c r="A81" s="252"/>
      <c r="B81" s="252"/>
      <c r="C81" s="252"/>
      <c r="D81" s="252"/>
      <c r="E81" s="252"/>
      <c r="F81" s="252"/>
      <c r="G81" s="328"/>
      <c r="H81" s="252"/>
      <c r="I81" s="252"/>
      <c r="J81" s="252"/>
      <c r="K81" s="252"/>
      <c r="L81" s="252"/>
      <c r="M81" s="252"/>
      <c r="N81" s="252"/>
      <c r="O81" s="234"/>
      <c r="P81" s="252"/>
      <c r="Q81" s="252"/>
      <c r="R81" s="252"/>
      <c r="S81" s="252"/>
      <c r="T81" s="252"/>
      <c r="U81" s="252"/>
      <c r="V81" s="252"/>
      <c r="W81" s="252"/>
    </row>
    <row r="82" spans="1:23" s="319" customFormat="1" ht="13.5">
      <c r="A82" s="252"/>
      <c r="B82" s="252"/>
      <c r="C82" s="252"/>
      <c r="D82" s="252"/>
      <c r="E82" s="252"/>
      <c r="F82" s="252"/>
      <c r="G82" s="325"/>
      <c r="H82" s="252"/>
      <c r="I82" s="252"/>
      <c r="J82" s="252"/>
      <c r="K82" s="252"/>
      <c r="L82" s="252"/>
      <c r="M82" s="252"/>
      <c r="N82" s="252"/>
      <c r="O82" s="234"/>
      <c r="P82" s="326"/>
      <c r="Q82" s="252"/>
      <c r="R82" s="252"/>
      <c r="S82" s="252"/>
      <c r="T82" s="252"/>
      <c r="U82" s="252"/>
      <c r="V82" s="252"/>
      <c r="W82" s="252"/>
    </row>
    <row r="83" spans="1:23" s="319" customFormat="1">
      <c r="A83" s="252"/>
      <c r="B83" s="252"/>
      <c r="C83" s="252"/>
      <c r="D83" s="252"/>
      <c r="E83" s="252"/>
      <c r="F83" s="252"/>
      <c r="G83" s="327"/>
      <c r="H83" s="252"/>
      <c r="I83" s="252"/>
      <c r="J83" s="252"/>
      <c r="K83" s="252"/>
      <c r="L83" s="252"/>
      <c r="M83" s="252"/>
      <c r="N83" s="252"/>
      <c r="O83" s="234"/>
      <c r="P83" s="252"/>
      <c r="Q83" s="252"/>
      <c r="R83" s="252"/>
      <c r="S83" s="252"/>
      <c r="T83" s="252"/>
      <c r="U83" s="252"/>
      <c r="V83" s="252"/>
      <c r="W83" s="252"/>
    </row>
    <row r="84" spans="1:23" s="319" customFormat="1">
      <c r="A84" s="252"/>
      <c r="B84" s="252"/>
      <c r="C84" s="252"/>
      <c r="D84" s="252"/>
      <c r="E84" s="252"/>
      <c r="F84" s="252"/>
      <c r="G84" s="328"/>
      <c r="H84" s="252"/>
      <c r="I84" s="252"/>
      <c r="J84" s="252"/>
      <c r="K84" s="252"/>
      <c r="L84" s="252"/>
      <c r="M84" s="252"/>
      <c r="N84" s="252"/>
      <c r="O84" s="234"/>
      <c r="P84" s="252"/>
      <c r="Q84" s="252"/>
      <c r="R84" s="252"/>
      <c r="S84" s="252"/>
      <c r="T84" s="252"/>
      <c r="U84" s="252"/>
      <c r="V84" s="252"/>
      <c r="W84" s="252"/>
    </row>
    <row r="85" spans="1:23" s="319" customFormat="1">
      <c r="A85" s="252"/>
      <c r="B85" s="252"/>
      <c r="C85" s="252"/>
      <c r="D85" s="252"/>
      <c r="E85" s="252"/>
      <c r="F85" s="252"/>
      <c r="G85" s="328"/>
      <c r="H85" s="252"/>
      <c r="I85" s="252"/>
      <c r="J85" s="252"/>
      <c r="K85" s="252"/>
      <c r="L85" s="252"/>
      <c r="M85" s="252"/>
      <c r="N85" s="252"/>
      <c r="O85" s="234"/>
      <c r="P85" s="252"/>
      <c r="Q85" s="252"/>
      <c r="R85" s="252"/>
      <c r="S85" s="252"/>
      <c r="T85" s="252"/>
      <c r="U85" s="252"/>
      <c r="V85" s="252"/>
      <c r="W85" s="252"/>
    </row>
    <row r="86" spans="1:23" s="319" customFormat="1">
      <c r="A86" s="252"/>
      <c r="B86" s="252"/>
      <c r="C86" s="252"/>
      <c r="D86" s="252"/>
      <c r="E86" s="252"/>
      <c r="F86" s="252"/>
      <c r="G86" s="325"/>
      <c r="H86" s="252"/>
      <c r="I86" s="252"/>
      <c r="J86" s="252"/>
      <c r="K86" s="252"/>
      <c r="L86" s="252"/>
      <c r="M86" s="252"/>
      <c r="N86" s="252"/>
      <c r="O86" s="234"/>
      <c r="P86" s="252"/>
      <c r="Q86" s="252"/>
      <c r="R86" s="252"/>
      <c r="S86" s="252"/>
      <c r="T86" s="252"/>
      <c r="U86" s="252"/>
      <c r="V86" s="252"/>
      <c r="W86" s="252"/>
    </row>
    <row r="87" spans="1:23" s="319" customFormat="1">
      <c r="A87" s="252"/>
      <c r="B87" s="252"/>
      <c r="C87" s="252"/>
      <c r="D87" s="252"/>
      <c r="E87" s="252"/>
      <c r="F87" s="252"/>
      <c r="G87" s="327"/>
      <c r="H87" s="252"/>
      <c r="I87" s="252"/>
      <c r="J87" s="252"/>
      <c r="K87" s="252"/>
      <c r="L87" s="252"/>
      <c r="M87" s="252"/>
      <c r="N87" s="252"/>
      <c r="O87" s="234"/>
      <c r="P87" s="252"/>
      <c r="Q87" s="252"/>
      <c r="R87" s="252"/>
      <c r="S87" s="252"/>
      <c r="T87" s="252"/>
      <c r="U87" s="252"/>
      <c r="V87" s="252"/>
      <c r="W87" s="252"/>
    </row>
    <row r="88" spans="1:23" s="319" customFormat="1">
      <c r="A88" s="252"/>
      <c r="B88" s="252"/>
      <c r="C88" s="252"/>
      <c r="D88" s="252"/>
      <c r="E88" s="252"/>
      <c r="F88" s="252"/>
      <c r="G88" s="328"/>
      <c r="H88" s="252"/>
      <c r="I88" s="252"/>
      <c r="J88" s="252"/>
      <c r="K88" s="252"/>
      <c r="L88" s="252"/>
      <c r="M88" s="252"/>
      <c r="N88" s="252"/>
      <c r="O88" s="234"/>
      <c r="P88" s="252"/>
      <c r="Q88" s="252"/>
      <c r="R88" s="252"/>
      <c r="S88" s="252"/>
      <c r="T88" s="252"/>
      <c r="U88" s="252"/>
      <c r="V88" s="252"/>
      <c r="W88" s="252"/>
    </row>
    <row r="89" spans="1:23" s="319" customFormat="1">
      <c r="A89" s="252"/>
      <c r="B89" s="252"/>
      <c r="C89" s="252"/>
      <c r="D89" s="252"/>
      <c r="E89" s="252"/>
      <c r="F89" s="252"/>
      <c r="G89" s="328"/>
      <c r="H89" s="252"/>
      <c r="I89" s="252"/>
      <c r="J89" s="252"/>
      <c r="K89" s="252"/>
      <c r="L89" s="252"/>
      <c r="M89" s="252"/>
      <c r="N89" s="252"/>
      <c r="O89" s="234"/>
      <c r="P89" s="252"/>
      <c r="Q89" s="252"/>
      <c r="R89" s="252"/>
      <c r="S89" s="252"/>
      <c r="T89" s="252"/>
      <c r="U89" s="252"/>
      <c r="V89" s="252"/>
      <c r="W89" s="252"/>
    </row>
    <row r="90" spans="1:23" s="319" customFormat="1">
      <c r="A90" s="252"/>
      <c r="B90" s="252"/>
      <c r="C90" s="252"/>
      <c r="D90" s="252"/>
      <c r="E90" s="252"/>
      <c r="F90" s="252"/>
      <c r="G90" s="252"/>
      <c r="H90" s="252"/>
      <c r="I90" s="252"/>
      <c r="J90" s="252"/>
      <c r="K90" s="252"/>
      <c r="L90" s="252"/>
      <c r="M90" s="252"/>
      <c r="N90" s="252"/>
      <c r="O90" s="234"/>
      <c r="P90" s="252"/>
      <c r="Q90" s="252"/>
      <c r="R90" s="252"/>
      <c r="S90" s="252"/>
      <c r="T90" s="252"/>
      <c r="U90" s="252"/>
      <c r="V90" s="252"/>
      <c r="W90" s="252"/>
    </row>
    <row r="91" spans="1:23" s="319" customFormat="1">
      <c r="A91" s="252"/>
      <c r="B91" s="252"/>
      <c r="C91" s="252"/>
      <c r="D91" s="252"/>
      <c r="E91" s="252"/>
      <c r="F91" s="252"/>
      <c r="G91" s="252"/>
      <c r="H91" s="252"/>
      <c r="I91" s="252"/>
      <c r="J91" s="252"/>
      <c r="K91" s="252"/>
      <c r="L91" s="252"/>
      <c r="M91" s="252"/>
      <c r="N91" s="252"/>
      <c r="O91" s="234"/>
      <c r="P91" s="252"/>
      <c r="Q91" s="252"/>
      <c r="R91" s="252"/>
      <c r="S91" s="252"/>
      <c r="T91" s="252"/>
      <c r="U91" s="252"/>
      <c r="V91" s="252"/>
      <c r="W91" s="252"/>
    </row>
    <row r="92" spans="1:23" s="319" customFormat="1">
      <c r="A92" s="252"/>
      <c r="B92" s="252"/>
      <c r="C92" s="252"/>
      <c r="D92" s="252"/>
      <c r="E92" s="252"/>
      <c r="F92" s="252"/>
      <c r="G92" s="328"/>
      <c r="H92" s="252"/>
      <c r="I92" s="252"/>
      <c r="J92" s="252"/>
      <c r="K92" s="252"/>
      <c r="L92" s="252"/>
      <c r="M92" s="252"/>
      <c r="N92" s="252"/>
      <c r="O92" s="234"/>
      <c r="P92" s="234"/>
      <c r="Q92" s="252"/>
      <c r="R92" s="252"/>
      <c r="S92" s="252"/>
      <c r="T92" s="252"/>
      <c r="U92" s="252"/>
      <c r="V92" s="252"/>
      <c r="W92" s="252"/>
    </row>
    <row r="93" spans="1:23" s="319" customFormat="1">
      <c r="A93" s="252"/>
      <c r="B93" s="252"/>
      <c r="C93" s="252"/>
      <c r="D93" s="252"/>
      <c r="E93" s="252"/>
      <c r="F93" s="252"/>
      <c r="G93" s="328"/>
      <c r="H93" s="252"/>
      <c r="I93" s="252"/>
      <c r="J93" s="252"/>
      <c r="K93" s="252"/>
      <c r="L93" s="252"/>
      <c r="M93" s="252"/>
      <c r="N93" s="252"/>
      <c r="O93" s="234"/>
      <c r="P93" s="234"/>
      <c r="Q93" s="252"/>
      <c r="R93" s="252"/>
      <c r="S93" s="252"/>
      <c r="T93" s="252"/>
      <c r="U93" s="252"/>
      <c r="V93" s="252"/>
      <c r="W93" s="252"/>
    </row>
    <row r="94" spans="1:23" s="319" customFormat="1">
      <c r="A94" s="252"/>
      <c r="B94" s="252"/>
      <c r="C94" s="252"/>
      <c r="D94" s="252"/>
      <c r="E94" s="252"/>
      <c r="F94" s="252"/>
      <c r="G94" s="252"/>
      <c r="H94" s="252"/>
      <c r="I94" s="252"/>
      <c r="J94" s="252"/>
      <c r="K94" s="252"/>
      <c r="L94" s="252"/>
      <c r="M94" s="252"/>
      <c r="N94" s="252"/>
      <c r="O94" s="234"/>
      <c r="P94" s="234"/>
      <c r="Q94" s="252"/>
      <c r="R94" s="252"/>
      <c r="S94" s="252"/>
      <c r="T94" s="252"/>
      <c r="U94" s="252"/>
      <c r="V94" s="252"/>
      <c r="W94" s="252"/>
    </row>
    <row r="95" spans="1:23" s="319" customFormat="1">
      <c r="A95" s="252"/>
      <c r="B95" s="252"/>
      <c r="C95" s="252"/>
      <c r="D95" s="252"/>
      <c r="E95" s="252"/>
      <c r="F95" s="252"/>
      <c r="G95" s="252"/>
      <c r="H95" s="252"/>
      <c r="I95" s="252"/>
      <c r="J95" s="252"/>
      <c r="K95" s="252"/>
      <c r="L95" s="252"/>
      <c r="M95" s="252"/>
      <c r="N95" s="252"/>
      <c r="O95" s="234"/>
      <c r="P95" s="234"/>
      <c r="Q95" s="252"/>
      <c r="R95" s="252"/>
      <c r="S95" s="252"/>
      <c r="T95" s="252"/>
      <c r="U95" s="252"/>
      <c r="V95" s="252"/>
      <c r="W95" s="252"/>
    </row>
    <row r="96" spans="1:23" s="319" customFormat="1">
      <c r="A96" s="252"/>
      <c r="B96" s="252"/>
      <c r="C96" s="252"/>
      <c r="D96" s="252"/>
      <c r="E96" s="252"/>
      <c r="F96" s="252"/>
      <c r="G96" s="325"/>
      <c r="H96" s="252"/>
      <c r="I96" s="252"/>
      <c r="J96" s="252"/>
      <c r="K96" s="252"/>
      <c r="L96" s="252"/>
      <c r="M96" s="252"/>
      <c r="N96" s="252"/>
      <c r="O96" s="234"/>
      <c r="P96" s="234"/>
      <c r="Q96" s="252"/>
      <c r="R96" s="252"/>
      <c r="S96" s="252"/>
      <c r="T96" s="252"/>
      <c r="U96" s="252"/>
      <c r="V96" s="252"/>
      <c r="W96" s="252"/>
    </row>
    <row r="97" spans="1:23" s="319" customFormat="1">
      <c r="A97" s="252"/>
      <c r="B97" s="252"/>
      <c r="C97" s="252"/>
      <c r="D97" s="252"/>
      <c r="E97" s="252"/>
      <c r="F97" s="252"/>
      <c r="G97" s="327"/>
      <c r="H97" s="252"/>
      <c r="I97" s="252"/>
      <c r="J97" s="252"/>
      <c r="K97" s="252"/>
      <c r="L97" s="252"/>
      <c r="M97" s="252"/>
      <c r="N97" s="252"/>
      <c r="O97" s="234"/>
      <c r="P97" s="234"/>
      <c r="Q97" s="252"/>
      <c r="R97" s="252"/>
      <c r="S97" s="252"/>
      <c r="T97" s="252"/>
      <c r="U97" s="252"/>
      <c r="V97" s="252"/>
      <c r="W97" s="252"/>
    </row>
    <row r="98" spans="1:23" s="319" customFormat="1">
      <c r="A98" s="252"/>
      <c r="B98" s="252"/>
      <c r="C98" s="252"/>
      <c r="D98" s="252"/>
      <c r="E98" s="252"/>
      <c r="F98" s="252"/>
      <c r="G98" s="328"/>
      <c r="H98" s="252"/>
      <c r="I98" s="252"/>
      <c r="J98" s="252"/>
      <c r="K98" s="252"/>
      <c r="L98" s="252"/>
      <c r="M98" s="252"/>
      <c r="N98" s="252"/>
      <c r="O98" s="234"/>
      <c r="P98" s="234"/>
      <c r="Q98" s="252"/>
      <c r="R98" s="252"/>
      <c r="S98" s="252"/>
      <c r="T98" s="252"/>
      <c r="U98" s="252"/>
      <c r="V98" s="252"/>
      <c r="W98" s="252"/>
    </row>
    <row r="99" spans="1:23" s="319" customFormat="1">
      <c r="A99" s="252"/>
      <c r="B99" s="252"/>
      <c r="C99" s="252"/>
      <c r="D99" s="252"/>
      <c r="E99" s="252"/>
      <c r="F99" s="252"/>
      <c r="G99" s="328"/>
      <c r="H99" s="252"/>
      <c r="I99" s="252"/>
      <c r="J99" s="252"/>
      <c r="K99" s="252"/>
      <c r="L99" s="252"/>
      <c r="M99" s="252"/>
      <c r="N99" s="252"/>
      <c r="O99" s="234"/>
      <c r="P99" s="234"/>
      <c r="Q99" s="252"/>
      <c r="R99" s="252"/>
      <c r="S99" s="252"/>
      <c r="T99" s="252"/>
      <c r="U99" s="252"/>
      <c r="V99" s="252"/>
      <c r="W99" s="252"/>
    </row>
    <row r="100" spans="1:23" s="319" customFormat="1">
      <c r="A100" s="252"/>
      <c r="B100" s="252"/>
      <c r="C100" s="252"/>
      <c r="D100" s="252"/>
      <c r="E100" s="252"/>
      <c r="F100" s="252"/>
      <c r="G100" s="325"/>
      <c r="H100" s="252"/>
      <c r="I100" s="252"/>
      <c r="J100" s="252"/>
      <c r="K100" s="252"/>
      <c r="L100" s="252"/>
      <c r="M100" s="252"/>
      <c r="N100" s="252"/>
      <c r="O100" s="234"/>
      <c r="P100" s="234"/>
      <c r="Q100" s="252"/>
      <c r="R100" s="252"/>
      <c r="S100" s="252"/>
      <c r="T100" s="252"/>
      <c r="U100" s="252"/>
      <c r="V100" s="252"/>
      <c r="W100" s="252"/>
    </row>
    <row r="101" spans="1:23" s="319" customFormat="1">
      <c r="A101" s="252"/>
      <c r="B101" s="252"/>
      <c r="C101" s="252"/>
      <c r="D101" s="252"/>
      <c r="E101" s="252"/>
      <c r="F101" s="252"/>
      <c r="G101" s="327"/>
      <c r="H101" s="252"/>
      <c r="I101" s="252"/>
      <c r="J101" s="252"/>
      <c r="K101" s="252"/>
      <c r="L101" s="252"/>
      <c r="M101" s="252"/>
      <c r="N101" s="252"/>
      <c r="O101" s="234"/>
      <c r="P101" s="234"/>
      <c r="Q101" s="252"/>
      <c r="R101" s="252"/>
      <c r="S101" s="252"/>
      <c r="T101" s="252"/>
      <c r="U101" s="252"/>
      <c r="V101" s="252"/>
      <c r="W101" s="252"/>
    </row>
    <row r="102" spans="1:23" s="319" customFormat="1">
      <c r="A102" s="252"/>
      <c r="B102" s="252"/>
      <c r="C102" s="252"/>
      <c r="D102" s="252"/>
      <c r="E102" s="252"/>
      <c r="F102" s="252"/>
      <c r="G102" s="328"/>
      <c r="H102" s="252"/>
      <c r="I102" s="252"/>
      <c r="J102" s="252"/>
      <c r="K102" s="252"/>
      <c r="L102" s="252"/>
      <c r="M102" s="252"/>
      <c r="N102" s="252"/>
      <c r="O102" s="234"/>
      <c r="P102" s="234"/>
      <c r="Q102" s="252"/>
      <c r="R102" s="252"/>
      <c r="S102" s="252"/>
      <c r="T102" s="252"/>
      <c r="U102" s="252"/>
      <c r="V102" s="252"/>
      <c r="W102" s="252"/>
    </row>
    <row r="103" spans="1:23" s="319" customFormat="1">
      <c r="A103" s="252"/>
      <c r="B103" s="252"/>
      <c r="C103" s="252"/>
      <c r="D103" s="252"/>
      <c r="E103" s="252"/>
      <c r="F103" s="252"/>
      <c r="G103" s="328"/>
      <c r="H103" s="252"/>
      <c r="I103" s="252"/>
      <c r="J103" s="252"/>
      <c r="K103" s="252"/>
      <c r="L103" s="252"/>
      <c r="M103" s="252"/>
      <c r="N103" s="252"/>
      <c r="O103" s="234"/>
      <c r="P103" s="234"/>
      <c r="Q103" s="252"/>
      <c r="R103" s="252"/>
      <c r="S103" s="252"/>
      <c r="T103" s="252"/>
      <c r="U103" s="252"/>
      <c r="V103" s="252"/>
      <c r="W103" s="252"/>
    </row>
    <row r="104" spans="1:23" s="319" customFormat="1">
      <c r="A104" s="252"/>
      <c r="B104" s="252"/>
      <c r="C104" s="252"/>
      <c r="D104" s="252"/>
      <c r="E104" s="252"/>
      <c r="F104" s="252"/>
      <c r="G104" s="325"/>
      <c r="H104" s="252"/>
      <c r="I104" s="252"/>
      <c r="J104" s="252"/>
      <c r="K104" s="252"/>
      <c r="L104" s="252"/>
      <c r="M104" s="252"/>
      <c r="N104" s="252"/>
      <c r="O104" s="234"/>
      <c r="P104" s="234"/>
      <c r="Q104" s="252"/>
      <c r="R104" s="252"/>
      <c r="S104" s="252"/>
      <c r="T104" s="252"/>
      <c r="U104" s="252"/>
      <c r="V104" s="252"/>
      <c r="W104" s="252"/>
    </row>
    <row r="105" spans="1:23" s="319" customFormat="1">
      <c r="A105" s="252"/>
      <c r="B105" s="252"/>
      <c r="C105" s="252"/>
      <c r="D105" s="252"/>
      <c r="E105" s="252"/>
      <c r="F105" s="252"/>
      <c r="G105" s="327"/>
      <c r="H105" s="252"/>
      <c r="I105" s="252"/>
      <c r="J105" s="252"/>
      <c r="K105" s="252"/>
      <c r="L105" s="252"/>
      <c r="M105" s="252"/>
      <c r="N105" s="252"/>
      <c r="O105" s="234"/>
      <c r="P105" s="234"/>
      <c r="Q105" s="252"/>
      <c r="R105" s="252"/>
      <c r="S105" s="252"/>
      <c r="T105" s="252"/>
      <c r="U105" s="252"/>
      <c r="V105" s="252"/>
      <c r="W105" s="252"/>
    </row>
    <row r="106" spans="1:23" s="319" customFormat="1">
      <c r="A106" s="252"/>
      <c r="B106" s="252"/>
      <c r="C106" s="252"/>
      <c r="D106" s="252"/>
      <c r="E106" s="252"/>
      <c r="F106" s="252"/>
      <c r="G106" s="328"/>
      <c r="H106" s="252"/>
      <c r="I106" s="252"/>
      <c r="J106" s="252"/>
      <c r="K106" s="252"/>
      <c r="L106" s="252"/>
      <c r="M106" s="252"/>
      <c r="N106" s="252"/>
      <c r="O106" s="234"/>
      <c r="P106" s="234"/>
      <c r="Q106" s="252"/>
      <c r="R106" s="252"/>
      <c r="S106" s="252"/>
      <c r="T106" s="252"/>
      <c r="U106" s="252"/>
      <c r="V106" s="252"/>
      <c r="W106" s="252"/>
    </row>
    <row r="107" spans="1:23" s="319" customFormat="1">
      <c r="A107" s="252"/>
      <c r="B107" s="252"/>
      <c r="C107" s="252"/>
      <c r="D107" s="252"/>
      <c r="E107" s="252"/>
      <c r="F107" s="252"/>
      <c r="G107" s="328"/>
      <c r="H107" s="252"/>
      <c r="I107" s="252"/>
      <c r="J107" s="252"/>
      <c r="K107" s="252"/>
      <c r="L107" s="252"/>
      <c r="M107" s="252"/>
      <c r="N107" s="252"/>
      <c r="O107" s="234"/>
      <c r="P107" s="234"/>
      <c r="Q107" s="252"/>
      <c r="R107" s="252"/>
      <c r="S107" s="252"/>
      <c r="T107" s="252"/>
      <c r="U107" s="252"/>
      <c r="V107" s="252"/>
      <c r="W107" s="252"/>
    </row>
    <row r="108" spans="1:23" s="319" customFormat="1">
      <c r="A108" s="252"/>
      <c r="B108" s="252"/>
      <c r="C108" s="252"/>
      <c r="D108" s="252"/>
      <c r="E108" s="252"/>
      <c r="F108" s="252"/>
      <c r="G108" s="252"/>
      <c r="H108" s="252"/>
      <c r="I108" s="252"/>
      <c r="J108" s="252"/>
      <c r="K108" s="252"/>
      <c r="L108" s="252"/>
      <c r="M108" s="252"/>
      <c r="N108" s="252"/>
      <c r="O108" s="234"/>
      <c r="P108" s="234"/>
      <c r="Q108" s="252"/>
      <c r="R108" s="252"/>
      <c r="S108" s="252"/>
      <c r="T108" s="252"/>
      <c r="U108" s="252"/>
      <c r="V108" s="252"/>
      <c r="W108" s="252"/>
    </row>
    <row r="109" spans="1:23" s="319" customFormat="1">
      <c r="A109" s="252"/>
      <c r="B109" s="252"/>
      <c r="C109" s="252"/>
      <c r="D109" s="252"/>
      <c r="E109" s="252"/>
      <c r="F109" s="252"/>
      <c r="G109" s="252"/>
      <c r="H109" s="252"/>
      <c r="I109" s="252"/>
      <c r="J109" s="252"/>
      <c r="K109" s="252"/>
      <c r="L109" s="252"/>
      <c r="M109" s="252"/>
      <c r="N109" s="252"/>
      <c r="O109" s="234"/>
      <c r="P109" s="234"/>
      <c r="Q109" s="252"/>
      <c r="R109" s="252"/>
      <c r="S109" s="252"/>
      <c r="T109" s="252"/>
      <c r="U109" s="252"/>
      <c r="V109" s="252"/>
      <c r="W109" s="252"/>
    </row>
    <row r="110" spans="1:23" s="319" customFormat="1">
      <c r="A110" s="252"/>
      <c r="B110" s="252"/>
      <c r="C110" s="252"/>
      <c r="D110" s="252"/>
      <c r="E110" s="252"/>
      <c r="F110" s="252"/>
      <c r="G110" s="252"/>
      <c r="H110" s="252"/>
      <c r="I110" s="252"/>
      <c r="J110" s="252"/>
      <c r="K110" s="252"/>
      <c r="L110" s="252"/>
      <c r="M110" s="252"/>
      <c r="N110" s="252"/>
      <c r="O110" s="234"/>
      <c r="P110" s="234"/>
      <c r="Q110" s="252"/>
      <c r="R110" s="252"/>
      <c r="S110" s="252"/>
      <c r="T110" s="252"/>
      <c r="U110" s="252"/>
      <c r="V110" s="252"/>
      <c r="W110" s="252"/>
    </row>
    <row r="111" spans="1:23" s="319" customFormat="1">
      <c r="A111" s="273"/>
      <c r="B111" s="273"/>
      <c r="C111" s="273"/>
      <c r="D111" s="273"/>
      <c r="E111" s="273"/>
      <c r="F111" s="273"/>
      <c r="G111" s="273"/>
      <c r="H111" s="252"/>
      <c r="I111" s="252"/>
      <c r="J111" s="273"/>
      <c r="K111" s="273"/>
      <c r="L111" s="273"/>
      <c r="M111" s="273"/>
      <c r="N111" s="273"/>
      <c r="O111" s="234"/>
      <c r="P111" s="234"/>
      <c r="Q111" s="273"/>
      <c r="R111" s="273"/>
      <c r="S111" s="273"/>
      <c r="T111" s="273"/>
      <c r="U111" s="273"/>
      <c r="V111" s="273"/>
      <c r="W111" s="273"/>
    </row>
    <row r="112" spans="1:23" s="319" customFormat="1">
      <c r="A112" s="321"/>
      <c r="B112" s="321"/>
      <c r="C112" s="321"/>
      <c r="D112" s="321"/>
      <c r="E112" s="321"/>
      <c r="F112" s="321"/>
      <c r="G112" s="321"/>
      <c r="H112" s="252"/>
      <c r="I112" s="252"/>
      <c r="J112" s="321"/>
      <c r="K112" s="321"/>
      <c r="L112" s="321"/>
      <c r="M112" s="321"/>
      <c r="N112" s="321"/>
      <c r="O112" s="234"/>
      <c r="P112" s="234"/>
      <c r="Q112" s="321"/>
      <c r="R112" s="321"/>
      <c r="S112" s="321"/>
      <c r="T112" s="321"/>
      <c r="U112" s="321"/>
      <c r="V112" s="321"/>
      <c r="W112" s="321"/>
    </row>
    <row r="113" spans="1:23" s="319" customFormat="1">
      <c r="A113" s="321"/>
      <c r="B113" s="321"/>
      <c r="C113" s="321"/>
      <c r="D113" s="321"/>
      <c r="E113" s="321"/>
      <c r="F113" s="321"/>
      <c r="G113" s="321"/>
      <c r="H113" s="252"/>
      <c r="I113" s="252"/>
      <c r="J113" s="321"/>
      <c r="K113" s="321"/>
      <c r="L113" s="321"/>
      <c r="M113" s="321"/>
      <c r="N113" s="321"/>
      <c r="O113" s="234"/>
      <c r="P113" s="234"/>
      <c r="Q113" s="321"/>
      <c r="R113" s="321"/>
      <c r="S113" s="321"/>
      <c r="T113" s="321"/>
      <c r="U113" s="321"/>
      <c r="V113" s="321"/>
      <c r="W113" s="321"/>
    </row>
    <row r="114" spans="1:23" s="319" customFormat="1">
      <c r="A114" s="252"/>
      <c r="B114" s="252"/>
      <c r="C114" s="252"/>
      <c r="D114" s="252"/>
      <c r="E114" s="252"/>
      <c r="F114" s="252"/>
      <c r="G114" s="252"/>
      <c r="H114" s="252"/>
      <c r="I114" s="252"/>
      <c r="J114" s="252"/>
      <c r="K114" s="252"/>
      <c r="L114" s="252"/>
      <c r="M114" s="252"/>
      <c r="N114" s="252"/>
      <c r="O114" s="234"/>
      <c r="P114" s="234"/>
      <c r="Q114" s="252"/>
      <c r="R114" s="252"/>
      <c r="S114" s="252"/>
      <c r="T114" s="252"/>
      <c r="U114" s="252"/>
      <c r="V114" s="252"/>
      <c r="W114" s="252"/>
    </row>
    <row r="115" spans="1:23" s="319" customFormat="1">
      <c r="A115" s="252"/>
      <c r="B115" s="252"/>
      <c r="C115" s="252"/>
      <c r="D115" s="252"/>
      <c r="E115" s="252"/>
      <c r="F115" s="252"/>
      <c r="G115" s="252"/>
      <c r="H115" s="252"/>
      <c r="I115" s="252"/>
      <c r="J115" s="252"/>
      <c r="K115" s="252"/>
      <c r="L115" s="252"/>
      <c r="M115" s="252"/>
      <c r="N115" s="252"/>
      <c r="O115" s="234"/>
      <c r="P115" s="234"/>
      <c r="Q115" s="252"/>
      <c r="R115" s="252"/>
      <c r="S115" s="252"/>
      <c r="T115" s="252"/>
      <c r="U115" s="252"/>
      <c r="V115" s="252"/>
      <c r="W115" s="252"/>
    </row>
    <row r="116" spans="1:23" s="319" customFormat="1">
      <c r="A116" s="252"/>
      <c r="B116" s="252"/>
      <c r="C116" s="252"/>
      <c r="D116" s="252"/>
      <c r="E116" s="252"/>
      <c r="F116" s="252"/>
      <c r="G116" s="252"/>
      <c r="H116" s="252"/>
      <c r="I116" s="252"/>
      <c r="J116" s="252"/>
      <c r="K116" s="252"/>
      <c r="L116" s="252"/>
      <c r="M116" s="252"/>
      <c r="N116" s="252"/>
      <c r="O116" s="234"/>
      <c r="P116" s="234"/>
      <c r="Q116" s="252"/>
      <c r="R116" s="252"/>
      <c r="S116" s="252"/>
      <c r="T116" s="252"/>
      <c r="U116" s="252"/>
      <c r="V116" s="252"/>
      <c r="W116" s="252"/>
    </row>
    <row r="117" spans="1:23" s="319" customFormat="1">
      <c r="A117" s="329"/>
      <c r="B117" s="329"/>
      <c r="C117" s="329"/>
      <c r="D117" s="329"/>
      <c r="E117" s="329"/>
      <c r="F117" s="329"/>
      <c r="G117" s="329"/>
      <c r="H117" s="252"/>
      <c r="I117" s="252"/>
      <c r="J117" s="329"/>
      <c r="K117" s="329"/>
      <c r="L117" s="329"/>
      <c r="M117" s="329"/>
      <c r="N117" s="329"/>
      <c r="O117" s="234"/>
      <c r="P117" s="234"/>
      <c r="Q117" s="329"/>
      <c r="R117" s="329"/>
      <c r="S117" s="329"/>
      <c r="T117" s="329"/>
      <c r="U117" s="329"/>
      <c r="V117" s="329"/>
      <c r="W117" s="329"/>
    </row>
    <row r="118" spans="1:23" s="319" customFormat="1">
      <c r="A118" s="330"/>
      <c r="B118" s="330"/>
      <c r="C118" s="330"/>
      <c r="D118" s="330"/>
      <c r="E118" s="330"/>
      <c r="F118" s="330"/>
      <c r="G118" s="330"/>
      <c r="H118" s="252"/>
      <c r="I118" s="252"/>
      <c r="J118" s="330"/>
      <c r="K118" s="330"/>
      <c r="L118" s="330"/>
      <c r="M118" s="330"/>
      <c r="N118" s="330"/>
      <c r="O118" s="234"/>
      <c r="P118" s="234"/>
      <c r="Q118" s="330"/>
      <c r="R118" s="330"/>
      <c r="S118" s="330"/>
      <c r="T118" s="330"/>
      <c r="U118" s="330"/>
      <c r="V118" s="330"/>
      <c r="W118" s="330"/>
    </row>
    <row r="119" spans="1:23" s="319" customFormat="1">
      <c r="A119" s="252"/>
      <c r="B119" s="252"/>
      <c r="C119" s="252"/>
      <c r="D119" s="252"/>
      <c r="E119" s="252"/>
      <c r="F119" s="252"/>
      <c r="G119" s="252"/>
      <c r="H119" s="252"/>
      <c r="I119" s="252"/>
      <c r="J119" s="252"/>
      <c r="K119" s="252"/>
      <c r="L119" s="252"/>
      <c r="M119" s="252"/>
      <c r="N119" s="252"/>
      <c r="O119" s="234"/>
      <c r="P119" s="234"/>
    </row>
    <row r="120" spans="1:23" s="319" customFormat="1">
      <c r="A120" s="252"/>
      <c r="B120" s="252"/>
      <c r="C120" s="252"/>
      <c r="D120" s="252"/>
      <c r="E120" s="252"/>
      <c r="F120" s="252"/>
      <c r="G120" s="252"/>
      <c r="H120" s="252"/>
      <c r="I120" s="252"/>
      <c r="J120" s="252"/>
      <c r="K120" s="252"/>
      <c r="L120" s="252"/>
      <c r="M120" s="252"/>
      <c r="N120" s="252"/>
      <c r="O120" s="234"/>
      <c r="P120" s="234"/>
    </row>
    <row r="121" spans="1:23" s="319" customFormat="1">
      <c r="A121" s="252"/>
      <c r="B121" s="252"/>
      <c r="C121" s="252"/>
      <c r="D121" s="252"/>
      <c r="E121" s="252"/>
      <c r="F121" s="252"/>
      <c r="G121" s="252"/>
      <c r="H121" s="252"/>
      <c r="I121" s="252"/>
      <c r="J121" s="252"/>
      <c r="K121" s="252"/>
      <c r="L121" s="252"/>
      <c r="M121" s="252"/>
      <c r="N121" s="252"/>
      <c r="O121" s="234"/>
      <c r="P121" s="234"/>
    </row>
    <row r="122" spans="1:23" s="319" customFormat="1">
      <c r="A122" s="252"/>
      <c r="B122" s="252"/>
      <c r="C122" s="252"/>
      <c r="D122" s="252"/>
      <c r="E122" s="252"/>
      <c r="F122" s="252"/>
      <c r="G122" s="252"/>
      <c r="H122" s="252"/>
      <c r="I122" s="252"/>
      <c r="J122" s="252"/>
      <c r="K122" s="252"/>
      <c r="L122" s="252"/>
      <c r="M122" s="252"/>
      <c r="N122" s="252"/>
      <c r="O122" s="234"/>
      <c r="P122" s="234"/>
    </row>
    <row r="123" spans="1:23" s="319" customFormat="1">
      <c r="A123" s="252"/>
      <c r="B123" s="252"/>
      <c r="C123" s="252"/>
      <c r="D123" s="252"/>
      <c r="E123" s="252"/>
      <c r="F123" s="252"/>
      <c r="G123" s="252"/>
      <c r="H123" s="252"/>
      <c r="I123" s="252"/>
      <c r="J123" s="252"/>
      <c r="K123" s="252"/>
      <c r="L123" s="252"/>
      <c r="M123" s="252"/>
      <c r="N123" s="252"/>
      <c r="O123" s="234"/>
      <c r="P123" s="234"/>
    </row>
    <row r="124" spans="1:23" s="319" customFormat="1">
      <c r="A124" s="252"/>
      <c r="B124" s="252"/>
      <c r="C124" s="252"/>
      <c r="D124" s="252"/>
      <c r="E124" s="252"/>
      <c r="F124" s="252"/>
      <c r="G124" s="252"/>
      <c r="H124" s="252"/>
      <c r="I124" s="252"/>
      <c r="J124" s="252"/>
      <c r="K124" s="252"/>
      <c r="L124" s="252"/>
      <c r="M124" s="252"/>
      <c r="N124" s="252"/>
      <c r="O124" s="234"/>
      <c r="P124" s="234"/>
    </row>
    <row r="125" spans="1:23" s="319" customFormat="1">
      <c r="A125" s="252"/>
      <c r="B125" s="252"/>
      <c r="C125" s="252"/>
      <c r="D125" s="252"/>
      <c r="E125" s="252"/>
      <c r="F125" s="252"/>
      <c r="G125" s="252"/>
      <c r="H125" s="252"/>
      <c r="I125" s="252"/>
      <c r="J125" s="252"/>
      <c r="K125" s="252"/>
      <c r="L125" s="252"/>
      <c r="M125" s="252"/>
      <c r="N125" s="252"/>
      <c r="O125" s="234"/>
      <c r="P125" s="234"/>
    </row>
    <row r="126" spans="1:23" s="319" customFormat="1">
      <c r="A126" s="252"/>
      <c r="B126" s="252"/>
      <c r="C126" s="252"/>
      <c r="D126" s="252"/>
      <c r="E126" s="252"/>
      <c r="F126" s="252"/>
      <c r="G126" s="252"/>
      <c r="H126" s="252"/>
      <c r="I126" s="252"/>
      <c r="J126" s="252"/>
      <c r="K126" s="252"/>
      <c r="L126" s="252"/>
      <c r="M126" s="252"/>
      <c r="N126" s="252"/>
      <c r="O126" s="234"/>
      <c r="P126" s="234"/>
    </row>
    <row r="127" spans="1:23" s="319" customFormat="1">
      <c r="A127" s="252"/>
      <c r="B127" s="252"/>
      <c r="C127" s="252"/>
      <c r="D127" s="252"/>
      <c r="E127" s="252"/>
      <c r="F127" s="252"/>
      <c r="G127" s="252"/>
      <c r="H127" s="252"/>
      <c r="I127" s="252"/>
      <c r="J127" s="252"/>
      <c r="K127" s="252"/>
      <c r="L127" s="252"/>
      <c r="M127" s="252"/>
      <c r="N127" s="252"/>
      <c r="O127" s="234"/>
      <c r="P127" s="234"/>
    </row>
    <row r="128" spans="1:23">
      <c r="J128" s="252"/>
      <c r="K128" s="252"/>
      <c r="L128" s="252"/>
      <c r="M128" s="252"/>
      <c r="N128" s="252"/>
    </row>
    <row r="129" spans="10:14">
      <c r="J129" s="252"/>
      <c r="K129" s="252"/>
      <c r="L129" s="252"/>
      <c r="M129" s="252"/>
      <c r="N129" s="252"/>
    </row>
    <row r="130" spans="10:14">
      <c r="J130" s="252"/>
      <c r="K130" s="252"/>
      <c r="L130" s="252"/>
      <c r="M130" s="252"/>
      <c r="N130" s="252"/>
    </row>
    <row r="131" spans="10:14">
      <c r="J131" s="252"/>
      <c r="K131" s="252"/>
      <c r="L131" s="252"/>
      <c r="M131" s="252"/>
      <c r="N131" s="252"/>
    </row>
    <row r="132" spans="10:14">
      <c r="J132" s="252"/>
      <c r="K132" s="252"/>
      <c r="L132" s="252"/>
      <c r="M132" s="252"/>
      <c r="N132" s="252"/>
    </row>
    <row r="133" spans="10:14">
      <c r="J133" s="252"/>
      <c r="K133" s="252"/>
      <c r="L133" s="252"/>
      <c r="M133" s="252"/>
      <c r="N133" s="252"/>
    </row>
    <row r="134" spans="10:14">
      <c r="J134" s="252"/>
      <c r="K134" s="252"/>
      <c r="L134" s="252"/>
      <c r="M134" s="252"/>
      <c r="N134" s="252"/>
    </row>
    <row r="135" spans="10:14">
      <c r="J135" s="252"/>
      <c r="K135" s="252"/>
      <c r="L135" s="252"/>
      <c r="M135" s="252"/>
      <c r="N135" s="252"/>
    </row>
    <row r="136" spans="10:14">
      <c r="J136" s="252"/>
      <c r="K136" s="252"/>
      <c r="L136" s="252"/>
      <c r="M136" s="252"/>
      <c r="N136" s="252"/>
    </row>
    <row r="137" spans="10:14">
      <c r="J137" s="252"/>
      <c r="K137" s="252"/>
      <c r="L137" s="252"/>
      <c r="M137" s="252"/>
      <c r="N137" s="252"/>
    </row>
    <row r="138" spans="10:14">
      <c r="J138" s="252"/>
      <c r="K138" s="252"/>
      <c r="L138" s="252"/>
      <c r="M138" s="252"/>
      <c r="N138" s="252"/>
    </row>
    <row r="139" spans="10:14">
      <c r="J139" s="252"/>
      <c r="K139" s="252"/>
      <c r="L139" s="252"/>
      <c r="M139" s="252"/>
      <c r="N139" s="252"/>
    </row>
    <row r="140" spans="10:14">
      <c r="J140" s="252"/>
      <c r="K140" s="252"/>
      <c r="L140" s="252"/>
      <c r="M140" s="252"/>
      <c r="N140" s="252"/>
    </row>
    <row r="141" spans="10:14">
      <c r="J141" s="252"/>
      <c r="K141" s="252"/>
      <c r="L141" s="252"/>
      <c r="M141" s="252"/>
      <c r="N141" s="252"/>
    </row>
    <row r="142" spans="10:14">
      <c r="J142" s="252"/>
      <c r="K142" s="252"/>
      <c r="L142" s="252"/>
      <c r="M142" s="252"/>
      <c r="N142" s="252"/>
    </row>
    <row r="143" spans="10:14">
      <c r="J143" s="252"/>
      <c r="K143" s="252"/>
      <c r="L143" s="252"/>
      <c r="M143" s="252"/>
      <c r="N143" s="252"/>
    </row>
    <row r="144" spans="10:14">
      <c r="J144" s="252"/>
      <c r="K144" s="252"/>
      <c r="L144" s="252"/>
      <c r="M144" s="252"/>
      <c r="N144" s="252"/>
    </row>
  </sheetData>
  <mergeCells count="11">
    <mergeCell ref="A4:H4"/>
    <mergeCell ref="A5:H5"/>
    <mergeCell ref="A6:H6"/>
    <mergeCell ref="R7:T7"/>
    <mergeCell ref="R8:T8"/>
    <mergeCell ref="R10:T10"/>
    <mergeCell ref="J4:M4"/>
    <mergeCell ref="J5:M5"/>
    <mergeCell ref="J6:M6"/>
    <mergeCell ref="J7:M7"/>
    <mergeCell ref="R9:T9"/>
  </mergeCells>
  <printOptions horizontalCentered="1"/>
  <pageMargins left="0.25" right="0.25" top="0.25" bottom="0.25" header="0.5" footer="0.5"/>
  <pageSetup scale="74" fitToWidth="0" fitToHeight="0" orientation="landscape" r:id="rId1"/>
  <colBreaks count="2" manualBreakCount="2">
    <brk id="9" max="1048575" man="1"/>
    <brk id="16" max="1048575" man="1"/>
  </colBreaks>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15"/>
  <sheetViews>
    <sheetView workbookViewId="0">
      <selection activeCell="B41" sqref="B41"/>
    </sheetView>
  </sheetViews>
  <sheetFormatPr defaultRowHeight="15"/>
  <cols>
    <col min="1" max="1" width="51.5" style="1873" customWidth="1"/>
    <col min="2" max="2" width="18.33203125" style="1873" customWidth="1"/>
    <col min="3" max="256" width="9.33203125" style="1873"/>
    <col min="257" max="257" width="51.5" style="1873" customWidth="1"/>
    <col min="258" max="258" width="18.33203125" style="1873" customWidth="1"/>
    <col min="259" max="512" width="9.33203125" style="1873"/>
    <col min="513" max="513" width="51.5" style="1873" customWidth="1"/>
    <col min="514" max="514" width="18.33203125" style="1873" customWidth="1"/>
    <col min="515" max="768" width="9.33203125" style="1873"/>
    <col min="769" max="769" width="51.5" style="1873" customWidth="1"/>
    <col min="770" max="770" width="18.33203125" style="1873" customWidth="1"/>
    <col min="771" max="1024" width="9.33203125" style="1873"/>
    <col min="1025" max="1025" width="51.5" style="1873" customWidth="1"/>
    <col min="1026" max="1026" width="18.33203125" style="1873" customWidth="1"/>
    <col min="1027" max="1280" width="9.33203125" style="1873"/>
    <col min="1281" max="1281" width="51.5" style="1873" customWidth="1"/>
    <col min="1282" max="1282" width="18.33203125" style="1873" customWidth="1"/>
    <col min="1283" max="1536" width="9.33203125" style="1873"/>
    <col min="1537" max="1537" width="51.5" style="1873" customWidth="1"/>
    <col min="1538" max="1538" width="18.33203125" style="1873" customWidth="1"/>
    <col min="1539" max="1792" width="9.33203125" style="1873"/>
    <col min="1793" max="1793" width="51.5" style="1873" customWidth="1"/>
    <col min="1794" max="1794" width="18.33203125" style="1873" customWidth="1"/>
    <col min="1795" max="2048" width="9.33203125" style="1873"/>
    <col min="2049" max="2049" width="51.5" style="1873" customWidth="1"/>
    <col min="2050" max="2050" width="18.33203125" style="1873" customWidth="1"/>
    <col min="2051" max="2304" width="9.33203125" style="1873"/>
    <col min="2305" max="2305" width="51.5" style="1873" customWidth="1"/>
    <col min="2306" max="2306" width="18.33203125" style="1873" customWidth="1"/>
    <col min="2307" max="2560" width="9.33203125" style="1873"/>
    <col min="2561" max="2561" width="51.5" style="1873" customWidth="1"/>
    <col min="2562" max="2562" width="18.33203125" style="1873" customWidth="1"/>
    <col min="2563" max="2816" width="9.33203125" style="1873"/>
    <col min="2817" max="2817" width="51.5" style="1873" customWidth="1"/>
    <col min="2818" max="2818" width="18.33203125" style="1873" customWidth="1"/>
    <col min="2819" max="3072" width="9.33203125" style="1873"/>
    <col min="3073" max="3073" width="51.5" style="1873" customWidth="1"/>
    <col min="3074" max="3074" width="18.33203125" style="1873" customWidth="1"/>
    <col min="3075" max="3328" width="9.33203125" style="1873"/>
    <col min="3329" max="3329" width="51.5" style="1873" customWidth="1"/>
    <col min="3330" max="3330" width="18.33203125" style="1873" customWidth="1"/>
    <col min="3331" max="3584" width="9.33203125" style="1873"/>
    <col min="3585" max="3585" width="51.5" style="1873" customWidth="1"/>
    <col min="3586" max="3586" width="18.33203125" style="1873" customWidth="1"/>
    <col min="3587" max="3840" width="9.33203125" style="1873"/>
    <col min="3841" max="3841" width="51.5" style="1873" customWidth="1"/>
    <col min="3842" max="3842" width="18.33203125" style="1873" customWidth="1"/>
    <col min="3843" max="4096" width="9.33203125" style="1873"/>
    <col min="4097" max="4097" width="51.5" style="1873" customWidth="1"/>
    <col min="4098" max="4098" width="18.33203125" style="1873" customWidth="1"/>
    <col min="4099" max="4352" width="9.33203125" style="1873"/>
    <col min="4353" max="4353" width="51.5" style="1873" customWidth="1"/>
    <col min="4354" max="4354" width="18.33203125" style="1873" customWidth="1"/>
    <col min="4355" max="4608" width="9.33203125" style="1873"/>
    <col min="4609" max="4609" width="51.5" style="1873" customWidth="1"/>
    <col min="4610" max="4610" width="18.33203125" style="1873" customWidth="1"/>
    <col min="4611" max="4864" width="9.33203125" style="1873"/>
    <col min="4865" max="4865" width="51.5" style="1873" customWidth="1"/>
    <col min="4866" max="4866" width="18.33203125" style="1873" customWidth="1"/>
    <col min="4867" max="5120" width="9.33203125" style="1873"/>
    <col min="5121" max="5121" width="51.5" style="1873" customWidth="1"/>
    <col min="5122" max="5122" width="18.33203125" style="1873" customWidth="1"/>
    <col min="5123" max="5376" width="9.33203125" style="1873"/>
    <col min="5377" max="5377" width="51.5" style="1873" customWidth="1"/>
    <col min="5378" max="5378" width="18.33203125" style="1873" customWidth="1"/>
    <col min="5379" max="5632" width="9.33203125" style="1873"/>
    <col min="5633" max="5633" width="51.5" style="1873" customWidth="1"/>
    <col min="5634" max="5634" width="18.33203125" style="1873" customWidth="1"/>
    <col min="5635" max="5888" width="9.33203125" style="1873"/>
    <col min="5889" max="5889" width="51.5" style="1873" customWidth="1"/>
    <col min="5890" max="5890" width="18.33203125" style="1873" customWidth="1"/>
    <col min="5891" max="6144" width="9.33203125" style="1873"/>
    <col min="6145" max="6145" width="51.5" style="1873" customWidth="1"/>
    <col min="6146" max="6146" width="18.33203125" style="1873" customWidth="1"/>
    <col min="6147" max="6400" width="9.33203125" style="1873"/>
    <col min="6401" max="6401" width="51.5" style="1873" customWidth="1"/>
    <col min="6402" max="6402" width="18.33203125" style="1873" customWidth="1"/>
    <col min="6403" max="6656" width="9.33203125" style="1873"/>
    <col min="6657" max="6657" width="51.5" style="1873" customWidth="1"/>
    <col min="6658" max="6658" width="18.33203125" style="1873" customWidth="1"/>
    <col min="6659" max="6912" width="9.33203125" style="1873"/>
    <col min="6913" max="6913" width="51.5" style="1873" customWidth="1"/>
    <col min="6914" max="6914" width="18.33203125" style="1873" customWidth="1"/>
    <col min="6915" max="7168" width="9.33203125" style="1873"/>
    <col min="7169" max="7169" width="51.5" style="1873" customWidth="1"/>
    <col min="7170" max="7170" width="18.33203125" style="1873" customWidth="1"/>
    <col min="7171" max="7424" width="9.33203125" style="1873"/>
    <col min="7425" max="7425" width="51.5" style="1873" customWidth="1"/>
    <col min="7426" max="7426" width="18.33203125" style="1873" customWidth="1"/>
    <col min="7427" max="7680" width="9.33203125" style="1873"/>
    <col min="7681" max="7681" width="51.5" style="1873" customWidth="1"/>
    <col min="7682" max="7682" width="18.33203125" style="1873" customWidth="1"/>
    <col min="7683" max="7936" width="9.33203125" style="1873"/>
    <col min="7937" max="7937" width="51.5" style="1873" customWidth="1"/>
    <col min="7938" max="7938" width="18.33203125" style="1873" customWidth="1"/>
    <col min="7939" max="8192" width="9.33203125" style="1873"/>
    <col min="8193" max="8193" width="51.5" style="1873" customWidth="1"/>
    <col min="8194" max="8194" width="18.33203125" style="1873" customWidth="1"/>
    <col min="8195" max="8448" width="9.33203125" style="1873"/>
    <col min="8449" max="8449" width="51.5" style="1873" customWidth="1"/>
    <col min="8450" max="8450" width="18.33203125" style="1873" customWidth="1"/>
    <col min="8451" max="8704" width="9.33203125" style="1873"/>
    <col min="8705" max="8705" width="51.5" style="1873" customWidth="1"/>
    <col min="8706" max="8706" width="18.33203125" style="1873" customWidth="1"/>
    <col min="8707" max="8960" width="9.33203125" style="1873"/>
    <col min="8961" max="8961" width="51.5" style="1873" customWidth="1"/>
    <col min="8962" max="8962" width="18.33203125" style="1873" customWidth="1"/>
    <col min="8963" max="9216" width="9.33203125" style="1873"/>
    <col min="9217" max="9217" width="51.5" style="1873" customWidth="1"/>
    <col min="9218" max="9218" width="18.33203125" style="1873" customWidth="1"/>
    <col min="9219" max="9472" width="9.33203125" style="1873"/>
    <col min="9473" max="9473" width="51.5" style="1873" customWidth="1"/>
    <col min="9474" max="9474" width="18.33203125" style="1873" customWidth="1"/>
    <col min="9475" max="9728" width="9.33203125" style="1873"/>
    <col min="9729" max="9729" width="51.5" style="1873" customWidth="1"/>
    <col min="9730" max="9730" width="18.33203125" style="1873" customWidth="1"/>
    <col min="9731" max="9984" width="9.33203125" style="1873"/>
    <col min="9985" max="9985" width="51.5" style="1873" customWidth="1"/>
    <col min="9986" max="9986" width="18.33203125" style="1873" customWidth="1"/>
    <col min="9987" max="10240" width="9.33203125" style="1873"/>
    <col min="10241" max="10241" width="51.5" style="1873" customWidth="1"/>
    <col min="10242" max="10242" width="18.33203125" style="1873" customWidth="1"/>
    <col min="10243" max="10496" width="9.33203125" style="1873"/>
    <col min="10497" max="10497" width="51.5" style="1873" customWidth="1"/>
    <col min="10498" max="10498" width="18.33203125" style="1873" customWidth="1"/>
    <col min="10499" max="10752" width="9.33203125" style="1873"/>
    <col min="10753" max="10753" width="51.5" style="1873" customWidth="1"/>
    <col min="10754" max="10754" width="18.33203125" style="1873" customWidth="1"/>
    <col min="10755" max="11008" width="9.33203125" style="1873"/>
    <col min="11009" max="11009" width="51.5" style="1873" customWidth="1"/>
    <col min="11010" max="11010" width="18.33203125" style="1873" customWidth="1"/>
    <col min="11011" max="11264" width="9.33203125" style="1873"/>
    <col min="11265" max="11265" width="51.5" style="1873" customWidth="1"/>
    <col min="11266" max="11266" width="18.33203125" style="1873" customWidth="1"/>
    <col min="11267" max="11520" width="9.33203125" style="1873"/>
    <col min="11521" max="11521" width="51.5" style="1873" customWidth="1"/>
    <col min="11522" max="11522" width="18.33203125" style="1873" customWidth="1"/>
    <col min="11523" max="11776" width="9.33203125" style="1873"/>
    <col min="11777" max="11777" width="51.5" style="1873" customWidth="1"/>
    <col min="11778" max="11778" width="18.33203125" style="1873" customWidth="1"/>
    <col min="11779" max="12032" width="9.33203125" style="1873"/>
    <col min="12033" max="12033" width="51.5" style="1873" customWidth="1"/>
    <col min="12034" max="12034" width="18.33203125" style="1873" customWidth="1"/>
    <col min="12035" max="12288" width="9.33203125" style="1873"/>
    <col min="12289" max="12289" width="51.5" style="1873" customWidth="1"/>
    <col min="12290" max="12290" width="18.33203125" style="1873" customWidth="1"/>
    <col min="12291" max="12544" width="9.33203125" style="1873"/>
    <col min="12545" max="12545" width="51.5" style="1873" customWidth="1"/>
    <col min="12546" max="12546" width="18.33203125" style="1873" customWidth="1"/>
    <col min="12547" max="12800" width="9.33203125" style="1873"/>
    <col min="12801" max="12801" width="51.5" style="1873" customWidth="1"/>
    <col min="12802" max="12802" width="18.33203125" style="1873" customWidth="1"/>
    <col min="12803" max="13056" width="9.33203125" style="1873"/>
    <col min="13057" max="13057" width="51.5" style="1873" customWidth="1"/>
    <col min="13058" max="13058" width="18.33203125" style="1873" customWidth="1"/>
    <col min="13059" max="13312" width="9.33203125" style="1873"/>
    <col min="13313" max="13313" width="51.5" style="1873" customWidth="1"/>
    <col min="13314" max="13314" width="18.33203125" style="1873" customWidth="1"/>
    <col min="13315" max="13568" width="9.33203125" style="1873"/>
    <col min="13569" max="13569" width="51.5" style="1873" customWidth="1"/>
    <col min="13570" max="13570" width="18.33203125" style="1873" customWidth="1"/>
    <col min="13571" max="13824" width="9.33203125" style="1873"/>
    <col min="13825" max="13825" width="51.5" style="1873" customWidth="1"/>
    <col min="13826" max="13826" width="18.33203125" style="1873" customWidth="1"/>
    <col min="13827" max="14080" width="9.33203125" style="1873"/>
    <col min="14081" max="14081" width="51.5" style="1873" customWidth="1"/>
    <col min="14082" max="14082" width="18.33203125" style="1873" customWidth="1"/>
    <col min="14083" max="14336" width="9.33203125" style="1873"/>
    <col min="14337" max="14337" width="51.5" style="1873" customWidth="1"/>
    <col min="14338" max="14338" width="18.33203125" style="1873" customWidth="1"/>
    <col min="14339" max="14592" width="9.33203125" style="1873"/>
    <col min="14593" max="14593" width="51.5" style="1873" customWidth="1"/>
    <col min="14594" max="14594" width="18.33203125" style="1873" customWidth="1"/>
    <col min="14595" max="14848" width="9.33203125" style="1873"/>
    <col min="14849" max="14849" width="51.5" style="1873" customWidth="1"/>
    <col min="14850" max="14850" width="18.33203125" style="1873" customWidth="1"/>
    <col min="14851" max="15104" width="9.33203125" style="1873"/>
    <col min="15105" max="15105" width="51.5" style="1873" customWidth="1"/>
    <col min="15106" max="15106" width="18.33203125" style="1873" customWidth="1"/>
    <col min="15107" max="15360" width="9.33203125" style="1873"/>
    <col min="15361" max="15361" width="51.5" style="1873" customWidth="1"/>
    <col min="15362" max="15362" width="18.33203125" style="1873" customWidth="1"/>
    <col min="15363" max="15616" width="9.33203125" style="1873"/>
    <col min="15617" max="15617" width="51.5" style="1873" customWidth="1"/>
    <col min="15618" max="15618" width="18.33203125" style="1873" customWidth="1"/>
    <col min="15619" max="15872" width="9.33203125" style="1873"/>
    <col min="15873" max="15873" width="51.5" style="1873" customWidth="1"/>
    <col min="15874" max="15874" width="18.33203125" style="1873" customWidth="1"/>
    <col min="15875" max="16128" width="9.33203125" style="1873"/>
    <col min="16129" max="16129" width="51.5" style="1873" customWidth="1"/>
    <col min="16130" max="16130" width="18.33203125" style="1873" customWidth="1"/>
    <col min="16131" max="16384" width="9.33203125" style="1873"/>
  </cols>
  <sheetData>
    <row r="1" spans="1:2">
      <c r="A1" s="1873" t="s">
        <v>2497</v>
      </c>
    </row>
    <row r="2" spans="1:2">
      <c r="A2" s="1873" t="s">
        <v>2504</v>
      </c>
    </row>
    <row r="3" spans="1:2">
      <c r="A3" s="1873" t="s">
        <v>2487</v>
      </c>
    </row>
    <row r="4" spans="1:2">
      <c r="A4" s="1873" t="s">
        <v>2488</v>
      </c>
    </row>
    <row r="6" spans="1:2">
      <c r="A6" s="1874" t="s">
        <v>1125</v>
      </c>
      <c r="B6" s="1874" t="s">
        <v>1126</v>
      </c>
    </row>
    <row r="7" spans="1:2">
      <c r="A7" s="1873" t="s">
        <v>2505</v>
      </c>
      <c r="B7" s="1875">
        <v>-26077728.23</v>
      </c>
    </row>
    <row r="8" spans="1:2">
      <c r="A8" s="1873" t="s">
        <v>2506</v>
      </c>
      <c r="B8" s="1875">
        <v>-2295449.44</v>
      </c>
    </row>
    <row r="9" spans="1:2">
      <c r="A9" s="1873" t="s">
        <v>2507</v>
      </c>
      <c r="B9" s="1991">
        <v>-14998464.880000001</v>
      </c>
    </row>
    <row r="10" spans="1:2">
      <c r="A10" s="1873" t="s">
        <v>684</v>
      </c>
      <c r="B10" s="1991">
        <f>SUM(B7:B9)</f>
        <v>-43371642.550000004</v>
      </c>
    </row>
    <row r="11" spans="1:2">
      <c r="A11" s="1874" t="s">
        <v>2490</v>
      </c>
      <c r="B11" s="1876">
        <v>-43371642.549999997</v>
      </c>
    </row>
    <row r="12" spans="1:2">
      <c r="A12" s="1873" t="s">
        <v>2508</v>
      </c>
      <c r="B12" s="1991">
        <f>'6.02G - Revenue'!E12</f>
        <v>-448.14</v>
      </c>
    </row>
    <row r="13" spans="1:2">
      <c r="B13" s="1875">
        <f>SUM(B11:B12)</f>
        <v>-43372090.689999998</v>
      </c>
    </row>
    <row r="15" spans="1:2">
      <c r="A15" s="1992" t="s">
        <v>2509</v>
      </c>
      <c r="B15" s="1876">
        <v>-389945.3</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9"/>
  <sheetViews>
    <sheetView workbookViewId="0">
      <selection activeCell="B12" sqref="B12"/>
    </sheetView>
  </sheetViews>
  <sheetFormatPr defaultRowHeight="15"/>
  <cols>
    <col min="1" max="1" width="36" style="1873" customWidth="1"/>
    <col min="2" max="2" width="20" style="1873" customWidth="1"/>
    <col min="3" max="256" width="9.33203125" style="1873"/>
    <col min="257" max="257" width="36" style="1873" customWidth="1"/>
    <col min="258" max="258" width="20" style="1873" customWidth="1"/>
    <col min="259" max="512" width="9.33203125" style="1873"/>
    <col min="513" max="513" width="36" style="1873" customWidth="1"/>
    <col min="514" max="514" width="20" style="1873" customWidth="1"/>
    <col min="515" max="768" width="9.33203125" style="1873"/>
    <col min="769" max="769" width="36" style="1873" customWidth="1"/>
    <col min="770" max="770" width="20" style="1873" customWidth="1"/>
    <col min="771" max="1024" width="9.33203125" style="1873"/>
    <col min="1025" max="1025" width="36" style="1873" customWidth="1"/>
    <col min="1026" max="1026" width="20" style="1873" customWidth="1"/>
    <col min="1027" max="1280" width="9.33203125" style="1873"/>
    <col min="1281" max="1281" width="36" style="1873" customWidth="1"/>
    <col min="1282" max="1282" width="20" style="1873" customWidth="1"/>
    <col min="1283" max="1536" width="9.33203125" style="1873"/>
    <col min="1537" max="1537" width="36" style="1873" customWidth="1"/>
    <col min="1538" max="1538" width="20" style="1873" customWidth="1"/>
    <col min="1539" max="1792" width="9.33203125" style="1873"/>
    <col min="1793" max="1793" width="36" style="1873" customWidth="1"/>
    <col min="1794" max="1794" width="20" style="1873" customWidth="1"/>
    <col min="1795" max="2048" width="9.33203125" style="1873"/>
    <col min="2049" max="2049" width="36" style="1873" customWidth="1"/>
    <col min="2050" max="2050" width="20" style="1873" customWidth="1"/>
    <col min="2051" max="2304" width="9.33203125" style="1873"/>
    <col min="2305" max="2305" width="36" style="1873" customWidth="1"/>
    <col min="2306" max="2306" width="20" style="1873" customWidth="1"/>
    <col min="2307" max="2560" width="9.33203125" style="1873"/>
    <col min="2561" max="2561" width="36" style="1873" customWidth="1"/>
    <col min="2562" max="2562" width="20" style="1873" customWidth="1"/>
    <col min="2563" max="2816" width="9.33203125" style="1873"/>
    <col min="2817" max="2817" width="36" style="1873" customWidth="1"/>
    <col min="2818" max="2818" width="20" style="1873" customWidth="1"/>
    <col min="2819" max="3072" width="9.33203125" style="1873"/>
    <col min="3073" max="3073" width="36" style="1873" customWidth="1"/>
    <col min="3074" max="3074" width="20" style="1873" customWidth="1"/>
    <col min="3075" max="3328" width="9.33203125" style="1873"/>
    <col min="3329" max="3329" width="36" style="1873" customWidth="1"/>
    <col min="3330" max="3330" width="20" style="1873" customWidth="1"/>
    <col min="3331" max="3584" width="9.33203125" style="1873"/>
    <col min="3585" max="3585" width="36" style="1873" customWidth="1"/>
    <col min="3586" max="3586" width="20" style="1873" customWidth="1"/>
    <col min="3587" max="3840" width="9.33203125" style="1873"/>
    <col min="3841" max="3841" width="36" style="1873" customWidth="1"/>
    <col min="3842" max="3842" width="20" style="1873" customWidth="1"/>
    <col min="3843" max="4096" width="9.33203125" style="1873"/>
    <col min="4097" max="4097" width="36" style="1873" customWidth="1"/>
    <col min="4098" max="4098" width="20" style="1873" customWidth="1"/>
    <col min="4099" max="4352" width="9.33203125" style="1873"/>
    <col min="4353" max="4353" width="36" style="1873" customWidth="1"/>
    <col min="4354" max="4354" width="20" style="1873" customWidth="1"/>
    <col min="4355" max="4608" width="9.33203125" style="1873"/>
    <col min="4609" max="4609" width="36" style="1873" customWidth="1"/>
    <col min="4610" max="4610" width="20" style="1873" customWidth="1"/>
    <col min="4611" max="4864" width="9.33203125" style="1873"/>
    <col min="4865" max="4865" width="36" style="1873" customWidth="1"/>
    <col min="4866" max="4866" width="20" style="1873" customWidth="1"/>
    <col min="4867" max="5120" width="9.33203125" style="1873"/>
    <col min="5121" max="5121" width="36" style="1873" customWidth="1"/>
    <col min="5122" max="5122" width="20" style="1873" customWidth="1"/>
    <col min="5123" max="5376" width="9.33203125" style="1873"/>
    <col min="5377" max="5377" width="36" style="1873" customWidth="1"/>
    <col min="5378" max="5378" width="20" style="1873" customWidth="1"/>
    <col min="5379" max="5632" width="9.33203125" style="1873"/>
    <col min="5633" max="5633" width="36" style="1873" customWidth="1"/>
    <col min="5634" max="5634" width="20" style="1873" customWidth="1"/>
    <col min="5635" max="5888" width="9.33203125" style="1873"/>
    <col min="5889" max="5889" width="36" style="1873" customWidth="1"/>
    <col min="5890" max="5890" width="20" style="1873" customWidth="1"/>
    <col min="5891" max="6144" width="9.33203125" style="1873"/>
    <col min="6145" max="6145" width="36" style="1873" customWidth="1"/>
    <col min="6146" max="6146" width="20" style="1873" customWidth="1"/>
    <col min="6147" max="6400" width="9.33203125" style="1873"/>
    <col min="6401" max="6401" width="36" style="1873" customWidth="1"/>
    <col min="6402" max="6402" width="20" style="1873" customWidth="1"/>
    <col min="6403" max="6656" width="9.33203125" style="1873"/>
    <col min="6657" max="6657" width="36" style="1873" customWidth="1"/>
    <col min="6658" max="6658" width="20" style="1873" customWidth="1"/>
    <col min="6659" max="6912" width="9.33203125" style="1873"/>
    <col min="6913" max="6913" width="36" style="1873" customWidth="1"/>
    <col min="6914" max="6914" width="20" style="1873" customWidth="1"/>
    <col min="6915" max="7168" width="9.33203125" style="1873"/>
    <col min="7169" max="7169" width="36" style="1873" customWidth="1"/>
    <col min="7170" max="7170" width="20" style="1873" customWidth="1"/>
    <col min="7171" max="7424" width="9.33203125" style="1873"/>
    <col min="7425" max="7425" width="36" style="1873" customWidth="1"/>
    <col min="7426" max="7426" width="20" style="1873" customWidth="1"/>
    <col min="7427" max="7680" width="9.33203125" style="1873"/>
    <col min="7681" max="7681" width="36" style="1873" customWidth="1"/>
    <col min="7682" max="7682" width="20" style="1873" customWidth="1"/>
    <col min="7683" max="7936" width="9.33203125" style="1873"/>
    <col min="7937" max="7937" width="36" style="1873" customWidth="1"/>
    <col min="7938" max="7938" width="20" style="1873" customWidth="1"/>
    <col min="7939" max="8192" width="9.33203125" style="1873"/>
    <col min="8193" max="8193" width="36" style="1873" customWidth="1"/>
    <col min="8194" max="8194" width="20" style="1873" customWidth="1"/>
    <col min="8195" max="8448" width="9.33203125" style="1873"/>
    <col min="8449" max="8449" width="36" style="1873" customWidth="1"/>
    <col min="8450" max="8450" width="20" style="1873" customWidth="1"/>
    <col min="8451" max="8704" width="9.33203125" style="1873"/>
    <col min="8705" max="8705" width="36" style="1873" customWidth="1"/>
    <col min="8706" max="8706" width="20" style="1873" customWidth="1"/>
    <col min="8707" max="8960" width="9.33203125" style="1873"/>
    <col min="8961" max="8961" width="36" style="1873" customWidth="1"/>
    <col min="8962" max="8962" width="20" style="1873" customWidth="1"/>
    <col min="8963" max="9216" width="9.33203125" style="1873"/>
    <col min="9217" max="9217" width="36" style="1873" customWidth="1"/>
    <col min="9218" max="9218" width="20" style="1873" customWidth="1"/>
    <col min="9219" max="9472" width="9.33203125" style="1873"/>
    <col min="9473" max="9473" width="36" style="1873" customWidth="1"/>
    <col min="9474" max="9474" width="20" style="1873" customWidth="1"/>
    <col min="9475" max="9728" width="9.33203125" style="1873"/>
    <col min="9729" max="9729" width="36" style="1873" customWidth="1"/>
    <col min="9730" max="9730" width="20" style="1873" customWidth="1"/>
    <col min="9731" max="9984" width="9.33203125" style="1873"/>
    <col min="9985" max="9985" width="36" style="1873" customWidth="1"/>
    <col min="9986" max="9986" width="20" style="1873" customWidth="1"/>
    <col min="9987" max="10240" width="9.33203125" style="1873"/>
    <col min="10241" max="10241" width="36" style="1873" customWidth="1"/>
    <col min="10242" max="10242" width="20" style="1873" customWidth="1"/>
    <col min="10243" max="10496" width="9.33203125" style="1873"/>
    <col min="10497" max="10497" width="36" style="1873" customWidth="1"/>
    <col min="10498" max="10498" width="20" style="1873" customWidth="1"/>
    <col min="10499" max="10752" width="9.33203125" style="1873"/>
    <col min="10753" max="10753" width="36" style="1873" customWidth="1"/>
    <col min="10754" max="10754" width="20" style="1873" customWidth="1"/>
    <col min="10755" max="11008" width="9.33203125" style="1873"/>
    <col min="11009" max="11009" width="36" style="1873" customWidth="1"/>
    <col min="11010" max="11010" width="20" style="1873" customWidth="1"/>
    <col min="11011" max="11264" width="9.33203125" style="1873"/>
    <col min="11265" max="11265" width="36" style="1873" customWidth="1"/>
    <col min="11266" max="11266" width="20" style="1873" customWidth="1"/>
    <col min="11267" max="11520" width="9.33203125" style="1873"/>
    <col min="11521" max="11521" width="36" style="1873" customWidth="1"/>
    <col min="11522" max="11522" width="20" style="1873" customWidth="1"/>
    <col min="11523" max="11776" width="9.33203125" style="1873"/>
    <col min="11777" max="11777" width="36" style="1873" customWidth="1"/>
    <col min="11778" max="11778" width="20" style="1873" customWidth="1"/>
    <col min="11779" max="12032" width="9.33203125" style="1873"/>
    <col min="12033" max="12033" width="36" style="1873" customWidth="1"/>
    <col min="12034" max="12034" width="20" style="1873" customWidth="1"/>
    <col min="12035" max="12288" width="9.33203125" style="1873"/>
    <col min="12289" max="12289" width="36" style="1873" customWidth="1"/>
    <col min="12290" max="12290" width="20" style="1873" customWidth="1"/>
    <col min="12291" max="12544" width="9.33203125" style="1873"/>
    <col min="12545" max="12545" width="36" style="1873" customWidth="1"/>
    <col min="12546" max="12546" width="20" style="1873" customWidth="1"/>
    <col min="12547" max="12800" width="9.33203125" style="1873"/>
    <col min="12801" max="12801" width="36" style="1873" customWidth="1"/>
    <col min="12802" max="12802" width="20" style="1873" customWidth="1"/>
    <col min="12803" max="13056" width="9.33203125" style="1873"/>
    <col min="13057" max="13057" width="36" style="1873" customWidth="1"/>
    <col min="13058" max="13058" width="20" style="1873" customWidth="1"/>
    <col min="13059" max="13312" width="9.33203125" style="1873"/>
    <col min="13313" max="13313" width="36" style="1873" customWidth="1"/>
    <col min="13314" max="13314" width="20" style="1873" customWidth="1"/>
    <col min="13315" max="13568" width="9.33203125" style="1873"/>
    <col min="13569" max="13569" width="36" style="1873" customWidth="1"/>
    <col min="13570" max="13570" width="20" style="1873" customWidth="1"/>
    <col min="13571" max="13824" width="9.33203125" style="1873"/>
    <col min="13825" max="13825" width="36" style="1873" customWidth="1"/>
    <col min="13826" max="13826" width="20" style="1873" customWidth="1"/>
    <col min="13827" max="14080" width="9.33203125" style="1873"/>
    <col min="14081" max="14081" width="36" style="1873" customWidth="1"/>
    <col min="14082" max="14082" width="20" style="1873" customWidth="1"/>
    <col min="14083" max="14336" width="9.33203125" style="1873"/>
    <col min="14337" max="14337" width="36" style="1873" customWidth="1"/>
    <col min="14338" max="14338" width="20" style="1873" customWidth="1"/>
    <col min="14339" max="14592" width="9.33203125" style="1873"/>
    <col min="14593" max="14593" width="36" style="1873" customWidth="1"/>
    <col min="14594" max="14594" width="20" style="1873" customWidth="1"/>
    <col min="14595" max="14848" width="9.33203125" style="1873"/>
    <col min="14849" max="14849" width="36" style="1873" customWidth="1"/>
    <col min="14850" max="14850" width="20" style="1873" customWidth="1"/>
    <col min="14851" max="15104" width="9.33203125" style="1873"/>
    <col min="15105" max="15105" width="36" style="1873" customWidth="1"/>
    <col min="15106" max="15106" width="20" style="1873" customWidth="1"/>
    <col min="15107" max="15360" width="9.33203125" style="1873"/>
    <col min="15361" max="15361" width="36" style="1873" customWidth="1"/>
    <col min="15362" max="15362" width="20" style="1873" customWidth="1"/>
    <col min="15363" max="15616" width="9.33203125" style="1873"/>
    <col min="15617" max="15617" width="36" style="1873" customWidth="1"/>
    <col min="15618" max="15618" width="20" style="1873" customWidth="1"/>
    <col min="15619" max="15872" width="9.33203125" style="1873"/>
    <col min="15873" max="15873" width="36" style="1873" customWidth="1"/>
    <col min="15874" max="15874" width="20" style="1873" customWidth="1"/>
    <col min="15875" max="16128" width="9.33203125" style="1873"/>
    <col min="16129" max="16129" width="36" style="1873" customWidth="1"/>
    <col min="16130" max="16130" width="20" style="1873" customWidth="1"/>
    <col min="16131" max="16384" width="9.33203125" style="1873"/>
  </cols>
  <sheetData>
    <row r="1" spans="1:2">
      <c r="A1" s="1873" t="s">
        <v>2497</v>
      </c>
    </row>
    <row r="2" spans="1:2">
      <c r="A2" s="1873" t="s">
        <v>2504</v>
      </c>
    </row>
    <row r="3" spans="1:2">
      <c r="A3" s="1873" t="s">
        <v>2487</v>
      </c>
    </row>
    <row r="4" spans="1:2">
      <c r="A4" s="1873" t="s">
        <v>2488</v>
      </c>
    </row>
    <row r="6" spans="1:2">
      <c r="A6" s="1874" t="s">
        <v>1125</v>
      </c>
      <c r="B6" s="1988" t="s">
        <v>1126</v>
      </c>
    </row>
    <row r="7" spans="1:2">
      <c r="A7" s="1873" t="s">
        <v>2510</v>
      </c>
      <c r="B7" s="1991">
        <v>42108850.130000003</v>
      </c>
    </row>
    <row r="8" spans="1:2">
      <c r="A8" s="1873" t="s">
        <v>684</v>
      </c>
      <c r="B8" s="2018">
        <v>42108850.130000003</v>
      </c>
    </row>
    <row r="9" spans="1:2">
      <c r="A9" s="1874" t="s">
        <v>2490</v>
      </c>
      <c r="B9" s="1876">
        <v>42108850.130000003</v>
      </c>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F30"/>
  <sheetViews>
    <sheetView workbookViewId="0">
      <selection activeCell="C30" sqref="C30"/>
    </sheetView>
  </sheetViews>
  <sheetFormatPr defaultRowHeight="12.75"/>
  <cols>
    <col min="1" max="1" width="9.33203125" style="58"/>
    <col min="2" max="2" width="52.6640625" style="58" customWidth="1"/>
    <col min="3" max="3" width="29.1640625" style="58" customWidth="1"/>
    <col min="4" max="257" width="9.33203125" style="58"/>
    <col min="258" max="258" width="52.6640625" style="58" customWidth="1"/>
    <col min="259" max="259" width="29.1640625" style="58" customWidth="1"/>
    <col min="260" max="513" width="9.33203125" style="58"/>
    <col min="514" max="514" width="52.6640625" style="58" customWidth="1"/>
    <col min="515" max="515" width="29.1640625" style="58" customWidth="1"/>
    <col min="516" max="769" width="9.33203125" style="58"/>
    <col min="770" max="770" width="52.6640625" style="58" customWidth="1"/>
    <col min="771" max="771" width="29.1640625" style="58" customWidth="1"/>
    <col min="772" max="1025" width="9.33203125" style="58"/>
    <col min="1026" max="1026" width="52.6640625" style="58" customWidth="1"/>
    <col min="1027" max="1027" width="29.1640625" style="58" customWidth="1"/>
    <col min="1028" max="1281" width="9.33203125" style="58"/>
    <col min="1282" max="1282" width="52.6640625" style="58" customWidth="1"/>
    <col min="1283" max="1283" width="29.1640625" style="58" customWidth="1"/>
    <col min="1284" max="1537" width="9.33203125" style="58"/>
    <col min="1538" max="1538" width="52.6640625" style="58" customWidth="1"/>
    <col min="1539" max="1539" width="29.1640625" style="58" customWidth="1"/>
    <col min="1540" max="1793" width="9.33203125" style="58"/>
    <col min="1794" max="1794" width="52.6640625" style="58" customWidth="1"/>
    <col min="1795" max="1795" width="29.1640625" style="58" customWidth="1"/>
    <col min="1796" max="2049" width="9.33203125" style="58"/>
    <col min="2050" max="2050" width="52.6640625" style="58" customWidth="1"/>
    <col min="2051" max="2051" width="29.1640625" style="58" customWidth="1"/>
    <col min="2052" max="2305" width="9.33203125" style="58"/>
    <col min="2306" max="2306" width="52.6640625" style="58" customWidth="1"/>
    <col min="2307" max="2307" width="29.1640625" style="58" customWidth="1"/>
    <col min="2308" max="2561" width="9.33203125" style="58"/>
    <col min="2562" max="2562" width="52.6640625" style="58" customWidth="1"/>
    <col min="2563" max="2563" width="29.1640625" style="58" customWidth="1"/>
    <col min="2564" max="2817" width="9.33203125" style="58"/>
    <col min="2818" max="2818" width="52.6640625" style="58" customWidth="1"/>
    <col min="2819" max="2819" width="29.1640625" style="58" customWidth="1"/>
    <col min="2820" max="3073" width="9.33203125" style="58"/>
    <col min="3074" max="3074" width="52.6640625" style="58" customWidth="1"/>
    <col min="3075" max="3075" width="29.1640625" style="58" customWidth="1"/>
    <col min="3076" max="3329" width="9.33203125" style="58"/>
    <col min="3330" max="3330" width="52.6640625" style="58" customWidth="1"/>
    <col min="3331" max="3331" width="29.1640625" style="58" customWidth="1"/>
    <col min="3332" max="3585" width="9.33203125" style="58"/>
    <col min="3586" max="3586" width="52.6640625" style="58" customWidth="1"/>
    <col min="3587" max="3587" width="29.1640625" style="58" customWidth="1"/>
    <col min="3588" max="3841" width="9.33203125" style="58"/>
    <col min="3842" max="3842" width="52.6640625" style="58" customWidth="1"/>
    <col min="3843" max="3843" width="29.1640625" style="58" customWidth="1"/>
    <col min="3844" max="4097" width="9.33203125" style="58"/>
    <col min="4098" max="4098" width="52.6640625" style="58" customWidth="1"/>
    <col min="4099" max="4099" width="29.1640625" style="58" customWidth="1"/>
    <col min="4100" max="4353" width="9.33203125" style="58"/>
    <col min="4354" max="4354" width="52.6640625" style="58" customWidth="1"/>
    <col min="4355" max="4355" width="29.1640625" style="58" customWidth="1"/>
    <col min="4356" max="4609" width="9.33203125" style="58"/>
    <col min="4610" max="4610" width="52.6640625" style="58" customWidth="1"/>
    <col min="4611" max="4611" width="29.1640625" style="58" customWidth="1"/>
    <col min="4612" max="4865" width="9.33203125" style="58"/>
    <col min="4866" max="4866" width="52.6640625" style="58" customWidth="1"/>
    <col min="4867" max="4867" width="29.1640625" style="58" customWidth="1"/>
    <col min="4868" max="5121" width="9.33203125" style="58"/>
    <col min="5122" max="5122" width="52.6640625" style="58" customWidth="1"/>
    <col min="5123" max="5123" width="29.1640625" style="58" customWidth="1"/>
    <col min="5124" max="5377" width="9.33203125" style="58"/>
    <col min="5378" max="5378" width="52.6640625" style="58" customWidth="1"/>
    <col min="5379" max="5379" width="29.1640625" style="58" customWidth="1"/>
    <col min="5380" max="5633" width="9.33203125" style="58"/>
    <col min="5634" max="5634" width="52.6640625" style="58" customWidth="1"/>
    <col min="5635" max="5635" width="29.1640625" style="58" customWidth="1"/>
    <col min="5636" max="5889" width="9.33203125" style="58"/>
    <col min="5890" max="5890" width="52.6640625" style="58" customWidth="1"/>
    <col min="5891" max="5891" width="29.1640625" style="58" customWidth="1"/>
    <col min="5892" max="6145" width="9.33203125" style="58"/>
    <col min="6146" max="6146" width="52.6640625" style="58" customWidth="1"/>
    <col min="6147" max="6147" width="29.1640625" style="58" customWidth="1"/>
    <col min="6148" max="6401" width="9.33203125" style="58"/>
    <col min="6402" max="6402" width="52.6640625" style="58" customWidth="1"/>
    <col min="6403" max="6403" width="29.1640625" style="58" customWidth="1"/>
    <col min="6404" max="6657" width="9.33203125" style="58"/>
    <col min="6658" max="6658" width="52.6640625" style="58" customWidth="1"/>
    <col min="6659" max="6659" width="29.1640625" style="58" customWidth="1"/>
    <col min="6660" max="6913" width="9.33203125" style="58"/>
    <col min="6914" max="6914" width="52.6640625" style="58" customWidth="1"/>
    <col min="6915" max="6915" width="29.1640625" style="58" customWidth="1"/>
    <col min="6916" max="7169" width="9.33203125" style="58"/>
    <col min="7170" max="7170" width="52.6640625" style="58" customWidth="1"/>
    <col min="7171" max="7171" width="29.1640625" style="58" customWidth="1"/>
    <col min="7172" max="7425" width="9.33203125" style="58"/>
    <col min="7426" max="7426" width="52.6640625" style="58" customWidth="1"/>
    <col min="7427" max="7427" width="29.1640625" style="58" customWidth="1"/>
    <col min="7428" max="7681" width="9.33203125" style="58"/>
    <col min="7682" max="7682" width="52.6640625" style="58" customWidth="1"/>
    <col min="7683" max="7683" width="29.1640625" style="58" customWidth="1"/>
    <col min="7684" max="7937" width="9.33203125" style="58"/>
    <col min="7938" max="7938" width="52.6640625" style="58" customWidth="1"/>
    <col min="7939" max="7939" width="29.1640625" style="58" customWidth="1"/>
    <col min="7940" max="8193" width="9.33203125" style="58"/>
    <col min="8194" max="8194" width="52.6640625" style="58" customWidth="1"/>
    <col min="8195" max="8195" width="29.1640625" style="58" customWidth="1"/>
    <col min="8196" max="8449" width="9.33203125" style="58"/>
    <col min="8450" max="8450" width="52.6640625" style="58" customWidth="1"/>
    <col min="8451" max="8451" width="29.1640625" style="58" customWidth="1"/>
    <col min="8452" max="8705" width="9.33203125" style="58"/>
    <col min="8706" max="8706" width="52.6640625" style="58" customWidth="1"/>
    <col min="8707" max="8707" width="29.1640625" style="58" customWidth="1"/>
    <col min="8708" max="8961" width="9.33203125" style="58"/>
    <col min="8962" max="8962" width="52.6640625" style="58" customWidth="1"/>
    <col min="8963" max="8963" width="29.1640625" style="58" customWidth="1"/>
    <col min="8964" max="9217" width="9.33203125" style="58"/>
    <col min="9218" max="9218" width="52.6640625" style="58" customWidth="1"/>
    <col min="9219" max="9219" width="29.1640625" style="58" customWidth="1"/>
    <col min="9220" max="9473" width="9.33203125" style="58"/>
    <col min="9474" max="9474" width="52.6640625" style="58" customWidth="1"/>
    <col min="9475" max="9475" width="29.1640625" style="58" customWidth="1"/>
    <col min="9476" max="9729" width="9.33203125" style="58"/>
    <col min="9730" max="9730" width="52.6640625" style="58" customWidth="1"/>
    <col min="9731" max="9731" width="29.1640625" style="58" customWidth="1"/>
    <col min="9732" max="9985" width="9.33203125" style="58"/>
    <col min="9986" max="9986" width="52.6640625" style="58" customWidth="1"/>
    <col min="9987" max="9987" width="29.1640625" style="58" customWidth="1"/>
    <col min="9988" max="10241" width="9.33203125" style="58"/>
    <col min="10242" max="10242" width="52.6640625" style="58" customWidth="1"/>
    <col min="10243" max="10243" width="29.1640625" style="58" customWidth="1"/>
    <col min="10244" max="10497" width="9.33203125" style="58"/>
    <col min="10498" max="10498" width="52.6640625" style="58" customWidth="1"/>
    <col min="10499" max="10499" width="29.1640625" style="58" customWidth="1"/>
    <col min="10500" max="10753" width="9.33203125" style="58"/>
    <col min="10754" max="10754" width="52.6640625" style="58" customWidth="1"/>
    <col min="10755" max="10755" width="29.1640625" style="58" customWidth="1"/>
    <col min="10756" max="11009" width="9.33203125" style="58"/>
    <col min="11010" max="11010" width="52.6640625" style="58" customWidth="1"/>
    <col min="11011" max="11011" width="29.1640625" style="58" customWidth="1"/>
    <col min="11012" max="11265" width="9.33203125" style="58"/>
    <col min="11266" max="11266" width="52.6640625" style="58" customWidth="1"/>
    <col min="11267" max="11267" width="29.1640625" style="58" customWidth="1"/>
    <col min="11268" max="11521" width="9.33203125" style="58"/>
    <col min="11522" max="11522" width="52.6640625" style="58" customWidth="1"/>
    <col min="11523" max="11523" width="29.1640625" style="58" customWidth="1"/>
    <col min="11524" max="11777" width="9.33203125" style="58"/>
    <col min="11778" max="11778" width="52.6640625" style="58" customWidth="1"/>
    <col min="11779" max="11779" width="29.1640625" style="58" customWidth="1"/>
    <col min="11780" max="12033" width="9.33203125" style="58"/>
    <col min="12034" max="12034" width="52.6640625" style="58" customWidth="1"/>
    <col min="12035" max="12035" width="29.1640625" style="58" customWidth="1"/>
    <col min="12036" max="12289" width="9.33203125" style="58"/>
    <col min="12290" max="12290" width="52.6640625" style="58" customWidth="1"/>
    <col min="12291" max="12291" width="29.1640625" style="58" customWidth="1"/>
    <col min="12292" max="12545" width="9.33203125" style="58"/>
    <col min="12546" max="12546" width="52.6640625" style="58" customWidth="1"/>
    <col min="12547" max="12547" width="29.1640625" style="58" customWidth="1"/>
    <col min="12548" max="12801" width="9.33203125" style="58"/>
    <col min="12802" max="12802" width="52.6640625" style="58" customWidth="1"/>
    <col min="12803" max="12803" width="29.1640625" style="58" customWidth="1"/>
    <col min="12804" max="13057" width="9.33203125" style="58"/>
    <col min="13058" max="13058" width="52.6640625" style="58" customWidth="1"/>
    <col min="13059" max="13059" width="29.1640625" style="58" customWidth="1"/>
    <col min="13060" max="13313" width="9.33203125" style="58"/>
    <col min="13314" max="13314" width="52.6640625" style="58" customWidth="1"/>
    <col min="13315" max="13315" width="29.1640625" style="58" customWidth="1"/>
    <col min="13316" max="13569" width="9.33203125" style="58"/>
    <col min="13570" max="13570" width="52.6640625" style="58" customWidth="1"/>
    <col min="13571" max="13571" width="29.1640625" style="58" customWidth="1"/>
    <col min="13572" max="13825" width="9.33203125" style="58"/>
    <col min="13826" max="13826" width="52.6640625" style="58" customWidth="1"/>
    <col min="13827" max="13827" width="29.1640625" style="58" customWidth="1"/>
    <col min="13828" max="14081" width="9.33203125" style="58"/>
    <col min="14082" max="14082" width="52.6640625" style="58" customWidth="1"/>
    <col min="14083" max="14083" width="29.1640625" style="58" customWidth="1"/>
    <col min="14084" max="14337" width="9.33203125" style="58"/>
    <col min="14338" max="14338" width="52.6640625" style="58" customWidth="1"/>
    <col min="14339" max="14339" width="29.1640625" style="58" customWidth="1"/>
    <col min="14340" max="14593" width="9.33203125" style="58"/>
    <col min="14594" max="14594" width="52.6640625" style="58" customWidth="1"/>
    <col min="14595" max="14595" width="29.1640625" style="58" customWidth="1"/>
    <col min="14596" max="14849" width="9.33203125" style="58"/>
    <col min="14850" max="14850" width="52.6640625" style="58" customWidth="1"/>
    <col min="14851" max="14851" width="29.1640625" style="58" customWidth="1"/>
    <col min="14852" max="15105" width="9.33203125" style="58"/>
    <col min="15106" max="15106" width="52.6640625" style="58" customWidth="1"/>
    <col min="15107" max="15107" width="29.1640625" style="58" customWidth="1"/>
    <col min="15108" max="15361" width="9.33203125" style="58"/>
    <col min="15362" max="15362" width="52.6640625" style="58" customWidth="1"/>
    <col min="15363" max="15363" width="29.1640625" style="58" customWidth="1"/>
    <col min="15364" max="15617" width="9.33203125" style="58"/>
    <col min="15618" max="15618" width="52.6640625" style="58" customWidth="1"/>
    <col min="15619" max="15619" width="29.1640625" style="58" customWidth="1"/>
    <col min="15620" max="15873" width="9.33203125" style="58"/>
    <col min="15874" max="15874" width="52.6640625" style="58" customWidth="1"/>
    <col min="15875" max="15875" width="29.1640625" style="58" customWidth="1"/>
    <col min="15876" max="16129" width="9.33203125" style="58"/>
    <col min="16130" max="16130" width="52.6640625" style="58" customWidth="1"/>
    <col min="16131" max="16131" width="29.1640625" style="58" customWidth="1"/>
    <col min="16132" max="16384" width="9.33203125" style="58"/>
  </cols>
  <sheetData>
    <row r="2" spans="1:6">
      <c r="B2" s="2934" t="s">
        <v>2511</v>
      </c>
      <c r="C2" s="2934"/>
      <c r="D2" s="1814"/>
      <c r="E2" s="1814"/>
      <c r="F2" s="1993"/>
    </row>
    <row r="3" spans="1:6">
      <c r="B3" s="2934" t="s">
        <v>2388</v>
      </c>
      <c r="C3" s="2934"/>
      <c r="D3" s="1814"/>
      <c r="E3" s="1814"/>
      <c r="F3" s="1814"/>
    </row>
    <row r="4" spans="1:6">
      <c r="B4" s="2934" t="s">
        <v>2512</v>
      </c>
      <c r="C4" s="2934"/>
      <c r="D4" s="1814"/>
      <c r="E4" s="1814"/>
      <c r="F4" s="1814"/>
    </row>
    <row r="5" spans="1:6">
      <c r="B5" s="2944" t="s">
        <v>2513</v>
      </c>
      <c r="C5" s="2944"/>
    </row>
    <row r="7" spans="1:6">
      <c r="C7" s="1994"/>
    </row>
    <row r="8" spans="1:6">
      <c r="A8" s="1995"/>
      <c r="B8" s="1996"/>
      <c r="C8" s="1996"/>
    </row>
    <row r="9" spans="1:6">
      <c r="A9" s="1997"/>
      <c r="B9" s="1996"/>
      <c r="C9" s="1996"/>
    </row>
    <row r="10" spans="1:6">
      <c r="A10" s="1998" t="s">
        <v>281</v>
      </c>
      <c r="B10" s="1998" t="s">
        <v>282</v>
      </c>
      <c r="C10" s="1999" t="s">
        <v>2297</v>
      </c>
    </row>
    <row r="11" spans="1:6">
      <c r="A11" s="1997"/>
      <c r="B11" s="1997"/>
      <c r="C11" s="1996"/>
    </row>
    <row r="12" spans="1:6">
      <c r="A12" s="2000">
        <v>1</v>
      </c>
      <c r="B12" s="2001" t="s">
        <v>223</v>
      </c>
      <c r="C12" s="2002">
        <f>'6.02G - Revenue'!J12</f>
        <v>-149.5387562692062</v>
      </c>
    </row>
    <row r="13" spans="1:6">
      <c r="A13" s="1995">
        <v>2</v>
      </c>
      <c r="B13" s="2001" t="s">
        <v>2514</v>
      </c>
      <c r="C13" s="2002">
        <f>'6.02G - Revenue'!J13+'6.02G - Revenue'!J14</f>
        <v>36839900.092503712</v>
      </c>
    </row>
    <row r="14" spans="1:6">
      <c r="A14" s="1995">
        <v>3</v>
      </c>
      <c r="B14" s="2003" t="s">
        <v>329</v>
      </c>
      <c r="C14" s="2002">
        <f>'6.02G - Revenue'!J15</f>
        <v>13564974.700840699</v>
      </c>
    </row>
    <row r="15" spans="1:6">
      <c r="A15" s="1995">
        <v>4</v>
      </c>
      <c r="B15" s="2003" t="s">
        <v>2515</v>
      </c>
      <c r="C15" s="2002"/>
    </row>
    <row r="16" spans="1:6">
      <c r="A16" s="1995">
        <v>5</v>
      </c>
      <c r="B16" s="2001" t="s">
        <v>225</v>
      </c>
      <c r="C16" s="2002">
        <f>'6.02G - Revenue'!J16</f>
        <v>6237980.1200764226</v>
      </c>
    </row>
    <row r="17" spans="1:3">
      <c r="A17" s="2000">
        <v>6</v>
      </c>
      <c r="B17" s="2004" t="s">
        <v>2516</v>
      </c>
      <c r="C17" s="2002">
        <f>'6.02G - Revenue'!J17</f>
        <v>0</v>
      </c>
    </row>
    <row r="18" spans="1:3">
      <c r="A18" s="1995">
        <v>7</v>
      </c>
      <c r="B18" s="2001" t="s">
        <v>2517</v>
      </c>
      <c r="C18" s="2002"/>
    </row>
    <row r="19" spans="1:3">
      <c r="A19" s="1995">
        <v>8</v>
      </c>
      <c r="B19" s="2001" t="s">
        <v>2518</v>
      </c>
      <c r="C19" s="2002"/>
    </row>
    <row r="20" spans="1:3">
      <c r="A20" s="1995">
        <v>9</v>
      </c>
      <c r="B20" s="2001" t="s">
        <v>330</v>
      </c>
      <c r="C20" s="2002">
        <f>'6.02G - Revenue'!J18</f>
        <v>0</v>
      </c>
    </row>
    <row r="21" spans="1:3">
      <c r="A21" s="1995">
        <v>10</v>
      </c>
      <c r="B21" s="2001" t="s">
        <v>224</v>
      </c>
      <c r="C21" s="2002">
        <f>'6.02G - Revenue'!J19</f>
        <v>1353295.0150042786</v>
      </c>
    </row>
    <row r="22" spans="1:3">
      <c r="A22" s="2000">
        <v>11</v>
      </c>
      <c r="B22" s="2004" t="s">
        <v>2519</v>
      </c>
      <c r="C22" s="2002">
        <f>'6.02G - Revenue'!J20</f>
        <v>0</v>
      </c>
    </row>
    <row r="23" spans="1:3">
      <c r="A23" s="1995">
        <v>12</v>
      </c>
      <c r="B23" s="2001" t="s">
        <v>226</v>
      </c>
      <c r="C23" s="2002">
        <f>'6.02G - Revenue'!J21</f>
        <v>1032938.4223432078</v>
      </c>
    </row>
    <row r="24" spans="1:3">
      <c r="A24" s="1995">
        <v>13</v>
      </c>
      <c r="B24" s="2001" t="s">
        <v>227</v>
      </c>
      <c r="C24" s="2002">
        <f>'6.02G - Revenue'!J23</f>
        <v>2260853.815104011</v>
      </c>
    </row>
    <row r="25" spans="1:3">
      <c r="A25" s="1995">
        <v>14</v>
      </c>
      <c r="B25" s="2004" t="s">
        <v>2520</v>
      </c>
      <c r="C25" s="2002">
        <f>'6.02G - Revenue'!J24</f>
        <v>0</v>
      </c>
    </row>
    <row r="26" spans="1:3">
      <c r="A26" s="1995">
        <v>15</v>
      </c>
      <c r="B26" s="2001" t="s">
        <v>2521</v>
      </c>
      <c r="C26" s="2002"/>
    </row>
    <row r="27" spans="1:3">
      <c r="A27" s="2000">
        <v>16</v>
      </c>
      <c r="B27" s="2001" t="s">
        <v>319</v>
      </c>
      <c r="C27" s="2002">
        <f>'6.02G - Revenue'!J25</f>
        <v>0</v>
      </c>
    </row>
    <row r="28" spans="1:3" ht="13.5" thickBot="1">
      <c r="A28" s="1995">
        <v>17</v>
      </c>
      <c r="B28" s="2005" t="s">
        <v>304</v>
      </c>
      <c r="C28" s="2006">
        <f>SUM(C12:C27)</f>
        <v>61289792.627116062</v>
      </c>
    </row>
    <row r="29" spans="1:3" ht="13.5" thickTop="1">
      <c r="A29" s="1995"/>
      <c r="B29" s="2001"/>
    </row>
    <row r="30" spans="1:3">
      <c r="B30" s="58" t="s">
        <v>2596</v>
      </c>
    </row>
  </sheetData>
  <mergeCells count="4">
    <mergeCell ref="B2:C2"/>
    <mergeCell ref="B3:C3"/>
    <mergeCell ref="B4:C4"/>
    <mergeCell ref="B5:C5"/>
  </mergeCells>
  <pageMargins left="0.75" right="0.75" top="1" bottom="1" header="0.5" footer="0.5"/>
  <pageSetup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7" tint="0.39997558519241921"/>
  </sheetPr>
  <dimension ref="A2:G35"/>
  <sheetViews>
    <sheetView zoomScale="90" zoomScaleNormal="90" workbookViewId="0">
      <selection activeCell="I14" sqref="I14"/>
    </sheetView>
  </sheetViews>
  <sheetFormatPr defaultRowHeight="14.25"/>
  <cols>
    <col min="1" max="1" width="6.5" style="629" customWidth="1"/>
    <col min="2" max="2" width="21.6640625" style="629" customWidth="1"/>
    <col min="3" max="3" width="16.1640625" style="629" bestFit="1" customWidth="1"/>
    <col min="4" max="4" width="18.6640625" style="629" customWidth="1"/>
    <col min="5" max="5" width="17.1640625" style="629" customWidth="1"/>
    <col min="6" max="6" width="17.83203125" style="629" customWidth="1"/>
    <col min="7" max="7" width="18.6640625" style="629" customWidth="1"/>
    <col min="8" max="256" width="9.33203125" style="631"/>
    <col min="257" max="257" width="6.5" style="631" customWidth="1"/>
    <col min="258" max="258" width="21.6640625" style="631" customWidth="1"/>
    <col min="259" max="259" width="14.6640625" style="631" bestFit="1" customWidth="1"/>
    <col min="260" max="260" width="18.6640625" style="631" customWidth="1"/>
    <col min="261" max="261" width="17.1640625" style="631" customWidth="1"/>
    <col min="262" max="262" width="17.83203125" style="631" customWidth="1"/>
    <col min="263" max="263" width="18.6640625" style="631" customWidth="1"/>
    <col min="264" max="512" width="9.33203125" style="631"/>
    <col min="513" max="513" width="6.5" style="631" customWidth="1"/>
    <col min="514" max="514" width="21.6640625" style="631" customWidth="1"/>
    <col min="515" max="515" width="14.6640625" style="631" bestFit="1" customWidth="1"/>
    <col min="516" max="516" width="18.6640625" style="631" customWidth="1"/>
    <col min="517" max="517" width="17.1640625" style="631" customWidth="1"/>
    <col min="518" max="518" width="17.83203125" style="631" customWidth="1"/>
    <col min="519" max="519" width="18.6640625" style="631" customWidth="1"/>
    <col min="520" max="768" width="9.33203125" style="631"/>
    <col min="769" max="769" width="6.5" style="631" customWidth="1"/>
    <col min="770" max="770" width="21.6640625" style="631" customWidth="1"/>
    <col min="771" max="771" width="14.6640625" style="631" bestFit="1" customWidth="1"/>
    <col min="772" max="772" width="18.6640625" style="631" customWidth="1"/>
    <col min="773" max="773" width="17.1640625" style="631" customWidth="1"/>
    <col min="774" max="774" width="17.83203125" style="631" customWidth="1"/>
    <col min="775" max="775" width="18.6640625" style="631" customWidth="1"/>
    <col min="776" max="1024" width="9.33203125" style="631"/>
    <col min="1025" max="1025" width="6.5" style="631" customWidth="1"/>
    <col min="1026" max="1026" width="21.6640625" style="631" customWidth="1"/>
    <col min="1027" max="1027" width="14.6640625" style="631" bestFit="1" customWidth="1"/>
    <col min="1028" max="1028" width="18.6640625" style="631" customWidth="1"/>
    <col min="1029" max="1029" width="17.1640625" style="631" customWidth="1"/>
    <col min="1030" max="1030" width="17.83203125" style="631" customWidth="1"/>
    <col min="1031" max="1031" width="18.6640625" style="631" customWidth="1"/>
    <col min="1032" max="1280" width="9.33203125" style="631"/>
    <col min="1281" max="1281" width="6.5" style="631" customWidth="1"/>
    <col min="1282" max="1282" width="21.6640625" style="631" customWidth="1"/>
    <col min="1283" max="1283" width="14.6640625" style="631" bestFit="1" customWidth="1"/>
    <col min="1284" max="1284" width="18.6640625" style="631" customWidth="1"/>
    <col min="1285" max="1285" width="17.1640625" style="631" customWidth="1"/>
    <col min="1286" max="1286" width="17.83203125" style="631" customWidth="1"/>
    <col min="1287" max="1287" width="18.6640625" style="631" customWidth="1"/>
    <col min="1288" max="1536" width="9.33203125" style="631"/>
    <col min="1537" max="1537" width="6.5" style="631" customWidth="1"/>
    <col min="1538" max="1538" width="21.6640625" style="631" customWidth="1"/>
    <col min="1539" max="1539" width="14.6640625" style="631" bestFit="1" customWidth="1"/>
    <col min="1540" max="1540" width="18.6640625" style="631" customWidth="1"/>
    <col min="1541" max="1541" width="17.1640625" style="631" customWidth="1"/>
    <col min="1542" max="1542" width="17.83203125" style="631" customWidth="1"/>
    <col min="1543" max="1543" width="18.6640625" style="631" customWidth="1"/>
    <col min="1544" max="1792" width="9.33203125" style="631"/>
    <col min="1793" max="1793" width="6.5" style="631" customWidth="1"/>
    <col min="1794" max="1794" width="21.6640625" style="631" customWidth="1"/>
    <col min="1795" max="1795" width="14.6640625" style="631" bestFit="1" customWidth="1"/>
    <col min="1796" max="1796" width="18.6640625" style="631" customWidth="1"/>
    <col min="1797" max="1797" width="17.1640625" style="631" customWidth="1"/>
    <col min="1798" max="1798" width="17.83203125" style="631" customWidth="1"/>
    <col min="1799" max="1799" width="18.6640625" style="631" customWidth="1"/>
    <col min="1800" max="2048" width="9.33203125" style="631"/>
    <col min="2049" max="2049" width="6.5" style="631" customWidth="1"/>
    <col min="2050" max="2050" width="21.6640625" style="631" customWidth="1"/>
    <col min="2051" max="2051" width="14.6640625" style="631" bestFit="1" customWidth="1"/>
    <col min="2052" max="2052" width="18.6640625" style="631" customWidth="1"/>
    <col min="2053" max="2053" width="17.1640625" style="631" customWidth="1"/>
    <col min="2054" max="2054" width="17.83203125" style="631" customWidth="1"/>
    <col min="2055" max="2055" width="18.6640625" style="631" customWidth="1"/>
    <col min="2056" max="2304" width="9.33203125" style="631"/>
    <col min="2305" max="2305" width="6.5" style="631" customWidth="1"/>
    <col min="2306" max="2306" width="21.6640625" style="631" customWidth="1"/>
    <col min="2307" max="2307" width="14.6640625" style="631" bestFit="1" customWidth="1"/>
    <col min="2308" max="2308" width="18.6640625" style="631" customWidth="1"/>
    <col min="2309" max="2309" width="17.1640625" style="631" customWidth="1"/>
    <col min="2310" max="2310" width="17.83203125" style="631" customWidth="1"/>
    <col min="2311" max="2311" width="18.6640625" style="631" customWidth="1"/>
    <col min="2312" max="2560" width="9.33203125" style="631"/>
    <col min="2561" max="2561" width="6.5" style="631" customWidth="1"/>
    <col min="2562" max="2562" width="21.6640625" style="631" customWidth="1"/>
    <col min="2563" max="2563" width="14.6640625" style="631" bestFit="1" customWidth="1"/>
    <col min="2564" max="2564" width="18.6640625" style="631" customWidth="1"/>
    <col min="2565" max="2565" width="17.1640625" style="631" customWidth="1"/>
    <col min="2566" max="2566" width="17.83203125" style="631" customWidth="1"/>
    <col min="2567" max="2567" width="18.6640625" style="631" customWidth="1"/>
    <col min="2568" max="2816" width="9.33203125" style="631"/>
    <col min="2817" max="2817" width="6.5" style="631" customWidth="1"/>
    <col min="2818" max="2818" width="21.6640625" style="631" customWidth="1"/>
    <col min="2819" max="2819" width="14.6640625" style="631" bestFit="1" customWidth="1"/>
    <col min="2820" max="2820" width="18.6640625" style="631" customWidth="1"/>
    <col min="2821" max="2821" width="17.1640625" style="631" customWidth="1"/>
    <col min="2822" max="2822" width="17.83203125" style="631" customWidth="1"/>
    <col min="2823" max="2823" width="18.6640625" style="631" customWidth="1"/>
    <col min="2824" max="3072" width="9.33203125" style="631"/>
    <col min="3073" max="3073" width="6.5" style="631" customWidth="1"/>
    <col min="3074" max="3074" width="21.6640625" style="631" customWidth="1"/>
    <col min="3075" max="3075" width="14.6640625" style="631" bestFit="1" customWidth="1"/>
    <col min="3076" max="3076" width="18.6640625" style="631" customWidth="1"/>
    <col min="3077" max="3077" width="17.1640625" style="631" customWidth="1"/>
    <col min="3078" max="3078" width="17.83203125" style="631" customWidth="1"/>
    <col min="3079" max="3079" width="18.6640625" style="631" customWidth="1"/>
    <col min="3080" max="3328" width="9.33203125" style="631"/>
    <col min="3329" max="3329" width="6.5" style="631" customWidth="1"/>
    <col min="3330" max="3330" width="21.6640625" style="631" customWidth="1"/>
    <col min="3331" max="3331" width="14.6640625" style="631" bestFit="1" customWidth="1"/>
    <col min="3332" max="3332" width="18.6640625" style="631" customWidth="1"/>
    <col min="3333" max="3333" width="17.1640625" style="631" customWidth="1"/>
    <col min="3334" max="3334" width="17.83203125" style="631" customWidth="1"/>
    <col min="3335" max="3335" width="18.6640625" style="631" customWidth="1"/>
    <col min="3336" max="3584" width="9.33203125" style="631"/>
    <col min="3585" max="3585" width="6.5" style="631" customWidth="1"/>
    <col min="3586" max="3586" width="21.6640625" style="631" customWidth="1"/>
    <col min="3587" max="3587" width="14.6640625" style="631" bestFit="1" customWidth="1"/>
    <col min="3588" max="3588" width="18.6640625" style="631" customWidth="1"/>
    <col min="3589" max="3589" width="17.1640625" style="631" customWidth="1"/>
    <col min="3590" max="3590" width="17.83203125" style="631" customWidth="1"/>
    <col min="3591" max="3591" width="18.6640625" style="631" customWidth="1"/>
    <col min="3592" max="3840" width="9.33203125" style="631"/>
    <col min="3841" max="3841" width="6.5" style="631" customWidth="1"/>
    <col min="3842" max="3842" width="21.6640625" style="631" customWidth="1"/>
    <col min="3843" max="3843" width="14.6640625" style="631" bestFit="1" customWidth="1"/>
    <col min="3844" max="3844" width="18.6640625" style="631" customWidth="1"/>
    <col min="3845" max="3845" width="17.1640625" style="631" customWidth="1"/>
    <col min="3846" max="3846" width="17.83203125" style="631" customWidth="1"/>
    <col min="3847" max="3847" width="18.6640625" style="631" customWidth="1"/>
    <col min="3848" max="4096" width="9.33203125" style="631"/>
    <col min="4097" max="4097" width="6.5" style="631" customWidth="1"/>
    <col min="4098" max="4098" width="21.6640625" style="631" customWidth="1"/>
    <col min="4099" max="4099" width="14.6640625" style="631" bestFit="1" customWidth="1"/>
    <col min="4100" max="4100" width="18.6640625" style="631" customWidth="1"/>
    <col min="4101" max="4101" width="17.1640625" style="631" customWidth="1"/>
    <col min="4102" max="4102" width="17.83203125" style="631" customWidth="1"/>
    <col min="4103" max="4103" width="18.6640625" style="631" customWidth="1"/>
    <col min="4104" max="4352" width="9.33203125" style="631"/>
    <col min="4353" max="4353" width="6.5" style="631" customWidth="1"/>
    <col min="4354" max="4354" width="21.6640625" style="631" customWidth="1"/>
    <col min="4355" max="4355" width="14.6640625" style="631" bestFit="1" customWidth="1"/>
    <col min="4356" max="4356" width="18.6640625" style="631" customWidth="1"/>
    <col min="4357" max="4357" width="17.1640625" style="631" customWidth="1"/>
    <col min="4358" max="4358" width="17.83203125" style="631" customWidth="1"/>
    <col min="4359" max="4359" width="18.6640625" style="631" customWidth="1"/>
    <col min="4360" max="4608" width="9.33203125" style="631"/>
    <col min="4609" max="4609" width="6.5" style="631" customWidth="1"/>
    <col min="4610" max="4610" width="21.6640625" style="631" customWidth="1"/>
    <col min="4611" max="4611" width="14.6640625" style="631" bestFit="1" customWidth="1"/>
    <col min="4612" max="4612" width="18.6640625" style="631" customWidth="1"/>
    <col min="4613" max="4613" width="17.1640625" style="631" customWidth="1"/>
    <col min="4614" max="4614" width="17.83203125" style="631" customWidth="1"/>
    <col min="4615" max="4615" width="18.6640625" style="631" customWidth="1"/>
    <col min="4616" max="4864" width="9.33203125" style="631"/>
    <col min="4865" max="4865" width="6.5" style="631" customWidth="1"/>
    <col min="4866" max="4866" width="21.6640625" style="631" customWidth="1"/>
    <col min="4867" max="4867" width="14.6640625" style="631" bestFit="1" customWidth="1"/>
    <col min="4868" max="4868" width="18.6640625" style="631" customWidth="1"/>
    <col min="4869" max="4869" width="17.1640625" style="631" customWidth="1"/>
    <col min="4870" max="4870" width="17.83203125" style="631" customWidth="1"/>
    <col min="4871" max="4871" width="18.6640625" style="631" customWidth="1"/>
    <col min="4872" max="5120" width="9.33203125" style="631"/>
    <col min="5121" max="5121" width="6.5" style="631" customWidth="1"/>
    <col min="5122" max="5122" width="21.6640625" style="631" customWidth="1"/>
    <col min="5123" max="5123" width="14.6640625" style="631" bestFit="1" customWidth="1"/>
    <col min="5124" max="5124" width="18.6640625" style="631" customWidth="1"/>
    <col min="5125" max="5125" width="17.1640625" style="631" customWidth="1"/>
    <col min="5126" max="5126" width="17.83203125" style="631" customWidth="1"/>
    <col min="5127" max="5127" width="18.6640625" style="631" customWidth="1"/>
    <col min="5128" max="5376" width="9.33203125" style="631"/>
    <col min="5377" max="5377" width="6.5" style="631" customWidth="1"/>
    <col min="5378" max="5378" width="21.6640625" style="631" customWidth="1"/>
    <col min="5379" max="5379" width="14.6640625" style="631" bestFit="1" customWidth="1"/>
    <col min="5380" max="5380" width="18.6640625" style="631" customWidth="1"/>
    <col min="5381" max="5381" width="17.1640625" style="631" customWidth="1"/>
    <col min="5382" max="5382" width="17.83203125" style="631" customWidth="1"/>
    <col min="5383" max="5383" width="18.6640625" style="631" customWidth="1"/>
    <col min="5384" max="5632" width="9.33203125" style="631"/>
    <col min="5633" max="5633" width="6.5" style="631" customWidth="1"/>
    <col min="5634" max="5634" width="21.6640625" style="631" customWidth="1"/>
    <col min="5635" max="5635" width="14.6640625" style="631" bestFit="1" customWidth="1"/>
    <col min="5636" max="5636" width="18.6640625" style="631" customWidth="1"/>
    <col min="5637" max="5637" width="17.1640625" style="631" customWidth="1"/>
    <col min="5638" max="5638" width="17.83203125" style="631" customWidth="1"/>
    <col min="5639" max="5639" width="18.6640625" style="631" customWidth="1"/>
    <col min="5640" max="5888" width="9.33203125" style="631"/>
    <col min="5889" max="5889" width="6.5" style="631" customWidth="1"/>
    <col min="5890" max="5890" width="21.6640625" style="631" customWidth="1"/>
    <col min="5891" max="5891" width="14.6640625" style="631" bestFit="1" customWidth="1"/>
    <col min="5892" max="5892" width="18.6640625" style="631" customWidth="1"/>
    <col min="5893" max="5893" width="17.1640625" style="631" customWidth="1"/>
    <col min="5894" max="5894" width="17.83203125" style="631" customWidth="1"/>
    <col min="5895" max="5895" width="18.6640625" style="631" customWidth="1"/>
    <col min="5896" max="6144" width="9.33203125" style="631"/>
    <col min="6145" max="6145" width="6.5" style="631" customWidth="1"/>
    <col min="6146" max="6146" width="21.6640625" style="631" customWidth="1"/>
    <col min="6147" max="6147" width="14.6640625" style="631" bestFit="1" customWidth="1"/>
    <col min="6148" max="6148" width="18.6640625" style="631" customWidth="1"/>
    <col min="6149" max="6149" width="17.1640625" style="631" customWidth="1"/>
    <col min="6150" max="6150" width="17.83203125" style="631" customWidth="1"/>
    <col min="6151" max="6151" width="18.6640625" style="631" customWidth="1"/>
    <col min="6152" max="6400" width="9.33203125" style="631"/>
    <col min="6401" max="6401" width="6.5" style="631" customWidth="1"/>
    <col min="6402" max="6402" width="21.6640625" style="631" customWidth="1"/>
    <col min="6403" max="6403" width="14.6640625" style="631" bestFit="1" customWidth="1"/>
    <col min="6404" max="6404" width="18.6640625" style="631" customWidth="1"/>
    <col min="6405" max="6405" width="17.1640625" style="631" customWidth="1"/>
    <col min="6406" max="6406" width="17.83203125" style="631" customWidth="1"/>
    <col min="6407" max="6407" width="18.6640625" style="631" customWidth="1"/>
    <col min="6408" max="6656" width="9.33203125" style="631"/>
    <col min="6657" max="6657" width="6.5" style="631" customWidth="1"/>
    <col min="6658" max="6658" width="21.6640625" style="631" customWidth="1"/>
    <col min="6659" max="6659" width="14.6640625" style="631" bestFit="1" customWidth="1"/>
    <col min="6660" max="6660" width="18.6640625" style="631" customWidth="1"/>
    <col min="6661" max="6661" width="17.1640625" style="631" customWidth="1"/>
    <col min="6662" max="6662" width="17.83203125" style="631" customWidth="1"/>
    <col min="6663" max="6663" width="18.6640625" style="631" customWidth="1"/>
    <col min="6664" max="6912" width="9.33203125" style="631"/>
    <col min="6913" max="6913" width="6.5" style="631" customWidth="1"/>
    <col min="6914" max="6914" width="21.6640625" style="631" customWidth="1"/>
    <col min="6915" max="6915" width="14.6640625" style="631" bestFit="1" customWidth="1"/>
    <col min="6916" max="6916" width="18.6640625" style="631" customWidth="1"/>
    <col min="6917" max="6917" width="17.1640625" style="631" customWidth="1"/>
    <col min="6918" max="6918" width="17.83203125" style="631" customWidth="1"/>
    <col min="6919" max="6919" width="18.6640625" style="631" customWidth="1"/>
    <col min="6920" max="7168" width="9.33203125" style="631"/>
    <col min="7169" max="7169" width="6.5" style="631" customWidth="1"/>
    <col min="7170" max="7170" width="21.6640625" style="631" customWidth="1"/>
    <col min="7171" max="7171" width="14.6640625" style="631" bestFit="1" customWidth="1"/>
    <col min="7172" max="7172" width="18.6640625" style="631" customWidth="1"/>
    <col min="7173" max="7173" width="17.1640625" style="631" customWidth="1"/>
    <col min="7174" max="7174" width="17.83203125" style="631" customWidth="1"/>
    <col min="7175" max="7175" width="18.6640625" style="631" customWidth="1"/>
    <col min="7176" max="7424" width="9.33203125" style="631"/>
    <col min="7425" max="7425" width="6.5" style="631" customWidth="1"/>
    <col min="7426" max="7426" width="21.6640625" style="631" customWidth="1"/>
    <col min="7427" max="7427" width="14.6640625" style="631" bestFit="1" customWidth="1"/>
    <col min="7428" max="7428" width="18.6640625" style="631" customWidth="1"/>
    <col min="7429" max="7429" width="17.1640625" style="631" customWidth="1"/>
    <col min="7430" max="7430" width="17.83203125" style="631" customWidth="1"/>
    <col min="7431" max="7431" width="18.6640625" style="631" customWidth="1"/>
    <col min="7432" max="7680" width="9.33203125" style="631"/>
    <col min="7681" max="7681" width="6.5" style="631" customWidth="1"/>
    <col min="7682" max="7682" width="21.6640625" style="631" customWidth="1"/>
    <col min="7683" max="7683" width="14.6640625" style="631" bestFit="1" customWidth="1"/>
    <col min="7684" max="7684" width="18.6640625" style="631" customWidth="1"/>
    <col min="7685" max="7685" width="17.1640625" style="631" customWidth="1"/>
    <col min="7686" max="7686" width="17.83203125" style="631" customWidth="1"/>
    <col min="7687" max="7687" width="18.6640625" style="631" customWidth="1"/>
    <col min="7688" max="7936" width="9.33203125" style="631"/>
    <col min="7937" max="7937" width="6.5" style="631" customWidth="1"/>
    <col min="7938" max="7938" width="21.6640625" style="631" customWidth="1"/>
    <col min="7939" max="7939" width="14.6640625" style="631" bestFit="1" customWidth="1"/>
    <col min="7940" max="7940" width="18.6640625" style="631" customWidth="1"/>
    <col min="7941" max="7941" width="17.1640625" style="631" customWidth="1"/>
    <col min="7942" max="7942" width="17.83203125" style="631" customWidth="1"/>
    <col min="7943" max="7943" width="18.6640625" style="631" customWidth="1"/>
    <col min="7944" max="8192" width="9.33203125" style="631"/>
    <col min="8193" max="8193" width="6.5" style="631" customWidth="1"/>
    <col min="8194" max="8194" width="21.6640625" style="631" customWidth="1"/>
    <col min="8195" max="8195" width="14.6640625" style="631" bestFit="1" customWidth="1"/>
    <col min="8196" max="8196" width="18.6640625" style="631" customWidth="1"/>
    <col min="8197" max="8197" width="17.1640625" style="631" customWidth="1"/>
    <col min="8198" max="8198" width="17.83203125" style="631" customWidth="1"/>
    <col min="8199" max="8199" width="18.6640625" style="631" customWidth="1"/>
    <col min="8200" max="8448" width="9.33203125" style="631"/>
    <col min="8449" max="8449" width="6.5" style="631" customWidth="1"/>
    <col min="8450" max="8450" width="21.6640625" style="631" customWidth="1"/>
    <col min="8451" max="8451" width="14.6640625" style="631" bestFit="1" customWidth="1"/>
    <col min="8452" max="8452" width="18.6640625" style="631" customWidth="1"/>
    <col min="8453" max="8453" width="17.1640625" style="631" customWidth="1"/>
    <col min="8454" max="8454" width="17.83203125" style="631" customWidth="1"/>
    <col min="8455" max="8455" width="18.6640625" style="631" customWidth="1"/>
    <col min="8456" max="8704" width="9.33203125" style="631"/>
    <col min="8705" max="8705" width="6.5" style="631" customWidth="1"/>
    <col min="8706" max="8706" width="21.6640625" style="631" customWidth="1"/>
    <col min="8707" max="8707" width="14.6640625" style="631" bestFit="1" customWidth="1"/>
    <col min="8708" max="8708" width="18.6640625" style="631" customWidth="1"/>
    <col min="8709" max="8709" width="17.1640625" style="631" customWidth="1"/>
    <col min="8710" max="8710" width="17.83203125" style="631" customWidth="1"/>
    <col min="8711" max="8711" width="18.6640625" style="631" customWidth="1"/>
    <col min="8712" max="8960" width="9.33203125" style="631"/>
    <col min="8961" max="8961" width="6.5" style="631" customWidth="1"/>
    <col min="8962" max="8962" width="21.6640625" style="631" customWidth="1"/>
    <col min="8963" max="8963" width="14.6640625" style="631" bestFit="1" customWidth="1"/>
    <col min="8964" max="8964" width="18.6640625" style="631" customWidth="1"/>
    <col min="8965" max="8965" width="17.1640625" style="631" customWidth="1"/>
    <col min="8966" max="8966" width="17.83203125" style="631" customWidth="1"/>
    <col min="8967" max="8967" width="18.6640625" style="631" customWidth="1"/>
    <col min="8968" max="9216" width="9.33203125" style="631"/>
    <col min="9217" max="9217" width="6.5" style="631" customWidth="1"/>
    <col min="9218" max="9218" width="21.6640625" style="631" customWidth="1"/>
    <col min="9219" max="9219" width="14.6640625" style="631" bestFit="1" customWidth="1"/>
    <col min="9220" max="9220" width="18.6640625" style="631" customWidth="1"/>
    <col min="9221" max="9221" width="17.1640625" style="631" customWidth="1"/>
    <col min="9222" max="9222" width="17.83203125" style="631" customWidth="1"/>
    <col min="9223" max="9223" width="18.6640625" style="631" customWidth="1"/>
    <col min="9224" max="9472" width="9.33203125" style="631"/>
    <col min="9473" max="9473" width="6.5" style="631" customWidth="1"/>
    <col min="9474" max="9474" width="21.6640625" style="631" customWidth="1"/>
    <col min="9475" max="9475" width="14.6640625" style="631" bestFit="1" customWidth="1"/>
    <col min="9476" max="9476" width="18.6640625" style="631" customWidth="1"/>
    <col min="9477" max="9477" width="17.1640625" style="631" customWidth="1"/>
    <col min="9478" max="9478" width="17.83203125" style="631" customWidth="1"/>
    <col min="9479" max="9479" width="18.6640625" style="631" customWidth="1"/>
    <col min="9480" max="9728" width="9.33203125" style="631"/>
    <col min="9729" max="9729" width="6.5" style="631" customWidth="1"/>
    <col min="9730" max="9730" width="21.6640625" style="631" customWidth="1"/>
    <col min="9731" max="9731" width="14.6640625" style="631" bestFit="1" customWidth="1"/>
    <col min="9732" max="9732" width="18.6640625" style="631" customWidth="1"/>
    <col min="9733" max="9733" width="17.1640625" style="631" customWidth="1"/>
    <col min="9734" max="9734" width="17.83203125" style="631" customWidth="1"/>
    <col min="9735" max="9735" width="18.6640625" style="631" customWidth="1"/>
    <col min="9736" max="9984" width="9.33203125" style="631"/>
    <col min="9985" max="9985" width="6.5" style="631" customWidth="1"/>
    <col min="9986" max="9986" width="21.6640625" style="631" customWidth="1"/>
    <col min="9987" max="9987" width="14.6640625" style="631" bestFit="1" customWidth="1"/>
    <col min="9988" max="9988" width="18.6640625" style="631" customWidth="1"/>
    <col min="9989" max="9989" width="17.1640625" style="631" customWidth="1"/>
    <col min="9990" max="9990" width="17.83203125" style="631" customWidth="1"/>
    <col min="9991" max="9991" width="18.6640625" style="631" customWidth="1"/>
    <col min="9992" max="10240" width="9.33203125" style="631"/>
    <col min="10241" max="10241" width="6.5" style="631" customWidth="1"/>
    <col min="10242" max="10242" width="21.6640625" style="631" customWidth="1"/>
    <col min="10243" max="10243" width="14.6640625" style="631" bestFit="1" customWidth="1"/>
    <col min="10244" max="10244" width="18.6640625" style="631" customWidth="1"/>
    <col min="10245" max="10245" width="17.1640625" style="631" customWidth="1"/>
    <col min="10246" max="10246" width="17.83203125" style="631" customWidth="1"/>
    <col min="10247" max="10247" width="18.6640625" style="631" customWidth="1"/>
    <col min="10248" max="10496" width="9.33203125" style="631"/>
    <col min="10497" max="10497" width="6.5" style="631" customWidth="1"/>
    <col min="10498" max="10498" width="21.6640625" style="631" customWidth="1"/>
    <col min="10499" max="10499" width="14.6640625" style="631" bestFit="1" customWidth="1"/>
    <col min="10500" max="10500" width="18.6640625" style="631" customWidth="1"/>
    <col min="10501" max="10501" width="17.1640625" style="631" customWidth="1"/>
    <col min="10502" max="10502" width="17.83203125" style="631" customWidth="1"/>
    <col min="10503" max="10503" width="18.6640625" style="631" customWidth="1"/>
    <col min="10504" max="10752" width="9.33203125" style="631"/>
    <col min="10753" max="10753" width="6.5" style="631" customWidth="1"/>
    <col min="10754" max="10754" width="21.6640625" style="631" customWidth="1"/>
    <col min="10755" max="10755" width="14.6640625" style="631" bestFit="1" customWidth="1"/>
    <col min="10756" max="10756" width="18.6640625" style="631" customWidth="1"/>
    <col min="10757" max="10757" width="17.1640625" style="631" customWidth="1"/>
    <col min="10758" max="10758" width="17.83203125" style="631" customWidth="1"/>
    <col min="10759" max="10759" width="18.6640625" style="631" customWidth="1"/>
    <col min="10760" max="11008" width="9.33203125" style="631"/>
    <col min="11009" max="11009" width="6.5" style="631" customWidth="1"/>
    <col min="11010" max="11010" width="21.6640625" style="631" customWidth="1"/>
    <col min="11011" max="11011" width="14.6640625" style="631" bestFit="1" customWidth="1"/>
    <col min="11012" max="11012" width="18.6640625" style="631" customWidth="1"/>
    <col min="11013" max="11013" width="17.1640625" style="631" customWidth="1"/>
    <col min="11014" max="11014" width="17.83203125" style="631" customWidth="1"/>
    <col min="11015" max="11015" width="18.6640625" style="631" customWidth="1"/>
    <col min="11016" max="11264" width="9.33203125" style="631"/>
    <col min="11265" max="11265" width="6.5" style="631" customWidth="1"/>
    <col min="11266" max="11266" width="21.6640625" style="631" customWidth="1"/>
    <col min="11267" max="11267" width="14.6640625" style="631" bestFit="1" customWidth="1"/>
    <col min="11268" max="11268" width="18.6640625" style="631" customWidth="1"/>
    <col min="11269" max="11269" width="17.1640625" style="631" customWidth="1"/>
    <col min="11270" max="11270" width="17.83203125" style="631" customWidth="1"/>
    <col min="11271" max="11271" width="18.6640625" style="631" customWidth="1"/>
    <col min="11272" max="11520" width="9.33203125" style="631"/>
    <col min="11521" max="11521" width="6.5" style="631" customWidth="1"/>
    <col min="11522" max="11522" width="21.6640625" style="631" customWidth="1"/>
    <col min="11523" max="11523" width="14.6640625" style="631" bestFit="1" customWidth="1"/>
    <col min="11524" max="11524" width="18.6640625" style="631" customWidth="1"/>
    <col min="11525" max="11525" width="17.1640625" style="631" customWidth="1"/>
    <col min="11526" max="11526" width="17.83203125" style="631" customWidth="1"/>
    <col min="11527" max="11527" width="18.6640625" style="631" customWidth="1"/>
    <col min="11528" max="11776" width="9.33203125" style="631"/>
    <col min="11777" max="11777" width="6.5" style="631" customWidth="1"/>
    <col min="11778" max="11778" width="21.6640625" style="631" customWidth="1"/>
    <col min="11779" max="11779" width="14.6640625" style="631" bestFit="1" customWidth="1"/>
    <col min="11780" max="11780" width="18.6640625" style="631" customWidth="1"/>
    <col min="11781" max="11781" width="17.1640625" style="631" customWidth="1"/>
    <col min="11782" max="11782" width="17.83203125" style="631" customWidth="1"/>
    <col min="11783" max="11783" width="18.6640625" style="631" customWidth="1"/>
    <col min="11784" max="12032" width="9.33203125" style="631"/>
    <col min="12033" max="12033" width="6.5" style="631" customWidth="1"/>
    <col min="12034" max="12034" width="21.6640625" style="631" customWidth="1"/>
    <col min="12035" max="12035" width="14.6640625" style="631" bestFit="1" customWidth="1"/>
    <col min="12036" max="12036" width="18.6640625" style="631" customWidth="1"/>
    <col min="12037" max="12037" width="17.1640625" style="631" customWidth="1"/>
    <col min="12038" max="12038" width="17.83203125" style="631" customWidth="1"/>
    <col min="12039" max="12039" width="18.6640625" style="631" customWidth="1"/>
    <col min="12040" max="12288" width="9.33203125" style="631"/>
    <col min="12289" max="12289" width="6.5" style="631" customWidth="1"/>
    <col min="12290" max="12290" width="21.6640625" style="631" customWidth="1"/>
    <col min="12291" max="12291" width="14.6640625" style="631" bestFit="1" customWidth="1"/>
    <col min="12292" max="12292" width="18.6640625" style="631" customWidth="1"/>
    <col min="12293" max="12293" width="17.1640625" style="631" customWidth="1"/>
    <col min="12294" max="12294" width="17.83203125" style="631" customWidth="1"/>
    <col min="12295" max="12295" width="18.6640625" style="631" customWidth="1"/>
    <col min="12296" max="12544" width="9.33203125" style="631"/>
    <col min="12545" max="12545" width="6.5" style="631" customWidth="1"/>
    <col min="12546" max="12546" width="21.6640625" style="631" customWidth="1"/>
    <col min="12547" max="12547" width="14.6640625" style="631" bestFit="1" customWidth="1"/>
    <col min="12548" max="12548" width="18.6640625" style="631" customWidth="1"/>
    <col min="12549" max="12549" width="17.1640625" style="631" customWidth="1"/>
    <col min="12550" max="12550" width="17.83203125" style="631" customWidth="1"/>
    <col min="12551" max="12551" width="18.6640625" style="631" customWidth="1"/>
    <col min="12552" max="12800" width="9.33203125" style="631"/>
    <col min="12801" max="12801" width="6.5" style="631" customWidth="1"/>
    <col min="12802" max="12802" width="21.6640625" style="631" customWidth="1"/>
    <col min="12803" max="12803" width="14.6640625" style="631" bestFit="1" customWidth="1"/>
    <col min="12804" max="12804" width="18.6640625" style="631" customWidth="1"/>
    <col min="12805" max="12805" width="17.1640625" style="631" customWidth="1"/>
    <col min="12806" max="12806" width="17.83203125" style="631" customWidth="1"/>
    <col min="12807" max="12807" width="18.6640625" style="631" customWidth="1"/>
    <col min="12808" max="13056" width="9.33203125" style="631"/>
    <col min="13057" max="13057" width="6.5" style="631" customWidth="1"/>
    <col min="13058" max="13058" width="21.6640625" style="631" customWidth="1"/>
    <col min="13059" max="13059" width="14.6640625" style="631" bestFit="1" customWidth="1"/>
    <col min="13060" max="13060" width="18.6640625" style="631" customWidth="1"/>
    <col min="13061" max="13061" width="17.1640625" style="631" customWidth="1"/>
    <col min="13062" max="13062" width="17.83203125" style="631" customWidth="1"/>
    <col min="13063" max="13063" width="18.6640625" style="631" customWidth="1"/>
    <col min="13064" max="13312" width="9.33203125" style="631"/>
    <col min="13313" max="13313" width="6.5" style="631" customWidth="1"/>
    <col min="13314" max="13314" width="21.6640625" style="631" customWidth="1"/>
    <col min="13315" max="13315" width="14.6640625" style="631" bestFit="1" customWidth="1"/>
    <col min="13316" max="13316" width="18.6640625" style="631" customWidth="1"/>
    <col min="13317" max="13317" width="17.1640625" style="631" customWidth="1"/>
    <col min="13318" max="13318" width="17.83203125" style="631" customWidth="1"/>
    <col min="13319" max="13319" width="18.6640625" style="631" customWidth="1"/>
    <col min="13320" max="13568" width="9.33203125" style="631"/>
    <col min="13569" max="13569" width="6.5" style="631" customWidth="1"/>
    <col min="13570" max="13570" width="21.6640625" style="631" customWidth="1"/>
    <col min="13571" max="13571" width="14.6640625" style="631" bestFit="1" customWidth="1"/>
    <col min="13572" max="13572" width="18.6640625" style="631" customWidth="1"/>
    <col min="13573" max="13573" width="17.1640625" style="631" customWidth="1"/>
    <col min="13574" max="13574" width="17.83203125" style="631" customWidth="1"/>
    <col min="13575" max="13575" width="18.6640625" style="631" customWidth="1"/>
    <col min="13576" max="13824" width="9.33203125" style="631"/>
    <col min="13825" max="13825" width="6.5" style="631" customWidth="1"/>
    <col min="13826" max="13826" width="21.6640625" style="631" customWidth="1"/>
    <col min="13827" max="13827" width="14.6640625" style="631" bestFit="1" customWidth="1"/>
    <col min="13828" max="13828" width="18.6640625" style="631" customWidth="1"/>
    <col min="13829" max="13829" width="17.1640625" style="631" customWidth="1"/>
    <col min="13830" max="13830" width="17.83203125" style="631" customWidth="1"/>
    <col min="13831" max="13831" width="18.6640625" style="631" customWidth="1"/>
    <col min="13832" max="14080" width="9.33203125" style="631"/>
    <col min="14081" max="14081" width="6.5" style="631" customWidth="1"/>
    <col min="14082" max="14082" width="21.6640625" style="631" customWidth="1"/>
    <col min="14083" max="14083" width="14.6640625" style="631" bestFit="1" customWidth="1"/>
    <col min="14084" max="14084" width="18.6640625" style="631" customWidth="1"/>
    <col min="14085" max="14085" width="17.1640625" style="631" customWidth="1"/>
    <col min="14086" max="14086" width="17.83203125" style="631" customWidth="1"/>
    <col min="14087" max="14087" width="18.6640625" style="631" customWidth="1"/>
    <col min="14088" max="14336" width="9.33203125" style="631"/>
    <col min="14337" max="14337" width="6.5" style="631" customWidth="1"/>
    <col min="14338" max="14338" width="21.6640625" style="631" customWidth="1"/>
    <col min="14339" max="14339" width="14.6640625" style="631" bestFit="1" customWidth="1"/>
    <col min="14340" max="14340" width="18.6640625" style="631" customWidth="1"/>
    <col min="14341" max="14341" width="17.1640625" style="631" customWidth="1"/>
    <col min="14342" max="14342" width="17.83203125" style="631" customWidth="1"/>
    <col min="14343" max="14343" width="18.6640625" style="631" customWidth="1"/>
    <col min="14344" max="14592" width="9.33203125" style="631"/>
    <col min="14593" max="14593" width="6.5" style="631" customWidth="1"/>
    <col min="14594" max="14594" width="21.6640625" style="631" customWidth="1"/>
    <col min="14595" max="14595" width="14.6640625" style="631" bestFit="1" customWidth="1"/>
    <col min="14596" max="14596" width="18.6640625" style="631" customWidth="1"/>
    <col min="14597" max="14597" width="17.1640625" style="631" customWidth="1"/>
    <col min="14598" max="14598" width="17.83203125" style="631" customWidth="1"/>
    <col min="14599" max="14599" width="18.6640625" style="631" customWidth="1"/>
    <col min="14600" max="14848" width="9.33203125" style="631"/>
    <col min="14849" max="14849" width="6.5" style="631" customWidth="1"/>
    <col min="14850" max="14850" width="21.6640625" style="631" customWidth="1"/>
    <col min="14851" max="14851" width="14.6640625" style="631" bestFit="1" customWidth="1"/>
    <col min="14852" max="14852" width="18.6640625" style="631" customWidth="1"/>
    <col min="14853" max="14853" width="17.1640625" style="631" customWidth="1"/>
    <col min="14854" max="14854" width="17.83203125" style="631" customWidth="1"/>
    <col min="14855" max="14855" width="18.6640625" style="631" customWidth="1"/>
    <col min="14856" max="15104" width="9.33203125" style="631"/>
    <col min="15105" max="15105" width="6.5" style="631" customWidth="1"/>
    <col min="15106" max="15106" width="21.6640625" style="631" customWidth="1"/>
    <col min="15107" max="15107" width="14.6640625" style="631" bestFit="1" customWidth="1"/>
    <col min="15108" max="15108" width="18.6640625" style="631" customWidth="1"/>
    <col min="15109" max="15109" width="17.1640625" style="631" customWidth="1"/>
    <col min="15110" max="15110" width="17.83203125" style="631" customWidth="1"/>
    <col min="15111" max="15111" width="18.6640625" style="631" customWidth="1"/>
    <col min="15112" max="15360" width="9.33203125" style="631"/>
    <col min="15361" max="15361" width="6.5" style="631" customWidth="1"/>
    <col min="15362" max="15362" width="21.6640625" style="631" customWidth="1"/>
    <col min="15363" max="15363" width="14.6640625" style="631" bestFit="1" customWidth="1"/>
    <col min="15364" max="15364" width="18.6640625" style="631" customWidth="1"/>
    <col min="15365" max="15365" width="17.1640625" style="631" customWidth="1"/>
    <col min="15366" max="15366" width="17.83203125" style="631" customWidth="1"/>
    <col min="15367" max="15367" width="18.6640625" style="631" customWidth="1"/>
    <col min="15368" max="15616" width="9.33203125" style="631"/>
    <col min="15617" max="15617" width="6.5" style="631" customWidth="1"/>
    <col min="15618" max="15618" width="21.6640625" style="631" customWidth="1"/>
    <col min="15619" max="15619" width="14.6640625" style="631" bestFit="1" customWidth="1"/>
    <col min="15620" max="15620" width="18.6640625" style="631" customWidth="1"/>
    <col min="15621" max="15621" width="17.1640625" style="631" customWidth="1"/>
    <col min="15622" max="15622" width="17.83203125" style="631" customWidth="1"/>
    <col min="15623" max="15623" width="18.6640625" style="631" customWidth="1"/>
    <col min="15624" max="15872" width="9.33203125" style="631"/>
    <col min="15873" max="15873" width="6.5" style="631" customWidth="1"/>
    <col min="15874" max="15874" width="21.6640625" style="631" customWidth="1"/>
    <col min="15875" max="15875" width="14.6640625" style="631" bestFit="1" customWidth="1"/>
    <col min="15876" max="15876" width="18.6640625" style="631" customWidth="1"/>
    <col min="15877" max="15877" width="17.1640625" style="631" customWidth="1"/>
    <col min="15878" max="15878" width="17.83203125" style="631" customWidth="1"/>
    <col min="15879" max="15879" width="18.6640625" style="631" customWidth="1"/>
    <col min="15880" max="16128" width="9.33203125" style="631"/>
    <col min="16129" max="16129" width="6.5" style="631" customWidth="1"/>
    <col min="16130" max="16130" width="21.6640625" style="631" customWidth="1"/>
    <col min="16131" max="16131" width="14.6640625" style="631" bestFit="1" customWidth="1"/>
    <col min="16132" max="16132" width="18.6640625" style="631" customWidth="1"/>
    <col min="16133" max="16133" width="17.1640625" style="631" customWidth="1"/>
    <col min="16134" max="16134" width="17.83203125" style="631" customWidth="1"/>
    <col min="16135" max="16135" width="18.6640625" style="631" customWidth="1"/>
    <col min="16136" max="16384" width="9.33203125" style="631"/>
  </cols>
  <sheetData>
    <row r="2" spans="1:7">
      <c r="G2" s="630" t="str">
        <f>'Exhibit No._(CTM-2), Pg. 10-30'!AS2</f>
        <v>Exhibit No.__ (CTM-2) revised per Bench Request No. 26</v>
      </c>
    </row>
    <row r="3" spans="1:7" ht="15" thickBot="1">
      <c r="G3" s="630" t="str">
        <f>'Exhibit No._(CTM-2), Pg. 10-30'!AS3</f>
        <v>Dockets UE-111048/UG-111049</v>
      </c>
    </row>
    <row r="4" spans="1:7" ht="15" thickBot="1">
      <c r="A4" s="632"/>
      <c r="B4" s="632"/>
      <c r="C4" s="632"/>
      <c r="D4" s="632"/>
      <c r="E4" s="632"/>
      <c r="F4" s="632"/>
      <c r="G4" s="633" t="s">
        <v>1094</v>
      </c>
    </row>
    <row r="5" spans="1:7">
      <c r="A5" s="634" t="s">
        <v>1063</v>
      </c>
      <c r="B5" s="635"/>
      <c r="C5" s="635"/>
      <c r="D5" s="635"/>
      <c r="E5" s="635"/>
      <c r="F5" s="635"/>
      <c r="G5" s="635"/>
    </row>
    <row r="6" spans="1:7">
      <c r="A6" s="635" t="s">
        <v>1095</v>
      </c>
      <c r="B6" s="635"/>
      <c r="C6" s="635"/>
      <c r="D6" s="635"/>
      <c r="E6" s="635"/>
      <c r="F6" s="636"/>
      <c r="G6" s="636"/>
    </row>
    <row r="7" spans="1:7">
      <c r="A7" s="635" t="s">
        <v>447</v>
      </c>
      <c r="B7" s="635"/>
      <c r="C7" s="635"/>
      <c r="D7" s="635"/>
      <c r="E7" s="635"/>
      <c r="F7" s="637"/>
      <c r="G7" s="635"/>
    </row>
    <row r="8" spans="1:7">
      <c r="A8" s="635" t="s">
        <v>986</v>
      </c>
      <c r="B8" s="635"/>
      <c r="C8" s="635"/>
      <c r="D8" s="635"/>
      <c r="E8" s="635"/>
      <c r="F8" s="637"/>
      <c r="G8" s="635"/>
    </row>
    <row r="9" spans="1:7">
      <c r="A9" s="635"/>
      <c r="B9" s="635"/>
      <c r="C9" s="635"/>
      <c r="D9" s="635"/>
      <c r="E9" s="635"/>
      <c r="F9" s="637"/>
      <c r="G9" s="635"/>
    </row>
    <row r="10" spans="1:7">
      <c r="A10" s="638"/>
      <c r="B10" s="632"/>
      <c r="C10" s="639"/>
      <c r="D10" s="639"/>
      <c r="E10" s="639" t="s">
        <v>381</v>
      </c>
      <c r="F10" s="639"/>
      <c r="G10" s="639" t="s">
        <v>1096</v>
      </c>
    </row>
    <row r="11" spans="1:7">
      <c r="A11" s="639" t="s">
        <v>24</v>
      </c>
      <c r="B11" s="632"/>
      <c r="C11" s="639" t="s">
        <v>164</v>
      </c>
      <c r="D11" s="639" t="s">
        <v>165</v>
      </c>
      <c r="E11" s="639" t="s">
        <v>382</v>
      </c>
      <c r="F11" s="639" t="s">
        <v>164</v>
      </c>
      <c r="G11" s="639" t="s">
        <v>1097</v>
      </c>
    </row>
    <row r="12" spans="1:7">
      <c r="A12" s="640" t="s">
        <v>38</v>
      </c>
      <c r="B12" s="640" t="s">
        <v>1098</v>
      </c>
      <c r="C12" s="640" t="s">
        <v>166</v>
      </c>
      <c r="D12" s="640" t="s">
        <v>167</v>
      </c>
      <c r="E12" s="640" t="s">
        <v>124</v>
      </c>
      <c r="F12" s="640" t="s">
        <v>167</v>
      </c>
      <c r="G12" s="640" t="s">
        <v>1099</v>
      </c>
    </row>
    <row r="13" spans="1:7">
      <c r="A13" s="641"/>
      <c r="B13" s="641" t="s">
        <v>262</v>
      </c>
      <c r="C13" s="642" t="s">
        <v>1100</v>
      </c>
      <c r="D13" s="641" t="s">
        <v>1101</v>
      </c>
      <c r="E13" s="641" t="s">
        <v>1101</v>
      </c>
      <c r="F13" s="641" t="s">
        <v>1101</v>
      </c>
      <c r="G13" s="641"/>
    </row>
    <row r="14" spans="1:7" ht="15">
      <c r="A14" s="643">
        <v>1</v>
      </c>
      <c r="B14" s="644" t="s">
        <v>1102</v>
      </c>
      <c r="C14" s="645">
        <f>'6.09G - 3-YR AVG'!B12</f>
        <v>3389028.06</v>
      </c>
      <c r="D14" s="646">
        <f>'6.09G - 3-YR AVG'!C12</f>
        <v>1224844682</v>
      </c>
      <c r="E14" s="646">
        <f>'6.09G - 3-YR AVG'!D12</f>
        <v>17471949</v>
      </c>
      <c r="F14" s="646">
        <f>D14-E14</f>
        <v>1207372733</v>
      </c>
      <c r="G14" s="647">
        <f>ROUND(C14/F14,6)</f>
        <v>2.807E-3</v>
      </c>
    </row>
    <row r="15" spans="1:7" ht="15">
      <c r="A15" s="643">
        <f t="shared" ref="A15:A30" si="0">A14+1</f>
        <v>2</v>
      </c>
      <c r="B15" s="644" t="s">
        <v>1103</v>
      </c>
      <c r="C15" s="645">
        <f>'6.09G - 3-YR AVG'!B13</f>
        <v>3664591.5999999996</v>
      </c>
      <c r="D15" s="646">
        <f>'6.09G - 3-YR AVG'!C13</f>
        <v>1193302341</v>
      </c>
      <c r="E15" s="646">
        <f>'6.09G - 3-YR AVG'!D13</f>
        <v>17237406</v>
      </c>
      <c r="F15" s="646">
        <f>D15-E15</f>
        <v>1176064935</v>
      </c>
      <c r="G15" s="647">
        <f>ROUND(C15/F15,6)</f>
        <v>3.1159999999999998E-3</v>
      </c>
    </row>
    <row r="16" spans="1:7" ht="15">
      <c r="A16" s="643">
        <f t="shared" si="0"/>
        <v>3</v>
      </c>
      <c r="B16" s="644" t="s">
        <v>1104</v>
      </c>
      <c r="C16" s="645">
        <f>'6.09G - 3-YR AVG'!B14</f>
        <v>5677035.8600000003</v>
      </c>
      <c r="D16" s="646">
        <f>'6.09G - 3-YR AVG'!C14</f>
        <v>1279928250.71</v>
      </c>
      <c r="E16" s="646">
        <f>'6.09G - 3-YR AVG'!D14</f>
        <v>19180942.879999999</v>
      </c>
      <c r="F16" s="646">
        <f>D16-E16</f>
        <v>1260747307.8299999</v>
      </c>
      <c r="G16" s="647">
        <f>ROUND(C16/F16,6)</f>
        <v>4.5030000000000001E-3</v>
      </c>
    </row>
    <row r="17" spans="1:7" ht="15">
      <c r="A17" s="643">
        <f t="shared" si="0"/>
        <v>4</v>
      </c>
      <c r="B17" s="648" t="s">
        <v>1105</v>
      </c>
      <c r="C17" s="645"/>
      <c r="D17" s="646"/>
      <c r="E17" s="646"/>
      <c r="F17" s="646"/>
      <c r="G17" s="649"/>
    </row>
    <row r="18" spans="1:7" ht="15">
      <c r="A18" s="643">
        <f t="shared" si="0"/>
        <v>5</v>
      </c>
      <c r="B18" s="650" t="s">
        <v>1106</v>
      </c>
      <c r="C18" s="645"/>
      <c r="D18" s="645"/>
      <c r="E18" s="645"/>
      <c r="F18" s="645"/>
      <c r="G18" s="651">
        <f>ROUND(SUM(G14:G16)/3,6)</f>
        <v>3.4749999999999998E-3</v>
      </c>
    </row>
    <row r="19" spans="1:7" ht="15">
      <c r="A19" s="643">
        <f t="shared" si="0"/>
        <v>6</v>
      </c>
    </row>
    <row r="20" spans="1:7" ht="15">
      <c r="A20" s="643">
        <f t="shared" si="0"/>
        <v>7</v>
      </c>
      <c r="B20" s="650" t="s">
        <v>1107</v>
      </c>
      <c r="C20" s="652"/>
      <c r="D20" s="646">
        <f>'6.09G - 12ME 12-2010'!D17</f>
        <v>1011530516.25</v>
      </c>
      <c r="E20" s="653">
        <f>'6.09G - 12ME 12-2010'!F22</f>
        <v>14712939.040000001</v>
      </c>
      <c r="F20" s="646">
        <f>D20-E20</f>
        <v>996817577.21000004</v>
      </c>
      <c r="G20" s="654"/>
    </row>
    <row r="21" spans="1:7" ht="15">
      <c r="A21" s="643">
        <f t="shared" si="0"/>
        <v>8</v>
      </c>
      <c r="B21" s="655"/>
      <c r="C21" s="656"/>
      <c r="D21" s="657"/>
      <c r="E21" s="656"/>
      <c r="F21" s="656"/>
      <c r="G21" s="657"/>
    </row>
    <row r="22" spans="1:7" ht="15">
      <c r="A22" s="643">
        <f t="shared" si="0"/>
        <v>9</v>
      </c>
      <c r="B22" s="655" t="s">
        <v>155</v>
      </c>
      <c r="C22" s="656"/>
      <c r="D22" s="656"/>
      <c r="E22" s="656"/>
      <c r="F22" s="658">
        <f>G18</f>
        <v>3.4749999999999998E-3</v>
      </c>
      <c r="G22" s="656"/>
    </row>
    <row r="23" spans="1:7" ht="15">
      <c r="A23" s="643">
        <f t="shared" si="0"/>
        <v>10</v>
      </c>
      <c r="B23" s="655" t="s">
        <v>156</v>
      </c>
      <c r="C23" s="656"/>
      <c r="D23" s="656"/>
      <c r="E23" s="656"/>
      <c r="F23" s="652">
        <f>ROUND(F20*F22,0)</f>
        <v>3463941</v>
      </c>
      <c r="G23" s="656"/>
    </row>
    <row r="24" spans="1:7" ht="15">
      <c r="A24" s="643">
        <f t="shared" si="0"/>
        <v>11</v>
      </c>
      <c r="B24" s="655"/>
      <c r="C24" s="656"/>
      <c r="D24" s="656"/>
      <c r="E24" s="656"/>
      <c r="F24" s="656"/>
      <c r="G24" s="656"/>
    </row>
    <row r="25" spans="1:7" ht="15">
      <c r="A25" s="643">
        <f t="shared" si="0"/>
        <v>12</v>
      </c>
      <c r="B25" s="659" t="s">
        <v>157</v>
      </c>
      <c r="C25" s="656"/>
      <c r="D25" s="656"/>
      <c r="E25" s="660"/>
      <c r="F25" s="656">
        <f>'6.09G - Writeoffs'!B13</f>
        <v>5886142.1500000004</v>
      </c>
      <c r="G25" s="656"/>
    </row>
    <row r="26" spans="1:7" ht="15">
      <c r="A26" s="643">
        <f t="shared" si="0"/>
        <v>13</v>
      </c>
      <c r="B26" s="661" t="s">
        <v>61</v>
      </c>
      <c r="C26" s="656"/>
      <c r="D26" s="656"/>
      <c r="E26" s="656"/>
      <c r="F26" s="662"/>
      <c r="G26" s="652">
        <f>ROUND(F23-F25,0)</f>
        <v>-2422201</v>
      </c>
    </row>
    <row r="27" spans="1:7" ht="15">
      <c r="A27" s="643">
        <f t="shared" si="0"/>
        <v>14</v>
      </c>
      <c r="B27" s="663"/>
      <c r="C27" s="656"/>
      <c r="D27" s="656"/>
      <c r="E27" s="656"/>
      <c r="F27" s="656"/>
      <c r="G27" s="656"/>
    </row>
    <row r="28" spans="1:7" ht="15">
      <c r="A28" s="643">
        <f t="shared" si="0"/>
        <v>15</v>
      </c>
      <c r="B28" s="664" t="s">
        <v>1108</v>
      </c>
      <c r="C28" s="665"/>
      <c r="D28" s="665"/>
      <c r="E28" s="665"/>
      <c r="F28" s="665"/>
      <c r="G28" s="666">
        <f>-G26</f>
        <v>2422201</v>
      </c>
    </row>
    <row r="29" spans="1:7" ht="15">
      <c r="A29" s="643">
        <f t="shared" si="0"/>
        <v>16</v>
      </c>
      <c r="B29" s="665" t="s">
        <v>132</v>
      </c>
      <c r="C29" s="665"/>
      <c r="D29" s="665"/>
      <c r="E29" s="665"/>
      <c r="F29" s="667">
        <v>0.35</v>
      </c>
      <c r="G29" s="668">
        <f>ROUND(-G26*F29,0)</f>
        <v>847770</v>
      </c>
    </row>
    <row r="30" spans="1:7" ht="15.75" thickBot="1">
      <c r="A30" s="643">
        <f t="shared" si="0"/>
        <v>17</v>
      </c>
      <c r="B30" s="669" t="s">
        <v>74</v>
      </c>
      <c r="C30" s="665"/>
      <c r="D30" s="665"/>
      <c r="E30" s="665"/>
      <c r="F30" s="665"/>
      <c r="G30" s="670">
        <f>G28-G29</f>
        <v>1574431</v>
      </c>
    </row>
    <row r="31" spans="1:7" ht="15" thickTop="1"/>
    <row r="33" spans="6:6" ht="15">
      <c r="F33" s="666"/>
    </row>
    <row r="34" spans="6:6" ht="15">
      <c r="F34" s="666"/>
    </row>
    <row r="35" spans="6:6" ht="15">
      <c r="F35" s="666"/>
    </row>
  </sheetData>
  <pageMargins left="0.56999999999999995" right="0.51" top="1" bottom="1" header="0.5" footer="0.5"/>
  <pageSetup scale="72"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7" tint="0.39997558519241921"/>
    <pageSetUpPr fitToPage="1"/>
  </sheetPr>
  <dimension ref="A1:H27"/>
  <sheetViews>
    <sheetView zoomScaleNormal="100" workbookViewId="0">
      <selection activeCell="E28" sqref="E28"/>
    </sheetView>
  </sheetViews>
  <sheetFormatPr defaultRowHeight="12.75"/>
  <cols>
    <col min="1" max="1" width="17.83203125" style="631" customWidth="1"/>
    <col min="2" max="2" width="15.5" style="631" customWidth="1"/>
    <col min="3" max="3" width="17.5" style="631" customWidth="1"/>
    <col min="4" max="4" width="16.6640625" style="631" customWidth="1"/>
    <col min="5" max="5" width="19.5" style="631" customWidth="1"/>
    <col min="6" max="6" width="13.5" style="631" customWidth="1"/>
    <col min="7" max="7" width="2" style="631" bestFit="1" customWidth="1"/>
    <col min="8" max="8" width="10.5" style="631" bestFit="1" customWidth="1"/>
    <col min="9" max="256" width="9.33203125" style="631"/>
    <col min="257" max="257" width="17.83203125" style="631" customWidth="1"/>
    <col min="258" max="258" width="15.5" style="631" customWidth="1"/>
    <col min="259" max="259" width="17.5" style="631" customWidth="1"/>
    <col min="260" max="260" width="16.6640625" style="631" customWidth="1"/>
    <col min="261" max="261" width="19.5" style="631" customWidth="1"/>
    <col min="262" max="262" width="13.5" style="631" customWidth="1"/>
    <col min="263" max="263" width="2" style="631" bestFit="1" customWidth="1"/>
    <col min="264" max="512" width="9.33203125" style="631"/>
    <col min="513" max="513" width="17.83203125" style="631" customWidth="1"/>
    <col min="514" max="514" width="15.5" style="631" customWidth="1"/>
    <col min="515" max="515" width="17.5" style="631" customWidth="1"/>
    <col min="516" max="516" width="16.6640625" style="631" customWidth="1"/>
    <col min="517" max="517" width="19.5" style="631" customWidth="1"/>
    <col min="518" max="518" width="13.5" style="631" customWidth="1"/>
    <col min="519" max="519" width="2" style="631" bestFit="1" customWidth="1"/>
    <col min="520" max="768" width="9.33203125" style="631"/>
    <col min="769" max="769" width="17.83203125" style="631" customWidth="1"/>
    <col min="770" max="770" width="15.5" style="631" customWidth="1"/>
    <col min="771" max="771" width="17.5" style="631" customWidth="1"/>
    <col min="772" max="772" width="16.6640625" style="631" customWidth="1"/>
    <col min="773" max="773" width="19.5" style="631" customWidth="1"/>
    <col min="774" max="774" width="13.5" style="631" customWidth="1"/>
    <col min="775" max="775" width="2" style="631" bestFit="1" customWidth="1"/>
    <col min="776" max="1024" width="9.33203125" style="631"/>
    <col min="1025" max="1025" width="17.83203125" style="631" customWidth="1"/>
    <col min="1026" max="1026" width="15.5" style="631" customWidth="1"/>
    <col min="1027" max="1027" width="17.5" style="631" customWidth="1"/>
    <col min="1028" max="1028" width="16.6640625" style="631" customWidth="1"/>
    <col min="1029" max="1029" width="19.5" style="631" customWidth="1"/>
    <col min="1030" max="1030" width="13.5" style="631" customWidth="1"/>
    <col min="1031" max="1031" width="2" style="631" bestFit="1" customWidth="1"/>
    <col min="1032" max="1280" width="9.33203125" style="631"/>
    <col min="1281" max="1281" width="17.83203125" style="631" customWidth="1"/>
    <col min="1282" max="1282" width="15.5" style="631" customWidth="1"/>
    <col min="1283" max="1283" width="17.5" style="631" customWidth="1"/>
    <col min="1284" max="1284" width="16.6640625" style="631" customWidth="1"/>
    <col min="1285" max="1285" width="19.5" style="631" customWidth="1"/>
    <col min="1286" max="1286" width="13.5" style="631" customWidth="1"/>
    <col min="1287" max="1287" width="2" style="631" bestFit="1" customWidth="1"/>
    <col min="1288" max="1536" width="9.33203125" style="631"/>
    <col min="1537" max="1537" width="17.83203125" style="631" customWidth="1"/>
    <col min="1538" max="1538" width="15.5" style="631" customWidth="1"/>
    <col min="1539" max="1539" width="17.5" style="631" customWidth="1"/>
    <col min="1540" max="1540" width="16.6640625" style="631" customWidth="1"/>
    <col min="1541" max="1541" width="19.5" style="631" customWidth="1"/>
    <col min="1542" max="1542" width="13.5" style="631" customWidth="1"/>
    <col min="1543" max="1543" width="2" style="631" bestFit="1" customWidth="1"/>
    <col min="1544" max="1792" width="9.33203125" style="631"/>
    <col min="1793" max="1793" width="17.83203125" style="631" customWidth="1"/>
    <col min="1794" max="1794" width="15.5" style="631" customWidth="1"/>
    <col min="1795" max="1795" width="17.5" style="631" customWidth="1"/>
    <col min="1796" max="1796" width="16.6640625" style="631" customWidth="1"/>
    <col min="1797" max="1797" width="19.5" style="631" customWidth="1"/>
    <col min="1798" max="1798" width="13.5" style="631" customWidth="1"/>
    <col min="1799" max="1799" width="2" style="631" bestFit="1" customWidth="1"/>
    <col min="1800" max="2048" width="9.33203125" style="631"/>
    <col min="2049" max="2049" width="17.83203125" style="631" customWidth="1"/>
    <col min="2050" max="2050" width="15.5" style="631" customWidth="1"/>
    <col min="2051" max="2051" width="17.5" style="631" customWidth="1"/>
    <col min="2052" max="2052" width="16.6640625" style="631" customWidth="1"/>
    <col min="2053" max="2053" width="19.5" style="631" customWidth="1"/>
    <col min="2054" max="2054" width="13.5" style="631" customWidth="1"/>
    <col min="2055" max="2055" width="2" style="631" bestFit="1" customWidth="1"/>
    <col min="2056" max="2304" width="9.33203125" style="631"/>
    <col min="2305" max="2305" width="17.83203125" style="631" customWidth="1"/>
    <col min="2306" max="2306" width="15.5" style="631" customWidth="1"/>
    <col min="2307" max="2307" width="17.5" style="631" customWidth="1"/>
    <col min="2308" max="2308" width="16.6640625" style="631" customWidth="1"/>
    <col min="2309" max="2309" width="19.5" style="631" customWidth="1"/>
    <col min="2310" max="2310" width="13.5" style="631" customWidth="1"/>
    <col min="2311" max="2311" width="2" style="631" bestFit="1" customWidth="1"/>
    <col min="2312" max="2560" width="9.33203125" style="631"/>
    <col min="2561" max="2561" width="17.83203125" style="631" customWidth="1"/>
    <col min="2562" max="2562" width="15.5" style="631" customWidth="1"/>
    <col min="2563" max="2563" width="17.5" style="631" customWidth="1"/>
    <col min="2564" max="2564" width="16.6640625" style="631" customWidth="1"/>
    <col min="2565" max="2565" width="19.5" style="631" customWidth="1"/>
    <col min="2566" max="2566" width="13.5" style="631" customWidth="1"/>
    <col min="2567" max="2567" width="2" style="631" bestFit="1" customWidth="1"/>
    <col min="2568" max="2816" width="9.33203125" style="631"/>
    <col min="2817" max="2817" width="17.83203125" style="631" customWidth="1"/>
    <col min="2818" max="2818" width="15.5" style="631" customWidth="1"/>
    <col min="2819" max="2819" width="17.5" style="631" customWidth="1"/>
    <col min="2820" max="2820" width="16.6640625" style="631" customWidth="1"/>
    <col min="2821" max="2821" width="19.5" style="631" customWidth="1"/>
    <col min="2822" max="2822" width="13.5" style="631" customWidth="1"/>
    <col min="2823" max="2823" width="2" style="631" bestFit="1" customWidth="1"/>
    <col min="2824" max="3072" width="9.33203125" style="631"/>
    <col min="3073" max="3073" width="17.83203125" style="631" customWidth="1"/>
    <col min="3074" max="3074" width="15.5" style="631" customWidth="1"/>
    <col min="3075" max="3075" width="17.5" style="631" customWidth="1"/>
    <col min="3076" max="3076" width="16.6640625" style="631" customWidth="1"/>
    <col min="3077" max="3077" width="19.5" style="631" customWidth="1"/>
    <col min="3078" max="3078" width="13.5" style="631" customWidth="1"/>
    <col min="3079" max="3079" width="2" style="631" bestFit="1" customWidth="1"/>
    <col min="3080" max="3328" width="9.33203125" style="631"/>
    <col min="3329" max="3329" width="17.83203125" style="631" customWidth="1"/>
    <col min="3330" max="3330" width="15.5" style="631" customWidth="1"/>
    <col min="3331" max="3331" width="17.5" style="631" customWidth="1"/>
    <col min="3332" max="3332" width="16.6640625" style="631" customWidth="1"/>
    <col min="3333" max="3333" width="19.5" style="631" customWidth="1"/>
    <col min="3334" max="3334" width="13.5" style="631" customWidth="1"/>
    <col min="3335" max="3335" width="2" style="631" bestFit="1" customWidth="1"/>
    <col min="3336" max="3584" width="9.33203125" style="631"/>
    <col min="3585" max="3585" width="17.83203125" style="631" customWidth="1"/>
    <col min="3586" max="3586" width="15.5" style="631" customWidth="1"/>
    <col min="3587" max="3587" width="17.5" style="631" customWidth="1"/>
    <col min="3588" max="3588" width="16.6640625" style="631" customWidth="1"/>
    <col min="3589" max="3589" width="19.5" style="631" customWidth="1"/>
    <col min="3590" max="3590" width="13.5" style="631" customWidth="1"/>
    <col min="3591" max="3591" width="2" style="631" bestFit="1" customWidth="1"/>
    <col min="3592" max="3840" width="9.33203125" style="631"/>
    <col min="3841" max="3841" width="17.83203125" style="631" customWidth="1"/>
    <col min="3842" max="3842" width="15.5" style="631" customWidth="1"/>
    <col min="3843" max="3843" width="17.5" style="631" customWidth="1"/>
    <col min="3844" max="3844" width="16.6640625" style="631" customWidth="1"/>
    <col min="3845" max="3845" width="19.5" style="631" customWidth="1"/>
    <col min="3846" max="3846" width="13.5" style="631" customWidth="1"/>
    <col min="3847" max="3847" width="2" style="631" bestFit="1" customWidth="1"/>
    <col min="3848" max="4096" width="9.33203125" style="631"/>
    <col min="4097" max="4097" width="17.83203125" style="631" customWidth="1"/>
    <col min="4098" max="4098" width="15.5" style="631" customWidth="1"/>
    <col min="4099" max="4099" width="17.5" style="631" customWidth="1"/>
    <col min="4100" max="4100" width="16.6640625" style="631" customWidth="1"/>
    <col min="4101" max="4101" width="19.5" style="631" customWidth="1"/>
    <col min="4102" max="4102" width="13.5" style="631" customWidth="1"/>
    <col min="4103" max="4103" width="2" style="631" bestFit="1" customWidth="1"/>
    <col min="4104" max="4352" width="9.33203125" style="631"/>
    <col min="4353" max="4353" width="17.83203125" style="631" customWidth="1"/>
    <col min="4354" max="4354" width="15.5" style="631" customWidth="1"/>
    <col min="4355" max="4355" width="17.5" style="631" customWidth="1"/>
    <col min="4356" max="4356" width="16.6640625" style="631" customWidth="1"/>
    <col min="4357" max="4357" width="19.5" style="631" customWidth="1"/>
    <col min="4358" max="4358" width="13.5" style="631" customWidth="1"/>
    <col min="4359" max="4359" width="2" style="631" bestFit="1" customWidth="1"/>
    <col min="4360" max="4608" width="9.33203125" style="631"/>
    <col min="4609" max="4609" width="17.83203125" style="631" customWidth="1"/>
    <col min="4610" max="4610" width="15.5" style="631" customWidth="1"/>
    <col min="4611" max="4611" width="17.5" style="631" customWidth="1"/>
    <col min="4612" max="4612" width="16.6640625" style="631" customWidth="1"/>
    <col min="4613" max="4613" width="19.5" style="631" customWidth="1"/>
    <col min="4614" max="4614" width="13.5" style="631" customWidth="1"/>
    <col min="4615" max="4615" width="2" style="631" bestFit="1" customWidth="1"/>
    <col min="4616" max="4864" width="9.33203125" style="631"/>
    <col min="4865" max="4865" width="17.83203125" style="631" customWidth="1"/>
    <col min="4866" max="4866" width="15.5" style="631" customWidth="1"/>
    <col min="4867" max="4867" width="17.5" style="631" customWidth="1"/>
    <col min="4868" max="4868" width="16.6640625" style="631" customWidth="1"/>
    <col min="4869" max="4869" width="19.5" style="631" customWidth="1"/>
    <col min="4870" max="4870" width="13.5" style="631" customWidth="1"/>
    <col min="4871" max="4871" width="2" style="631" bestFit="1" customWidth="1"/>
    <col min="4872" max="5120" width="9.33203125" style="631"/>
    <col min="5121" max="5121" width="17.83203125" style="631" customWidth="1"/>
    <col min="5122" max="5122" width="15.5" style="631" customWidth="1"/>
    <col min="5123" max="5123" width="17.5" style="631" customWidth="1"/>
    <col min="5124" max="5124" width="16.6640625" style="631" customWidth="1"/>
    <col min="5125" max="5125" width="19.5" style="631" customWidth="1"/>
    <col min="5126" max="5126" width="13.5" style="631" customWidth="1"/>
    <col min="5127" max="5127" width="2" style="631" bestFit="1" customWidth="1"/>
    <col min="5128" max="5376" width="9.33203125" style="631"/>
    <col min="5377" max="5377" width="17.83203125" style="631" customWidth="1"/>
    <col min="5378" max="5378" width="15.5" style="631" customWidth="1"/>
    <col min="5379" max="5379" width="17.5" style="631" customWidth="1"/>
    <col min="5380" max="5380" width="16.6640625" style="631" customWidth="1"/>
    <col min="5381" max="5381" width="19.5" style="631" customWidth="1"/>
    <col min="5382" max="5382" width="13.5" style="631" customWidth="1"/>
    <col min="5383" max="5383" width="2" style="631" bestFit="1" customWidth="1"/>
    <col min="5384" max="5632" width="9.33203125" style="631"/>
    <col min="5633" max="5633" width="17.83203125" style="631" customWidth="1"/>
    <col min="5634" max="5634" width="15.5" style="631" customWidth="1"/>
    <col min="5635" max="5635" width="17.5" style="631" customWidth="1"/>
    <col min="5636" max="5636" width="16.6640625" style="631" customWidth="1"/>
    <col min="5637" max="5637" width="19.5" style="631" customWidth="1"/>
    <col min="5638" max="5638" width="13.5" style="631" customWidth="1"/>
    <col min="5639" max="5639" width="2" style="631" bestFit="1" customWidth="1"/>
    <col min="5640" max="5888" width="9.33203125" style="631"/>
    <col min="5889" max="5889" width="17.83203125" style="631" customWidth="1"/>
    <col min="5890" max="5890" width="15.5" style="631" customWidth="1"/>
    <col min="5891" max="5891" width="17.5" style="631" customWidth="1"/>
    <col min="5892" max="5892" width="16.6640625" style="631" customWidth="1"/>
    <col min="5893" max="5893" width="19.5" style="631" customWidth="1"/>
    <col min="5894" max="5894" width="13.5" style="631" customWidth="1"/>
    <col min="5895" max="5895" width="2" style="631" bestFit="1" customWidth="1"/>
    <col min="5896" max="6144" width="9.33203125" style="631"/>
    <col min="6145" max="6145" width="17.83203125" style="631" customWidth="1"/>
    <col min="6146" max="6146" width="15.5" style="631" customWidth="1"/>
    <col min="6147" max="6147" width="17.5" style="631" customWidth="1"/>
    <col min="6148" max="6148" width="16.6640625" style="631" customWidth="1"/>
    <col min="6149" max="6149" width="19.5" style="631" customWidth="1"/>
    <col min="6150" max="6150" width="13.5" style="631" customWidth="1"/>
    <col min="6151" max="6151" width="2" style="631" bestFit="1" customWidth="1"/>
    <col min="6152" max="6400" width="9.33203125" style="631"/>
    <col min="6401" max="6401" width="17.83203125" style="631" customWidth="1"/>
    <col min="6402" max="6402" width="15.5" style="631" customWidth="1"/>
    <col min="6403" max="6403" width="17.5" style="631" customWidth="1"/>
    <col min="6404" max="6404" width="16.6640625" style="631" customWidth="1"/>
    <col min="6405" max="6405" width="19.5" style="631" customWidth="1"/>
    <col min="6406" max="6406" width="13.5" style="631" customWidth="1"/>
    <col min="6407" max="6407" width="2" style="631" bestFit="1" customWidth="1"/>
    <col min="6408" max="6656" width="9.33203125" style="631"/>
    <col min="6657" max="6657" width="17.83203125" style="631" customWidth="1"/>
    <col min="6658" max="6658" width="15.5" style="631" customWidth="1"/>
    <col min="6659" max="6659" width="17.5" style="631" customWidth="1"/>
    <col min="6660" max="6660" width="16.6640625" style="631" customWidth="1"/>
    <col min="6661" max="6661" width="19.5" style="631" customWidth="1"/>
    <col min="6662" max="6662" width="13.5" style="631" customWidth="1"/>
    <col min="6663" max="6663" width="2" style="631" bestFit="1" customWidth="1"/>
    <col min="6664" max="6912" width="9.33203125" style="631"/>
    <col min="6913" max="6913" width="17.83203125" style="631" customWidth="1"/>
    <col min="6914" max="6914" width="15.5" style="631" customWidth="1"/>
    <col min="6915" max="6915" width="17.5" style="631" customWidth="1"/>
    <col min="6916" max="6916" width="16.6640625" style="631" customWidth="1"/>
    <col min="6917" max="6917" width="19.5" style="631" customWidth="1"/>
    <col min="6918" max="6918" width="13.5" style="631" customWidth="1"/>
    <col min="6919" max="6919" width="2" style="631" bestFit="1" customWidth="1"/>
    <col min="6920" max="7168" width="9.33203125" style="631"/>
    <col min="7169" max="7169" width="17.83203125" style="631" customWidth="1"/>
    <col min="7170" max="7170" width="15.5" style="631" customWidth="1"/>
    <col min="7171" max="7171" width="17.5" style="631" customWidth="1"/>
    <col min="7172" max="7172" width="16.6640625" style="631" customWidth="1"/>
    <col min="7173" max="7173" width="19.5" style="631" customWidth="1"/>
    <col min="7174" max="7174" width="13.5" style="631" customWidth="1"/>
    <col min="7175" max="7175" width="2" style="631" bestFit="1" customWidth="1"/>
    <col min="7176" max="7424" width="9.33203125" style="631"/>
    <col min="7425" max="7425" width="17.83203125" style="631" customWidth="1"/>
    <col min="7426" max="7426" width="15.5" style="631" customWidth="1"/>
    <col min="7427" max="7427" width="17.5" style="631" customWidth="1"/>
    <col min="7428" max="7428" width="16.6640625" style="631" customWidth="1"/>
    <col min="7429" max="7429" width="19.5" style="631" customWidth="1"/>
    <col min="7430" max="7430" width="13.5" style="631" customWidth="1"/>
    <col min="7431" max="7431" width="2" style="631" bestFit="1" customWidth="1"/>
    <col min="7432" max="7680" width="9.33203125" style="631"/>
    <col min="7681" max="7681" width="17.83203125" style="631" customWidth="1"/>
    <col min="7682" max="7682" width="15.5" style="631" customWidth="1"/>
    <col min="7683" max="7683" width="17.5" style="631" customWidth="1"/>
    <col min="7684" max="7684" width="16.6640625" style="631" customWidth="1"/>
    <col min="7685" max="7685" width="19.5" style="631" customWidth="1"/>
    <col min="7686" max="7686" width="13.5" style="631" customWidth="1"/>
    <col min="7687" max="7687" width="2" style="631" bestFit="1" customWidth="1"/>
    <col min="7688" max="7936" width="9.33203125" style="631"/>
    <col min="7937" max="7937" width="17.83203125" style="631" customWidth="1"/>
    <col min="7938" max="7938" width="15.5" style="631" customWidth="1"/>
    <col min="7939" max="7939" width="17.5" style="631" customWidth="1"/>
    <col min="7940" max="7940" width="16.6640625" style="631" customWidth="1"/>
    <col min="7941" max="7941" width="19.5" style="631" customWidth="1"/>
    <col min="7942" max="7942" width="13.5" style="631" customWidth="1"/>
    <col min="7943" max="7943" width="2" style="631" bestFit="1" customWidth="1"/>
    <col min="7944" max="8192" width="9.33203125" style="631"/>
    <col min="8193" max="8193" width="17.83203125" style="631" customWidth="1"/>
    <col min="8194" max="8194" width="15.5" style="631" customWidth="1"/>
    <col min="8195" max="8195" width="17.5" style="631" customWidth="1"/>
    <col min="8196" max="8196" width="16.6640625" style="631" customWidth="1"/>
    <col min="8197" max="8197" width="19.5" style="631" customWidth="1"/>
    <col min="8198" max="8198" width="13.5" style="631" customWidth="1"/>
    <col min="8199" max="8199" width="2" style="631" bestFit="1" customWidth="1"/>
    <col min="8200" max="8448" width="9.33203125" style="631"/>
    <col min="8449" max="8449" width="17.83203125" style="631" customWidth="1"/>
    <col min="8450" max="8450" width="15.5" style="631" customWidth="1"/>
    <col min="8451" max="8451" width="17.5" style="631" customWidth="1"/>
    <col min="8452" max="8452" width="16.6640625" style="631" customWidth="1"/>
    <col min="8453" max="8453" width="19.5" style="631" customWidth="1"/>
    <col min="8454" max="8454" width="13.5" style="631" customWidth="1"/>
    <col min="8455" max="8455" width="2" style="631" bestFit="1" customWidth="1"/>
    <col min="8456" max="8704" width="9.33203125" style="631"/>
    <col min="8705" max="8705" width="17.83203125" style="631" customWidth="1"/>
    <col min="8706" max="8706" width="15.5" style="631" customWidth="1"/>
    <col min="8707" max="8707" width="17.5" style="631" customWidth="1"/>
    <col min="8708" max="8708" width="16.6640625" style="631" customWidth="1"/>
    <col min="8709" max="8709" width="19.5" style="631" customWidth="1"/>
    <col min="8710" max="8710" width="13.5" style="631" customWidth="1"/>
    <col min="8711" max="8711" width="2" style="631" bestFit="1" customWidth="1"/>
    <col min="8712" max="8960" width="9.33203125" style="631"/>
    <col min="8961" max="8961" width="17.83203125" style="631" customWidth="1"/>
    <col min="8962" max="8962" width="15.5" style="631" customWidth="1"/>
    <col min="8963" max="8963" width="17.5" style="631" customWidth="1"/>
    <col min="8964" max="8964" width="16.6640625" style="631" customWidth="1"/>
    <col min="8965" max="8965" width="19.5" style="631" customWidth="1"/>
    <col min="8966" max="8966" width="13.5" style="631" customWidth="1"/>
    <col min="8967" max="8967" width="2" style="631" bestFit="1" customWidth="1"/>
    <col min="8968" max="9216" width="9.33203125" style="631"/>
    <col min="9217" max="9217" width="17.83203125" style="631" customWidth="1"/>
    <col min="9218" max="9218" width="15.5" style="631" customWidth="1"/>
    <col min="9219" max="9219" width="17.5" style="631" customWidth="1"/>
    <col min="9220" max="9220" width="16.6640625" style="631" customWidth="1"/>
    <col min="9221" max="9221" width="19.5" style="631" customWidth="1"/>
    <col min="9222" max="9222" width="13.5" style="631" customWidth="1"/>
    <col min="9223" max="9223" width="2" style="631" bestFit="1" customWidth="1"/>
    <col min="9224" max="9472" width="9.33203125" style="631"/>
    <col min="9473" max="9473" width="17.83203125" style="631" customWidth="1"/>
    <col min="9474" max="9474" width="15.5" style="631" customWidth="1"/>
    <col min="9475" max="9475" width="17.5" style="631" customWidth="1"/>
    <col min="9476" max="9476" width="16.6640625" style="631" customWidth="1"/>
    <col min="9477" max="9477" width="19.5" style="631" customWidth="1"/>
    <col min="9478" max="9478" width="13.5" style="631" customWidth="1"/>
    <col min="9479" max="9479" width="2" style="631" bestFit="1" customWidth="1"/>
    <col min="9480" max="9728" width="9.33203125" style="631"/>
    <col min="9729" max="9729" width="17.83203125" style="631" customWidth="1"/>
    <col min="9730" max="9730" width="15.5" style="631" customWidth="1"/>
    <col min="9731" max="9731" width="17.5" style="631" customWidth="1"/>
    <col min="9732" max="9732" width="16.6640625" style="631" customWidth="1"/>
    <col min="9733" max="9733" width="19.5" style="631" customWidth="1"/>
    <col min="9734" max="9734" width="13.5" style="631" customWidth="1"/>
    <col min="9735" max="9735" width="2" style="631" bestFit="1" customWidth="1"/>
    <col min="9736" max="9984" width="9.33203125" style="631"/>
    <col min="9985" max="9985" width="17.83203125" style="631" customWidth="1"/>
    <col min="9986" max="9986" width="15.5" style="631" customWidth="1"/>
    <col min="9987" max="9987" width="17.5" style="631" customWidth="1"/>
    <col min="9988" max="9988" width="16.6640625" style="631" customWidth="1"/>
    <col min="9989" max="9989" width="19.5" style="631" customWidth="1"/>
    <col min="9990" max="9990" width="13.5" style="631" customWidth="1"/>
    <col min="9991" max="9991" width="2" style="631" bestFit="1" customWidth="1"/>
    <col min="9992" max="10240" width="9.33203125" style="631"/>
    <col min="10241" max="10241" width="17.83203125" style="631" customWidth="1"/>
    <col min="10242" max="10242" width="15.5" style="631" customWidth="1"/>
    <col min="10243" max="10243" width="17.5" style="631" customWidth="1"/>
    <col min="10244" max="10244" width="16.6640625" style="631" customWidth="1"/>
    <col min="10245" max="10245" width="19.5" style="631" customWidth="1"/>
    <col min="10246" max="10246" width="13.5" style="631" customWidth="1"/>
    <col min="10247" max="10247" width="2" style="631" bestFit="1" customWidth="1"/>
    <col min="10248" max="10496" width="9.33203125" style="631"/>
    <col min="10497" max="10497" width="17.83203125" style="631" customWidth="1"/>
    <col min="10498" max="10498" width="15.5" style="631" customWidth="1"/>
    <col min="10499" max="10499" width="17.5" style="631" customWidth="1"/>
    <col min="10500" max="10500" width="16.6640625" style="631" customWidth="1"/>
    <col min="10501" max="10501" width="19.5" style="631" customWidth="1"/>
    <col min="10502" max="10502" width="13.5" style="631" customWidth="1"/>
    <col min="10503" max="10503" width="2" style="631" bestFit="1" customWidth="1"/>
    <col min="10504" max="10752" width="9.33203125" style="631"/>
    <col min="10753" max="10753" width="17.83203125" style="631" customWidth="1"/>
    <col min="10754" max="10754" width="15.5" style="631" customWidth="1"/>
    <col min="10755" max="10755" width="17.5" style="631" customWidth="1"/>
    <col min="10756" max="10756" width="16.6640625" style="631" customWidth="1"/>
    <col min="10757" max="10757" width="19.5" style="631" customWidth="1"/>
    <col min="10758" max="10758" width="13.5" style="631" customWidth="1"/>
    <col min="10759" max="10759" width="2" style="631" bestFit="1" customWidth="1"/>
    <col min="10760" max="11008" width="9.33203125" style="631"/>
    <col min="11009" max="11009" width="17.83203125" style="631" customWidth="1"/>
    <col min="11010" max="11010" width="15.5" style="631" customWidth="1"/>
    <col min="11011" max="11011" width="17.5" style="631" customWidth="1"/>
    <col min="11012" max="11012" width="16.6640625" style="631" customWidth="1"/>
    <col min="11013" max="11013" width="19.5" style="631" customWidth="1"/>
    <col min="11014" max="11014" width="13.5" style="631" customWidth="1"/>
    <col min="11015" max="11015" width="2" style="631" bestFit="1" customWidth="1"/>
    <col min="11016" max="11264" width="9.33203125" style="631"/>
    <col min="11265" max="11265" width="17.83203125" style="631" customWidth="1"/>
    <col min="11266" max="11266" width="15.5" style="631" customWidth="1"/>
    <col min="11267" max="11267" width="17.5" style="631" customWidth="1"/>
    <col min="11268" max="11268" width="16.6640625" style="631" customWidth="1"/>
    <col min="11269" max="11269" width="19.5" style="631" customWidth="1"/>
    <col min="11270" max="11270" width="13.5" style="631" customWidth="1"/>
    <col min="11271" max="11271" width="2" style="631" bestFit="1" customWidth="1"/>
    <col min="11272" max="11520" width="9.33203125" style="631"/>
    <col min="11521" max="11521" width="17.83203125" style="631" customWidth="1"/>
    <col min="11522" max="11522" width="15.5" style="631" customWidth="1"/>
    <col min="11523" max="11523" width="17.5" style="631" customWidth="1"/>
    <col min="11524" max="11524" width="16.6640625" style="631" customWidth="1"/>
    <col min="11525" max="11525" width="19.5" style="631" customWidth="1"/>
    <col min="11526" max="11526" width="13.5" style="631" customWidth="1"/>
    <col min="11527" max="11527" width="2" style="631" bestFit="1" customWidth="1"/>
    <col min="11528" max="11776" width="9.33203125" style="631"/>
    <col min="11777" max="11777" width="17.83203125" style="631" customWidth="1"/>
    <col min="11778" max="11778" width="15.5" style="631" customWidth="1"/>
    <col min="11779" max="11779" width="17.5" style="631" customWidth="1"/>
    <col min="11780" max="11780" width="16.6640625" style="631" customWidth="1"/>
    <col min="11781" max="11781" width="19.5" style="631" customWidth="1"/>
    <col min="11782" max="11782" width="13.5" style="631" customWidth="1"/>
    <col min="11783" max="11783" width="2" style="631" bestFit="1" customWidth="1"/>
    <col min="11784" max="12032" width="9.33203125" style="631"/>
    <col min="12033" max="12033" width="17.83203125" style="631" customWidth="1"/>
    <col min="12034" max="12034" width="15.5" style="631" customWidth="1"/>
    <col min="12035" max="12035" width="17.5" style="631" customWidth="1"/>
    <col min="12036" max="12036" width="16.6640625" style="631" customWidth="1"/>
    <col min="12037" max="12037" width="19.5" style="631" customWidth="1"/>
    <col min="12038" max="12038" width="13.5" style="631" customWidth="1"/>
    <col min="12039" max="12039" width="2" style="631" bestFit="1" customWidth="1"/>
    <col min="12040" max="12288" width="9.33203125" style="631"/>
    <col min="12289" max="12289" width="17.83203125" style="631" customWidth="1"/>
    <col min="12290" max="12290" width="15.5" style="631" customWidth="1"/>
    <col min="12291" max="12291" width="17.5" style="631" customWidth="1"/>
    <col min="12292" max="12292" width="16.6640625" style="631" customWidth="1"/>
    <col min="12293" max="12293" width="19.5" style="631" customWidth="1"/>
    <col min="12294" max="12294" width="13.5" style="631" customWidth="1"/>
    <col min="12295" max="12295" width="2" style="631" bestFit="1" customWidth="1"/>
    <col min="12296" max="12544" width="9.33203125" style="631"/>
    <col min="12545" max="12545" width="17.83203125" style="631" customWidth="1"/>
    <col min="12546" max="12546" width="15.5" style="631" customWidth="1"/>
    <col min="12547" max="12547" width="17.5" style="631" customWidth="1"/>
    <col min="12548" max="12548" width="16.6640625" style="631" customWidth="1"/>
    <col min="12549" max="12549" width="19.5" style="631" customWidth="1"/>
    <col min="12550" max="12550" width="13.5" style="631" customWidth="1"/>
    <col min="12551" max="12551" width="2" style="631" bestFit="1" customWidth="1"/>
    <col min="12552" max="12800" width="9.33203125" style="631"/>
    <col min="12801" max="12801" width="17.83203125" style="631" customWidth="1"/>
    <col min="12802" max="12802" width="15.5" style="631" customWidth="1"/>
    <col min="12803" max="12803" width="17.5" style="631" customWidth="1"/>
    <col min="12804" max="12804" width="16.6640625" style="631" customWidth="1"/>
    <col min="12805" max="12805" width="19.5" style="631" customWidth="1"/>
    <col min="12806" max="12806" width="13.5" style="631" customWidth="1"/>
    <col min="12807" max="12807" width="2" style="631" bestFit="1" customWidth="1"/>
    <col min="12808" max="13056" width="9.33203125" style="631"/>
    <col min="13057" max="13057" width="17.83203125" style="631" customWidth="1"/>
    <col min="13058" max="13058" width="15.5" style="631" customWidth="1"/>
    <col min="13059" max="13059" width="17.5" style="631" customWidth="1"/>
    <col min="13060" max="13060" width="16.6640625" style="631" customWidth="1"/>
    <col min="13061" max="13061" width="19.5" style="631" customWidth="1"/>
    <col min="13062" max="13062" width="13.5" style="631" customWidth="1"/>
    <col min="13063" max="13063" width="2" style="631" bestFit="1" customWidth="1"/>
    <col min="13064" max="13312" width="9.33203125" style="631"/>
    <col min="13313" max="13313" width="17.83203125" style="631" customWidth="1"/>
    <col min="13314" max="13314" width="15.5" style="631" customWidth="1"/>
    <col min="13315" max="13315" width="17.5" style="631" customWidth="1"/>
    <col min="13316" max="13316" width="16.6640625" style="631" customWidth="1"/>
    <col min="13317" max="13317" width="19.5" style="631" customWidth="1"/>
    <col min="13318" max="13318" width="13.5" style="631" customWidth="1"/>
    <col min="13319" max="13319" width="2" style="631" bestFit="1" customWidth="1"/>
    <col min="13320" max="13568" width="9.33203125" style="631"/>
    <col min="13569" max="13569" width="17.83203125" style="631" customWidth="1"/>
    <col min="13570" max="13570" width="15.5" style="631" customWidth="1"/>
    <col min="13571" max="13571" width="17.5" style="631" customWidth="1"/>
    <col min="13572" max="13572" width="16.6640625" style="631" customWidth="1"/>
    <col min="13573" max="13573" width="19.5" style="631" customWidth="1"/>
    <col min="13574" max="13574" width="13.5" style="631" customWidth="1"/>
    <col min="13575" max="13575" width="2" style="631" bestFit="1" customWidth="1"/>
    <col min="13576" max="13824" width="9.33203125" style="631"/>
    <col min="13825" max="13825" width="17.83203125" style="631" customWidth="1"/>
    <col min="13826" max="13826" width="15.5" style="631" customWidth="1"/>
    <col min="13827" max="13827" width="17.5" style="631" customWidth="1"/>
    <col min="13828" max="13828" width="16.6640625" style="631" customWidth="1"/>
    <col min="13829" max="13829" width="19.5" style="631" customWidth="1"/>
    <col min="13830" max="13830" width="13.5" style="631" customWidth="1"/>
    <col min="13831" max="13831" width="2" style="631" bestFit="1" customWidth="1"/>
    <col min="13832" max="14080" width="9.33203125" style="631"/>
    <col min="14081" max="14081" width="17.83203125" style="631" customWidth="1"/>
    <col min="14082" max="14082" width="15.5" style="631" customWidth="1"/>
    <col min="14083" max="14083" width="17.5" style="631" customWidth="1"/>
    <col min="14084" max="14084" width="16.6640625" style="631" customWidth="1"/>
    <col min="14085" max="14085" width="19.5" style="631" customWidth="1"/>
    <col min="14086" max="14086" width="13.5" style="631" customWidth="1"/>
    <col min="14087" max="14087" width="2" style="631" bestFit="1" customWidth="1"/>
    <col min="14088" max="14336" width="9.33203125" style="631"/>
    <col min="14337" max="14337" width="17.83203125" style="631" customWidth="1"/>
    <col min="14338" max="14338" width="15.5" style="631" customWidth="1"/>
    <col min="14339" max="14339" width="17.5" style="631" customWidth="1"/>
    <col min="14340" max="14340" width="16.6640625" style="631" customWidth="1"/>
    <col min="14341" max="14341" width="19.5" style="631" customWidth="1"/>
    <col min="14342" max="14342" width="13.5" style="631" customWidth="1"/>
    <col min="14343" max="14343" width="2" style="631" bestFit="1" customWidth="1"/>
    <col min="14344" max="14592" width="9.33203125" style="631"/>
    <col min="14593" max="14593" width="17.83203125" style="631" customWidth="1"/>
    <col min="14594" max="14594" width="15.5" style="631" customWidth="1"/>
    <col min="14595" max="14595" width="17.5" style="631" customWidth="1"/>
    <col min="14596" max="14596" width="16.6640625" style="631" customWidth="1"/>
    <col min="14597" max="14597" width="19.5" style="631" customWidth="1"/>
    <col min="14598" max="14598" width="13.5" style="631" customWidth="1"/>
    <col min="14599" max="14599" width="2" style="631" bestFit="1" customWidth="1"/>
    <col min="14600" max="14848" width="9.33203125" style="631"/>
    <col min="14849" max="14849" width="17.83203125" style="631" customWidth="1"/>
    <col min="14850" max="14850" width="15.5" style="631" customWidth="1"/>
    <col min="14851" max="14851" width="17.5" style="631" customWidth="1"/>
    <col min="14852" max="14852" width="16.6640625" style="631" customWidth="1"/>
    <col min="14853" max="14853" width="19.5" style="631" customWidth="1"/>
    <col min="14854" max="14854" width="13.5" style="631" customWidth="1"/>
    <col min="14855" max="14855" width="2" style="631" bestFit="1" customWidth="1"/>
    <col min="14856" max="15104" width="9.33203125" style="631"/>
    <col min="15105" max="15105" width="17.83203125" style="631" customWidth="1"/>
    <col min="15106" max="15106" width="15.5" style="631" customWidth="1"/>
    <col min="15107" max="15107" width="17.5" style="631" customWidth="1"/>
    <col min="15108" max="15108" width="16.6640625" style="631" customWidth="1"/>
    <col min="15109" max="15109" width="19.5" style="631" customWidth="1"/>
    <col min="15110" max="15110" width="13.5" style="631" customWidth="1"/>
    <col min="15111" max="15111" width="2" style="631" bestFit="1" customWidth="1"/>
    <col min="15112" max="15360" width="9.33203125" style="631"/>
    <col min="15361" max="15361" width="17.83203125" style="631" customWidth="1"/>
    <col min="15362" max="15362" width="15.5" style="631" customWidth="1"/>
    <col min="15363" max="15363" width="17.5" style="631" customWidth="1"/>
    <col min="15364" max="15364" width="16.6640625" style="631" customWidth="1"/>
    <col min="15365" max="15365" width="19.5" style="631" customWidth="1"/>
    <col min="15366" max="15366" width="13.5" style="631" customWidth="1"/>
    <col min="15367" max="15367" width="2" style="631" bestFit="1" customWidth="1"/>
    <col min="15368" max="15616" width="9.33203125" style="631"/>
    <col min="15617" max="15617" width="17.83203125" style="631" customWidth="1"/>
    <col min="15618" max="15618" width="15.5" style="631" customWidth="1"/>
    <col min="15619" max="15619" width="17.5" style="631" customWidth="1"/>
    <col min="15620" max="15620" width="16.6640625" style="631" customWidth="1"/>
    <col min="15621" max="15621" width="19.5" style="631" customWidth="1"/>
    <col min="15622" max="15622" width="13.5" style="631" customWidth="1"/>
    <col min="15623" max="15623" width="2" style="631" bestFit="1" customWidth="1"/>
    <col min="15624" max="15872" width="9.33203125" style="631"/>
    <col min="15873" max="15873" width="17.83203125" style="631" customWidth="1"/>
    <col min="15874" max="15874" width="15.5" style="631" customWidth="1"/>
    <col min="15875" max="15875" width="17.5" style="631" customWidth="1"/>
    <col min="15876" max="15876" width="16.6640625" style="631" customWidth="1"/>
    <col min="15877" max="15877" width="19.5" style="631" customWidth="1"/>
    <col min="15878" max="15878" width="13.5" style="631" customWidth="1"/>
    <col min="15879" max="15879" width="2" style="631" bestFit="1" customWidth="1"/>
    <col min="15880" max="16128" width="9.33203125" style="631"/>
    <col min="16129" max="16129" width="17.83203125" style="631" customWidth="1"/>
    <col min="16130" max="16130" width="15.5" style="631" customWidth="1"/>
    <col min="16131" max="16131" width="17.5" style="631" customWidth="1"/>
    <col min="16132" max="16132" width="16.6640625" style="631" customWidth="1"/>
    <col min="16133" max="16133" width="19.5" style="631" customWidth="1"/>
    <col min="16134" max="16134" width="13.5" style="631" customWidth="1"/>
    <col min="16135" max="16135" width="2" style="631" bestFit="1" customWidth="1"/>
    <col min="16136" max="16384" width="9.33203125" style="631"/>
  </cols>
  <sheetData>
    <row r="1" spans="1:6" s="672" customFormat="1">
      <c r="A1" s="671" t="s">
        <v>1109</v>
      </c>
      <c r="B1" s="671"/>
      <c r="C1" s="671"/>
      <c r="D1" s="671"/>
      <c r="E1" s="671"/>
      <c r="F1" s="671"/>
    </row>
    <row r="2" spans="1:6" s="672" customFormat="1">
      <c r="A2" s="671" t="s">
        <v>1110</v>
      </c>
      <c r="B2" s="671"/>
      <c r="C2" s="671"/>
      <c r="D2" s="671"/>
      <c r="E2" s="671"/>
      <c r="F2" s="671"/>
    </row>
    <row r="3" spans="1:6" s="672" customFormat="1">
      <c r="A3" s="671" t="s">
        <v>1111</v>
      </c>
      <c r="B3" s="671"/>
      <c r="C3" s="671"/>
      <c r="D3" s="671"/>
      <c r="E3" s="671"/>
      <c r="F3" s="671"/>
    </row>
    <row r="4" spans="1:6" s="672" customFormat="1">
      <c r="A4" s="673" t="s">
        <v>447</v>
      </c>
      <c r="B4" s="671"/>
      <c r="C4" s="671"/>
      <c r="D4" s="671"/>
      <c r="E4" s="671"/>
      <c r="F4" s="671"/>
    </row>
    <row r="5" spans="1:6">
      <c r="A5" s="2945"/>
      <c r="B5" s="2945"/>
      <c r="C5" s="2945"/>
      <c r="D5" s="2945"/>
      <c r="E5" s="2945"/>
      <c r="F5" s="2945"/>
    </row>
    <row r="6" spans="1:6">
      <c r="A6" s="673"/>
      <c r="B6" s="674"/>
      <c r="C6" s="674"/>
      <c r="D6" s="674"/>
      <c r="E6" s="674"/>
      <c r="F6" s="674"/>
    </row>
    <row r="7" spans="1:6">
      <c r="A7" s="673"/>
      <c r="B7" s="674"/>
      <c r="C7" s="674"/>
      <c r="D7" s="674" t="s">
        <v>381</v>
      </c>
      <c r="E7" s="674"/>
      <c r="F7" s="674" t="s">
        <v>1096</v>
      </c>
    </row>
    <row r="8" spans="1:6">
      <c r="A8" s="675"/>
      <c r="B8" s="674" t="s">
        <v>164</v>
      </c>
      <c r="C8" s="674" t="s">
        <v>165</v>
      </c>
      <c r="D8" s="674" t="s">
        <v>382</v>
      </c>
      <c r="E8" s="674" t="s">
        <v>164</v>
      </c>
      <c r="F8" s="674" t="s">
        <v>1097</v>
      </c>
    </row>
    <row r="9" spans="1:6" ht="13.5" customHeight="1">
      <c r="A9" s="676" t="s">
        <v>1098</v>
      </c>
      <c r="B9" s="676" t="s">
        <v>1097</v>
      </c>
      <c r="C9" s="676" t="s">
        <v>167</v>
      </c>
      <c r="D9" s="674" t="s">
        <v>124</v>
      </c>
      <c r="E9" s="676" t="s">
        <v>167</v>
      </c>
      <c r="F9" s="676" t="s">
        <v>1099</v>
      </c>
    </row>
    <row r="10" spans="1:6" ht="13.5" customHeight="1">
      <c r="A10" s="677"/>
      <c r="B10" s="677" t="s">
        <v>1112</v>
      </c>
      <c r="C10" s="677" t="s">
        <v>1113</v>
      </c>
      <c r="D10" s="677" t="s">
        <v>1114</v>
      </c>
      <c r="E10" s="677" t="s">
        <v>1115</v>
      </c>
      <c r="F10" s="677" t="s">
        <v>1116</v>
      </c>
    </row>
    <row r="11" spans="1:6" ht="13.5" customHeight="1">
      <c r="A11" s="676"/>
      <c r="B11" s="642" t="s">
        <v>1100</v>
      </c>
      <c r="C11" s="641" t="s">
        <v>1101</v>
      </c>
      <c r="D11" s="641" t="s">
        <v>1101</v>
      </c>
      <c r="E11" s="641" t="s">
        <v>1101</v>
      </c>
      <c r="F11" s="676"/>
    </row>
    <row r="12" spans="1:6">
      <c r="A12" s="678" t="s">
        <v>1102</v>
      </c>
      <c r="B12" s="679">
        <f>B20</f>
        <v>3389028.06</v>
      </c>
      <c r="C12" s="680">
        <f>C20</f>
        <v>1224844682</v>
      </c>
      <c r="D12" s="680">
        <f>D20</f>
        <v>17471949</v>
      </c>
      <c r="E12" s="681">
        <f>C12-D12</f>
        <v>1207372733</v>
      </c>
      <c r="F12" s="682">
        <f>ROUND(B12/E12,9)</f>
        <v>2.806944E-3</v>
      </c>
    </row>
    <row r="13" spans="1:6">
      <c r="A13" s="678" t="s">
        <v>1103</v>
      </c>
      <c r="B13" s="679">
        <f t="shared" ref="B13:D14" si="0">B21</f>
        <v>3664591.5999999996</v>
      </c>
      <c r="C13" s="680">
        <f t="shared" si="0"/>
        <v>1193302341</v>
      </c>
      <c r="D13" s="680">
        <f t="shared" si="0"/>
        <v>17237406</v>
      </c>
      <c r="E13" s="681">
        <f>C13-D13</f>
        <v>1176064935</v>
      </c>
      <c r="F13" s="682">
        <f>ROUND(B13/E13,9)</f>
        <v>3.1159769999999998E-3</v>
      </c>
    </row>
    <row r="14" spans="1:6">
      <c r="A14" s="678" t="s">
        <v>1104</v>
      </c>
      <c r="B14" s="679">
        <f t="shared" si="0"/>
        <v>5677035.8600000003</v>
      </c>
      <c r="C14" s="680">
        <f t="shared" si="0"/>
        <v>1279928250.71</v>
      </c>
      <c r="D14" s="683">
        <f t="shared" si="0"/>
        <v>19180942.879999999</v>
      </c>
      <c r="E14" s="681">
        <f>C14-D14</f>
        <v>1260747307.8299999</v>
      </c>
      <c r="F14" s="682">
        <f>ROUND(B14/E14,9)</f>
        <v>4.5029129999999999E-3</v>
      </c>
    </row>
    <row r="16" spans="1:6" ht="13.5" thickBot="1">
      <c r="A16" s="672" t="s">
        <v>1117</v>
      </c>
      <c r="B16" s="684">
        <f>SUM(B12:B15)/3</f>
        <v>4243551.84</v>
      </c>
      <c r="C16" s="684">
        <f>SUM(C12:C15)/3</f>
        <v>1232691757.9033334</v>
      </c>
      <c r="D16" s="684">
        <f>SUM(D12:D15)/3</f>
        <v>17963432.626666665</v>
      </c>
      <c r="E16" s="684">
        <f>SUM(E12:E15)/3</f>
        <v>1214728325.2766666</v>
      </c>
      <c r="F16" s="685">
        <f>SUM(F12:F14)/3</f>
        <v>3.4752779999999996E-3</v>
      </c>
    </row>
    <row r="17" spans="1:8" ht="13.5" thickTop="1">
      <c r="A17" s="672"/>
      <c r="B17" s="686"/>
      <c r="C17" s="686"/>
      <c r="D17" s="686"/>
      <c r="E17" s="686"/>
      <c r="F17" s="687"/>
    </row>
    <row r="19" spans="1:8" s="690" customFormat="1">
      <c r="A19" s="678" t="s">
        <v>1118</v>
      </c>
      <c r="B19" s="688">
        <f>'6.09G - Writeoffs'!B67</f>
        <v>2284691.59</v>
      </c>
      <c r="C19" s="681">
        <f>'6.09G - 12ME 8-2006'!E36</f>
        <v>1073441559</v>
      </c>
      <c r="D19" s="681">
        <f>'6.09G - 12ME 8-2006'!E34</f>
        <v>16516411</v>
      </c>
      <c r="E19" s="681">
        <f>C19-D19</f>
        <v>1056925148</v>
      </c>
      <c r="F19" s="689">
        <f>ROUND(B19/E19,9)</f>
        <v>2.1616399999999998E-3</v>
      </c>
      <c r="G19" s="690" t="s">
        <v>1119</v>
      </c>
    </row>
    <row r="20" spans="1:8" s="690" customFormat="1">
      <c r="A20" s="678" t="s">
        <v>1102</v>
      </c>
      <c r="B20" s="688">
        <f>'6.09G - Writeoffs'!B54</f>
        <v>3389028.06</v>
      </c>
      <c r="C20" s="681">
        <f>'6.09G - 12ME 8-2007'!E36</f>
        <v>1224844682</v>
      </c>
      <c r="D20" s="681">
        <f>'6.09G - 12ME 8-2007'!E34</f>
        <v>17471949</v>
      </c>
      <c r="E20" s="681">
        <f>C20-D20</f>
        <v>1207372733</v>
      </c>
      <c r="F20" s="689">
        <f>ROUND(B20/E20,9)</f>
        <v>2.806944E-3</v>
      </c>
    </row>
    <row r="21" spans="1:8" s="690" customFormat="1">
      <c r="A21" s="678" t="s">
        <v>1103</v>
      </c>
      <c r="B21" s="688">
        <f>'6.09G - Writeoffs'!B41</f>
        <v>3664591.5999999996</v>
      </c>
      <c r="C21" s="681">
        <f>'6.09G - 12ME 8-2008'!E36</f>
        <v>1193302341</v>
      </c>
      <c r="D21" s="681">
        <f>'6.09G - 12ME 8-2008'!E34</f>
        <v>17237406</v>
      </c>
      <c r="E21" s="681">
        <f>C21-D21</f>
        <v>1176064935</v>
      </c>
      <c r="F21" s="689">
        <f>ROUND(B21/E21,9)</f>
        <v>3.1159769999999998E-3</v>
      </c>
    </row>
    <row r="22" spans="1:8" s="690" customFormat="1">
      <c r="A22" s="678" t="s">
        <v>1104</v>
      </c>
      <c r="B22" s="688">
        <f>'6.09G - Writeoffs'!B28</f>
        <v>5677035.8600000003</v>
      </c>
      <c r="C22" s="681">
        <f>'6.09G - 12ME 8-2009'!E36</f>
        <v>1279928250.71</v>
      </c>
      <c r="D22" s="681">
        <f>'6.09G - 12ME 8-2009'!E34</f>
        <v>19180942.879999999</v>
      </c>
      <c r="E22" s="681">
        <f>C22-D22</f>
        <v>1260747307.8299999</v>
      </c>
      <c r="F22" s="689">
        <f>ROUND(B22/E22,9)</f>
        <v>4.5029129999999999E-3</v>
      </c>
    </row>
    <row r="23" spans="1:8">
      <c r="A23" s="2097" t="s">
        <v>1120</v>
      </c>
      <c r="B23" s="2098">
        <f>'6.09G - Writeoffs'!B15</f>
        <v>5604856.0500000007</v>
      </c>
      <c r="C23" s="2099">
        <f>'6.09G - 12ME 8-2010'!E36</f>
        <v>1017288586.86</v>
      </c>
      <c r="D23" s="2099">
        <f>'6.09G - 12ME 8-2010'!E34</f>
        <v>16117006.41</v>
      </c>
      <c r="E23" s="2099">
        <f>C23-D23</f>
        <v>1001171580.45</v>
      </c>
      <c r="F23" s="2100">
        <f>ROUND(B23/E23,9)</f>
        <v>5.5982970000000003E-3</v>
      </c>
      <c r="G23" s="631" t="s">
        <v>1119</v>
      </c>
      <c r="H23" s="2101" t="s">
        <v>716</v>
      </c>
    </row>
    <row r="24" spans="1:8">
      <c r="A24" s="691"/>
      <c r="B24" s="692"/>
      <c r="C24" s="693"/>
      <c r="D24" s="693"/>
      <c r="E24" s="693"/>
      <c r="F24" s="682"/>
      <c r="G24" s="672"/>
    </row>
    <row r="25" spans="1:8">
      <c r="A25" s="672"/>
      <c r="C25" s="694"/>
      <c r="D25" s="695"/>
    </row>
    <row r="26" spans="1:8">
      <c r="A26" s="672" t="s">
        <v>1121</v>
      </c>
      <c r="B26" s="692"/>
      <c r="C26" s="693"/>
      <c r="D26" s="693"/>
      <c r="E26" s="693"/>
      <c r="F26" s="682"/>
      <c r="G26" s="672"/>
    </row>
    <row r="27" spans="1:8">
      <c r="C27" s="694"/>
      <c r="D27" s="695"/>
    </row>
  </sheetData>
  <mergeCells count="1">
    <mergeCell ref="A5:F5"/>
  </mergeCells>
  <pageMargins left="0.75" right="0.46" top="0.75" bottom="1" header="0.5" footer="0.5"/>
  <pageSetup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39997558519241921"/>
  </sheetPr>
  <dimension ref="A1:E117"/>
  <sheetViews>
    <sheetView topLeftCell="A21" zoomScaleNormal="100" workbookViewId="0">
      <selection activeCell="B52" sqref="B52"/>
    </sheetView>
  </sheetViews>
  <sheetFormatPr defaultRowHeight="15"/>
  <cols>
    <col min="1" max="1" width="73.83203125" style="697" customWidth="1"/>
    <col min="2" max="2" width="23.6640625" style="697" customWidth="1"/>
    <col min="3" max="256" width="9.33203125" style="697"/>
    <col min="257" max="257" width="73.83203125" style="697" customWidth="1"/>
    <col min="258" max="258" width="23.6640625" style="697" customWidth="1"/>
    <col min="259" max="512" width="9.33203125" style="697"/>
    <col min="513" max="513" width="73.83203125" style="697" customWidth="1"/>
    <col min="514" max="514" width="23.6640625" style="697" customWidth="1"/>
    <col min="515" max="768" width="9.33203125" style="697"/>
    <col min="769" max="769" width="73.83203125" style="697" customWidth="1"/>
    <col min="770" max="770" width="23.6640625" style="697" customWidth="1"/>
    <col min="771" max="1024" width="9.33203125" style="697"/>
    <col min="1025" max="1025" width="73.83203125" style="697" customWidth="1"/>
    <col min="1026" max="1026" width="23.6640625" style="697" customWidth="1"/>
    <col min="1027" max="1280" width="9.33203125" style="697"/>
    <col min="1281" max="1281" width="73.83203125" style="697" customWidth="1"/>
    <col min="1282" max="1282" width="23.6640625" style="697" customWidth="1"/>
    <col min="1283" max="1536" width="9.33203125" style="697"/>
    <col min="1537" max="1537" width="73.83203125" style="697" customWidth="1"/>
    <col min="1538" max="1538" width="23.6640625" style="697" customWidth="1"/>
    <col min="1539" max="1792" width="9.33203125" style="697"/>
    <col min="1793" max="1793" width="73.83203125" style="697" customWidth="1"/>
    <col min="1794" max="1794" width="23.6640625" style="697" customWidth="1"/>
    <col min="1795" max="2048" width="9.33203125" style="697"/>
    <col min="2049" max="2049" width="73.83203125" style="697" customWidth="1"/>
    <col min="2050" max="2050" width="23.6640625" style="697" customWidth="1"/>
    <col min="2051" max="2304" width="9.33203125" style="697"/>
    <col min="2305" max="2305" width="73.83203125" style="697" customWidth="1"/>
    <col min="2306" max="2306" width="23.6640625" style="697" customWidth="1"/>
    <col min="2307" max="2560" width="9.33203125" style="697"/>
    <col min="2561" max="2561" width="73.83203125" style="697" customWidth="1"/>
    <col min="2562" max="2562" width="23.6640625" style="697" customWidth="1"/>
    <col min="2563" max="2816" width="9.33203125" style="697"/>
    <col min="2817" max="2817" width="73.83203125" style="697" customWidth="1"/>
    <col min="2818" max="2818" width="23.6640625" style="697" customWidth="1"/>
    <col min="2819" max="3072" width="9.33203125" style="697"/>
    <col min="3073" max="3073" width="73.83203125" style="697" customWidth="1"/>
    <col min="3074" max="3074" width="23.6640625" style="697" customWidth="1"/>
    <col min="3075" max="3328" width="9.33203125" style="697"/>
    <col min="3329" max="3329" width="73.83203125" style="697" customWidth="1"/>
    <col min="3330" max="3330" width="23.6640625" style="697" customWidth="1"/>
    <col min="3331" max="3584" width="9.33203125" style="697"/>
    <col min="3585" max="3585" width="73.83203125" style="697" customWidth="1"/>
    <col min="3586" max="3586" width="23.6640625" style="697" customWidth="1"/>
    <col min="3587" max="3840" width="9.33203125" style="697"/>
    <col min="3841" max="3841" width="73.83203125" style="697" customWidth="1"/>
    <col min="3842" max="3842" width="23.6640625" style="697" customWidth="1"/>
    <col min="3843" max="4096" width="9.33203125" style="697"/>
    <col min="4097" max="4097" width="73.83203125" style="697" customWidth="1"/>
    <col min="4098" max="4098" width="23.6640625" style="697" customWidth="1"/>
    <col min="4099" max="4352" width="9.33203125" style="697"/>
    <col min="4353" max="4353" width="73.83203125" style="697" customWidth="1"/>
    <col min="4354" max="4354" width="23.6640625" style="697" customWidth="1"/>
    <col min="4355" max="4608" width="9.33203125" style="697"/>
    <col min="4609" max="4609" width="73.83203125" style="697" customWidth="1"/>
    <col min="4610" max="4610" width="23.6640625" style="697" customWidth="1"/>
    <col min="4611" max="4864" width="9.33203125" style="697"/>
    <col min="4865" max="4865" width="73.83203125" style="697" customWidth="1"/>
    <col min="4866" max="4866" width="23.6640625" style="697" customWidth="1"/>
    <col min="4867" max="5120" width="9.33203125" style="697"/>
    <col min="5121" max="5121" width="73.83203125" style="697" customWidth="1"/>
    <col min="5122" max="5122" width="23.6640625" style="697" customWidth="1"/>
    <col min="5123" max="5376" width="9.33203125" style="697"/>
    <col min="5377" max="5377" width="73.83203125" style="697" customWidth="1"/>
    <col min="5378" max="5378" width="23.6640625" style="697" customWidth="1"/>
    <col min="5379" max="5632" width="9.33203125" style="697"/>
    <col min="5633" max="5633" width="73.83203125" style="697" customWidth="1"/>
    <col min="5634" max="5634" width="23.6640625" style="697" customWidth="1"/>
    <col min="5635" max="5888" width="9.33203125" style="697"/>
    <col min="5889" max="5889" width="73.83203125" style="697" customWidth="1"/>
    <col min="5890" max="5890" width="23.6640625" style="697" customWidth="1"/>
    <col min="5891" max="6144" width="9.33203125" style="697"/>
    <col min="6145" max="6145" width="73.83203125" style="697" customWidth="1"/>
    <col min="6146" max="6146" width="23.6640625" style="697" customWidth="1"/>
    <col min="6147" max="6400" width="9.33203125" style="697"/>
    <col min="6401" max="6401" width="73.83203125" style="697" customWidth="1"/>
    <col min="6402" max="6402" width="23.6640625" style="697" customWidth="1"/>
    <col min="6403" max="6656" width="9.33203125" style="697"/>
    <col min="6657" max="6657" width="73.83203125" style="697" customWidth="1"/>
    <col min="6658" max="6658" width="23.6640625" style="697" customWidth="1"/>
    <col min="6659" max="6912" width="9.33203125" style="697"/>
    <col min="6913" max="6913" width="73.83203125" style="697" customWidth="1"/>
    <col min="6914" max="6914" width="23.6640625" style="697" customWidth="1"/>
    <col min="6915" max="7168" width="9.33203125" style="697"/>
    <col min="7169" max="7169" width="73.83203125" style="697" customWidth="1"/>
    <col min="7170" max="7170" width="23.6640625" style="697" customWidth="1"/>
    <col min="7171" max="7424" width="9.33203125" style="697"/>
    <col min="7425" max="7425" width="73.83203125" style="697" customWidth="1"/>
    <col min="7426" max="7426" width="23.6640625" style="697" customWidth="1"/>
    <col min="7427" max="7680" width="9.33203125" style="697"/>
    <col min="7681" max="7681" width="73.83203125" style="697" customWidth="1"/>
    <col min="7682" max="7682" width="23.6640625" style="697" customWidth="1"/>
    <col min="7683" max="7936" width="9.33203125" style="697"/>
    <col min="7937" max="7937" width="73.83203125" style="697" customWidth="1"/>
    <col min="7938" max="7938" width="23.6640625" style="697" customWidth="1"/>
    <col min="7939" max="8192" width="9.33203125" style="697"/>
    <col min="8193" max="8193" width="73.83203125" style="697" customWidth="1"/>
    <col min="8194" max="8194" width="23.6640625" style="697" customWidth="1"/>
    <col min="8195" max="8448" width="9.33203125" style="697"/>
    <col min="8449" max="8449" width="73.83203125" style="697" customWidth="1"/>
    <col min="8450" max="8450" width="23.6640625" style="697" customWidth="1"/>
    <col min="8451" max="8704" width="9.33203125" style="697"/>
    <col min="8705" max="8705" width="73.83203125" style="697" customWidth="1"/>
    <col min="8706" max="8706" width="23.6640625" style="697" customWidth="1"/>
    <col min="8707" max="8960" width="9.33203125" style="697"/>
    <col min="8961" max="8961" width="73.83203125" style="697" customWidth="1"/>
    <col min="8962" max="8962" width="23.6640625" style="697" customWidth="1"/>
    <col min="8963" max="9216" width="9.33203125" style="697"/>
    <col min="9217" max="9217" width="73.83203125" style="697" customWidth="1"/>
    <col min="9218" max="9218" width="23.6640625" style="697" customWidth="1"/>
    <col min="9219" max="9472" width="9.33203125" style="697"/>
    <col min="9473" max="9473" width="73.83203125" style="697" customWidth="1"/>
    <col min="9474" max="9474" width="23.6640625" style="697" customWidth="1"/>
    <col min="9475" max="9728" width="9.33203125" style="697"/>
    <col min="9729" max="9729" width="73.83203125" style="697" customWidth="1"/>
    <col min="9730" max="9730" width="23.6640625" style="697" customWidth="1"/>
    <col min="9731" max="9984" width="9.33203125" style="697"/>
    <col min="9985" max="9985" width="73.83203125" style="697" customWidth="1"/>
    <col min="9986" max="9986" width="23.6640625" style="697" customWidth="1"/>
    <col min="9987" max="10240" width="9.33203125" style="697"/>
    <col min="10241" max="10241" width="73.83203125" style="697" customWidth="1"/>
    <col min="10242" max="10242" width="23.6640625" style="697" customWidth="1"/>
    <col min="10243" max="10496" width="9.33203125" style="697"/>
    <col min="10497" max="10497" width="73.83203125" style="697" customWidth="1"/>
    <col min="10498" max="10498" width="23.6640625" style="697" customWidth="1"/>
    <col min="10499" max="10752" width="9.33203125" style="697"/>
    <col min="10753" max="10753" width="73.83203125" style="697" customWidth="1"/>
    <col min="10754" max="10754" width="23.6640625" style="697" customWidth="1"/>
    <col min="10755" max="11008" width="9.33203125" style="697"/>
    <col min="11009" max="11009" width="73.83203125" style="697" customWidth="1"/>
    <col min="11010" max="11010" width="23.6640625" style="697" customWidth="1"/>
    <col min="11011" max="11264" width="9.33203125" style="697"/>
    <col min="11265" max="11265" width="73.83203125" style="697" customWidth="1"/>
    <col min="11266" max="11266" width="23.6640625" style="697" customWidth="1"/>
    <col min="11267" max="11520" width="9.33203125" style="697"/>
    <col min="11521" max="11521" width="73.83203125" style="697" customWidth="1"/>
    <col min="11522" max="11522" width="23.6640625" style="697" customWidth="1"/>
    <col min="11523" max="11776" width="9.33203125" style="697"/>
    <col min="11777" max="11777" width="73.83203125" style="697" customWidth="1"/>
    <col min="11778" max="11778" width="23.6640625" style="697" customWidth="1"/>
    <col min="11779" max="12032" width="9.33203125" style="697"/>
    <col min="12033" max="12033" width="73.83203125" style="697" customWidth="1"/>
    <col min="12034" max="12034" width="23.6640625" style="697" customWidth="1"/>
    <col min="12035" max="12288" width="9.33203125" style="697"/>
    <col min="12289" max="12289" width="73.83203125" style="697" customWidth="1"/>
    <col min="12290" max="12290" width="23.6640625" style="697" customWidth="1"/>
    <col min="12291" max="12544" width="9.33203125" style="697"/>
    <col min="12545" max="12545" width="73.83203125" style="697" customWidth="1"/>
    <col min="12546" max="12546" width="23.6640625" style="697" customWidth="1"/>
    <col min="12547" max="12800" width="9.33203125" style="697"/>
    <col min="12801" max="12801" width="73.83203125" style="697" customWidth="1"/>
    <col min="12802" max="12802" width="23.6640625" style="697" customWidth="1"/>
    <col min="12803" max="13056" width="9.33203125" style="697"/>
    <col min="13057" max="13057" width="73.83203125" style="697" customWidth="1"/>
    <col min="13058" max="13058" width="23.6640625" style="697" customWidth="1"/>
    <col min="13059" max="13312" width="9.33203125" style="697"/>
    <col min="13313" max="13313" width="73.83203125" style="697" customWidth="1"/>
    <col min="13314" max="13314" width="23.6640625" style="697" customWidth="1"/>
    <col min="13315" max="13568" width="9.33203125" style="697"/>
    <col min="13569" max="13569" width="73.83203125" style="697" customWidth="1"/>
    <col min="13570" max="13570" width="23.6640625" style="697" customWidth="1"/>
    <col min="13571" max="13824" width="9.33203125" style="697"/>
    <col min="13825" max="13825" width="73.83203125" style="697" customWidth="1"/>
    <col min="13826" max="13826" width="23.6640625" style="697" customWidth="1"/>
    <col min="13827" max="14080" width="9.33203125" style="697"/>
    <col min="14081" max="14081" width="73.83203125" style="697" customWidth="1"/>
    <col min="14082" max="14082" width="23.6640625" style="697" customWidth="1"/>
    <col min="14083" max="14336" width="9.33203125" style="697"/>
    <col min="14337" max="14337" width="73.83203125" style="697" customWidth="1"/>
    <col min="14338" max="14338" width="23.6640625" style="697" customWidth="1"/>
    <col min="14339" max="14592" width="9.33203125" style="697"/>
    <col min="14593" max="14593" width="73.83203125" style="697" customWidth="1"/>
    <col min="14594" max="14594" width="23.6640625" style="697" customWidth="1"/>
    <col min="14595" max="14848" width="9.33203125" style="697"/>
    <col min="14849" max="14849" width="73.83203125" style="697" customWidth="1"/>
    <col min="14850" max="14850" width="23.6640625" style="697" customWidth="1"/>
    <col min="14851" max="15104" width="9.33203125" style="697"/>
    <col min="15105" max="15105" width="73.83203125" style="697" customWidth="1"/>
    <col min="15106" max="15106" width="23.6640625" style="697" customWidth="1"/>
    <col min="15107" max="15360" width="9.33203125" style="697"/>
    <col min="15361" max="15361" width="73.83203125" style="697" customWidth="1"/>
    <col min="15362" max="15362" width="23.6640625" style="697" customWidth="1"/>
    <col min="15363" max="15616" width="9.33203125" style="697"/>
    <col min="15617" max="15617" width="73.83203125" style="697" customWidth="1"/>
    <col min="15618" max="15618" width="23.6640625" style="697" customWidth="1"/>
    <col min="15619" max="15872" width="9.33203125" style="697"/>
    <col min="15873" max="15873" width="73.83203125" style="697" customWidth="1"/>
    <col min="15874" max="15874" width="23.6640625" style="697" customWidth="1"/>
    <col min="15875" max="16128" width="9.33203125" style="697"/>
    <col min="16129" max="16129" width="73.83203125" style="697" customWidth="1"/>
    <col min="16130" max="16130" width="23.6640625" style="697" customWidth="1"/>
    <col min="16131" max="16384" width="9.33203125" style="697"/>
  </cols>
  <sheetData>
    <row r="1" spans="1:5">
      <c r="A1" s="696" t="s">
        <v>1122</v>
      </c>
    </row>
    <row r="2" spans="1:5">
      <c r="A2" s="697" t="s">
        <v>1123</v>
      </c>
    </row>
    <row r="3" spans="1:5" ht="8.1" customHeight="1">
      <c r="A3" s="698"/>
      <c r="B3" s="699"/>
    </row>
    <row r="4" spans="1:5">
      <c r="A4" s="700" t="s">
        <v>1124</v>
      </c>
      <c r="B4" s="701"/>
    </row>
    <row r="5" spans="1:5">
      <c r="A5" s="702" t="s">
        <v>1125</v>
      </c>
      <c r="B5" s="703" t="s">
        <v>1126</v>
      </c>
    </row>
    <row r="6" spans="1:5">
      <c r="A6" s="704" t="s">
        <v>1127</v>
      </c>
      <c r="B6" s="705">
        <v>11596412.02</v>
      </c>
    </row>
    <row r="7" spans="1:5">
      <c r="A7" s="704" t="s">
        <v>1128</v>
      </c>
      <c r="B7" s="706">
        <f>SUM(B6)</f>
        <v>11596412.02</v>
      </c>
    </row>
    <row r="8" spans="1:5">
      <c r="A8" s="704" t="s">
        <v>1129</v>
      </c>
      <c r="B8" s="707">
        <v>5886142.1500000004</v>
      </c>
    </row>
    <row r="9" spans="1:5">
      <c r="A9" s="704" t="s">
        <v>1130</v>
      </c>
      <c r="B9" s="708">
        <f>SUM(B8)</f>
        <v>5886142.1500000004</v>
      </c>
    </row>
    <row r="10" spans="1:5">
      <c r="A10" s="704" t="s">
        <v>1131</v>
      </c>
      <c r="B10" s="705">
        <f>B7+B9</f>
        <v>17482554.170000002</v>
      </c>
      <c r="E10" s="709"/>
    </row>
    <row r="11" spans="1:5">
      <c r="A11" s="710" t="s">
        <v>1132</v>
      </c>
      <c r="B11" s="711">
        <f>B10</f>
        <v>17482554.170000002</v>
      </c>
    </row>
    <row r="12" spans="1:5">
      <c r="A12" s="712" t="s">
        <v>1133</v>
      </c>
      <c r="B12" s="713"/>
    </row>
    <row r="13" spans="1:5">
      <c r="A13" s="704" t="s">
        <v>1134</v>
      </c>
      <c r="B13" s="713">
        <f>B9</f>
        <v>5886142.1500000004</v>
      </c>
    </row>
    <row r="14" spans="1:5">
      <c r="A14" s="714" t="s">
        <v>1135</v>
      </c>
      <c r="B14" s="715">
        <f>'6.09G - BS Acct-Gas'!B18</f>
        <v>-281286.09999999998</v>
      </c>
    </row>
    <row r="15" spans="1:5">
      <c r="A15" s="716"/>
      <c r="B15" s="1032">
        <f>SUM(B13:B14)</f>
        <v>5604856.0500000007</v>
      </c>
    </row>
    <row r="16" spans="1:5" ht="8.1" customHeight="1">
      <c r="A16" s="698"/>
      <c r="B16" s="699"/>
    </row>
    <row r="17" spans="1:2">
      <c r="A17" s="700" t="s">
        <v>1136</v>
      </c>
      <c r="B17" s="701"/>
    </row>
    <row r="18" spans="1:2">
      <c r="A18" s="702" t="s">
        <v>1125</v>
      </c>
      <c r="B18" s="703" t="s">
        <v>1126</v>
      </c>
    </row>
    <row r="19" spans="1:2">
      <c r="A19" s="704" t="s">
        <v>1127</v>
      </c>
      <c r="B19" s="705">
        <v>11883572.77</v>
      </c>
    </row>
    <row r="20" spans="1:2">
      <c r="A20" s="704" t="s">
        <v>1128</v>
      </c>
      <c r="B20" s="706">
        <f>SUM(B19)</f>
        <v>11883572.77</v>
      </c>
    </row>
    <row r="21" spans="1:2">
      <c r="A21" s="704" t="s">
        <v>1129</v>
      </c>
      <c r="B21" s="707">
        <v>6155475</v>
      </c>
    </row>
    <row r="22" spans="1:2">
      <c r="A22" s="704" t="s">
        <v>1130</v>
      </c>
      <c r="B22" s="708">
        <f>SUM(B21)</f>
        <v>6155475</v>
      </c>
    </row>
    <row r="23" spans="1:2">
      <c r="A23" s="704" t="s">
        <v>1131</v>
      </c>
      <c r="B23" s="705">
        <f>B20+B22</f>
        <v>18039047.77</v>
      </c>
    </row>
    <row r="24" spans="1:2">
      <c r="A24" s="710" t="s">
        <v>1132</v>
      </c>
      <c r="B24" s="711">
        <f>B23</f>
        <v>18039047.77</v>
      </c>
    </row>
    <row r="25" spans="1:2">
      <c r="A25" s="712" t="s">
        <v>1137</v>
      </c>
      <c r="B25" s="713"/>
    </row>
    <row r="26" spans="1:2">
      <c r="A26" s="704" t="s">
        <v>1134</v>
      </c>
      <c r="B26" s="713">
        <f>B22</f>
        <v>6155475</v>
      </c>
    </row>
    <row r="27" spans="1:2">
      <c r="A27" s="714" t="s">
        <v>1135</v>
      </c>
      <c r="B27" s="715">
        <f>'6.09G - BS Acct-Gas'!C18</f>
        <v>-478439.14</v>
      </c>
    </row>
    <row r="28" spans="1:2">
      <c r="A28" s="716"/>
      <c r="B28" s="1032">
        <f>SUM(B26:B27)</f>
        <v>5677035.8600000003</v>
      </c>
    </row>
    <row r="29" spans="1:2" ht="8.1" customHeight="1">
      <c r="A29" s="698" t="s">
        <v>1138</v>
      </c>
      <c r="B29" s="699"/>
    </row>
    <row r="30" spans="1:2">
      <c r="A30" s="700" t="s">
        <v>1139</v>
      </c>
      <c r="B30" s="701"/>
    </row>
    <row r="31" spans="1:2">
      <c r="A31" s="702" t="s">
        <v>1125</v>
      </c>
      <c r="B31" s="703" t="s">
        <v>1126</v>
      </c>
    </row>
    <row r="32" spans="1:2">
      <c r="A32" s="704" t="s">
        <v>1127</v>
      </c>
      <c r="B32" s="705">
        <v>8976050.8900000006</v>
      </c>
    </row>
    <row r="33" spans="1:2">
      <c r="A33" s="704" t="s">
        <v>1128</v>
      </c>
      <c r="B33" s="706">
        <f>SUM(B32)</f>
        <v>8976050.8900000006</v>
      </c>
    </row>
    <row r="34" spans="1:2">
      <c r="A34" s="704" t="s">
        <v>1129</v>
      </c>
      <c r="B34" s="707">
        <v>4146730.19</v>
      </c>
    </row>
    <row r="35" spans="1:2">
      <c r="A35" s="704" t="s">
        <v>1130</v>
      </c>
      <c r="B35" s="708">
        <f>SUM(B34)</f>
        <v>4146730.19</v>
      </c>
    </row>
    <row r="36" spans="1:2">
      <c r="A36" s="704" t="s">
        <v>1131</v>
      </c>
      <c r="B36" s="705">
        <f>B33+B35</f>
        <v>13122781.08</v>
      </c>
    </row>
    <row r="37" spans="1:2">
      <c r="A37" s="710" t="s">
        <v>1132</v>
      </c>
      <c r="B37" s="711">
        <f>B36</f>
        <v>13122781.08</v>
      </c>
    </row>
    <row r="38" spans="1:2">
      <c r="A38" s="712" t="s">
        <v>1140</v>
      </c>
      <c r="B38" s="713"/>
    </row>
    <row r="39" spans="1:2">
      <c r="A39" s="704" t="s">
        <v>1134</v>
      </c>
      <c r="B39" s="713">
        <f>B35</f>
        <v>4146730.19</v>
      </c>
    </row>
    <row r="40" spans="1:2">
      <c r="A40" s="714" t="s">
        <v>1141</v>
      </c>
      <c r="B40" s="715">
        <f>'6.09G - BS Acct-Gas'!D18</f>
        <v>-482138.59000000008</v>
      </c>
    </row>
    <row r="41" spans="1:2" ht="15" customHeight="1">
      <c r="A41" s="716"/>
      <c r="B41" s="1032">
        <f>SUM(B39:B40)</f>
        <v>3664591.5999999996</v>
      </c>
    </row>
    <row r="42" spans="1:2" ht="8.1" customHeight="1">
      <c r="A42" s="698"/>
      <c r="B42" s="699"/>
    </row>
    <row r="43" spans="1:2">
      <c r="A43" s="700" t="s">
        <v>1142</v>
      </c>
      <c r="B43" s="701"/>
    </row>
    <row r="44" spans="1:2">
      <c r="A44" s="702" t="s">
        <v>1125</v>
      </c>
      <c r="B44" s="703" t="s">
        <v>1126</v>
      </c>
    </row>
    <row r="45" spans="1:2">
      <c r="A45" s="704" t="s">
        <v>1127</v>
      </c>
      <c r="B45" s="705">
        <v>8273406.2400000002</v>
      </c>
    </row>
    <row r="46" spans="1:2">
      <c r="A46" s="704" t="s">
        <v>1128</v>
      </c>
      <c r="B46" s="706">
        <f>SUM(B45)</f>
        <v>8273406.2400000002</v>
      </c>
    </row>
    <row r="47" spans="1:2">
      <c r="A47" s="704" t="s">
        <v>1129</v>
      </c>
      <c r="B47" s="707">
        <v>3856389.35</v>
      </c>
    </row>
    <row r="48" spans="1:2">
      <c r="A48" s="704" t="s">
        <v>1130</v>
      </c>
      <c r="B48" s="708">
        <f>SUM(B47)</f>
        <v>3856389.35</v>
      </c>
    </row>
    <row r="49" spans="1:2">
      <c r="A49" s="704" t="s">
        <v>1131</v>
      </c>
      <c r="B49" s="705">
        <f>B46+B48</f>
        <v>12129795.59</v>
      </c>
    </row>
    <row r="50" spans="1:2">
      <c r="A50" s="710" t="s">
        <v>1132</v>
      </c>
      <c r="B50" s="711">
        <f>B49</f>
        <v>12129795.59</v>
      </c>
    </row>
    <row r="51" spans="1:2">
      <c r="A51" s="712" t="s">
        <v>1143</v>
      </c>
      <c r="B51" s="713"/>
    </row>
    <row r="52" spans="1:2">
      <c r="A52" s="704" t="s">
        <v>1134</v>
      </c>
      <c r="B52" s="713">
        <f>B48</f>
        <v>3856389.35</v>
      </c>
    </row>
    <row r="53" spans="1:2">
      <c r="A53" s="714" t="s">
        <v>1135</v>
      </c>
      <c r="B53" s="715">
        <f>'6.09G - BS Acct-Gas'!E18</f>
        <v>-467361.29000000004</v>
      </c>
    </row>
    <row r="54" spans="1:2">
      <c r="A54" s="716"/>
      <c r="B54" s="1032">
        <f>SUM(B52:B53)</f>
        <v>3389028.06</v>
      </c>
    </row>
    <row r="55" spans="1:2" ht="8.1" customHeight="1">
      <c r="A55" s="717"/>
      <c r="B55" s="718"/>
    </row>
    <row r="56" spans="1:2">
      <c r="A56" s="719" t="s">
        <v>1138</v>
      </c>
      <c r="B56" s="720"/>
    </row>
    <row r="57" spans="1:2">
      <c r="A57" s="702" t="s">
        <v>1125</v>
      </c>
      <c r="B57" s="703" t="s">
        <v>1126</v>
      </c>
    </row>
    <row r="58" spans="1:2">
      <c r="A58" s="704" t="s">
        <v>1127</v>
      </c>
      <c r="B58" s="705">
        <v>5230885.1100000003</v>
      </c>
    </row>
    <row r="59" spans="1:2">
      <c r="A59" s="704" t="s">
        <v>1128</v>
      </c>
      <c r="B59" s="706">
        <f>SUM(B58)</f>
        <v>5230885.1100000003</v>
      </c>
    </row>
    <row r="60" spans="1:2">
      <c r="A60" s="704" t="s">
        <v>1129</v>
      </c>
      <c r="B60" s="707">
        <v>2389196.77</v>
      </c>
    </row>
    <row r="61" spans="1:2">
      <c r="A61" s="704" t="s">
        <v>1130</v>
      </c>
      <c r="B61" s="708">
        <f>SUM(B60)</f>
        <v>2389196.77</v>
      </c>
    </row>
    <row r="62" spans="1:2">
      <c r="A62" s="704" t="s">
        <v>1131</v>
      </c>
      <c r="B62" s="705">
        <f>B59+B61</f>
        <v>7620081.8800000008</v>
      </c>
    </row>
    <row r="63" spans="1:2">
      <c r="A63" s="710" t="s">
        <v>1132</v>
      </c>
      <c r="B63" s="711">
        <f>B62</f>
        <v>7620081.8800000008</v>
      </c>
    </row>
    <row r="64" spans="1:2">
      <c r="A64" s="712" t="s">
        <v>1144</v>
      </c>
      <c r="B64" s="713"/>
    </row>
    <row r="65" spans="1:2">
      <c r="A65" s="704" t="s">
        <v>1134</v>
      </c>
      <c r="B65" s="713">
        <f>B61</f>
        <v>2389196.77</v>
      </c>
    </row>
    <row r="66" spans="1:2">
      <c r="A66" s="714" t="s">
        <v>1135</v>
      </c>
      <c r="B66" s="715">
        <f>'6.09G - BS Acct-Gas'!F18</f>
        <v>-104505.18000000002</v>
      </c>
    </row>
    <row r="67" spans="1:2">
      <c r="A67" s="716"/>
      <c r="B67" s="1032">
        <f>SUM(B65:B66)</f>
        <v>2284691.59</v>
      </c>
    </row>
    <row r="68" spans="1:2">
      <c r="A68" s="697" t="s">
        <v>1145</v>
      </c>
      <c r="B68" s="721"/>
    </row>
    <row r="69" spans="1:2">
      <c r="B69" s="721"/>
    </row>
    <row r="70" spans="1:2">
      <c r="B70" s="721"/>
    </row>
    <row r="71" spans="1:2">
      <c r="B71" s="721"/>
    </row>
    <row r="72" spans="1:2">
      <c r="B72" s="721"/>
    </row>
    <row r="73" spans="1:2">
      <c r="B73" s="721"/>
    </row>
    <row r="74" spans="1:2">
      <c r="B74" s="721"/>
    </row>
    <row r="75" spans="1:2">
      <c r="B75" s="721"/>
    </row>
    <row r="76" spans="1:2">
      <c r="B76" s="721"/>
    </row>
    <row r="77" spans="1:2">
      <c r="B77" s="721"/>
    </row>
    <row r="78" spans="1:2">
      <c r="B78" s="721"/>
    </row>
    <row r="79" spans="1:2">
      <c r="B79" s="721"/>
    </row>
    <row r="80" spans="1:2">
      <c r="B80" s="721"/>
    </row>
    <row r="81" spans="2:2">
      <c r="B81" s="721"/>
    </row>
    <row r="82" spans="2:2">
      <c r="B82" s="721"/>
    </row>
    <row r="83" spans="2:2">
      <c r="B83" s="721"/>
    </row>
    <row r="84" spans="2:2">
      <c r="B84" s="721"/>
    </row>
    <row r="85" spans="2:2">
      <c r="B85" s="721"/>
    </row>
    <row r="86" spans="2:2">
      <c r="B86" s="721"/>
    </row>
    <row r="87" spans="2:2">
      <c r="B87" s="721"/>
    </row>
    <row r="88" spans="2:2">
      <c r="B88" s="721"/>
    </row>
    <row r="89" spans="2:2">
      <c r="B89" s="721"/>
    </row>
    <row r="90" spans="2:2">
      <c r="B90" s="721"/>
    </row>
    <row r="91" spans="2:2">
      <c r="B91" s="721"/>
    </row>
    <row r="92" spans="2:2">
      <c r="B92" s="721"/>
    </row>
    <row r="93" spans="2:2">
      <c r="B93" s="721"/>
    </row>
    <row r="94" spans="2:2">
      <c r="B94" s="721"/>
    </row>
    <row r="95" spans="2:2">
      <c r="B95" s="721"/>
    </row>
    <row r="96" spans="2:2">
      <c r="B96" s="721"/>
    </row>
    <row r="97" spans="2:2">
      <c r="B97" s="721"/>
    </row>
    <row r="98" spans="2:2">
      <c r="B98" s="721"/>
    </row>
    <row r="99" spans="2:2">
      <c r="B99" s="721"/>
    </row>
    <row r="100" spans="2:2">
      <c r="B100" s="721"/>
    </row>
    <row r="101" spans="2:2">
      <c r="B101" s="721"/>
    </row>
    <row r="102" spans="2:2">
      <c r="B102" s="721"/>
    </row>
    <row r="103" spans="2:2">
      <c r="B103" s="721"/>
    </row>
    <row r="104" spans="2:2">
      <c r="B104" s="721"/>
    </row>
    <row r="105" spans="2:2">
      <c r="B105" s="721"/>
    </row>
    <row r="106" spans="2:2">
      <c r="B106" s="721"/>
    </row>
    <row r="107" spans="2:2">
      <c r="B107" s="721"/>
    </row>
    <row r="108" spans="2:2">
      <c r="B108" s="721"/>
    </row>
    <row r="109" spans="2:2">
      <c r="B109" s="721"/>
    </row>
    <row r="110" spans="2:2">
      <c r="B110" s="721"/>
    </row>
    <row r="111" spans="2:2">
      <c r="B111" s="721"/>
    </row>
    <row r="112" spans="2:2">
      <c r="B112" s="721"/>
    </row>
    <row r="113" spans="2:2">
      <c r="B113" s="721"/>
    </row>
    <row r="114" spans="2:2">
      <c r="B114" s="721"/>
    </row>
    <row r="115" spans="2:2">
      <c r="B115" s="721"/>
    </row>
    <row r="116" spans="2:2">
      <c r="B116" s="721"/>
    </row>
    <row r="117" spans="2:2">
      <c r="B117" s="721"/>
    </row>
  </sheetData>
  <pageMargins left="0.7" right="0.7" top="0.75" bottom="0.75" header="0.3" footer="0.3"/>
  <pageSetup scale="64" orientation="portrait"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7" tint="0.39997558519241921"/>
    <pageSetUpPr fitToPage="1"/>
  </sheetPr>
  <dimension ref="A1:X81"/>
  <sheetViews>
    <sheetView zoomScale="75" workbookViewId="0">
      <pane xSplit="4" ySplit="9" topLeftCell="E10" activePane="bottomRight" state="frozen"/>
      <selection activeCell="C45" sqref="C45"/>
      <selection pane="topRight" activeCell="C45" sqref="C45"/>
      <selection pane="bottomLeft" activeCell="C45" sqref="C45"/>
      <selection pane="bottomRight" activeCell="E42" sqref="E42"/>
    </sheetView>
  </sheetViews>
  <sheetFormatPr defaultColWidth="9.1640625" defaultRowHeight="11.25"/>
  <cols>
    <col min="1" max="2" width="2.5" style="798" customWidth="1"/>
    <col min="3" max="3" width="44.5" style="798" customWidth="1"/>
    <col min="4" max="4" width="1.5" style="798" customWidth="1"/>
    <col min="5" max="5" width="21.6640625" style="798" customWidth="1"/>
    <col min="6" max="6" width="1.5" style="798" customWidth="1"/>
    <col min="7" max="7" width="21.6640625" style="798" hidden="1" customWidth="1"/>
    <col min="8" max="8" width="0.83203125" style="798" hidden="1" customWidth="1"/>
    <col min="9" max="9" width="21.6640625" style="798" hidden="1" customWidth="1"/>
    <col min="10" max="10" width="0.83203125" style="798" hidden="1" customWidth="1"/>
    <col min="11" max="11" width="12.6640625" style="798" hidden="1" customWidth="1"/>
    <col min="12" max="12" width="0.83203125" style="798" hidden="1" customWidth="1"/>
    <col min="13" max="13" width="21.83203125" style="798" customWidth="1"/>
    <col min="14" max="14" width="1.5" style="798" customWidth="1"/>
    <col min="15" max="15" width="21.6640625" style="798" customWidth="1"/>
    <col min="16" max="16" width="1.5" style="798" customWidth="1"/>
    <col min="17" max="17" width="11.83203125" style="798" customWidth="1"/>
    <col min="18" max="18" width="3.5" style="798" customWidth="1"/>
    <col min="19" max="19" width="11.6640625" style="798" customWidth="1"/>
    <col min="20" max="20" width="2.1640625" style="798" customWidth="1"/>
    <col min="21" max="21" width="10.6640625" style="798" hidden="1" customWidth="1"/>
    <col min="22" max="22" width="1.5" style="798" hidden="1" customWidth="1"/>
    <col min="23" max="23" width="11.6640625" style="798" customWidth="1"/>
    <col min="24" max="24" width="9.1640625" style="798" hidden="1" customWidth="1"/>
    <col min="25" max="256" width="9.1640625" style="798"/>
    <col min="257" max="258" width="2.5" style="798" customWidth="1"/>
    <col min="259" max="259" width="44.5" style="798" customWidth="1"/>
    <col min="260" max="260" width="1.5" style="798" customWidth="1"/>
    <col min="261" max="261" width="21.6640625" style="798" customWidth="1"/>
    <col min="262" max="262" width="1.5" style="798" customWidth="1"/>
    <col min="263" max="268" width="0" style="798" hidden="1" customWidth="1"/>
    <col min="269" max="269" width="21.83203125" style="798" customWidth="1"/>
    <col min="270" max="270" width="1.5" style="798" customWidth="1"/>
    <col min="271" max="271" width="21.6640625" style="798" customWidth="1"/>
    <col min="272" max="272" width="1.5" style="798" customWidth="1"/>
    <col min="273" max="273" width="11.83203125" style="798" customWidth="1"/>
    <col min="274" max="274" width="3.5" style="798" customWidth="1"/>
    <col min="275" max="275" width="11.6640625" style="798" customWidth="1"/>
    <col min="276" max="276" width="2.1640625" style="798" customWidth="1"/>
    <col min="277" max="278" width="0" style="798" hidden="1" customWidth="1"/>
    <col min="279" max="279" width="11.6640625" style="798" customWidth="1"/>
    <col min="280" max="280" width="0" style="798" hidden="1" customWidth="1"/>
    <col min="281" max="512" width="9.1640625" style="798"/>
    <col min="513" max="514" width="2.5" style="798" customWidth="1"/>
    <col min="515" max="515" width="44.5" style="798" customWidth="1"/>
    <col min="516" max="516" width="1.5" style="798" customWidth="1"/>
    <col min="517" max="517" width="21.6640625" style="798" customWidth="1"/>
    <col min="518" max="518" width="1.5" style="798" customWidth="1"/>
    <col min="519" max="524" width="0" style="798" hidden="1" customWidth="1"/>
    <col min="525" max="525" width="21.83203125" style="798" customWidth="1"/>
    <col min="526" max="526" width="1.5" style="798" customWidth="1"/>
    <col min="527" max="527" width="21.6640625" style="798" customWidth="1"/>
    <col min="528" max="528" width="1.5" style="798" customWidth="1"/>
    <col min="529" max="529" width="11.83203125" style="798" customWidth="1"/>
    <col min="530" max="530" width="3.5" style="798" customWidth="1"/>
    <col min="531" max="531" width="11.6640625" style="798" customWidth="1"/>
    <col min="532" max="532" width="2.1640625" style="798" customWidth="1"/>
    <col min="533" max="534" width="0" style="798" hidden="1" customWidth="1"/>
    <col min="535" max="535" width="11.6640625" style="798" customWidth="1"/>
    <col min="536" max="536" width="0" style="798" hidden="1" customWidth="1"/>
    <col min="537" max="768" width="9.1640625" style="798"/>
    <col min="769" max="770" width="2.5" style="798" customWidth="1"/>
    <col min="771" max="771" width="44.5" style="798" customWidth="1"/>
    <col min="772" max="772" width="1.5" style="798" customWidth="1"/>
    <col min="773" max="773" width="21.6640625" style="798" customWidth="1"/>
    <col min="774" max="774" width="1.5" style="798" customWidth="1"/>
    <col min="775" max="780" width="0" style="798" hidden="1" customWidth="1"/>
    <col min="781" max="781" width="21.83203125" style="798" customWidth="1"/>
    <col min="782" max="782" width="1.5" style="798" customWidth="1"/>
    <col min="783" max="783" width="21.6640625" style="798" customWidth="1"/>
    <col min="784" max="784" width="1.5" style="798" customWidth="1"/>
    <col min="785" max="785" width="11.83203125" style="798" customWidth="1"/>
    <col min="786" max="786" width="3.5" style="798" customWidth="1"/>
    <col min="787" max="787" width="11.6640625" style="798" customWidth="1"/>
    <col min="788" max="788" width="2.1640625" style="798" customWidth="1"/>
    <col min="789" max="790" width="0" style="798" hidden="1" customWidth="1"/>
    <col min="791" max="791" width="11.6640625" style="798" customWidth="1"/>
    <col min="792" max="792" width="0" style="798" hidden="1" customWidth="1"/>
    <col min="793" max="1024" width="9.1640625" style="798"/>
    <col min="1025" max="1026" width="2.5" style="798" customWidth="1"/>
    <col min="1027" max="1027" width="44.5" style="798" customWidth="1"/>
    <col min="1028" max="1028" width="1.5" style="798" customWidth="1"/>
    <col min="1029" max="1029" width="21.6640625" style="798" customWidth="1"/>
    <col min="1030" max="1030" width="1.5" style="798" customWidth="1"/>
    <col min="1031" max="1036" width="0" style="798" hidden="1" customWidth="1"/>
    <col min="1037" max="1037" width="21.83203125" style="798" customWidth="1"/>
    <col min="1038" max="1038" width="1.5" style="798" customWidth="1"/>
    <col min="1039" max="1039" width="21.6640625" style="798" customWidth="1"/>
    <col min="1040" max="1040" width="1.5" style="798" customWidth="1"/>
    <col min="1041" max="1041" width="11.83203125" style="798" customWidth="1"/>
    <col min="1042" max="1042" width="3.5" style="798" customWidth="1"/>
    <col min="1043" max="1043" width="11.6640625" style="798" customWidth="1"/>
    <col min="1044" max="1044" width="2.1640625" style="798" customWidth="1"/>
    <col min="1045" max="1046" width="0" style="798" hidden="1" customWidth="1"/>
    <col min="1047" max="1047" width="11.6640625" style="798" customWidth="1"/>
    <col min="1048" max="1048" width="0" style="798" hidden="1" customWidth="1"/>
    <col min="1049" max="1280" width="9.1640625" style="798"/>
    <col min="1281" max="1282" width="2.5" style="798" customWidth="1"/>
    <col min="1283" max="1283" width="44.5" style="798" customWidth="1"/>
    <col min="1284" max="1284" width="1.5" style="798" customWidth="1"/>
    <col min="1285" max="1285" width="21.6640625" style="798" customWidth="1"/>
    <col min="1286" max="1286" width="1.5" style="798" customWidth="1"/>
    <col min="1287" max="1292" width="0" style="798" hidden="1" customWidth="1"/>
    <col min="1293" max="1293" width="21.83203125" style="798" customWidth="1"/>
    <col min="1294" max="1294" width="1.5" style="798" customWidth="1"/>
    <col min="1295" max="1295" width="21.6640625" style="798" customWidth="1"/>
    <col min="1296" max="1296" width="1.5" style="798" customWidth="1"/>
    <col min="1297" max="1297" width="11.83203125" style="798" customWidth="1"/>
    <col min="1298" max="1298" width="3.5" style="798" customWidth="1"/>
    <col min="1299" max="1299" width="11.6640625" style="798" customWidth="1"/>
    <col min="1300" max="1300" width="2.1640625" style="798" customWidth="1"/>
    <col min="1301" max="1302" width="0" style="798" hidden="1" customWidth="1"/>
    <col min="1303" max="1303" width="11.6640625" style="798" customWidth="1"/>
    <col min="1304" max="1304" width="0" style="798" hidden="1" customWidth="1"/>
    <col min="1305" max="1536" width="9.1640625" style="798"/>
    <col min="1537" max="1538" width="2.5" style="798" customWidth="1"/>
    <col min="1539" max="1539" width="44.5" style="798" customWidth="1"/>
    <col min="1540" max="1540" width="1.5" style="798" customWidth="1"/>
    <col min="1541" max="1541" width="21.6640625" style="798" customWidth="1"/>
    <col min="1542" max="1542" width="1.5" style="798" customWidth="1"/>
    <col min="1543" max="1548" width="0" style="798" hidden="1" customWidth="1"/>
    <col min="1549" max="1549" width="21.83203125" style="798" customWidth="1"/>
    <col min="1550" max="1550" width="1.5" style="798" customWidth="1"/>
    <col min="1551" max="1551" width="21.6640625" style="798" customWidth="1"/>
    <col min="1552" max="1552" width="1.5" style="798" customWidth="1"/>
    <col min="1553" max="1553" width="11.83203125" style="798" customWidth="1"/>
    <col min="1554" max="1554" width="3.5" style="798" customWidth="1"/>
    <col min="1555" max="1555" width="11.6640625" style="798" customWidth="1"/>
    <col min="1556" max="1556" width="2.1640625" style="798" customWidth="1"/>
    <col min="1557" max="1558" width="0" style="798" hidden="1" customWidth="1"/>
    <col min="1559" max="1559" width="11.6640625" style="798" customWidth="1"/>
    <col min="1560" max="1560" width="0" style="798" hidden="1" customWidth="1"/>
    <col min="1561" max="1792" width="9.1640625" style="798"/>
    <col min="1793" max="1794" width="2.5" style="798" customWidth="1"/>
    <col min="1795" max="1795" width="44.5" style="798" customWidth="1"/>
    <col min="1796" max="1796" width="1.5" style="798" customWidth="1"/>
    <col min="1797" max="1797" width="21.6640625" style="798" customWidth="1"/>
    <col min="1798" max="1798" width="1.5" style="798" customWidth="1"/>
    <col min="1799" max="1804" width="0" style="798" hidden="1" customWidth="1"/>
    <col min="1805" max="1805" width="21.83203125" style="798" customWidth="1"/>
    <col min="1806" max="1806" width="1.5" style="798" customWidth="1"/>
    <col min="1807" max="1807" width="21.6640625" style="798" customWidth="1"/>
    <col min="1808" max="1808" width="1.5" style="798" customWidth="1"/>
    <col min="1809" max="1809" width="11.83203125" style="798" customWidth="1"/>
    <col min="1810" max="1810" width="3.5" style="798" customWidth="1"/>
    <col min="1811" max="1811" width="11.6640625" style="798" customWidth="1"/>
    <col min="1812" max="1812" width="2.1640625" style="798" customWidth="1"/>
    <col min="1813" max="1814" width="0" style="798" hidden="1" customWidth="1"/>
    <col min="1815" max="1815" width="11.6640625" style="798" customWidth="1"/>
    <col min="1816" max="1816" width="0" style="798" hidden="1" customWidth="1"/>
    <col min="1817" max="2048" width="9.1640625" style="798"/>
    <col min="2049" max="2050" width="2.5" style="798" customWidth="1"/>
    <col min="2051" max="2051" width="44.5" style="798" customWidth="1"/>
    <col min="2052" max="2052" width="1.5" style="798" customWidth="1"/>
    <col min="2053" max="2053" width="21.6640625" style="798" customWidth="1"/>
    <col min="2054" max="2054" width="1.5" style="798" customWidth="1"/>
    <col min="2055" max="2060" width="0" style="798" hidden="1" customWidth="1"/>
    <col min="2061" max="2061" width="21.83203125" style="798" customWidth="1"/>
    <col min="2062" max="2062" width="1.5" style="798" customWidth="1"/>
    <col min="2063" max="2063" width="21.6640625" style="798" customWidth="1"/>
    <col min="2064" max="2064" width="1.5" style="798" customWidth="1"/>
    <col min="2065" max="2065" width="11.83203125" style="798" customWidth="1"/>
    <col min="2066" max="2066" width="3.5" style="798" customWidth="1"/>
    <col min="2067" max="2067" width="11.6640625" style="798" customWidth="1"/>
    <col min="2068" max="2068" width="2.1640625" style="798" customWidth="1"/>
    <col min="2069" max="2070" width="0" style="798" hidden="1" customWidth="1"/>
    <col min="2071" max="2071" width="11.6640625" style="798" customWidth="1"/>
    <col min="2072" max="2072" width="0" style="798" hidden="1" customWidth="1"/>
    <col min="2073" max="2304" width="9.1640625" style="798"/>
    <col min="2305" max="2306" width="2.5" style="798" customWidth="1"/>
    <col min="2307" max="2307" width="44.5" style="798" customWidth="1"/>
    <col min="2308" max="2308" width="1.5" style="798" customWidth="1"/>
    <col min="2309" max="2309" width="21.6640625" style="798" customWidth="1"/>
    <col min="2310" max="2310" width="1.5" style="798" customWidth="1"/>
    <col min="2311" max="2316" width="0" style="798" hidden="1" customWidth="1"/>
    <col min="2317" max="2317" width="21.83203125" style="798" customWidth="1"/>
    <col min="2318" max="2318" width="1.5" style="798" customWidth="1"/>
    <col min="2319" max="2319" width="21.6640625" style="798" customWidth="1"/>
    <col min="2320" max="2320" width="1.5" style="798" customWidth="1"/>
    <col min="2321" max="2321" width="11.83203125" style="798" customWidth="1"/>
    <col min="2322" max="2322" width="3.5" style="798" customWidth="1"/>
    <col min="2323" max="2323" width="11.6640625" style="798" customWidth="1"/>
    <col min="2324" max="2324" width="2.1640625" style="798" customWidth="1"/>
    <col min="2325" max="2326" width="0" style="798" hidden="1" customWidth="1"/>
    <col min="2327" max="2327" width="11.6640625" style="798" customWidth="1"/>
    <col min="2328" max="2328" width="0" style="798" hidden="1" customWidth="1"/>
    <col min="2329" max="2560" width="9.1640625" style="798"/>
    <col min="2561" max="2562" width="2.5" style="798" customWidth="1"/>
    <col min="2563" max="2563" width="44.5" style="798" customWidth="1"/>
    <col min="2564" max="2564" width="1.5" style="798" customWidth="1"/>
    <col min="2565" max="2565" width="21.6640625" style="798" customWidth="1"/>
    <col min="2566" max="2566" width="1.5" style="798" customWidth="1"/>
    <col min="2567" max="2572" width="0" style="798" hidden="1" customWidth="1"/>
    <col min="2573" max="2573" width="21.83203125" style="798" customWidth="1"/>
    <col min="2574" max="2574" width="1.5" style="798" customWidth="1"/>
    <col min="2575" max="2575" width="21.6640625" style="798" customWidth="1"/>
    <col min="2576" max="2576" width="1.5" style="798" customWidth="1"/>
    <col min="2577" max="2577" width="11.83203125" style="798" customWidth="1"/>
    <col min="2578" max="2578" width="3.5" style="798" customWidth="1"/>
    <col min="2579" max="2579" width="11.6640625" style="798" customWidth="1"/>
    <col min="2580" max="2580" width="2.1640625" style="798" customWidth="1"/>
    <col min="2581" max="2582" width="0" style="798" hidden="1" customWidth="1"/>
    <col min="2583" max="2583" width="11.6640625" style="798" customWidth="1"/>
    <col min="2584" max="2584" width="0" style="798" hidden="1" customWidth="1"/>
    <col min="2585" max="2816" width="9.1640625" style="798"/>
    <col min="2817" max="2818" width="2.5" style="798" customWidth="1"/>
    <col min="2819" max="2819" width="44.5" style="798" customWidth="1"/>
    <col min="2820" max="2820" width="1.5" style="798" customWidth="1"/>
    <col min="2821" max="2821" width="21.6640625" style="798" customWidth="1"/>
    <col min="2822" max="2822" width="1.5" style="798" customWidth="1"/>
    <col min="2823" max="2828" width="0" style="798" hidden="1" customWidth="1"/>
    <col min="2829" max="2829" width="21.83203125" style="798" customWidth="1"/>
    <col min="2830" max="2830" width="1.5" style="798" customWidth="1"/>
    <col min="2831" max="2831" width="21.6640625" style="798" customWidth="1"/>
    <col min="2832" max="2832" width="1.5" style="798" customWidth="1"/>
    <col min="2833" max="2833" width="11.83203125" style="798" customWidth="1"/>
    <col min="2834" max="2834" width="3.5" style="798" customWidth="1"/>
    <col min="2835" max="2835" width="11.6640625" style="798" customWidth="1"/>
    <col min="2836" max="2836" width="2.1640625" style="798" customWidth="1"/>
    <col min="2837" max="2838" width="0" style="798" hidden="1" customWidth="1"/>
    <col min="2839" max="2839" width="11.6640625" style="798" customWidth="1"/>
    <col min="2840" max="2840" width="0" style="798" hidden="1" customWidth="1"/>
    <col min="2841" max="3072" width="9.1640625" style="798"/>
    <col min="3073" max="3074" width="2.5" style="798" customWidth="1"/>
    <col min="3075" max="3075" width="44.5" style="798" customWidth="1"/>
    <col min="3076" max="3076" width="1.5" style="798" customWidth="1"/>
    <col min="3077" max="3077" width="21.6640625" style="798" customWidth="1"/>
    <col min="3078" max="3078" width="1.5" style="798" customWidth="1"/>
    <col min="3079" max="3084" width="0" style="798" hidden="1" customWidth="1"/>
    <col min="3085" max="3085" width="21.83203125" style="798" customWidth="1"/>
    <col min="3086" max="3086" width="1.5" style="798" customWidth="1"/>
    <col min="3087" max="3087" width="21.6640625" style="798" customWidth="1"/>
    <col min="3088" max="3088" width="1.5" style="798" customWidth="1"/>
    <col min="3089" max="3089" width="11.83203125" style="798" customWidth="1"/>
    <col min="3090" max="3090" width="3.5" style="798" customWidth="1"/>
    <col min="3091" max="3091" width="11.6640625" style="798" customWidth="1"/>
    <col min="3092" max="3092" width="2.1640625" style="798" customWidth="1"/>
    <col min="3093" max="3094" width="0" style="798" hidden="1" customWidth="1"/>
    <col min="3095" max="3095" width="11.6640625" style="798" customWidth="1"/>
    <col min="3096" max="3096" width="0" style="798" hidden="1" customWidth="1"/>
    <col min="3097" max="3328" width="9.1640625" style="798"/>
    <col min="3329" max="3330" width="2.5" style="798" customWidth="1"/>
    <col min="3331" max="3331" width="44.5" style="798" customWidth="1"/>
    <col min="3332" max="3332" width="1.5" style="798" customWidth="1"/>
    <col min="3333" max="3333" width="21.6640625" style="798" customWidth="1"/>
    <col min="3334" max="3334" width="1.5" style="798" customWidth="1"/>
    <col min="3335" max="3340" width="0" style="798" hidden="1" customWidth="1"/>
    <col min="3341" max="3341" width="21.83203125" style="798" customWidth="1"/>
    <col min="3342" max="3342" width="1.5" style="798" customWidth="1"/>
    <col min="3343" max="3343" width="21.6640625" style="798" customWidth="1"/>
    <col min="3344" max="3344" width="1.5" style="798" customWidth="1"/>
    <col min="3345" max="3345" width="11.83203125" style="798" customWidth="1"/>
    <col min="3346" max="3346" width="3.5" style="798" customWidth="1"/>
    <col min="3347" max="3347" width="11.6640625" style="798" customWidth="1"/>
    <col min="3348" max="3348" width="2.1640625" style="798" customWidth="1"/>
    <col min="3349" max="3350" width="0" style="798" hidden="1" customWidth="1"/>
    <col min="3351" max="3351" width="11.6640625" style="798" customWidth="1"/>
    <col min="3352" max="3352" width="0" style="798" hidden="1" customWidth="1"/>
    <col min="3353" max="3584" width="9.1640625" style="798"/>
    <col min="3585" max="3586" width="2.5" style="798" customWidth="1"/>
    <col min="3587" max="3587" width="44.5" style="798" customWidth="1"/>
    <col min="3588" max="3588" width="1.5" style="798" customWidth="1"/>
    <col min="3589" max="3589" width="21.6640625" style="798" customWidth="1"/>
    <col min="3590" max="3590" width="1.5" style="798" customWidth="1"/>
    <col min="3591" max="3596" width="0" style="798" hidden="1" customWidth="1"/>
    <col min="3597" max="3597" width="21.83203125" style="798" customWidth="1"/>
    <col min="3598" max="3598" width="1.5" style="798" customWidth="1"/>
    <col min="3599" max="3599" width="21.6640625" style="798" customWidth="1"/>
    <col min="3600" max="3600" width="1.5" style="798" customWidth="1"/>
    <col min="3601" max="3601" width="11.83203125" style="798" customWidth="1"/>
    <col min="3602" max="3602" width="3.5" style="798" customWidth="1"/>
    <col min="3603" max="3603" width="11.6640625" style="798" customWidth="1"/>
    <col min="3604" max="3604" width="2.1640625" style="798" customWidth="1"/>
    <col min="3605" max="3606" width="0" style="798" hidden="1" customWidth="1"/>
    <col min="3607" max="3607" width="11.6640625" style="798" customWidth="1"/>
    <col min="3608" max="3608" width="0" style="798" hidden="1" customWidth="1"/>
    <col min="3609" max="3840" width="9.1640625" style="798"/>
    <col min="3841" max="3842" width="2.5" style="798" customWidth="1"/>
    <col min="3843" max="3843" width="44.5" style="798" customWidth="1"/>
    <col min="3844" max="3844" width="1.5" style="798" customWidth="1"/>
    <col min="3845" max="3845" width="21.6640625" style="798" customWidth="1"/>
    <col min="3846" max="3846" width="1.5" style="798" customWidth="1"/>
    <col min="3847" max="3852" width="0" style="798" hidden="1" customWidth="1"/>
    <col min="3853" max="3853" width="21.83203125" style="798" customWidth="1"/>
    <col min="3854" max="3854" width="1.5" style="798" customWidth="1"/>
    <col min="3855" max="3855" width="21.6640625" style="798" customWidth="1"/>
    <col min="3856" max="3856" width="1.5" style="798" customWidth="1"/>
    <col min="3857" max="3857" width="11.83203125" style="798" customWidth="1"/>
    <col min="3858" max="3858" width="3.5" style="798" customWidth="1"/>
    <col min="3859" max="3859" width="11.6640625" style="798" customWidth="1"/>
    <col min="3860" max="3860" width="2.1640625" style="798" customWidth="1"/>
    <col min="3861" max="3862" width="0" style="798" hidden="1" customWidth="1"/>
    <col min="3863" max="3863" width="11.6640625" style="798" customWidth="1"/>
    <col min="3864" max="3864" width="0" style="798" hidden="1" customWidth="1"/>
    <col min="3865" max="4096" width="9.1640625" style="798"/>
    <col min="4097" max="4098" width="2.5" style="798" customWidth="1"/>
    <col min="4099" max="4099" width="44.5" style="798" customWidth="1"/>
    <col min="4100" max="4100" width="1.5" style="798" customWidth="1"/>
    <col min="4101" max="4101" width="21.6640625" style="798" customWidth="1"/>
    <col min="4102" max="4102" width="1.5" style="798" customWidth="1"/>
    <col min="4103" max="4108" width="0" style="798" hidden="1" customWidth="1"/>
    <col min="4109" max="4109" width="21.83203125" style="798" customWidth="1"/>
    <col min="4110" max="4110" width="1.5" style="798" customWidth="1"/>
    <col min="4111" max="4111" width="21.6640625" style="798" customWidth="1"/>
    <col min="4112" max="4112" width="1.5" style="798" customWidth="1"/>
    <col min="4113" max="4113" width="11.83203125" style="798" customWidth="1"/>
    <col min="4114" max="4114" width="3.5" style="798" customWidth="1"/>
    <col min="4115" max="4115" width="11.6640625" style="798" customWidth="1"/>
    <col min="4116" max="4116" width="2.1640625" style="798" customWidth="1"/>
    <col min="4117" max="4118" width="0" style="798" hidden="1" customWidth="1"/>
    <col min="4119" max="4119" width="11.6640625" style="798" customWidth="1"/>
    <col min="4120" max="4120" width="0" style="798" hidden="1" customWidth="1"/>
    <col min="4121" max="4352" width="9.1640625" style="798"/>
    <col min="4353" max="4354" width="2.5" style="798" customWidth="1"/>
    <col min="4355" max="4355" width="44.5" style="798" customWidth="1"/>
    <col min="4356" max="4356" width="1.5" style="798" customWidth="1"/>
    <col min="4357" max="4357" width="21.6640625" style="798" customWidth="1"/>
    <col min="4358" max="4358" width="1.5" style="798" customWidth="1"/>
    <col min="4359" max="4364" width="0" style="798" hidden="1" customWidth="1"/>
    <col min="4365" max="4365" width="21.83203125" style="798" customWidth="1"/>
    <col min="4366" max="4366" width="1.5" style="798" customWidth="1"/>
    <col min="4367" max="4367" width="21.6640625" style="798" customWidth="1"/>
    <col min="4368" max="4368" width="1.5" style="798" customWidth="1"/>
    <col min="4369" max="4369" width="11.83203125" style="798" customWidth="1"/>
    <col min="4370" max="4370" width="3.5" style="798" customWidth="1"/>
    <col min="4371" max="4371" width="11.6640625" style="798" customWidth="1"/>
    <col min="4372" max="4372" width="2.1640625" style="798" customWidth="1"/>
    <col min="4373" max="4374" width="0" style="798" hidden="1" customWidth="1"/>
    <col min="4375" max="4375" width="11.6640625" style="798" customWidth="1"/>
    <col min="4376" max="4376" width="0" style="798" hidden="1" customWidth="1"/>
    <col min="4377" max="4608" width="9.1640625" style="798"/>
    <col min="4609" max="4610" width="2.5" style="798" customWidth="1"/>
    <col min="4611" max="4611" width="44.5" style="798" customWidth="1"/>
    <col min="4612" max="4612" width="1.5" style="798" customWidth="1"/>
    <col min="4613" max="4613" width="21.6640625" style="798" customWidth="1"/>
    <col min="4614" max="4614" width="1.5" style="798" customWidth="1"/>
    <col min="4615" max="4620" width="0" style="798" hidden="1" customWidth="1"/>
    <col min="4621" max="4621" width="21.83203125" style="798" customWidth="1"/>
    <col min="4622" max="4622" width="1.5" style="798" customWidth="1"/>
    <col min="4623" max="4623" width="21.6640625" style="798" customWidth="1"/>
    <col min="4624" max="4624" width="1.5" style="798" customWidth="1"/>
    <col min="4625" max="4625" width="11.83203125" style="798" customWidth="1"/>
    <col min="4626" max="4626" width="3.5" style="798" customWidth="1"/>
    <col min="4627" max="4627" width="11.6640625" style="798" customWidth="1"/>
    <col min="4628" max="4628" width="2.1640625" style="798" customWidth="1"/>
    <col min="4629" max="4630" width="0" style="798" hidden="1" customWidth="1"/>
    <col min="4631" max="4631" width="11.6640625" style="798" customWidth="1"/>
    <col min="4632" max="4632" width="0" style="798" hidden="1" customWidth="1"/>
    <col min="4633" max="4864" width="9.1640625" style="798"/>
    <col min="4865" max="4866" width="2.5" style="798" customWidth="1"/>
    <col min="4867" max="4867" width="44.5" style="798" customWidth="1"/>
    <col min="4868" max="4868" width="1.5" style="798" customWidth="1"/>
    <col min="4869" max="4869" width="21.6640625" style="798" customWidth="1"/>
    <col min="4870" max="4870" width="1.5" style="798" customWidth="1"/>
    <col min="4871" max="4876" width="0" style="798" hidden="1" customWidth="1"/>
    <col min="4877" max="4877" width="21.83203125" style="798" customWidth="1"/>
    <col min="4878" max="4878" width="1.5" style="798" customWidth="1"/>
    <col min="4879" max="4879" width="21.6640625" style="798" customWidth="1"/>
    <col min="4880" max="4880" width="1.5" style="798" customWidth="1"/>
    <col min="4881" max="4881" width="11.83203125" style="798" customWidth="1"/>
    <col min="4882" max="4882" width="3.5" style="798" customWidth="1"/>
    <col min="4883" max="4883" width="11.6640625" style="798" customWidth="1"/>
    <col min="4884" max="4884" width="2.1640625" style="798" customWidth="1"/>
    <col min="4885" max="4886" width="0" style="798" hidden="1" customWidth="1"/>
    <col min="4887" max="4887" width="11.6640625" style="798" customWidth="1"/>
    <col min="4888" max="4888" width="0" style="798" hidden="1" customWidth="1"/>
    <col min="4889" max="5120" width="9.1640625" style="798"/>
    <col min="5121" max="5122" width="2.5" style="798" customWidth="1"/>
    <col min="5123" max="5123" width="44.5" style="798" customWidth="1"/>
    <col min="5124" max="5124" width="1.5" style="798" customWidth="1"/>
    <col min="5125" max="5125" width="21.6640625" style="798" customWidth="1"/>
    <col min="5126" max="5126" width="1.5" style="798" customWidth="1"/>
    <col min="5127" max="5132" width="0" style="798" hidden="1" customWidth="1"/>
    <col min="5133" max="5133" width="21.83203125" style="798" customWidth="1"/>
    <col min="5134" max="5134" width="1.5" style="798" customWidth="1"/>
    <col min="5135" max="5135" width="21.6640625" style="798" customWidth="1"/>
    <col min="5136" max="5136" width="1.5" style="798" customWidth="1"/>
    <col min="5137" max="5137" width="11.83203125" style="798" customWidth="1"/>
    <col min="5138" max="5138" width="3.5" style="798" customWidth="1"/>
    <col min="5139" max="5139" width="11.6640625" style="798" customWidth="1"/>
    <col min="5140" max="5140" width="2.1640625" style="798" customWidth="1"/>
    <col min="5141" max="5142" width="0" style="798" hidden="1" customWidth="1"/>
    <col min="5143" max="5143" width="11.6640625" style="798" customWidth="1"/>
    <col min="5144" max="5144" width="0" style="798" hidden="1" customWidth="1"/>
    <col min="5145" max="5376" width="9.1640625" style="798"/>
    <col min="5377" max="5378" width="2.5" style="798" customWidth="1"/>
    <col min="5379" max="5379" width="44.5" style="798" customWidth="1"/>
    <col min="5380" max="5380" width="1.5" style="798" customWidth="1"/>
    <col min="5381" max="5381" width="21.6640625" style="798" customWidth="1"/>
    <col min="5382" max="5382" width="1.5" style="798" customWidth="1"/>
    <col min="5383" max="5388" width="0" style="798" hidden="1" customWidth="1"/>
    <col min="5389" max="5389" width="21.83203125" style="798" customWidth="1"/>
    <col min="5390" max="5390" width="1.5" style="798" customWidth="1"/>
    <col min="5391" max="5391" width="21.6640625" style="798" customWidth="1"/>
    <col min="5392" max="5392" width="1.5" style="798" customWidth="1"/>
    <col min="5393" max="5393" width="11.83203125" style="798" customWidth="1"/>
    <col min="5394" max="5394" width="3.5" style="798" customWidth="1"/>
    <col min="5395" max="5395" width="11.6640625" style="798" customWidth="1"/>
    <col min="5396" max="5396" width="2.1640625" style="798" customWidth="1"/>
    <col min="5397" max="5398" width="0" style="798" hidden="1" customWidth="1"/>
    <col min="5399" max="5399" width="11.6640625" style="798" customWidth="1"/>
    <col min="5400" max="5400" width="0" style="798" hidden="1" customWidth="1"/>
    <col min="5401" max="5632" width="9.1640625" style="798"/>
    <col min="5633" max="5634" width="2.5" style="798" customWidth="1"/>
    <col min="5635" max="5635" width="44.5" style="798" customWidth="1"/>
    <col min="5636" max="5636" width="1.5" style="798" customWidth="1"/>
    <col min="5637" max="5637" width="21.6640625" style="798" customWidth="1"/>
    <col min="5638" max="5638" width="1.5" style="798" customWidth="1"/>
    <col min="5639" max="5644" width="0" style="798" hidden="1" customWidth="1"/>
    <col min="5645" max="5645" width="21.83203125" style="798" customWidth="1"/>
    <col min="5646" max="5646" width="1.5" style="798" customWidth="1"/>
    <col min="5647" max="5647" width="21.6640625" style="798" customWidth="1"/>
    <col min="5648" max="5648" width="1.5" style="798" customWidth="1"/>
    <col min="5649" max="5649" width="11.83203125" style="798" customWidth="1"/>
    <col min="5650" max="5650" width="3.5" style="798" customWidth="1"/>
    <col min="5651" max="5651" width="11.6640625" style="798" customWidth="1"/>
    <col min="5652" max="5652" width="2.1640625" style="798" customWidth="1"/>
    <col min="5653" max="5654" width="0" style="798" hidden="1" customWidth="1"/>
    <col min="5655" max="5655" width="11.6640625" style="798" customWidth="1"/>
    <col min="5656" max="5656" width="0" style="798" hidden="1" customWidth="1"/>
    <col min="5657" max="5888" width="9.1640625" style="798"/>
    <col min="5889" max="5890" width="2.5" style="798" customWidth="1"/>
    <col min="5891" max="5891" width="44.5" style="798" customWidth="1"/>
    <col min="5892" max="5892" width="1.5" style="798" customWidth="1"/>
    <col min="5893" max="5893" width="21.6640625" style="798" customWidth="1"/>
    <col min="5894" max="5894" width="1.5" style="798" customWidth="1"/>
    <col min="5895" max="5900" width="0" style="798" hidden="1" customWidth="1"/>
    <col min="5901" max="5901" width="21.83203125" style="798" customWidth="1"/>
    <col min="5902" max="5902" width="1.5" style="798" customWidth="1"/>
    <col min="5903" max="5903" width="21.6640625" style="798" customWidth="1"/>
    <col min="5904" max="5904" width="1.5" style="798" customWidth="1"/>
    <col min="5905" max="5905" width="11.83203125" style="798" customWidth="1"/>
    <col min="5906" max="5906" width="3.5" style="798" customWidth="1"/>
    <col min="5907" max="5907" width="11.6640625" style="798" customWidth="1"/>
    <col min="5908" max="5908" width="2.1640625" style="798" customWidth="1"/>
    <col min="5909" max="5910" width="0" style="798" hidden="1" customWidth="1"/>
    <col min="5911" max="5911" width="11.6640625" style="798" customWidth="1"/>
    <col min="5912" max="5912" width="0" style="798" hidden="1" customWidth="1"/>
    <col min="5913" max="6144" width="9.1640625" style="798"/>
    <col min="6145" max="6146" width="2.5" style="798" customWidth="1"/>
    <col min="6147" max="6147" width="44.5" style="798" customWidth="1"/>
    <col min="6148" max="6148" width="1.5" style="798" customWidth="1"/>
    <col min="6149" max="6149" width="21.6640625" style="798" customWidth="1"/>
    <col min="6150" max="6150" width="1.5" style="798" customWidth="1"/>
    <col min="6151" max="6156" width="0" style="798" hidden="1" customWidth="1"/>
    <col min="6157" max="6157" width="21.83203125" style="798" customWidth="1"/>
    <col min="6158" max="6158" width="1.5" style="798" customWidth="1"/>
    <col min="6159" max="6159" width="21.6640625" style="798" customWidth="1"/>
    <col min="6160" max="6160" width="1.5" style="798" customWidth="1"/>
    <col min="6161" max="6161" width="11.83203125" style="798" customWidth="1"/>
    <col min="6162" max="6162" width="3.5" style="798" customWidth="1"/>
    <col min="6163" max="6163" width="11.6640625" style="798" customWidth="1"/>
    <col min="6164" max="6164" width="2.1640625" style="798" customWidth="1"/>
    <col min="6165" max="6166" width="0" style="798" hidden="1" customWidth="1"/>
    <col min="6167" max="6167" width="11.6640625" style="798" customWidth="1"/>
    <col min="6168" max="6168" width="0" style="798" hidden="1" customWidth="1"/>
    <col min="6169" max="6400" width="9.1640625" style="798"/>
    <col min="6401" max="6402" width="2.5" style="798" customWidth="1"/>
    <col min="6403" max="6403" width="44.5" style="798" customWidth="1"/>
    <col min="6404" max="6404" width="1.5" style="798" customWidth="1"/>
    <col min="6405" max="6405" width="21.6640625" style="798" customWidth="1"/>
    <col min="6406" max="6406" width="1.5" style="798" customWidth="1"/>
    <col min="6407" max="6412" width="0" style="798" hidden="1" customWidth="1"/>
    <col min="6413" max="6413" width="21.83203125" style="798" customWidth="1"/>
    <col min="6414" max="6414" width="1.5" style="798" customWidth="1"/>
    <col min="6415" max="6415" width="21.6640625" style="798" customWidth="1"/>
    <col min="6416" max="6416" width="1.5" style="798" customWidth="1"/>
    <col min="6417" max="6417" width="11.83203125" style="798" customWidth="1"/>
    <col min="6418" max="6418" width="3.5" style="798" customWidth="1"/>
    <col min="6419" max="6419" width="11.6640625" style="798" customWidth="1"/>
    <col min="6420" max="6420" width="2.1640625" style="798" customWidth="1"/>
    <col min="6421" max="6422" width="0" style="798" hidden="1" customWidth="1"/>
    <col min="6423" max="6423" width="11.6640625" style="798" customWidth="1"/>
    <col min="6424" max="6424" width="0" style="798" hidden="1" customWidth="1"/>
    <col min="6425" max="6656" width="9.1640625" style="798"/>
    <col min="6657" max="6658" width="2.5" style="798" customWidth="1"/>
    <col min="6659" max="6659" width="44.5" style="798" customWidth="1"/>
    <col min="6660" max="6660" width="1.5" style="798" customWidth="1"/>
    <col min="6661" max="6661" width="21.6640625" style="798" customWidth="1"/>
    <col min="6662" max="6662" width="1.5" style="798" customWidth="1"/>
    <col min="6663" max="6668" width="0" style="798" hidden="1" customWidth="1"/>
    <col min="6669" max="6669" width="21.83203125" style="798" customWidth="1"/>
    <col min="6670" max="6670" width="1.5" style="798" customWidth="1"/>
    <col min="6671" max="6671" width="21.6640625" style="798" customWidth="1"/>
    <col min="6672" max="6672" width="1.5" style="798" customWidth="1"/>
    <col min="6673" max="6673" width="11.83203125" style="798" customWidth="1"/>
    <col min="6674" max="6674" width="3.5" style="798" customWidth="1"/>
    <col min="6675" max="6675" width="11.6640625" style="798" customWidth="1"/>
    <col min="6676" max="6676" width="2.1640625" style="798" customWidth="1"/>
    <col min="6677" max="6678" width="0" style="798" hidden="1" customWidth="1"/>
    <col min="6679" max="6679" width="11.6640625" style="798" customWidth="1"/>
    <col min="6680" max="6680" width="0" style="798" hidden="1" customWidth="1"/>
    <col min="6681" max="6912" width="9.1640625" style="798"/>
    <col min="6913" max="6914" width="2.5" style="798" customWidth="1"/>
    <col min="6915" max="6915" width="44.5" style="798" customWidth="1"/>
    <col min="6916" max="6916" width="1.5" style="798" customWidth="1"/>
    <col min="6917" max="6917" width="21.6640625" style="798" customWidth="1"/>
    <col min="6918" max="6918" width="1.5" style="798" customWidth="1"/>
    <col min="6919" max="6924" width="0" style="798" hidden="1" customWidth="1"/>
    <col min="6925" max="6925" width="21.83203125" style="798" customWidth="1"/>
    <col min="6926" max="6926" width="1.5" style="798" customWidth="1"/>
    <col min="6927" max="6927" width="21.6640625" style="798" customWidth="1"/>
    <col min="6928" max="6928" width="1.5" style="798" customWidth="1"/>
    <col min="6929" max="6929" width="11.83203125" style="798" customWidth="1"/>
    <col min="6930" max="6930" width="3.5" style="798" customWidth="1"/>
    <col min="6931" max="6931" width="11.6640625" style="798" customWidth="1"/>
    <col min="6932" max="6932" width="2.1640625" style="798" customWidth="1"/>
    <col min="6933" max="6934" width="0" style="798" hidden="1" customWidth="1"/>
    <col min="6935" max="6935" width="11.6640625" style="798" customWidth="1"/>
    <col min="6936" max="6936" width="0" style="798" hidden="1" customWidth="1"/>
    <col min="6937" max="7168" width="9.1640625" style="798"/>
    <col min="7169" max="7170" width="2.5" style="798" customWidth="1"/>
    <col min="7171" max="7171" width="44.5" style="798" customWidth="1"/>
    <col min="7172" max="7172" width="1.5" style="798" customWidth="1"/>
    <col min="7173" max="7173" width="21.6640625" style="798" customWidth="1"/>
    <col min="7174" max="7174" width="1.5" style="798" customWidth="1"/>
    <col min="7175" max="7180" width="0" style="798" hidden="1" customWidth="1"/>
    <col min="7181" max="7181" width="21.83203125" style="798" customWidth="1"/>
    <col min="7182" max="7182" width="1.5" style="798" customWidth="1"/>
    <col min="7183" max="7183" width="21.6640625" style="798" customWidth="1"/>
    <col min="7184" max="7184" width="1.5" style="798" customWidth="1"/>
    <col min="7185" max="7185" width="11.83203125" style="798" customWidth="1"/>
    <col min="7186" max="7186" width="3.5" style="798" customWidth="1"/>
    <col min="7187" max="7187" width="11.6640625" style="798" customWidth="1"/>
    <col min="7188" max="7188" width="2.1640625" style="798" customWidth="1"/>
    <col min="7189" max="7190" width="0" style="798" hidden="1" customWidth="1"/>
    <col min="7191" max="7191" width="11.6640625" style="798" customWidth="1"/>
    <col min="7192" max="7192" width="0" style="798" hidden="1" customWidth="1"/>
    <col min="7193" max="7424" width="9.1640625" style="798"/>
    <col min="7425" max="7426" width="2.5" style="798" customWidth="1"/>
    <col min="7427" max="7427" width="44.5" style="798" customWidth="1"/>
    <col min="7428" max="7428" width="1.5" style="798" customWidth="1"/>
    <col min="7429" max="7429" width="21.6640625" style="798" customWidth="1"/>
    <col min="7430" max="7430" width="1.5" style="798" customWidth="1"/>
    <col min="7431" max="7436" width="0" style="798" hidden="1" customWidth="1"/>
    <col min="7437" max="7437" width="21.83203125" style="798" customWidth="1"/>
    <col min="7438" max="7438" width="1.5" style="798" customWidth="1"/>
    <col min="7439" max="7439" width="21.6640625" style="798" customWidth="1"/>
    <col min="7440" max="7440" width="1.5" style="798" customWidth="1"/>
    <col min="7441" max="7441" width="11.83203125" style="798" customWidth="1"/>
    <col min="7442" max="7442" width="3.5" style="798" customWidth="1"/>
    <col min="7443" max="7443" width="11.6640625" style="798" customWidth="1"/>
    <col min="7444" max="7444" width="2.1640625" style="798" customWidth="1"/>
    <col min="7445" max="7446" width="0" style="798" hidden="1" customWidth="1"/>
    <col min="7447" max="7447" width="11.6640625" style="798" customWidth="1"/>
    <col min="7448" max="7448" width="0" style="798" hidden="1" customWidth="1"/>
    <col min="7449" max="7680" width="9.1640625" style="798"/>
    <col min="7681" max="7682" width="2.5" style="798" customWidth="1"/>
    <col min="7683" max="7683" width="44.5" style="798" customWidth="1"/>
    <col min="7684" max="7684" width="1.5" style="798" customWidth="1"/>
    <col min="7685" max="7685" width="21.6640625" style="798" customWidth="1"/>
    <col min="7686" max="7686" width="1.5" style="798" customWidth="1"/>
    <col min="7687" max="7692" width="0" style="798" hidden="1" customWidth="1"/>
    <col min="7693" max="7693" width="21.83203125" style="798" customWidth="1"/>
    <col min="7694" max="7694" width="1.5" style="798" customWidth="1"/>
    <col min="7695" max="7695" width="21.6640625" style="798" customWidth="1"/>
    <col min="7696" max="7696" width="1.5" style="798" customWidth="1"/>
    <col min="7697" max="7697" width="11.83203125" style="798" customWidth="1"/>
    <col min="7698" max="7698" width="3.5" style="798" customWidth="1"/>
    <col min="7699" max="7699" width="11.6640625" style="798" customWidth="1"/>
    <col min="7700" max="7700" width="2.1640625" style="798" customWidth="1"/>
    <col min="7701" max="7702" width="0" style="798" hidden="1" customWidth="1"/>
    <col min="7703" max="7703" width="11.6640625" style="798" customWidth="1"/>
    <col min="7704" max="7704" width="0" style="798" hidden="1" customWidth="1"/>
    <col min="7705" max="7936" width="9.1640625" style="798"/>
    <col min="7937" max="7938" width="2.5" style="798" customWidth="1"/>
    <col min="7939" max="7939" width="44.5" style="798" customWidth="1"/>
    <col min="7940" max="7940" width="1.5" style="798" customWidth="1"/>
    <col min="7941" max="7941" width="21.6640625" style="798" customWidth="1"/>
    <col min="7942" max="7942" width="1.5" style="798" customWidth="1"/>
    <col min="7943" max="7948" width="0" style="798" hidden="1" customWidth="1"/>
    <col min="7949" max="7949" width="21.83203125" style="798" customWidth="1"/>
    <col min="7950" max="7950" width="1.5" style="798" customWidth="1"/>
    <col min="7951" max="7951" width="21.6640625" style="798" customWidth="1"/>
    <col min="7952" max="7952" width="1.5" style="798" customWidth="1"/>
    <col min="7953" max="7953" width="11.83203125" style="798" customWidth="1"/>
    <col min="7954" max="7954" width="3.5" style="798" customWidth="1"/>
    <col min="7955" max="7955" width="11.6640625" style="798" customWidth="1"/>
    <col min="7956" max="7956" width="2.1640625" style="798" customWidth="1"/>
    <col min="7957" max="7958" width="0" style="798" hidden="1" customWidth="1"/>
    <col min="7959" max="7959" width="11.6640625" style="798" customWidth="1"/>
    <col min="7960" max="7960" width="0" style="798" hidden="1" customWidth="1"/>
    <col min="7961" max="8192" width="9.1640625" style="798"/>
    <col min="8193" max="8194" width="2.5" style="798" customWidth="1"/>
    <col min="8195" max="8195" width="44.5" style="798" customWidth="1"/>
    <col min="8196" max="8196" width="1.5" style="798" customWidth="1"/>
    <col min="8197" max="8197" width="21.6640625" style="798" customWidth="1"/>
    <col min="8198" max="8198" width="1.5" style="798" customWidth="1"/>
    <col min="8199" max="8204" width="0" style="798" hidden="1" customWidth="1"/>
    <col min="8205" max="8205" width="21.83203125" style="798" customWidth="1"/>
    <col min="8206" max="8206" width="1.5" style="798" customWidth="1"/>
    <col min="8207" max="8207" width="21.6640625" style="798" customWidth="1"/>
    <col min="8208" max="8208" width="1.5" style="798" customWidth="1"/>
    <col min="8209" max="8209" width="11.83203125" style="798" customWidth="1"/>
    <col min="8210" max="8210" width="3.5" style="798" customWidth="1"/>
    <col min="8211" max="8211" width="11.6640625" style="798" customWidth="1"/>
    <col min="8212" max="8212" width="2.1640625" style="798" customWidth="1"/>
    <col min="8213" max="8214" width="0" style="798" hidden="1" customWidth="1"/>
    <col min="8215" max="8215" width="11.6640625" style="798" customWidth="1"/>
    <col min="8216" max="8216" width="0" style="798" hidden="1" customWidth="1"/>
    <col min="8217" max="8448" width="9.1640625" style="798"/>
    <col min="8449" max="8450" width="2.5" style="798" customWidth="1"/>
    <col min="8451" max="8451" width="44.5" style="798" customWidth="1"/>
    <col min="8452" max="8452" width="1.5" style="798" customWidth="1"/>
    <col min="8453" max="8453" width="21.6640625" style="798" customWidth="1"/>
    <col min="8454" max="8454" width="1.5" style="798" customWidth="1"/>
    <col min="8455" max="8460" width="0" style="798" hidden="1" customWidth="1"/>
    <col min="8461" max="8461" width="21.83203125" style="798" customWidth="1"/>
    <col min="8462" max="8462" width="1.5" style="798" customWidth="1"/>
    <col min="8463" max="8463" width="21.6640625" style="798" customWidth="1"/>
    <col min="8464" max="8464" width="1.5" style="798" customWidth="1"/>
    <col min="8465" max="8465" width="11.83203125" style="798" customWidth="1"/>
    <col min="8466" max="8466" width="3.5" style="798" customWidth="1"/>
    <col min="8467" max="8467" width="11.6640625" style="798" customWidth="1"/>
    <col min="8468" max="8468" width="2.1640625" style="798" customWidth="1"/>
    <col min="8469" max="8470" width="0" style="798" hidden="1" customWidth="1"/>
    <col min="8471" max="8471" width="11.6640625" style="798" customWidth="1"/>
    <col min="8472" max="8472" width="0" style="798" hidden="1" customWidth="1"/>
    <col min="8473" max="8704" width="9.1640625" style="798"/>
    <col min="8705" max="8706" width="2.5" style="798" customWidth="1"/>
    <col min="8707" max="8707" width="44.5" style="798" customWidth="1"/>
    <col min="8708" max="8708" width="1.5" style="798" customWidth="1"/>
    <col min="8709" max="8709" width="21.6640625" style="798" customWidth="1"/>
    <col min="8710" max="8710" width="1.5" style="798" customWidth="1"/>
    <col min="8711" max="8716" width="0" style="798" hidden="1" customWidth="1"/>
    <col min="8717" max="8717" width="21.83203125" style="798" customWidth="1"/>
    <col min="8718" max="8718" width="1.5" style="798" customWidth="1"/>
    <col min="8719" max="8719" width="21.6640625" style="798" customWidth="1"/>
    <col min="8720" max="8720" width="1.5" style="798" customWidth="1"/>
    <col min="8721" max="8721" width="11.83203125" style="798" customWidth="1"/>
    <col min="8722" max="8722" width="3.5" style="798" customWidth="1"/>
    <col min="8723" max="8723" width="11.6640625" style="798" customWidth="1"/>
    <col min="8724" max="8724" width="2.1640625" style="798" customWidth="1"/>
    <col min="8725" max="8726" width="0" style="798" hidden="1" customWidth="1"/>
    <col min="8727" max="8727" width="11.6640625" style="798" customWidth="1"/>
    <col min="8728" max="8728" width="0" style="798" hidden="1" customWidth="1"/>
    <col min="8729" max="8960" width="9.1640625" style="798"/>
    <col min="8961" max="8962" width="2.5" style="798" customWidth="1"/>
    <col min="8963" max="8963" width="44.5" style="798" customWidth="1"/>
    <col min="8964" max="8964" width="1.5" style="798" customWidth="1"/>
    <col min="8965" max="8965" width="21.6640625" style="798" customWidth="1"/>
    <col min="8966" max="8966" width="1.5" style="798" customWidth="1"/>
    <col min="8967" max="8972" width="0" style="798" hidden="1" customWidth="1"/>
    <col min="8973" max="8973" width="21.83203125" style="798" customWidth="1"/>
    <col min="8974" max="8974" width="1.5" style="798" customWidth="1"/>
    <col min="8975" max="8975" width="21.6640625" style="798" customWidth="1"/>
    <col min="8976" max="8976" width="1.5" style="798" customWidth="1"/>
    <col min="8977" max="8977" width="11.83203125" style="798" customWidth="1"/>
    <col min="8978" max="8978" width="3.5" style="798" customWidth="1"/>
    <col min="8979" max="8979" width="11.6640625" style="798" customWidth="1"/>
    <col min="8980" max="8980" width="2.1640625" style="798" customWidth="1"/>
    <col min="8981" max="8982" width="0" style="798" hidden="1" customWidth="1"/>
    <col min="8983" max="8983" width="11.6640625" style="798" customWidth="1"/>
    <col min="8984" max="8984" width="0" style="798" hidden="1" customWidth="1"/>
    <col min="8985" max="9216" width="9.1640625" style="798"/>
    <col min="9217" max="9218" width="2.5" style="798" customWidth="1"/>
    <col min="9219" max="9219" width="44.5" style="798" customWidth="1"/>
    <col min="9220" max="9220" width="1.5" style="798" customWidth="1"/>
    <col min="9221" max="9221" width="21.6640625" style="798" customWidth="1"/>
    <col min="9222" max="9222" width="1.5" style="798" customWidth="1"/>
    <col min="9223" max="9228" width="0" style="798" hidden="1" customWidth="1"/>
    <col min="9229" max="9229" width="21.83203125" style="798" customWidth="1"/>
    <col min="9230" max="9230" width="1.5" style="798" customWidth="1"/>
    <col min="9231" max="9231" width="21.6640625" style="798" customWidth="1"/>
    <col min="9232" max="9232" width="1.5" style="798" customWidth="1"/>
    <col min="9233" max="9233" width="11.83203125" style="798" customWidth="1"/>
    <col min="9234" max="9234" width="3.5" style="798" customWidth="1"/>
    <col min="9235" max="9235" width="11.6640625" style="798" customWidth="1"/>
    <col min="9236" max="9236" width="2.1640625" style="798" customWidth="1"/>
    <col min="9237" max="9238" width="0" style="798" hidden="1" customWidth="1"/>
    <col min="9239" max="9239" width="11.6640625" style="798" customWidth="1"/>
    <col min="9240" max="9240" width="0" style="798" hidden="1" customWidth="1"/>
    <col min="9241" max="9472" width="9.1640625" style="798"/>
    <col min="9473" max="9474" width="2.5" style="798" customWidth="1"/>
    <col min="9475" max="9475" width="44.5" style="798" customWidth="1"/>
    <col min="9476" max="9476" width="1.5" style="798" customWidth="1"/>
    <col min="9477" max="9477" width="21.6640625" style="798" customWidth="1"/>
    <col min="9478" max="9478" width="1.5" style="798" customWidth="1"/>
    <col min="9479" max="9484" width="0" style="798" hidden="1" customWidth="1"/>
    <col min="9485" max="9485" width="21.83203125" style="798" customWidth="1"/>
    <col min="9486" max="9486" width="1.5" style="798" customWidth="1"/>
    <col min="9487" max="9487" width="21.6640625" style="798" customWidth="1"/>
    <col min="9488" max="9488" width="1.5" style="798" customWidth="1"/>
    <col min="9489" max="9489" width="11.83203125" style="798" customWidth="1"/>
    <col min="9490" max="9490" width="3.5" style="798" customWidth="1"/>
    <col min="9491" max="9491" width="11.6640625" style="798" customWidth="1"/>
    <col min="9492" max="9492" width="2.1640625" style="798" customWidth="1"/>
    <col min="9493" max="9494" width="0" style="798" hidden="1" customWidth="1"/>
    <col min="9495" max="9495" width="11.6640625" style="798" customWidth="1"/>
    <col min="9496" max="9496" width="0" style="798" hidden="1" customWidth="1"/>
    <col min="9497" max="9728" width="9.1640625" style="798"/>
    <col min="9729" max="9730" width="2.5" style="798" customWidth="1"/>
    <col min="9731" max="9731" width="44.5" style="798" customWidth="1"/>
    <col min="9732" max="9732" width="1.5" style="798" customWidth="1"/>
    <col min="9733" max="9733" width="21.6640625" style="798" customWidth="1"/>
    <col min="9734" max="9734" width="1.5" style="798" customWidth="1"/>
    <col min="9735" max="9740" width="0" style="798" hidden="1" customWidth="1"/>
    <col min="9741" max="9741" width="21.83203125" style="798" customWidth="1"/>
    <col min="9742" max="9742" width="1.5" style="798" customWidth="1"/>
    <col min="9743" max="9743" width="21.6640625" style="798" customWidth="1"/>
    <col min="9744" max="9744" width="1.5" style="798" customWidth="1"/>
    <col min="9745" max="9745" width="11.83203125" style="798" customWidth="1"/>
    <col min="9746" max="9746" width="3.5" style="798" customWidth="1"/>
    <col min="9747" max="9747" width="11.6640625" style="798" customWidth="1"/>
    <col min="9748" max="9748" width="2.1640625" style="798" customWidth="1"/>
    <col min="9749" max="9750" width="0" style="798" hidden="1" customWidth="1"/>
    <col min="9751" max="9751" width="11.6640625" style="798" customWidth="1"/>
    <col min="9752" max="9752" width="0" style="798" hidden="1" customWidth="1"/>
    <col min="9753" max="9984" width="9.1640625" style="798"/>
    <col min="9985" max="9986" width="2.5" style="798" customWidth="1"/>
    <col min="9987" max="9987" width="44.5" style="798" customWidth="1"/>
    <col min="9988" max="9988" width="1.5" style="798" customWidth="1"/>
    <col min="9989" max="9989" width="21.6640625" style="798" customWidth="1"/>
    <col min="9990" max="9990" width="1.5" style="798" customWidth="1"/>
    <col min="9991" max="9996" width="0" style="798" hidden="1" customWidth="1"/>
    <col min="9997" max="9997" width="21.83203125" style="798" customWidth="1"/>
    <col min="9998" max="9998" width="1.5" style="798" customWidth="1"/>
    <col min="9999" max="9999" width="21.6640625" style="798" customWidth="1"/>
    <col min="10000" max="10000" width="1.5" style="798" customWidth="1"/>
    <col min="10001" max="10001" width="11.83203125" style="798" customWidth="1"/>
    <col min="10002" max="10002" width="3.5" style="798" customWidth="1"/>
    <col min="10003" max="10003" width="11.6640625" style="798" customWidth="1"/>
    <col min="10004" max="10004" width="2.1640625" style="798" customWidth="1"/>
    <col min="10005" max="10006" width="0" style="798" hidden="1" customWidth="1"/>
    <col min="10007" max="10007" width="11.6640625" style="798" customWidth="1"/>
    <col min="10008" max="10008" width="0" style="798" hidden="1" customWidth="1"/>
    <col min="10009" max="10240" width="9.1640625" style="798"/>
    <col min="10241" max="10242" width="2.5" style="798" customWidth="1"/>
    <col min="10243" max="10243" width="44.5" style="798" customWidth="1"/>
    <col min="10244" max="10244" width="1.5" style="798" customWidth="1"/>
    <col min="10245" max="10245" width="21.6640625" style="798" customWidth="1"/>
    <col min="10246" max="10246" width="1.5" style="798" customWidth="1"/>
    <col min="10247" max="10252" width="0" style="798" hidden="1" customWidth="1"/>
    <col min="10253" max="10253" width="21.83203125" style="798" customWidth="1"/>
    <col min="10254" max="10254" width="1.5" style="798" customWidth="1"/>
    <col min="10255" max="10255" width="21.6640625" style="798" customWidth="1"/>
    <col min="10256" max="10256" width="1.5" style="798" customWidth="1"/>
    <col min="10257" max="10257" width="11.83203125" style="798" customWidth="1"/>
    <col min="10258" max="10258" width="3.5" style="798" customWidth="1"/>
    <col min="10259" max="10259" width="11.6640625" style="798" customWidth="1"/>
    <col min="10260" max="10260" width="2.1640625" style="798" customWidth="1"/>
    <col min="10261" max="10262" width="0" style="798" hidden="1" customWidth="1"/>
    <col min="10263" max="10263" width="11.6640625" style="798" customWidth="1"/>
    <col min="10264" max="10264" width="0" style="798" hidden="1" customWidth="1"/>
    <col min="10265" max="10496" width="9.1640625" style="798"/>
    <col min="10497" max="10498" width="2.5" style="798" customWidth="1"/>
    <col min="10499" max="10499" width="44.5" style="798" customWidth="1"/>
    <col min="10500" max="10500" width="1.5" style="798" customWidth="1"/>
    <col min="10501" max="10501" width="21.6640625" style="798" customWidth="1"/>
    <col min="10502" max="10502" width="1.5" style="798" customWidth="1"/>
    <col min="10503" max="10508" width="0" style="798" hidden="1" customWidth="1"/>
    <col min="10509" max="10509" width="21.83203125" style="798" customWidth="1"/>
    <col min="10510" max="10510" width="1.5" style="798" customWidth="1"/>
    <col min="10511" max="10511" width="21.6640625" style="798" customWidth="1"/>
    <col min="10512" max="10512" width="1.5" style="798" customWidth="1"/>
    <col min="10513" max="10513" width="11.83203125" style="798" customWidth="1"/>
    <col min="10514" max="10514" width="3.5" style="798" customWidth="1"/>
    <col min="10515" max="10515" width="11.6640625" style="798" customWidth="1"/>
    <col min="10516" max="10516" width="2.1640625" style="798" customWidth="1"/>
    <col min="10517" max="10518" width="0" style="798" hidden="1" customWidth="1"/>
    <col min="10519" max="10519" width="11.6640625" style="798" customWidth="1"/>
    <col min="10520" max="10520" width="0" style="798" hidden="1" customWidth="1"/>
    <col min="10521" max="10752" width="9.1640625" style="798"/>
    <col min="10753" max="10754" width="2.5" style="798" customWidth="1"/>
    <col min="10755" max="10755" width="44.5" style="798" customWidth="1"/>
    <col min="10756" max="10756" width="1.5" style="798" customWidth="1"/>
    <col min="10757" max="10757" width="21.6640625" style="798" customWidth="1"/>
    <col min="10758" max="10758" width="1.5" style="798" customWidth="1"/>
    <col min="10759" max="10764" width="0" style="798" hidden="1" customWidth="1"/>
    <col min="10765" max="10765" width="21.83203125" style="798" customWidth="1"/>
    <col min="10766" max="10766" width="1.5" style="798" customWidth="1"/>
    <col min="10767" max="10767" width="21.6640625" style="798" customWidth="1"/>
    <col min="10768" max="10768" width="1.5" style="798" customWidth="1"/>
    <col min="10769" max="10769" width="11.83203125" style="798" customWidth="1"/>
    <col min="10770" max="10770" width="3.5" style="798" customWidth="1"/>
    <col min="10771" max="10771" width="11.6640625" style="798" customWidth="1"/>
    <col min="10772" max="10772" width="2.1640625" style="798" customWidth="1"/>
    <col min="10773" max="10774" width="0" style="798" hidden="1" customWidth="1"/>
    <col min="10775" max="10775" width="11.6640625" style="798" customWidth="1"/>
    <col min="10776" max="10776" width="0" style="798" hidden="1" customWidth="1"/>
    <col min="10777" max="11008" width="9.1640625" style="798"/>
    <col min="11009" max="11010" width="2.5" style="798" customWidth="1"/>
    <col min="11011" max="11011" width="44.5" style="798" customWidth="1"/>
    <col min="11012" max="11012" width="1.5" style="798" customWidth="1"/>
    <col min="11013" max="11013" width="21.6640625" style="798" customWidth="1"/>
    <col min="11014" max="11014" width="1.5" style="798" customWidth="1"/>
    <col min="11015" max="11020" width="0" style="798" hidden="1" customWidth="1"/>
    <col min="11021" max="11021" width="21.83203125" style="798" customWidth="1"/>
    <col min="11022" max="11022" width="1.5" style="798" customWidth="1"/>
    <col min="11023" max="11023" width="21.6640625" style="798" customWidth="1"/>
    <col min="11024" max="11024" width="1.5" style="798" customWidth="1"/>
    <col min="11025" max="11025" width="11.83203125" style="798" customWidth="1"/>
    <col min="11026" max="11026" width="3.5" style="798" customWidth="1"/>
    <col min="11027" max="11027" width="11.6640625" style="798" customWidth="1"/>
    <col min="11028" max="11028" width="2.1640625" style="798" customWidth="1"/>
    <col min="11029" max="11030" width="0" style="798" hidden="1" customWidth="1"/>
    <col min="11031" max="11031" width="11.6640625" style="798" customWidth="1"/>
    <col min="11032" max="11032" width="0" style="798" hidden="1" customWidth="1"/>
    <col min="11033" max="11264" width="9.1640625" style="798"/>
    <col min="11265" max="11266" width="2.5" style="798" customWidth="1"/>
    <col min="11267" max="11267" width="44.5" style="798" customWidth="1"/>
    <col min="11268" max="11268" width="1.5" style="798" customWidth="1"/>
    <col min="11269" max="11269" width="21.6640625" style="798" customWidth="1"/>
    <col min="11270" max="11270" width="1.5" style="798" customWidth="1"/>
    <col min="11271" max="11276" width="0" style="798" hidden="1" customWidth="1"/>
    <col min="11277" max="11277" width="21.83203125" style="798" customWidth="1"/>
    <col min="11278" max="11278" width="1.5" style="798" customWidth="1"/>
    <col min="11279" max="11279" width="21.6640625" style="798" customWidth="1"/>
    <col min="11280" max="11280" width="1.5" style="798" customWidth="1"/>
    <col min="11281" max="11281" width="11.83203125" style="798" customWidth="1"/>
    <col min="11282" max="11282" width="3.5" style="798" customWidth="1"/>
    <col min="11283" max="11283" width="11.6640625" style="798" customWidth="1"/>
    <col min="11284" max="11284" width="2.1640625" style="798" customWidth="1"/>
    <col min="11285" max="11286" width="0" style="798" hidden="1" customWidth="1"/>
    <col min="11287" max="11287" width="11.6640625" style="798" customWidth="1"/>
    <col min="11288" max="11288" width="0" style="798" hidden="1" customWidth="1"/>
    <col min="11289" max="11520" width="9.1640625" style="798"/>
    <col min="11521" max="11522" width="2.5" style="798" customWidth="1"/>
    <col min="11523" max="11523" width="44.5" style="798" customWidth="1"/>
    <col min="11524" max="11524" width="1.5" style="798" customWidth="1"/>
    <col min="11525" max="11525" width="21.6640625" style="798" customWidth="1"/>
    <col min="11526" max="11526" width="1.5" style="798" customWidth="1"/>
    <col min="11527" max="11532" width="0" style="798" hidden="1" customWidth="1"/>
    <col min="11533" max="11533" width="21.83203125" style="798" customWidth="1"/>
    <col min="11534" max="11534" width="1.5" style="798" customWidth="1"/>
    <col min="11535" max="11535" width="21.6640625" style="798" customWidth="1"/>
    <col min="11536" max="11536" width="1.5" style="798" customWidth="1"/>
    <col min="11537" max="11537" width="11.83203125" style="798" customWidth="1"/>
    <col min="11538" max="11538" width="3.5" style="798" customWidth="1"/>
    <col min="11539" max="11539" width="11.6640625" style="798" customWidth="1"/>
    <col min="11540" max="11540" width="2.1640625" style="798" customWidth="1"/>
    <col min="11541" max="11542" width="0" style="798" hidden="1" customWidth="1"/>
    <col min="11543" max="11543" width="11.6640625" style="798" customWidth="1"/>
    <col min="11544" max="11544" width="0" style="798" hidden="1" customWidth="1"/>
    <col min="11545" max="11776" width="9.1640625" style="798"/>
    <col min="11777" max="11778" width="2.5" style="798" customWidth="1"/>
    <col min="11779" max="11779" width="44.5" style="798" customWidth="1"/>
    <col min="11780" max="11780" width="1.5" style="798" customWidth="1"/>
    <col min="11781" max="11781" width="21.6640625" style="798" customWidth="1"/>
    <col min="11782" max="11782" width="1.5" style="798" customWidth="1"/>
    <col min="11783" max="11788" width="0" style="798" hidden="1" customWidth="1"/>
    <col min="11789" max="11789" width="21.83203125" style="798" customWidth="1"/>
    <col min="11790" max="11790" width="1.5" style="798" customWidth="1"/>
    <col min="11791" max="11791" width="21.6640625" style="798" customWidth="1"/>
    <col min="11792" max="11792" width="1.5" style="798" customWidth="1"/>
    <col min="11793" max="11793" width="11.83203125" style="798" customWidth="1"/>
    <col min="11794" max="11794" width="3.5" style="798" customWidth="1"/>
    <col min="11795" max="11795" width="11.6640625" style="798" customWidth="1"/>
    <col min="11796" max="11796" width="2.1640625" style="798" customWidth="1"/>
    <col min="11797" max="11798" width="0" style="798" hidden="1" customWidth="1"/>
    <col min="11799" max="11799" width="11.6640625" style="798" customWidth="1"/>
    <col min="11800" max="11800" width="0" style="798" hidden="1" customWidth="1"/>
    <col min="11801" max="12032" width="9.1640625" style="798"/>
    <col min="12033" max="12034" width="2.5" style="798" customWidth="1"/>
    <col min="12035" max="12035" width="44.5" style="798" customWidth="1"/>
    <col min="12036" max="12036" width="1.5" style="798" customWidth="1"/>
    <col min="12037" max="12037" width="21.6640625" style="798" customWidth="1"/>
    <col min="12038" max="12038" width="1.5" style="798" customWidth="1"/>
    <col min="12039" max="12044" width="0" style="798" hidden="1" customWidth="1"/>
    <col min="12045" max="12045" width="21.83203125" style="798" customWidth="1"/>
    <col min="12046" max="12046" width="1.5" style="798" customWidth="1"/>
    <col min="12047" max="12047" width="21.6640625" style="798" customWidth="1"/>
    <col min="12048" max="12048" width="1.5" style="798" customWidth="1"/>
    <col min="12049" max="12049" width="11.83203125" style="798" customWidth="1"/>
    <col min="12050" max="12050" width="3.5" style="798" customWidth="1"/>
    <col min="12051" max="12051" width="11.6640625" style="798" customWidth="1"/>
    <col min="12052" max="12052" width="2.1640625" style="798" customWidth="1"/>
    <col min="12053" max="12054" width="0" style="798" hidden="1" customWidth="1"/>
    <col min="12055" max="12055" width="11.6640625" style="798" customWidth="1"/>
    <col min="12056" max="12056" width="0" style="798" hidden="1" customWidth="1"/>
    <col min="12057" max="12288" width="9.1640625" style="798"/>
    <col min="12289" max="12290" width="2.5" style="798" customWidth="1"/>
    <col min="12291" max="12291" width="44.5" style="798" customWidth="1"/>
    <col min="12292" max="12292" width="1.5" style="798" customWidth="1"/>
    <col min="12293" max="12293" width="21.6640625" style="798" customWidth="1"/>
    <col min="12294" max="12294" width="1.5" style="798" customWidth="1"/>
    <col min="12295" max="12300" width="0" style="798" hidden="1" customWidth="1"/>
    <col min="12301" max="12301" width="21.83203125" style="798" customWidth="1"/>
    <col min="12302" max="12302" width="1.5" style="798" customWidth="1"/>
    <col min="12303" max="12303" width="21.6640625" style="798" customWidth="1"/>
    <col min="12304" max="12304" width="1.5" style="798" customWidth="1"/>
    <col min="12305" max="12305" width="11.83203125" style="798" customWidth="1"/>
    <col min="12306" max="12306" width="3.5" style="798" customWidth="1"/>
    <col min="12307" max="12307" width="11.6640625" style="798" customWidth="1"/>
    <col min="12308" max="12308" width="2.1640625" style="798" customWidth="1"/>
    <col min="12309" max="12310" width="0" style="798" hidden="1" customWidth="1"/>
    <col min="12311" max="12311" width="11.6640625" style="798" customWidth="1"/>
    <col min="12312" max="12312" width="0" style="798" hidden="1" customWidth="1"/>
    <col min="12313" max="12544" width="9.1640625" style="798"/>
    <col min="12545" max="12546" width="2.5" style="798" customWidth="1"/>
    <col min="12547" max="12547" width="44.5" style="798" customWidth="1"/>
    <col min="12548" max="12548" width="1.5" style="798" customWidth="1"/>
    <col min="12549" max="12549" width="21.6640625" style="798" customWidth="1"/>
    <col min="12550" max="12550" width="1.5" style="798" customWidth="1"/>
    <col min="12551" max="12556" width="0" style="798" hidden="1" customWidth="1"/>
    <col min="12557" max="12557" width="21.83203125" style="798" customWidth="1"/>
    <col min="12558" max="12558" width="1.5" style="798" customWidth="1"/>
    <col min="12559" max="12559" width="21.6640625" style="798" customWidth="1"/>
    <col min="12560" max="12560" width="1.5" style="798" customWidth="1"/>
    <col min="12561" max="12561" width="11.83203125" style="798" customWidth="1"/>
    <col min="12562" max="12562" width="3.5" style="798" customWidth="1"/>
    <col min="12563" max="12563" width="11.6640625" style="798" customWidth="1"/>
    <col min="12564" max="12564" width="2.1640625" style="798" customWidth="1"/>
    <col min="12565" max="12566" width="0" style="798" hidden="1" customWidth="1"/>
    <col min="12567" max="12567" width="11.6640625" style="798" customWidth="1"/>
    <col min="12568" max="12568" width="0" style="798" hidden="1" customWidth="1"/>
    <col min="12569" max="12800" width="9.1640625" style="798"/>
    <col min="12801" max="12802" width="2.5" style="798" customWidth="1"/>
    <col min="12803" max="12803" width="44.5" style="798" customWidth="1"/>
    <col min="12804" max="12804" width="1.5" style="798" customWidth="1"/>
    <col min="12805" max="12805" width="21.6640625" style="798" customWidth="1"/>
    <col min="12806" max="12806" width="1.5" style="798" customWidth="1"/>
    <col min="12807" max="12812" width="0" style="798" hidden="1" customWidth="1"/>
    <col min="12813" max="12813" width="21.83203125" style="798" customWidth="1"/>
    <col min="12814" max="12814" width="1.5" style="798" customWidth="1"/>
    <col min="12815" max="12815" width="21.6640625" style="798" customWidth="1"/>
    <col min="12816" max="12816" width="1.5" style="798" customWidth="1"/>
    <col min="12817" max="12817" width="11.83203125" style="798" customWidth="1"/>
    <col min="12818" max="12818" width="3.5" style="798" customWidth="1"/>
    <col min="12819" max="12819" width="11.6640625" style="798" customWidth="1"/>
    <col min="12820" max="12820" width="2.1640625" style="798" customWidth="1"/>
    <col min="12821" max="12822" width="0" style="798" hidden="1" customWidth="1"/>
    <col min="12823" max="12823" width="11.6640625" style="798" customWidth="1"/>
    <col min="12824" max="12824" width="0" style="798" hidden="1" customWidth="1"/>
    <col min="12825" max="13056" width="9.1640625" style="798"/>
    <col min="13057" max="13058" width="2.5" style="798" customWidth="1"/>
    <col min="13059" max="13059" width="44.5" style="798" customWidth="1"/>
    <col min="13060" max="13060" width="1.5" style="798" customWidth="1"/>
    <col min="13061" max="13061" width="21.6640625" style="798" customWidth="1"/>
    <col min="13062" max="13062" width="1.5" style="798" customWidth="1"/>
    <col min="13063" max="13068" width="0" style="798" hidden="1" customWidth="1"/>
    <col min="13069" max="13069" width="21.83203125" style="798" customWidth="1"/>
    <col min="13070" max="13070" width="1.5" style="798" customWidth="1"/>
    <col min="13071" max="13071" width="21.6640625" style="798" customWidth="1"/>
    <col min="13072" max="13072" width="1.5" style="798" customWidth="1"/>
    <col min="13073" max="13073" width="11.83203125" style="798" customWidth="1"/>
    <col min="13074" max="13074" width="3.5" style="798" customWidth="1"/>
    <col min="13075" max="13075" width="11.6640625" style="798" customWidth="1"/>
    <col min="13076" max="13076" width="2.1640625" style="798" customWidth="1"/>
    <col min="13077" max="13078" width="0" style="798" hidden="1" customWidth="1"/>
    <col min="13079" max="13079" width="11.6640625" style="798" customWidth="1"/>
    <col min="13080" max="13080" width="0" style="798" hidden="1" customWidth="1"/>
    <col min="13081" max="13312" width="9.1640625" style="798"/>
    <col min="13313" max="13314" width="2.5" style="798" customWidth="1"/>
    <col min="13315" max="13315" width="44.5" style="798" customWidth="1"/>
    <col min="13316" max="13316" width="1.5" style="798" customWidth="1"/>
    <col min="13317" max="13317" width="21.6640625" style="798" customWidth="1"/>
    <col min="13318" max="13318" width="1.5" style="798" customWidth="1"/>
    <col min="13319" max="13324" width="0" style="798" hidden="1" customWidth="1"/>
    <col min="13325" max="13325" width="21.83203125" style="798" customWidth="1"/>
    <col min="13326" max="13326" width="1.5" style="798" customWidth="1"/>
    <col min="13327" max="13327" width="21.6640625" style="798" customWidth="1"/>
    <col min="13328" max="13328" width="1.5" style="798" customWidth="1"/>
    <col min="13329" max="13329" width="11.83203125" style="798" customWidth="1"/>
    <col min="13330" max="13330" width="3.5" style="798" customWidth="1"/>
    <col min="13331" max="13331" width="11.6640625" style="798" customWidth="1"/>
    <col min="13332" max="13332" width="2.1640625" style="798" customWidth="1"/>
    <col min="13333" max="13334" width="0" style="798" hidden="1" customWidth="1"/>
    <col min="13335" max="13335" width="11.6640625" style="798" customWidth="1"/>
    <col min="13336" max="13336" width="0" style="798" hidden="1" customWidth="1"/>
    <col min="13337" max="13568" width="9.1640625" style="798"/>
    <col min="13569" max="13570" width="2.5" style="798" customWidth="1"/>
    <col min="13571" max="13571" width="44.5" style="798" customWidth="1"/>
    <col min="13572" max="13572" width="1.5" style="798" customWidth="1"/>
    <col min="13573" max="13573" width="21.6640625" style="798" customWidth="1"/>
    <col min="13574" max="13574" width="1.5" style="798" customWidth="1"/>
    <col min="13575" max="13580" width="0" style="798" hidden="1" customWidth="1"/>
    <col min="13581" max="13581" width="21.83203125" style="798" customWidth="1"/>
    <col min="13582" max="13582" width="1.5" style="798" customWidth="1"/>
    <col min="13583" max="13583" width="21.6640625" style="798" customWidth="1"/>
    <col min="13584" max="13584" width="1.5" style="798" customWidth="1"/>
    <col min="13585" max="13585" width="11.83203125" style="798" customWidth="1"/>
    <col min="13586" max="13586" width="3.5" style="798" customWidth="1"/>
    <col min="13587" max="13587" width="11.6640625" style="798" customWidth="1"/>
    <col min="13588" max="13588" width="2.1640625" style="798" customWidth="1"/>
    <col min="13589" max="13590" width="0" style="798" hidden="1" customWidth="1"/>
    <col min="13591" max="13591" width="11.6640625" style="798" customWidth="1"/>
    <col min="13592" max="13592" width="0" style="798" hidden="1" customWidth="1"/>
    <col min="13593" max="13824" width="9.1640625" style="798"/>
    <col min="13825" max="13826" width="2.5" style="798" customWidth="1"/>
    <col min="13827" max="13827" width="44.5" style="798" customWidth="1"/>
    <col min="13828" max="13828" width="1.5" style="798" customWidth="1"/>
    <col min="13829" max="13829" width="21.6640625" style="798" customWidth="1"/>
    <col min="13830" max="13830" width="1.5" style="798" customWidth="1"/>
    <col min="13831" max="13836" width="0" style="798" hidden="1" customWidth="1"/>
    <col min="13837" max="13837" width="21.83203125" style="798" customWidth="1"/>
    <col min="13838" max="13838" width="1.5" style="798" customWidth="1"/>
    <col min="13839" max="13839" width="21.6640625" style="798" customWidth="1"/>
    <col min="13840" max="13840" width="1.5" style="798" customWidth="1"/>
    <col min="13841" max="13841" width="11.83203125" style="798" customWidth="1"/>
    <col min="13842" max="13842" width="3.5" style="798" customWidth="1"/>
    <col min="13843" max="13843" width="11.6640625" style="798" customWidth="1"/>
    <col min="13844" max="13844" width="2.1640625" style="798" customWidth="1"/>
    <col min="13845" max="13846" width="0" style="798" hidden="1" customWidth="1"/>
    <col min="13847" max="13847" width="11.6640625" style="798" customWidth="1"/>
    <col min="13848" max="13848" width="0" style="798" hidden="1" customWidth="1"/>
    <col min="13849" max="14080" width="9.1640625" style="798"/>
    <col min="14081" max="14082" width="2.5" style="798" customWidth="1"/>
    <col min="14083" max="14083" width="44.5" style="798" customWidth="1"/>
    <col min="14084" max="14084" width="1.5" style="798" customWidth="1"/>
    <col min="14085" max="14085" width="21.6640625" style="798" customWidth="1"/>
    <col min="14086" max="14086" width="1.5" style="798" customWidth="1"/>
    <col min="14087" max="14092" width="0" style="798" hidden="1" customWidth="1"/>
    <col min="14093" max="14093" width="21.83203125" style="798" customWidth="1"/>
    <col min="14094" max="14094" width="1.5" style="798" customWidth="1"/>
    <col min="14095" max="14095" width="21.6640625" style="798" customWidth="1"/>
    <col min="14096" max="14096" width="1.5" style="798" customWidth="1"/>
    <col min="14097" max="14097" width="11.83203125" style="798" customWidth="1"/>
    <col min="14098" max="14098" width="3.5" style="798" customWidth="1"/>
    <col min="14099" max="14099" width="11.6640625" style="798" customWidth="1"/>
    <col min="14100" max="14100" width="2.1640625" style="798" customWidth="1"/>
    <col min="14101" max="14102" width="0" style="798" hidden="1" customWidth="1"/>
    <col min="14103" max="14103" width="11.6640625" style="798" customWidth="1"/>
    <col min="14104" max="14104" width="0" style="798" hidden="1" customWidth="1"/>
    <col min="14105" max="14336" width="9.1640625" style="798"/>
    <col min="14337" max="14338" width="2.5" style="798" customWidth="1"/>
    <col min="14339" max="14339" width="44.5" style="798" customWidth="1"/>
    <col min="14340" max="14340" width="1.5" style="798" customWidth="1"/>
    <col min="14341" max="14341" width="21.6640625" style="798" customWidth="1"/>
    <col min="14342" max="14342" width="1.5" style="798" customWidth="1"/>
    <col min="14343" max="14348" width="0" style="798" hidden="1" customWidth="1"/>
    <col min="14349" max="14349" width="21.83203125" style="798" customWidth="1"/>
    <col min="14350" max="14350" width="1.5" style="798" customWidth="1"/>
    <col min="14351" max="14351" width="21.6640625" style="798" customWidth="1"/>
    <col min="14352" max="14352" width="1.5" style="798" customWidth="1"/>
    <col min="14353" max="14353" width="11.83203125" style="798" customWidth="1"/>
    <col min="14354" max="14354" width="3.5" style="798" customWidth="1"/>
    <col min="14355" max="14355" width="11.6640625" style="798" customWidth="1"/>
    <col min="14356" max="14356" width="2.1640625" style="798" customWidth="1"/>
    <col min="14357" max="14358" width="0" style="798" hidden="1" customWidth="1"/>
    <col min="14359" max="14359" width="11.6640625" style="798" customWidth="1"/>
    <col min="14360" max="14360" width="0" style="798" hidden="1" customWidth="1"/>
    <col min="14361" max="14592" width="9.1640625" style="798"/>
    <col min="14593" max="14594" width="2.5" style="798" customWidth="1"/>
    <col min="14595" max="14595" width="44.5" style="798" customWidth="1"/>
    <col min="14596" max="14596" width="1.5" style="798" customWidth="1"/>
    <col min="14597" max="14597" width="21.6640625" style="798" customWidth="1"/>
    <col min="14598" max="14598" width="1.5" style="798" customWidth="1"/>
    <col min="14599" max="14604" width="0" style="798" hidden="1" customWidth="1"/>
    <col min="14605" max="14605" width="21.83203125" style="798" customWidth="1"/>
    <col min="14606" max="14606" width="1.5" style="798" customWidth="1"/>
    <col min="14607" max="14607" width="21.6640625" style="798" customWidth="1"/>
    <col min="14608" max="14608" width="1.5" style="798" customWidth="1"/>
    <col min="14609" max="14609" width="11.83203125" style="798" customWidth="1"/>
    <col min="14610" max="14610" width="3.5" style="798" customWidth="1"/>
    <col min="14611" max="14611" width="11.6640625" style="798" customWidth="1"/>
    <col min="14612" max="14612" width="2.1640625" style="798" customWidth="1"/>
    <col min="14613" max="14614" width="0" style="798" hidden="1" customWidth="1"/>
    <col min="14615" max="14615" width="11.6640625" style="798" customWidth="1"/>
    <col min="14616" max="14616" width="0" style="798" hidden="1" customWidth="1"/>
    <col min="14617" max="14848" width="9.1640625" style="798"/>
    <col min="14849" max="14850" width="2.5" style="798" customWidth="1"/>
    <col min="14851" max="14851" width="44.5" style="798" customWidth="1"/>
    <col min="14852" max="14852" width="1.5" style="798" customWidth="1"/>
    <col min="14853" max="14853" width="21.6640625" style="798" customWidth="1"/>
    <col min="14854" max="14854" width="1.5" style="798" customWidth="1"/>
    <col min="14855" max="14860" width="0" style="798" hidden="1" customWidth="1"/>
    <col min="14861" max="14861" width="21.83203125" style="798" customWidth="1"/>
    <col min="14862" max="14862" width="1.5" style="798" customWidth="1"/>
    <col min="14863" max="14863" width="21.6640625" style="798" customWidth="1"/>
    <col min="14864" max="14864" width="1.5" style="798" customWidth="1"/>
    <col min="14865" max="14865" width="11.83203125" style="798" customWidth="1"/>
    <col min="14866" max="14866" width="3.5" style="798" customWidth="1"/>
    <col min="14867" max="14867" width="11.6640625" style="798" customWidth="1"/>
    <col min="14868" max="14868" width="2.1640625" style="798" customWidth="1"/>
    <col min="14869" max="14870" width="0" style="798" hidden="1" customWidth="1"/>
    <col min="14871" max="14871" width="11.6640625" style="798" customWidth="1"/>
    <col min="14872" max="14872" width="0" style="798" hidden="1" customWidth="1"/>
    <col min="14873" max="15104" width="9.1640625" style="798"/>
    <col min="15105" max="15106" width="2.5" style="798" customWidth="1"/>
    <col min="15107" max="15107" width="44.5" style="798" customWidth="1"/>
    <col min="15108" max="15108" width="1.5" style="798" customWidth="1"/>
    <col min="15109" max="15109" width="21.6640625" style="798" customWidth="1"/>
    <col min="15110" max="15110" width="1.5" style="798" customWidth="1"/>
    <col min="15111" max="15116" width="0" style="798" hidden="1" customWidth="1"/>
    <col min="15117" max="15117" width="21.83203125" style="798" customWidth="1"/>
    <col min="15118" max="15118" width="1.5" style="798" customWidth="1"/>
    <col min="15119" max="15119" width="21.6640625" style="798" customWidth="1"/>
    <col min="15120" max="15120" width="1.5" style="798" customWidth="1"/>
    <col min="15121" max="15121" width="11.83203125" style="798" customWidth="1"/>
    <col min="15122" max="15122" width="3.5" style="798" customWidth="1"/>
    <col min="15123" max="15123" width="11.6640625" style="798" customWidth="1"/>
    <col min="15124" max="15124" width="2.1640625" style="798" customWidth="1"/>
    <col min="15125" max="15126" width="0" style="798" hidden="1" customWidth="1"/>
    <col min="15127" max="15127" width="11.6640625" style="798" customWidth="1"/>
    <col min="15128" max="15128" width="0" style="798" hidden="1" customWidth="1"/>
    <col min="15129" max="15360" width="9.1640625" style="798"/>
    <col min="15361" max="15362" width="2.5" style="798" customWidth="1"/>
    <col min="15363" max="15363" width="44.5" style="798" customWidth="1"/>
    <col min="15364" max="15364" width="1.5" style="798" customWidth="1"/>
    <col min="15365" max="15365" width="21.6640625" style="798" customWidth="1"/>
    <col min="15366" max="15366" width="1.5" style="798" customWidth="1"/>
    <col min="15367" max="15372" width="0" style="798" hidden="1" customWidth="1"/>
    <col min="15373" max="15373" width="21.83203125" style="798" customWidth="1"/>
    <col min="15374" max="15374" width="1.5" style="798" customWidth="1"/>
    <col min="15375" max="15375" width="21.6640625" style="798" customWidth="1"/>
    <col min="15376" max="15376" width="1.5" style="798" customWidth="1"/>
    <col min="15377" max="15377" width="11.83203125" style="798" customWidth="1"/>
    <col min="15378" max="15378" width="3.5" style="798" customWidth="1"/>
    <col min="15379" max="15379" width="11.6640625" style="798" customWidth="1"/>
    <col min="15380" max="15380" width="2.1640625" style="798" customWidth="1"/>
    <col min="15381" max="15382" width="0" style="798" hidden="1" customWidth="1"/>
    <col min="15383" max="15383" width="11.6640625" style="798" customWidth="1"/>
    <col min="15384" max="15384" width="0" style="798" hidden="1" customWidth="1"/>
    <col min="15385" max="15616" width="9.1640625" style="798"/>
    <col min="15617" max="15618" width="2.5" style="798" customWidth="1"/>
    <col min="15619" max="15619" width="44.5" style="798" customWidth="1"/>
    <col min="15620" max="15620" width="1.5" style="798" customWidth="1"/>
    <col min="15621" max="15621" width="21.6640625" style="798" customWidth="1"/>
    <col min="15622" max="15622" width="1.5" style="798" customWidth="1"/>
    <col min="15623" max="15628" width="0" style="798" hidden="1" customWidth="1"/>
    <col min="15629" max="15629" width="21.83203125" style="798" customWidth="1"/>
    <col min="15630" max="15630" width="1.5" style="798" customWidth="1"/>
    <col min="15631" max="15631" width="21.6640625" style="798" customWidth="1"/>
    <col min="15632" max="15632" width="1.5" style="798" customWidth="1"/>
    <col min="15633" max="15633" width="11.83203125" style="798" customWidth="1"/>
    <col min="15634" max="15634" width="3.5" style="798" customWidth="1"/>
    <col min="15635" max="15635" width="11.6640625" style="798" customWidth="1"/>
    <col min="15636" max="15636" width="2.1640625" style="798" customWidth="1"/>
    <col min="15637" max="15638" width="0" style="798" hidden="1" customWidth="1"/>
    <col min="15639" max="15639" width="11.6640625" style="798" customWidth="1"/>
    <col min="15640" max="15640" width="0" style="798" hidden="1" customWidth="1"/>
    <col min="15641" max="15872" width="9.1640625" style="798"/>
    <col min="15873" max="15874" width="2.5" style="798" customWidth="1"/>
    <col min="15875" max="15875" width="44.5" style="798" customWidth="1"/>
    <col min="15876" max="15876" width="1.5" style="798" customWidth="1"/>
    <col min="15877" max="15877" width="21.6640625" style="798" customWidth="1"/>
    <col min="15878" max="15878" width="1.5" style="798" customWidth="1"/>
    <col min="15879" max="15884" width="0" style="798" hidden="1" customWidth="1"/>
    <col min="15885" max="15885" width="21.83203125" style="798" customWidth="1"/>
    <col min="15886" max="15886" width="1.5" style="798" customWidth="1"/>
    <col min="15887" max="15887" width="21.6640625" style="798" customWidth="1"/>
    <col min="15888" max="15888" width="1.5" style="798" customWidth="1"/>
    <col min="15889" max="15889" width="11.83203125" style="798" customWidth="1"/>
    <col min="15890" max="15890" width="3.5" style="798" customWidth="1"/>
    <col min="15891" max="15891" width="11.6640625" style="798" customWidth="1"/>
    <col min="15892" max="15892" width="2.1640625" style="798" customWidth="1"/>
    <col min="15893" max="15894" width="0" style="798" hidden="1" customWidth="1"/>
    <col min="15895" max="15895" width="11.6640625" style="798" customWidth="1"/>
    <col min="15896" max="15896" width="0" style="798" hidden="1" customWidth="1"/>
    <col min="15897" max="16128" width="9.1640625" style="798"/>
    <col min="16129" max="16130" width="2.5" style="798" customWidth="1"/>
    <col min="16131" max="16131" width="44.5" style="798" customWidth="1"/>
    <col min="16132" max="16132" width="1.5" style="798" customWidth="1"/>
    <col min="16133" max="16133" width="21.6640625" style="798" customWidth="1"/>
    <col min="16134" max="16134" width="1.5" style="798" customWidth="1"/>
    <col min="16135" max="16140" width="0" style="798" hidden="1" customWidth="1"/>
    <col min="16141" max="16141" width="21.83203125" style="798" customWidth="1"/>
    <col min="16142" max="16142" width="1.5" style="798" customWidth="1"/>
    <col min="16143" max="16143" width="21.6640625" style="798" customWidth="1"/>
    <col min="16144" max="16144" width="1.5" style="798" customWidth="1"/>
    <col min="16145" max="16145" width="11.83203125" style="798" customWidth="1"/>
    <col min="16146" max="16146" width="3.5" style="798" customWidth="1"/>
    <col min="16147" max="16147" width="11.6640625" style="798" customWidth="1"/>
    <col min="16148" max="16148" width="2.1640625" style="798" customWidth="1"/>
    <col min="16149" max="16150" width="0" style="798" hidden="1" customWidth="1"/>
    <col min="16151" max="16151" width="11.6640625" style="798" customWidth="1"/>
    <col min="16152" max="16152" width="0" style="798" hidden="1" customWidth="1"/>
    <col min="16153" max="16384" width="9.1640625" style="798"/>
  </cols>
  <sheetData>
    <row r="1" spans="1:23" ht="15">
      <c r="C1" s="799"/>
      <c r="D1" s="799"/>
      <c r="E1" s="799"/>
      <c r="F1" s="799"/>
      <c r="G1" s="799"/>
      <c r="H1" s="799"/>
      <c r="I1" s="799"/>
      <c r="J1" s="799"/>
      <c r="K1" s="799"/>
      <c r="L1" s="799"/>
      <c r="M1" s="799"/>
      <c r="N1" s="799"/>
      <c r="O1" s="799"/>
      <c r="P1" s="799"/>
      <c r="Q1" s="799"/>
      <c r="R1" s="799"/>
      <c r="S1" s="799"/>
      <c r="T1" s="799"/>
      <c r="U1" s="799"/>
    </row>
    <row r="2" spans="1:23" ht="15.75">
      <c r="A2" s="800" t="s">
        <v>1063</v>
      </c>
      <c r="B2" s="800"/>
      <c r="C2" s="800"/>
      <c r="D2" s="800"/>
      <c r="E2" s="800"/>
      <c r="F2" s="800"/>
      <c r="G2" s="800"/>
      <c r="H2" s="800"/>
      <c r="I2" s="800"/>
      <c r="J2" s="800"/>
      <c r="K2" s="800"/>
      <c r="L2" s="800"/>
      <c r="M2" s="800"/>
      <c r="N2" s="800"/>
      <c r="O2" s="800"/>
      <c r="P2" s="800"/>
      <c r="Q2" s="800"/>
      <c r="R2" s="800"/>
      <c r="S2" s="800"/>
      <c r="T2" s="800"/>
      <c r="U2" s="800"/>
      <c r="V2" s="800"/>
      <c r="W2" s="800"/>
    </row>
    <row r="3" spans="1:23" ht="15.75">
      <c r="A3" s="800" t="s">
        <v>1172</v>
      </c>
      <c r="B3" s="800"/>
      <c r="C3" s="800"/>
      <c r="D3" s="800"/>
      <c r="E3" s="800"/>
      <c r="F3" s="800"/>
      <c r="G3" s="800"/>
      <c r="H3" s="800"/>
      <c r="I3" s="800"/>
      <c r="J3" s="800"/>
      <c r="K3" s="800"/>
      <c r="L3" s="800"/>
      <c r="M3" s="800"/>
      <c r="N3" s="800"/>
      <c r="O3" s="800"/>
      <c r="P3" s="800"/>
      <c r="Q3" s="800"/>
      <c r="R3" s="800"/>
      <c r="S3" s="800"/>
      <c r="T3" s="800"/>
      <c r="U3" s="800"/>
      <c r="V3" s="800"/>
      <c r="W3" s="800"/>
    </row>
    <row r="4" spans="1:23" ht="15.75">
      <c r="A4" s="800" t="s">
        <v>1173</v>
      </c>
      <c r="B4" s="800"/>
      <c r="C4" s="800"/>
      <c r="D4" s="800"/>
      <c r="E4" s="800"/>
      <c r="F4" s="800"/>
      <c r="G4" s="800"/>
      <c r="H4" s="800"/>
      <c r="I4" s="800"/>
      <c r="J4" s="800"/>
      <c r="K4" s="800"/>
      <c r="L4" s="800"/>
      <c r="M4" s="800"/>
      <c r="N4" s="800"/>
      <c r="O4" s="800"/>
      <c r="P4" s="800"/>
      <c r="Q4" s="800"/>
      <c r="R4" s="800"/>
      <c r="S4" s="800"/>
      <c r="T4" s="800"/>
      <c r="U4" s="800"/>
      <c r="V4" s="800"/>
      <c r="W4" s="800"/>
    </row>
    <row r="5" spans="1:23" ht="13.15" customHeight="1">
      <c r="A5" s="801" t="s">
        <v>1174</v>
      </c>
      <c r="B5" s="800"/>
      <c r="C5" s="800"/>
      <c r="D5" s="800"/>
      <c r="E5" s="800"/>
      <c r="F5" s="800"/>
      <c r="G5" s="800"/>
      <c r="H5" s="800"/>
      <c r="I5" s="800"/>
      <c r="J5" s="800"/>
      <c r="K5" s="800"/>
      <c r="L5" s="800"/>
      <c r="M5" s="800"/>
      <c r="N5" s="800"/>
      <c r="O5" s="800"/>
      <c r="P5" s="800"/>
      <c r="Q5" s="800"/>
      <c r="R5" s="800"/>
      <c r="S5" s="800"/>
      <c r="T5" s="800"/>
      <c r="U5" s="800"/>
      <c r="V5" s="800"/>
      <c r="W5" s="800"/>
    </row>
    <row r="6" spans="1:23" ht="15">
      <c r="A6" s="802" t="s">
        <v>17</v>
      </c>
      <c r="B6" s="803"/>
      <c r="C6" s="803"/>
      <c r="D6" s="803"/>
      <c r="E6" s="803"/>
      <c r="F6" s="804"/>
      <c r="G6" s="803"/>
      <c r="H6" s="803"/>
      <c r="I6" s="803"/>
      <c r="J6" s="803"/>
      <c r="K6" s="803"/>
      <c r="L6" s="803"/>
      <c r="M6" s="803"/>
      <c r="N6" s="803"/>
      <c r="O6" s="803"/>
      <c r="P6" s="803"/>
      <c r="Q6" s="803"/>
      <c r="R6" s="803"/>
      <c r="S6" s="803"/>
      <c r="T6" s="803"/>
      <c r="U6" s="805"/>
      <c r="V6" s="803"/>
      <c r="W6" s="805"/>
    </row>
    <row r="7" spans="1:23" ht="15">
      <c r="A7" s="806" t="s">
        <v>17</v>
      </c>
      <c r="B7" s="807"/>
      <c r="C7" s="807"/>
      <c r="D7" s="807"/>
      <c r="E7" s="807"/>
      <c r="F7" s="808"/>
      <c r="G7" s="807"/>
      <c r="H7" s="807"/>
      <c r="I7" s="809" t="s">
        <v>1175</v>
      </c>
      <c r="J7" s="809"/>
      <c r="K7" s="809"/>
      <c r="L7" s="807"/>
      <c r="M7" s="807"/>
      <c r="N7" s="807"/>
      <c r="O7" s="810" t="s">
        <v>1176</v>
      </c>
      <c r="P7" s="811"/>
      <c r="Q7" s="812"/>
      <c r="R7" s="813"/>
      <c r="S7" s="810" t="s">
        <v>1177</v>
      </c>
      <c r="T7" s="811"/>
      <c r="U7" s="814"/>
      <c r="V7" s="811"/>
      <c r="W7" s="814"/>
    </row>
    <row r="8" spans="1:23" ht="12.75" customHeight="1">
      <c r="A8" s="807"/>
      <c r="B8" s="807"/>
      <c r="C8" s="807"/>
      <c r="D8" s="807"/>
      <c r="E8" s="815" t="s">
        <v>36</v>
      </c>
      <c r="F8" s="808"/>
      <c r="G8" s="815"/>
      <c r="H8" s="816"/>
      <c r="I8" s="817"/>
      <c r="J8" s="817"/>
      <c r="K8" s="817"/>
      <c r="L8" s="816"/>
      <c r="M8" s="815" t="s">
        <v>36</v>
      </c>
      <c r="N8" s="807"/>
      <c r="O8" s="807"/>
      <c r="P8" s="807"/>
      <c r="Q8" s="807"/>
      <c r="R8" s="807"/>
      <c r="S8" s="816"/>
      <c r="T8" s="816"/>
      <c r="U8" s="815"/>
      <c r="V8" s="816"/>
      <c r="W8" s="818"/>
    </row>
    <row r="9" spans="1:23" ht="12.75">
      <c r="A9" s="807"/>
      <c r="B9" s="807"/>
      <c r="C9" s="807"/>
      <c r="D9" s="807"/>
      <c r="E9" s="819">
        <v>2010</v>
      </c>
      <c r="F9" s="808"/>
      <c r="G9" s="819" t="s">
        <v>1178</v>
      </c>
      <c r="H9" s="807"/>
      <c r="I9" s="820" t="s">
        <v>41</v>
      </c>
      <c r="J9" s="807"/>
      <c r="K9" s="820" t="s">
        <v>1179</v>
      </c>
      <c r="L9" s="807"/>
      <c r="M9" s="819">
        <v>2009</v>
      </c>
      <c r="N9" s="807"/>
      <c r="O9" s="820" t="s">
        <v>41</v>
      </c>
      <c r="P9" s="807"/>
      <c r="Q9" s="821" t="s">
        <v>1179</v>
      </c>
      <c r="R9" s="807"/>
      <c r="S9" s="822">
        <v>2010</v>
      </c>
      <c r="T9" s="807"/>
      <c r="U9" s="819" t="s">
        <v>1178</v>
      </c>
      <c r="V9" s="807"/>
      <c r="W9" s="819">
        <v>2009</v>
      </c>
    </row>
    <row r="10" spans="1:23" ht="15">
      <c r="A10" s="823" t="s">
        <v>1180</v>
      </c>
      <c r="B10" s="824"/>
      <c r="C10" s="824"/>
      <c r="D10" s="807"/>
      <c r="G10" s="807"/>
      <c r="H10" s="807"/>
      <c r="I10" s="825"/>
      <c r="J10" s="825"/>
      <c r="K10" s="825"/>
      <c r="L10" s="807"/>
      <c r="M10" s="807"/>
      <c r="N10" s="807"/>
      <c r="O10" s="807"/>
      <c r="P10" s="807"/>
      <c r="Q10" s="807"/>
      <c r="R10" s="807"/>
      <c r="S10" s="807"/>
      <c r="T10" s="807"/>
      <c r="U10" s="826"/>
      <c r="V10" s="807"/>
      <c r="W10" s="813"/>
    </row>
    <row r="11" spans="1:23" ht="15">
      <c r="A11" s="823"/>
      <c r="B11" s="824" t="s">
        <v>1181</v>
      </c>
      <c r="C11" s="807"/>
      <c r="D11" s="807"/>
      <c r="G11" s="807"/>
      <c r="H11" s="807"/>
      <c r="I11" s="825"/>
      <c r="J11" s="825"/>
      <c r="K11" s="825"/>
      <c r="L11" s="807"/>
      <c r="M11" s="807"/>
      <c r="N11" s="807"/>
      <c r="O11" s="807"/>
      <c r="P11" s="807"/>
      <c r="Q11" s="807"/>
      <c r="R11" s="807"/>
      <c r="S11" s="807"/>
      <c r="T11" s="807"/>
      <c r="U11" s="826"/>
      <c r="V11" s="807"/>
      <c r="W11" s="813"/>
    </row>
    <row r="12" spans="1:23" ht="12.75">
      <c r="A12" s="827"/>
      <c r="B12" s="807"/>
      <c r="C12" s="807" t="s">
        <v>1182</v>
      </c>
      <c r="E12" s="828">
        <v>653558033.47000003</v>
      </c>
      <c r="F12" s="829"/>
      <c r="G12" s="828">
        <v>720278000</v>
      </c>
      <c r="H12" s="829"/>
      <c r="I12" s="828">
        <v>-66719966.529999971</v>
      </c>
      <c r="J12" s="829"/>
      <c r="K12" s="830">
        <v>-9.2630854378448327E-2</v>
      </c>
      <c r="L12" s="831"/>
      <c r="M12" s="828">
        <v>818195834.87</v>
      </c>
      <c r="N12" s="832"/>
      <c r="O12" s="828">
        <v>-164637801.39999998</v>
      </c>
      <c r="P12" s="832"/>
      <c r="Q12" s="830">
        <v>-0.20122053227777512</v>
      </c>
      <c r="R12" s="832"/>
      <c r="S12" s="833">
        <v>1.2266850624144965</v>
      </c>
      <c r="T12" s="834"/>
      <c r="U12" s="833">
        <v>1.3094582753091493</v>
      </c>
      <c r="V12" s="834"/>
      <c r="W12" s="833">
        <v>1.4333811524987596</v>
      </c>
    </row>
    <row r="13" spans="1:23" ht="12.75" customHeight="1">
      <c r="A13" s="827"/>
      <c r="B13" s="807"/>
      <c r="C13" s="807" t="s">
        <v>1183</v>
      </c>
      <c r="E13" s="835">
        <v>261112502.21000001</v>
      </c>
      <c r="F13" s="829"/>
      <c r="G13" s="835">
        <v>295248000</v>
      </c>
      <c r="H13" s="829"/>
      <c r="I13" s="835">
        <v>-34135497.789999992</v>
      </c>
      <c r="J13" s="829"/>
      <c r="K13" s="830">
        <v>-0.11561635570774396</v>
      </c>
      <c r="L13" s="836"/>
      <c r="M13" s="835">
        <v>329960818.83999997</v>
      </c>
      <c r="N13" s="837"/>
      <c r="O13" s="835">
        <v>-68848316.629999965</v>
      </c>
      <c r="P13" s="838"/>
      <c r="Q13" s="830">
        <v>-0.20865603641075015</v>
      </c>
      <c r="R13" s="838"/>
      <c r="S13" s="839">
        <v>1.0838950122136315</v>
      </c>
      <c r="T13" s="839"/>
      <c r="U13" s="839">
        <v>1.1513785438521233</v>
      </c>
      <c r="V13" s="839"/>
      <c r="W13" s="839">
        <v>1.2857147436422882</v>
      </c>
    </row>
    <row r="14" spans="1:23" ht="12.75">
      <c r="A14" s="827"/>
      <c r="B14" s="807"/>
      <c r="C14" s="807" t="s">
        <v>1184</v>
      </c>
      <c r="E14" s="835">
        <v>28639175.739999998</v>
      </c>
      <c r="F14" s="829"/>
      <c r="G14" s="835">
        <v>35983000</v>
      </c>
      <c r="H14" s="829"/>
      <c r="I14" s="835">
        <v>-7343824.2600000016</v>
      </c>
      <c r="J14" s="829"/>
      <c r="K14" s="840">
        <v>-0.20409149487257877</v>
      </c>
      <c r="L14" s="836"/>
      <c r="M14" s="835">
        <v>40526888.979999997</v>
      </c>
      <c r="N14" s="841"/>
      <c r="O14" s="835">
        <v>-11887713.239999998</v>
      </c>
      <c r="P14" s="842"/>
      <c r="Q14" s="840">
        <v>-0.2933290350973296</v>
      </c>
      <c r="R14" s="842"/>
      <c r="S14" s="839">
        <v>0.97132749421929787</v>
      </c>
      <c r="T14" s="843"/>
      <c r="U14" s="839">
        <v>1.0571420177448734</v>
      </c>
      <c r="V14" s="839"/>
      <c r="W14" s="839">
        <v>1.2034222640104055</v>
      </c>
    </row>
    <row r="15" spans="1:23" ht="7.9" customHeight="1">
      <c r="A15" s="827"/>
      <c r="B15" s="807"/>
      <c r="C15" s="807"/>
      <c r="E15" s="844"/>
      <c r="F15" s="829"/>
      <c r="G15" s="844"/>
      <c r="H15" s="829"/>
      <c r="I15" s="844"/>
      <c r="J15" s="829"/>
      <c r="K15" s="845"/>
      <c r="L15" s="836"/>
      <c r="M15" s="844"/>
      <c r="N15" s="837"/>
      <c r="O15" s="844"/>
      <c r="P15" s="838"/>
      <c r="Q15" s="845"/>
      <c r="R15" s="838"/>
      <c r="S15" s="846"/>
      <c r="T15" s="839"/>
      <c r="U15" s="846"/>
      <c r="V15" s="839"/>
      <c r="W15" s="846"/>
    </row>
    <row r="16" spans="1:23" ht="12.75">
      <c r="A16" s="827"/>
      <c r="B16" s="807"/>
      <c r="C16" s="807" t="s">
        <v>1185</v>
      </c>
      <c r="E16" s="835">
        <v>943309711.41999996</v>
      </c>
      <c r="F16" s="829"/>
      <c r="G16" s="835">
        <v>1051509000</v>
      </c>
      <c r="H16" s="829"/>
      <c r="I16" s="835">
        <v>-108199288.58000004</v>
      </c>
      <c r="J16" s="829"/>
      <c r="K16" s="830">
        <v>-0.10289906085444826</v>
      </c>
      <c r="L16" s="836"/>
      <c r="M16" s="835">
        <v>1188683542.6900001</v>
      </c>
      <c r="N16" s="837"/>
      <c r="O16" s="835">
        <v>-245373831.2700001</v>
      </c>
      <c r="P16" s="838"/>
      <c r="Q16" s="830">
        <v>-0.20642485780085523</v>
      </c>
      <c r="R16" s="838"/>
      <c r="S16" s="839">
        <v>1.1744825453312093</v>
      </c>
      <c r="T16" s="839"/>
      <c r="U16" s="839">
        <v>1.2510130561101025</v>
      </c>
      <c r="V16" s="839"/>
      <c r="W16" s="839">
        <v>1.380380058990661</v>
      </c>
    </row>
    <row r="17" spans="1:23" ht="7.9" customHeight="1">
      <c r="A17" s="827"/>
      <c r="B17" s="807"/>
      <c r="C17" s="807"/>
      <c r="D17" s="847"/>
      <c r="E17" s="829"/>
      <c r="F17" s="829"/>
      <c r="G17" s="829"/>
      <c r="H17" s="837"/>
      <c r="I17" s="829"/>
      <c r="J17" s="837"/>
      <c r="K17" s="845"/>
      <c r="L17" s="836"/>
      <c r="M17" s="829"/>
      <c r="N17" s="837"/>
      <c r="O17" s="829"/>
      <c r="P17" s="838"/>
      <c r="Q17" s="845"/>
      <c r="R17" s="838"/>
      <c r="S17" s="839"/>
      <c r="T17" s="839"/>
      <c r="U17" s="839"/>
      <c r="V17" s="839"/>
      <c r="W17" s="848"/>
    </row>
    <row r="18" spans="1:23" ht="12.75" customHeight="1">
      <c r="A18" s="827"/>
      <c r="B18" s="849" t="s">
        <v>1186</v>
      </c>
      <c r="C18" s="807"/>
      <c r="D18" s="847"/>
      <c r="E18" s="829"/>
      <c r="F18" s="829"/>
      <c r="G18" s="829"/>
      <c r="H18" s="837"/>
      <c r="I18" s="829"/>
      <c r="J18" s="837"/>
      <c r="K18" s="845"/>
      <c r="L18" s="836"/>
      <c r="M18" s="829"/>
      <c r="N18" s="837"/>
      <c r="O18" s="829"/>
      <c r="P18" s="838"/>
      <c r="Q18" s="845"/>
      <c r="R18" s="838"/>
      <c r="S18" s="839"/>
      <c r="T18" s="839"/>
      <c r="U18" s="839"/>
      <c r="V18" s="839"/>
      <c r="W18" s="848"/>
    </row>
    <row r="19" spans="1:23" ht="12.75">
      <c r="A19" s="827"/>
      <c r="B19" s="807"/>
      <c r="C19" s="807" t="s">
        <v>1187</v>
      </c>
      <c r="E19" s="835">
        <v>40240600.07</v>
      </c>
      <c r="F19" s="829"/>
      <c r="G19" s="835">
        <v>44717000</v>
      </c>
      <c r="H19" s="829"/>
      <c r="I19" s="835">
        <v>-4476399.93</v>
      </c>
      <c r="J19" s="829"/>
      <c r="K19" s="830">
        <v>-0.10010510387548359</v>
      </c>
      <c r="L19" s="836"/>
      <c r="M19" s="835">
        <v>54782432.689999998</v>
      </c>
      <c r="N19" s="837"/>
      <c r="O19" s="835">
        <v>-14541832.619999997</v>
      </c>
      <c r="P19" s="838"/>
      <c r="Q19" s="830">
        <v>-0.26544700382855518</v>
      </c>
      <c r="R19" s="838"/>
      <c r="S19" s="839">
        <v>0.79856226289706533</v>
      </c>
      <c r="T19" s="839"/>
      <c r="U19" s="839">
        <v>0.84840723243591931</v>
      </c>
      <c r="V19" s="839"/>
      <c r="W19" s="839">
        <v>1.0314371846846782</v>
      </c>
    </row>
    <row r="20" spans="1:23" ht="12.75">
      <c r="A20" s="827"/>
      <c r="B20" s="807"/>
      <c r="C20" s="807" t="s">
        <v>1188</v>
      </c>
      <c r="E20" s="835">
        <v>3671516.65</v>
      </c>
      <c r="F20" s="829"/>
      <c r="G20" s="835">
        <v>3804000</v>
      </c>
      <c r="H20" s="829"/>
      <c r="I20" s="835">
        <v>-132483.35</v>
      </c>
      <c r="J20" s="829"/>
      <c r="K20" s="840">
        <v>-3.4827379074658278E-2</v>
      </c>
      <c r="L20" s="836"/>
      <c r="M20" s="835">
        <v>3595655.51</v>
      </c>
      <c r="N20" s="841"/>
      <c r="O20" s="835">
        <v>75861.14000000013</v>
      </c>
      <c r="P20" s="842"/>
      <c r="Q20" s="840">
        <v>2.109800001391127E-2</v>
      </c>
      <c r="R20" s="842"/>
      <c r="S20" s="839">
        <v>0.90105820942333703</v>
      </c>
      <c r="T20" s="839"/>
      <c r="U20" s="839">
        <v>0.879740980573543</v>
      </c>
      <c r="V20" s="839"/>
      <c r="W20" s="839">
        <v>1.0682247718540057</v>
      </c>
    </row>
    <row r="21" spans="1:23" ht="7.9" customHeight="1">
      <c r="A21" s="827"/>
      <c r="B21" s="807"/>
      <c r="C21" s="807"/>
      <c r="E21" s="844"/>
      <c r="F21" s="829"/>
      <c r="G21" s="844"/>
      <c r="H21" s="829"/>
      <c r="I21" s="844"/>
      <c r="J21" s="829"/>
      <c r="K21" s="845"/>
      <c r="L21" s="836"/>
      <c r="M21" s="844"/>
      <c r="N21" s="837"/>
      <c r="O21" s="844"/>
      <c r="P21" s="838"/>
      <c r="Q21" s="845"/>
      <c r="R21" s="838"/>
      <c r="S21" s="846"/>
      <c r="T21" s="839"/>
      <c r="U21" s="846"/>
      <c r="V21" s="839"/>
      <c r="W21" s="846"/>
    </row>
    <row r="22" spans="1:23" ht="12.75">
      <c r="A22" s="827"/>
      <c r="B22" s="807"/>
      <c r="C22" s="807" t="s">
        <v>1189</v>
      </c>
      <c r="E22" s="850">
        <v>43912116.719999999</v>
      </c>
      <c r="F22" s="829"/>
      <c r="G22" s="850">
        <v>48521000</v>
      </c>
      <c r="H22" s="829"/>
      <c r="I22" s="850">
        <v>-4608883.28</v>
      </c>
      <c r="J22" s="829"/>
      <c r="K22" s="840">
        <v>-9.4987392675336471E-2</v>
      </c>
      <c r="L22" s="836"/>
      <c r="M22" s="850">
        <v>58378088.200000003</v>
      </c>
      <c r="N22" s="841"/>
      <c r="O22" s="850">
        <v>-14465971.480000004</v>
      </c>
      <c r="P22" s="842"/>
      <c r="Q22" s="840">
        <v>-0.24779796540168308</v>
      </c>
      <c r="R22" s="842"/>
      <c r="S22" s="839">
        <v>0.80623011965409619</v>
      </c>
      <c r="T22" s="839"/>
      <c r="U22" s="839">
        <v>0.85078290754151253</v>
      </c>
      <c r="V22" s="839"/>
      <c r="W22" s="839">
        <v>1.0336296454190734</v>
      </c>
    </row>
    <row r="23" spans="1:23" ht="7.9" customHeight="1">
      <c r="A23" s="827"/>
      <c r="B23" s="807"/>
      <c r="C23" s="807"/>
      <c r="E23" s="841"/>
      <c r="F23" s="829"/>
      <c r="G23" s="841"/>
      <c r="H23" s="829"/>
      <c r="I23" s="841"/>
      <c r="J23" s="829"/>
      <c r="K23" s="845"/>
      <c r="L23" s="836"/>
      <c r="M23" s="841"/>
      <c r="N23" s="841"/>
      <c r="O23" s="841"/>
      <c r="P23" s="842"/>
      <c r="Q23" s="845"/>
      <c r="R23" s="842"/>
      <c r="S23" s="846"/>
      <c r="T23" s="843"/>
      <c r="U23" s="846"/>
      <c r="V23" s="843"/>
      <c r="W23" s="846"/>
    </row>
    <row r="24" spans="1:23" ht="12.75">
      <c r="A24" s="827"/>
      <c r="B24" s="807"/>
      <c r="C24" s="807" t="s">
        <v>1190</v>
      </c>
      <c r="E24" s="835">
        <v>987221828.13999999</v>
      </c>
      <c r="F24" s="829"/>
      <c r="G24" s="835">
        <v>1100030000</v>
      </c>
      <c r="H24" s="829"/>
      <c r="I24" s="835">
        <v>-112808171.86000001</v>
      </c>
      <c r="J24" s="829"/>
      <c r="K24" s="830">
        <v>-0.10255008668854487</v>
      </c>
      <c r="L24" s="836"/>
      <c r="M24" s="835">
        <v>1247061630.8900001</v>
      </c>
      <c r="N24" s="841"/>
      <c r="O24" s="835">
        <v>-259839802.75000012</v>
      </c>
      <c r="P24" s="842"/>
      <c r="Q24" s="830">
        <v>-0.20836163691810344</v>
      </c>
      <c r="R24" s="842"/>
      <c r="S24" s="839">
        <v>1.1510959106682017</v>
      </c>
      <c r="T24" s="839"/>
      <c r="U24" s="839">
        <v>1.2255823307043452</v>
      </c>
      <c r="V24" s="839"/>
      <c r="W24" s="839">
        <v>1.3590375516730087</v>
      </c>
    </row>
    <row r="25" spans="1:23" ht="7.9" customHeight="1">
      <c r="A25" s="827"/>
      <c r="B25" s="807"/>
      <c r="C25" s="807"/>
      <c r="D25" s="847"/>
      <c r="E25" s="829"/>
      <c r="F25" s="829"/>
      <c r="G25" s="829"/>
      <c r="H25" s="837"/>
      <c r="I25" s="829"/>
      <c r="J25" s="837"/>
      <c r="K25" s="845"/>
      <c r="L25" s="836"/>
      <c r="M25" s="829"/>
      <c r="N25" s="837"/>
      <c r="O25" s="829"/>
      <c r="P25" s="838"/>
      <c r="Q25" s="845"/>
      <c r="R25" s="838"/>
      <c r="S25" s="839"/>
      <c r="T25" s="839"/>
      <c r="U25" s="839"/>
      <c r="V25" s="839"/>
      <c r="W25" s="848"/>
    </row>
    <row r="26" spans="1:23" ht="12.75">
      <c r="A26" s="827"/>
      <c r="B26" s="849" t="s">
        <v>1191</v>
      </c>
      <c r="C26" s="807"/>
      <c r="D26" s="847"/>
      <c r="E26" s="829"/>
      <c r="F26" s="829"/>
      <c r="G26" s="829"/>
      <c r="H26" s="837"/>
      <c r="I26" s="829"/>
      <c r="J26" s="837"/>
      <c r="K26" s="845"/>
      <c r="L26" s="836"/>
      <c r="M26" s="829"/>
      <c r="N26" s="837"/>
      <c r="O26" s="829"/>
      <c r="P26" s="838"/>
      <c r="Q26" s="845"/>
      <c r="R26" s="838"/>
      <c r="S26" s="839"/>
      <c r="T26" s="839"/>
      <c r="U26" s="839"/>
      <c r="V26" s="839"/>
      <c r="W26" s="848"/>
    </row>
    <row r="27" spans="1:23" ht="12.75">
      <c r="A27" s="827"/>
      <c r="B27" s="807"/>
      <c r="C27" s="807" t="s">
        <v>1192</v>
      </c>
      <c r="E27" s="835">
        <v>3360203.64</v>
      </c>
      <c r="F27" s="829"/>
      <c r="G27" s="835">
        <v>2640000</v>
      </c>
      <c r="H27" s="829"/>
      <c r="I27" s="835">
        <v>720203.64</v>
      </c>
      <c r="J27" s="829"/>
      <c r="K27" s="830">
        <v>0.27280440909090914</v>
      </c>
      <c r="L27" s="836"/>
      <c r="M27" s="835">
        <v>3208085.3</v>
      </c>
      <c r="N27" s="837"/>
      <c r="O27" s="835">
        <v>152118.34</v>
      </c>
      <c r="P27" s="838"/>
      <c r="Q27" s="830">
        <v>4.7417174350071152E-2</v>
      </c>
      <c r="R27" s="838"/>
      <c r="S27" s="839">
        <v>7.6854959002907744E-2</v>
      </c>
      <c r="T27" s="839"/>
      <c r="U27" s="839">
        <v>7.9238827025242375E-2</v>
      </c>
      <c r="V27" s="839"/>
      <c r="W27" s="839">
        <v>7.4602539799371329E-2</v>
      </c>
    </row>
    <row r="28" spans="1:23" ht="12.75">
      <c r="A28" s="827"/>
      <c r="B28" s="807"/>
      <c r="C28" s="807" t="s">
        <v>1193</v>
      </c>
      <c r="E28" s="835">
        <v>10589548.67</v>
      </c>
      <c r="F28" s="829"/>
      <c r="G28" s="835">
        <v>10164000</v>
      </c>
      <c r="H28" s="829"/>
      <c r="I28" s="835">
        <v>425548.67</v>
      </c>
      <c r="J28" s="829"/>
      <c r="K28" s="840">
        <v>4.1868228059818963E-2</v>
      </c>
      <c r="L28" s="836"/>
      <c r="M28" s="835">
        <v>10477591.640000001</v>
      </c>
      <c r="N28" s="841"/>
      <c r="O28" s="835">
        <v>111957.02999999933</v>
      </c>
      <c r="P28" s="842"/>
      <c r="Q28" s="840">
        <v>1.0685378266946785E-2</v>
      </c>
      <c r="R28" s="842"/>
      <c r="S28" s="839">
        <v>6.3991093203684249E-2</v>
      </c>
      <c r="T28" s="839"/>
      <c r="U28" s="839">
        <v>6.384382007650706E-2</v>
      </c>
      <c r="V28" s="839"/>
      <c r="W28" s="839">
        <v>6.3097601183509405E-2</v>
      </c>
    </row>
    <row r="29" spans="1:23" ht="7.9" customHeight="1">
      <c r="A29" s="827"/>
      <c r="B29" s="807"/>
      <c r="C29" s="807"/>
      <c r="E29" s="844"/>
      <c r="F29" s="829"/>
      <c r="G29" s="844"/>
      <c r="H29" s="829"/>
      <c r="I29" s="844"/>
      <c r="J29" s="829"/>
      <c r="K29" s="845"/>
      <c r="L29" s="836"/>
      <c r="M29" s="844"/>
      <c r="N29" s="837"/>
      <c r="O29" s="844"/>
      <c r="P29" s="838"/>
      <c r="Q29" s="845"/>
      <c r="R29" s="838"/>
      <c r="S29" s="846"/>
      <c r="T29" s="839"/>
      <c r="U29" s="846"/>
      <c r="V29" s="839"/>
      <c r="W29" s="846"/>
    </row>
    <row r="30" spans="1:23" ht="12.75">
      <c r="A30" s="827"/>
      <c r="B30" s="807"/>
      <c r="C30" s="807" t="s">
        <v>1194</v>
      </c>
      <c r="E30" s="835">
        <v>13949752.310000001</v>
      </c>
      <c r="F30" s="829"/>
      <c r="G30" s="835">
        <v>12804000</v>
      </c>
      <c r="H30" s="829"/>
      <c r="I30" s="835">
        <v>1145752.31</v>
      </c>
      <c r="J30" s="829"/>
      <c r="K30" s="840">
        <v>8.948393548890976E-2</v>
      </c>
      <c r="L30" s="836"/>
      <c r="M30" s="835">
        <v>13685676.939999999</v>
      </c>
      <c r="N30" s="837"/>
      <c r="O30" s="835">
        <v>264075.37000000104</v>
      </c>
      <c r="P30" s="838"/>
      <c r="Q30" s="840">
        <v>1.9295747748375613E-2</v>
      </c>
      <c r="R30" s="838"/>
      <c r="S30" s="839">
        <v>6.6679474566143482E-2</v>
      </c>
      <c r="T30" s="839"/>
      <c r="U30" s="839">
        <v>6.6508066778171393E-2</v>
      </c>
      <c r="V30" s="839"/>
      <c r="W30" s="839">
        <v>6.5464140852592875E-2</v>
      </c>
    </row>
    <row r="31" spans="1:23" ht="7.9" customHeight="1">
      <c r="A31" s="827"/>
      <c r="B31" s="807"/>
      <c r="C31" s="807"/>
      <c r="E31" s="844"/>
      <c r="F31" s="829"/>
      <c r="G31" s="844"/>
      <c r="H31" s="829"/>
      <c r="I31" s="844"/>
      <c r="J31" s="829"/>
      <c r="K31" s="851"/>
      <c r="L31" s="838"/>
      <c r="M31" s="844"/>
      <c r="N31" s="837"/>
      <c r="O31" s="844"/>
      <c r="P31" s="838"/>
      <c r="Q31" s="851"/>
      <c r="R31" s="838"/>
      <c r="S31" s="852"/>
      <c r="T31" s="838"/>
      <c r="U31" s="852"/>
      <c r="V31" s="838"/>
      <c r="W31" s="852"/>
    </row>
    <row r="32" spans="1:23" ht="12.75">
      <c r="A32" s="827"/>
      <c r="B32" s="807"/>
      <c r="C32" s="807" t="s">
        <v>1195</v>
      </c>
      <c r="E32" s="835">
        <v>1001171580.45</v>
      </c>
      <c r="F32" s="829"/>
      <c r="G32" s="835">
        <v>1112834000</v>
      </c>
      <c r="H32" s="829"/>
      <c r="I32" s="835">
        <v>-111662419.54999995</v>
      </c>
      <c r="J32" s="829"/>
      <c r="K32" s="830">
        <v>-0.10034058947695698</v>
      </c>
      <c r="L32" s="836"/>
      <c r="M32" s="835">
        <v>1260747307.8299999</v>
      </c>
      <c r="N32" s="837"/>
      <c r="O32" s="835">
        <v>-259575727.37999988</v>
      </c>
      <c r="P32" s="838"/>
      <c r="Q32" s="830">
        <v>-0.20589036817122536</v>
      </c>
      <c r="R32" s="838"/>
      <c r="S32" s="833">
        <v>0.9384436093688433</v>
      </c>
      <c r="T32" s="834"/>
      <c r="U32" s="833">
        <v>1.0208783799279866</v>
      </c>
      <c r="V32" s="834"/>
      <c r="W32" s="833">
        <v>1.1190105850429908</v>
      </c>
    </row>
    <row r="33" spans="1:23" ht="7.9" customHeight="1">
      <c r="A33" s="827"/>
      <c r="B33" s="807"/>
      <c r="C33" s="807"/>
      <c r="E33" s="837"/>
      <c r="F33" s="829"/>
      <c r="G33" s="837"/>
      <c r="H33" s="829"/>
      <c r="I33" s="837"/>
      <c r="J33" s="829"/>
      <c r="K33" s="845"/>
      <c r="L33" s="836"/>
      <c r="M33" s="837"/>
      <c r="N33" s="837"/>
      <c r="O33" s="837"/>
      <c r="P33" s="838"/>
      <c r="Q33" s="845"/>
      <c r="R33" s="838"/>
      <c r="S33" s="836"/>
      <c r="T33" s="838"/>
      <c r="U33" s="853"/>
      <c r="V33" s="838"/>
      <c r="W33" s="854"/>
    </row>
    <row r="34" spans="1:23" ht="15">
      <c r="A34" s="827"/>
      <c r="B34" s="849" t="s">
        <v>1196</v>
      </c>
      <c r="C34" s="807"/>
      <c r="E34" s="1036">
        <v>16117006.41</v>
      </c>
      <c r="F34" s="829"/>
      <c r="G34" s="850">
        <v>18694000</v>
      </c>
      <c r="H34" s="829"/>
      <c r="I34" s="850">
        <v>-2576993.59</v>
      </c>
      <c r="J34" s="829"/>
      <c r="K34" s="840">
        <v>-0.13785137423772331</v>
      </c>
      <c r="L34" s="836"/>
      <c r="M34" s="850">
        <v>19180942.879999999</v>
      </c>
      <c r="N34" s="841"/>
      <c r="O34" s="850">
        <v>-3063936.47</v>
      </c>
      <c r="P34" s="842"/>
      <c r="Q34" s="840">
        <v>-0.1597385743322749</v>
      </c>
      <c r="R34" s="842"/>
      <c r="S34" s="855"/>
      <c r="T34" s="842"/>
      <c r="U34" s="853"/>
      <c r="V34" s="842"/>
      <c r="W34" s="854"/>
    </row>
    <row r="35" spans="1:23" ht="7.9" customHeight="1">
      <c r="A35" s="827"/>
      <c r="B35" s="807"/>
      <c r="C35" s="807"/>
      <c r="E35" s="856"/>
      <c r="F35" s="829"/>
      <c r="G35" s="856"/>
      <c r="H35" s="829"/>
      <c r="I35" s="856"/>
      <c r="J35" s="829"/>
      <c r="K35" s="845"/>
      <c r="L35" s="836"/>
      <c r="M35" s="856"/>
      <c r="N35" s="836"/>
      <c r="O35" s="856"/>
      <c r="P35" s="836"/>
      <c r="Q35" s="845"/>
      <c r="R35" s="836"/>
      <c r="S35" s="836"/>
      <c r="T35" s="836"/>
      <c r="U35" s="853"/>
      <c r="V35" s="836"/>
      <c r="W35" s="854"/>
    </row>
    <row r="36" spans="1:23" ht="15.75" thickBot="1">
      <c r="A36" s="827"/>
      <c r="B36" s="807"/>
      <c r="C36" s="807" t="s">
        <v>1197</v>
      </c>
      <c r="E36" s="1033">
        <v>1017288586.86</v>
      </c>
      <c r="F36" s="829"/>
      <c r="G36" s="857">
        <v>1131528000</v>
      </c>
      <c r="H36" s="829"/>
      <c r="I36" s="857">
        <v>-114239413.13999999</v>
      </c>
      <c r="J36" s="829"/>
      <c r="K36" s="858">
        <v>-0.10096030601098692</v>
      </c>
      <c r="L36" s="836"/>
      <c r="M36" s="857">
        <v>1279928250.71</v>
      </c>
      <c r="N36" s="859"/>
      <c r="O36" s="857">
        <v>-262639663.85000002</v>
      </c>
      <c r="P36" s="859"/>
      <c r="Q36" s="858">
        <v>-0.20519873962021612</v>
      </c>
      <c r="R36" s="859"/>
      <c r="S36" s="855"/>
      <c r="T36" s="859"/>
      <c r="U36" s="853"/>
      <c r="V36" s="859"/>
      <c r="W36" s="854"/>
    </row>
    <row r="37" spans="1:23" ht="7.9" customHeight="1" thickTop="1">
      <c r="A37" s="827"/>
      <c r="B37" s="807"/>
      <c r="C37" s="807"/>
      <c r="E37" s="829"/>
      <c r="F37" s="829"/>
      <c r="G37" s="829"/>
      <c r="H37" s="836"/>
      <c r="I37" s="831"/>
      <c r="J37" s="837"/>
      <c r="K37" s="860"/>
      <c r="L37" s="836"/>
      <c r="M37" s="829"/>
      <c r="N37" s="859"/>
      <c r="O37" s="832"/>
      <c r="P37" s="859"/>
      <c r="Q37" s="860"/>
      <c r="R37" s="859"/>
      <c r="S37" s="829"/>
      <c r="T37" s="829"/>
      <c r="U37" s="829"/>
      <c r="V37" s="829"/>
      <c r="W37" s="829"/>
    </row>
    <row r="38" spans="1:23" ht="12.75" customHeight="1">
      <c r="A38" s="827"/>
      <c r="B38" s="807"/>
      <c r="C38" s="807" t="s">
        <v>1198</v>
      </c>
      <c r="E38" s="828">
        <v>13572809.98</v>
      </c>
      <c r="F38" s="829"/>
      <c r="G38" s="828">
        <v>13315000</v>
      </c>
      <c r="H38" s="836"/>
      <c r="I38" s="837"/>
      <c r="J38" s="837"/>
      <c r="K38" s="861"/>
      <c r="L38" s="836"/>
      <c r="M38" s="828">
        <v>8906018.1300000008</v>
      </c>
      <c r="N38" s="859"/>
      <c r="O38" s="862"/>
      <c r="P38" s="859"/>
      <c r="Q38" s="861"/>
      <c r="R38" s="836" t="s">
        <v>17</v>
      </c>
      <c r="S38" s="829"/>
      <c r="T38" s="829"/>
      <c r="U38" s="829"/>
      <c r="V38" s="829"/>
      <c r="W38" s="829"/>
    </row>
    <row r="39" spans="1:23" ht="12.75">
      <c r="A39" s="827"/>
      <c r="B39" s="807"/>
      <c r="C39" s="807" t="s">
        <v>1199</v>
      </c>
      <c r="E39" s="835">
        <v>3432225.37</v>
      </c>
      <c r="F39" s="829"/>
      <c r="G39" s="835">
        <v>3494000</v>
      </c>
      <c r="H39" s="836"/>
      <c r="I39" s="837"/>
      <c r="J39" s="837"/>
      <c r="K39" s="861"/>
      <c r="L39" s="836"/>
      <c r="M39" s="835">
        <v>3438833.2</v>
      </c>
      <c r="N39" s="859"/>
      <c r="O39" s="862"/>
      <c r="P39" s="859"/>
      <c r="Q39" s="861"/>
      <c r="R39" s="836" t="s">
        <v>17</v>
      </c>
      <c r="S39" s="829"/>
      <c r="T39" s="829"/>
      <c r="U39" s="829"/>
      <c r="V39" s="829"/>
      <c r="W39" s="829"/>
    </row>
    <row r="40" spans="1:23" ht="12.75">
      <c r="A40" s="827"/>
      <c r="B40" s="807"/>
      <c r="C40" s="807" t="s">
        <v>1200</v>
      </c>
      <c r="E40" s="835">
        <v>-3566664.78</v>
      </c>
      <c r="F40" s="829"/>
      <c r="G40" s="835">
        <v>-4282205</v>
      </c>
      <c r="H40" s="836"/>
      <c r="I40" s="837"/>
      <c r="J40" s="837"/>
      <c r="K40" s="861"/>
      <c r="L40" s="836"/>
      <c r="M40" s="835">
        <v>-2308261.04</v>
      </c>
      <c r="N40" s="859"/>
      <c r="O40" s="862"/>
      <c r="P40" s="859"/>
      <c r="Q40" s="861"/>
      <c r="R40" s="836"/>
      <c r="S40" s="829"/>
      <c r="T40" s="829"/>
      <c r="U40" s="829"/>
      <c r="V40" s="829"/>
      <c r="W40" s="829"/>
    </row>
    <row r="41" spans="1:23" ht="15">
      <c r="A41" s="827"/>
      <c r="B41" s="807"/>
      <c r="C41" s="807"/>
      <c r="D41" s="807"/>
      <c r="E41" s="829"/>
      <c r="F41" s="829"/>
      <c r="G41" s="836"/>
      <c r="H41" s="836"/>
      <c r="I41" s="837"/>
      <c r="J41" s="837"/>
      <c r="K41" s="861"/>
      <c r="L41" s="836"/>
      <c r="M41" s="836"/>
      <c r="N41" s="836"/>
      <c r="O41" s="862"/>
      <c r="P41" s="836"/>
      <c r="Q41" s="861"/>
      <c r="R41" s="836" t="s">
        <v>17</v>
      </c>
      <c r="S41" s="829"/>
      <c r="T41" s="836"/>
      <c r="U41" s="853"/>
      <c r="V41" s="836"/>
      <c r="W41" s="854"/>
    </row>
    <row r="42" spans="1:23" ht="15" customHeight="1">
      <c r="A42" s="823" t="s">
        <v>1201</v>
      </c>
      <c r="B42" s="824"/>
      <c r="C42" s="824"/>
      <c r="D42" s="807"/>
      <c r="E42" s="829"/>
      <c r="F42" s="829"/>
      <c r="G42" s="836"/>
      <c r="H42" s="836"/>
      <c r="I42" s="837"/>
      <c r="J42" s="837"/>
      <c r="K42" s="861"/>
      <c r="L42" s="836"/>
      <c r="M42" s="836"/>
      <c r="N42" s="836"/>
      <c r="O42" s="862"/>
      <c r="P42" s="836"/>
      <c r="Q42" s="861"/>
      <c r="R42" s="836"/>
      <c r="S42" s="836"/>
      <c r="T42" s="836"/>
      <c r="U42" s="853"/>
      <c r="V42" s="836"/>
      <c r="W42" s="854"/>
    </row>
    <row r="43" spans="1:23" ht="15">
      <c r="A43" s="823"/>
      <c r="B43" s="824" t="s">
        <v>1202</v>
      </c>
      <c r="C43" s="807"/>
      <c r="D43" s="807"/>
      <c r="E43" s="829"/>
      <c r="F43" s="829"/>
      <c r="G43" s="836"/>
      <c r="H43" s="836"/>
      <c r="I43" s="837"/>
      <c r="J43" s="837"/>
      <c r="K43" s="861"/>
      <c r="L43" s="836"/>
      <c r="M43" s="836"/>
      <c r="N43" s="836"/>
      <c r="O43" s="836"/>
      <c r="P43" s="836"/>
      <c r="Q43" s="861"/>
      <c r="R43" s="836"/>
      <c r="S43" s="836"/>
      <c r="T43" s="836"/>
      <c r="U43" s="853"/>
      <c r="V43" s="836"/>
      <c r="W43" s="854"/>
    </row>
    <row r="44" spans="1:23" ht="12.75">
      <c r="A44" s="827"/>
      <c r="B44" s="807"/>
      <c r="C44" s="807" t="s">
        <v>1182</v>
      </c>
      <c r="E44" s="863">
        <v>532783885.20000005</v>
      </c>
      <c r="F44" s="829"/>
      <c r="G44" s="863">
        <v>550058000</v>
      </c>
      <c r="H44" s="864"/>
      <c r="I44" s="863">
        <v>-17274114.799999952</v>
      </c>
      <c r="J44" s="837"/>
      <c r="K44" s="830">
        <v>-3.1404169742099836E-2</v>
      </c>
      <c r="L44" s="865"/>
      <c r="M44" s="863">
        <v>570815259.74000001</v>
      </c>
      <c r="N44" s="864"/>
      <c r="O44" s="863">
        <v>-38031374.539999962</v>
      </c>
      <c r="P44" s="836"/>
      <c r="Q44" s="830">
        <v>-6.662641527369613E-2</v>
      </c>
      <c r="R44" s="836"/>
      <c r="S44" s="829"/>
      <c r="T44" s="829"/>
      <c r="U44" s="829"/>
      <c r="V44" s="829"/>
      <c r="W44" s="829"/>
    </row>
    <row r="45" spans="1:23" ht="12.75" customHeight="1">
      <c r="A45" s="827"/>
      <c r="B45" s="807"/>
      <c r="C45" s="807" t="s">
        <v>1183</v>
      </c>
      <c r="E45" s="863">
        <v>240902023.96700001</v>
      </c>
      <c r="F45" s="829"/>
      <c r="G45" s="863">
        <v>256430000</v>
      </c>
      <c r="H45" s="864"/>
      <c r="I45" s="863">
        <v>-15527976.032999992</v>
      </c>
      <c r="J45" s="837"/>
      <c r="K45" s="830">
        <v>-6.0554443836524557E-2</v>
      </c>
      <c r="L45" s="836"/>
      <c r="M45" s="863">
        <v>256636101.02600002</v>
      </c>
      <c r="N45" s="864"/>
      <c r="O45" s="863">
        <v>-15734077.059000015</v>
      </c>
      <c r="P45" s="836"/>
      <c r="Q45" s="830">
        <v>-6.130890001873112E-2</v>
      </c>
      <c r="R45" s="836"/>
      <c r="S45" s="829"/>
      <c r="T45" s="829"/>
      <c r="U45" s="829"/>
      <c r="V45" s="829"/>
      <c r="W45" s="829"/>
    </row>
    <row r="46" spans="1:23" ht="12.75">
      <c r="A46" s="827"/>
      <c r="B46" s="807"/>
      <c r="C46" s="807" t="s">
        <v>1184</v>
      </c>
      <c r="E46" s="863">
        <v>29484572.310000002</v>
      </c>
      <c r="F46" s="829"/>
      <c r="G46" s="863">
        <v>34038000</v>
      </c>
      <c r="H46" s="864"/>
      <c r="I46" s="863">
        <v>-4553427.6900000004</v>
      </c>
      <c r="J46" s="837"/>
      <c r="K46" s="840">
        <v>-0.1337748307773664</v>
      </c>
      <c r="L46" s="836"/>
      <c r="M46" s="863">
        <v>33676366.303000003</v>
      </c>
      <c r="N46" s="864"/>
      <c r="O46" s="863">
        <v>-4191793.9930000007</v>
      </c>
      <c r="P46" s="836"/>
      <c r="Q46" s="840">
        <v>-0.12447287083424383</v>
      </c>
      <c r="R46" s="836"/>
      <c r="S46" s="829"/>
      <c r="T46" s="829"/>
      <c r="U46" s="829"/>
      <c r="V46" s="829"/>
      <c r="W46" s="829"/>
    </row>
    <row r="47" spans="1:23" ht="7.9" customHeight="1">
      <c r="A47" s="827"/>
      <c r="B47" s="807"/>
      <c r="C47" s="807"/>
      <c r="E47" s="866"/>
      <c r="F47" s="829"/>
      <c r="G47" s="866"/>
      <c r="H47" s="864"/>
      <c r="I47" s="866"/>
      <c r="J47" s="837"/>
      <c r="K47" s="845"/>
      <c r="L47" s="836"/>
      <c r="M47" s="866"/>
      <c r="N47" s="864"/>
      <c r="O47" s="866"/>
      <c r="P47" s="836"/>
      <c r="Q47" s="845"/>
      <c r="R47" s="836"/>
      <c r="S47" s="829"/>
      <c r="T47" s="829"/>
      <c r="U47" s="829"/>
      <c r="V47" s="829"/>
      <c r="W47" s="829"/>
    </row>
    <row r="48" spans="1:23" ht="12.75">
      <c r="A48" s="827"/>
      <c r="B48" s="807"/>
      <c r="C48" s="807" t="s">
        <v>1185</v>
      </c>
      <c r="E48" s="863">
        <v>803170481.477</v>
      </c>
      <c r="F48" s="829"/>
      <c r="G48" s="863">
        <v>840526000</v>
      </c>
      <c r="H48" s="864"/>
      <c r="I48" s="863">
        <v>-37355518.523000002</v>
      </c>
      <c r="J48" s="837"/>
      <c r="K48" s="830">
        <v>-4.4443025585169292E-2</v>
      </c>
      <c r="L48" s="836"/>
      <c r="M48" s="863">
        <v>861127727.06900001</v>
      </c>
      <c r="N48" s="864"/>
      <c r="O48" s="863">
        <v>-57957245.592000008</v>
      </c>
      <c r="P48" s="836"/>
      <c r="Q48" s="830">
        <v>-6.7303889736854375E-2</v>
      </c>
      <c r="R48" s="836"/>
      <c r="S48" s="829"/>
      <c r="T48" s="829"/>
      <c r="U48" s="829"/>
      <c r="V48" s="829"/>
      <c r="W48" s="829"/>
    </row>
    <row r="49" spans="1:23" ht="7.9" customHeight="1">
      <c r="A49" s="827"/>
      <c r="B49" s="807"/>
      <c r="C49" s="807"/>
      <c r="D49" s="807"/>
      <c r="E49" s="864"/>
      <c r="F49" s="829"/>
      <c r="G49" s="864"/>
      <c r="H49" s="864"/>
      <c r="I49" s="864"/>
      <c r="J49" s="837"/>
      <c r="K49" s="845"/>
      <c r="L49" s="836"/>
      <c r="M49" s="864"/>
      <c r="N49" s="864"/>
      <c r="O49" s="864"/>
      <c r="P49" s="836"/>
      <c r="Q49" s="845"/>
      <c r="R49" s="836"/>
      <c r="S49" s="829"/>
      <c r="T49" s="829"/>
      <c r="U49" s="829"/>
      <c r="V49" s="829"/>
      <c r="W49" s="829"/>
    </row>
    <row r="50" spans="1:23" ht="12.75">
      <c r="A50" s="827"/>
      <c r="B50" s="849" t="s">
        <v>1203</v>
      </c>
      <c r="C50" s="807"/>
      <c r="D50" s="807"/>
      <c r="E50" s="864"/>
      <c r="F50" s="829"/>
      <c r="G50" s="864"/>
      <c r="H50" s="864"/>
      <c r="I50" s="864"/>
      <c r="J50" s="837"/>
      <c r="K50" s="845"/>
      <c r="L50" s="836"/>
      <c r="M50" s="864"/>
      <c r="N50" s="864"/>
      <c r="O50" s="864"/>
      <c r="P50" s="836"/>
      <c r="Q50" s="845"/>
      <c r="R50" s="836"/>
      <c r="S50" s="829"/>
      <c r="T50" s="829"/>
      <c r="U50" s="829"/>
      <c r="V50" s="829"/>
      <c r="W50" s="829"/>
    </row>
    <row r="51" spans="1:23" ht="12.75">
      <c r="A51" s="827"/>
      <c r="B51" s="807"/>
      <c r="C51" s="807" t="s">
        <v>1187</v>
      </c>
      <c r="E51" s="863">
        <v>50391311.910999998</v>
      </c>
      <c r="F51" s="829"/>
      <c r="G51" s="863">
        <v>52707000</v>
      </c>
      <c r="H51" s="864"/>
      <c r="I51" s="863">
        <v>-2315688.0890000015</v>
      </c>
      <c r="J51" s="837"/>
      <c r="K51" s="830">
        <v>-4.3935114671675518E-2</v>
      </c>
      <c r="L51" s="836"/>
      <c r="M51" s="863">
        <v>53112718.354000002</v>
      </c>
      <c r="N51" s="864"/>
      <c r="O51" s="863">
        <v>-2721406.4430000037</v>
      </c>
      <c r="P51" s="836"/>
      <c r="Q51" s="830">
        <v>-5.1238319697019433E-2</v>
      </c>
      <c r="R51" s="836"/>
      <c r="S51" s="829"/>
      <c r="T51" s="829"/>
      <c r="U51" s="829"/>
      <c r="V51" s="829"/>
      <c r="W51" s="829"/>
    </row>
    <row r="52" spans="1:23" ht="12.75">
      <c r="A52" s="827"/>
      <c r="B52" s="807"/>
      <c r="C52" s="807" t="s">
        <v>1188</v>
      </c>
      <c r="E52" s="863">
        <v>4074671.9929999998</v>
      </c>
      <c r="F52" s="829"/>
      <c r="G52" s="863">
        <v>4324000</v>
      </c>
      <c r="H52" s="864"/>
      <c r="I52" s="863">
        <v>-249328.00700000022</v>
      </c>
      <c r="J52" s="837"/>
      <c r="K52" s="840">
        <v>-5.7661426225716982E-2</v>
      </c>
      <c r="L52" s="836"/>
      <c r="M52" s="863">
        <v>3366010.23</v>
      </c>
      <c r="N52" s="864"/>
      <c r="O52" s="863">
        <v>708661.76299999934</v>
      </c>
      <c r="P52" s="836"/>
      <c r="Q52" s="840">
        <v>0.21053464326518082</v>
      </c>
      <c r="R52" s="836"/>
      <c r="S52" s="829"/>
      <c r="T52" s="829"/>
      <c r="U52" s="829"/>
      <c r="V52" s="829"/>
      <c r="W52" s="829"/>
    </row>
    <row r="53" spans="1:23" ht="7.9" customHeight="1">
      <c r="A53" s="827"/>
      <c r="B53" s="807"/>
      <c r="C53" s="807"/>
      <c r="E53" s="866"/>
      <c r="F53" s="829"/>
      <c r="G53" s="866"/>
      <c r="H53" s="864"/>
      <c r="I53" s="866"/>
      <c r="J53" s="837"/>
      <c r="K53" s="845"/>
      <c r="L53" s="836"/>
      <c r="M53" s="866"/>
      <c r="N53" s="864"/>
      <c r="O53" s="866"/>
      <c r="P53" s="836"/>
      <c r="Q53" s="845"/>
      <c r="R53" s="836"/>
      <c r="S53" s="829"/>
      <c r="T53" s="829"/>
      <c r="U53" s="829"/>
      <c r="V53" s="829"/>
      <c r="W53" s="829"/>
    </row>
    <row r="54" spans="1:23" ht="12.75">
      <c r="A54" s="827"/>
      <c r="B54" s="807"/>
      <c r="C54" s="807" t="s">
        <v>1189</v>
      </c>
      <c r="E54" s="863">
        <v>54465983.903999999</v>
      </c>
      <c r="F54" s="829"/>
      <c r="G54" s="863">
        <v>57031000</v>
      </c>
      <c r="H54" s="864"/>
      <c r="I54" s="863">
        <v>-2565016.0960000008</v>
      </c>
      <c r="J54" s="837"/>
      <c r="K54" s="840">
        <v>-4.4975821851273884E-2</v>
      </c>
      <c r="L54" s="836"/>
      <c r="M54" s="863">
        <v>56478728.583999991</v>
      </c>
      <c r="N54" s="864"/>
      <c r="O54" s="863">
        <v>-2012744.6799999923</v>
      </c>
      <c r="P54" s="836"/>
      <c r="Q54" s="840">
        <v>-3.5637216531998701E-2</v>
      </c>
      <c r="R54" s="836"/>
      <c r="S54" s="829"/>
      <c r="T54" s="829"/>
      <c r="U54" s="829"/>
      <c r="V54" s="829"/>
      <c r="W54" s="829"/>
    </row>
    <row r="55" spans="1:23" ht="7.9" customHeight="1">
      <c r="A55" s="827"/>
      <c r="B55" s="807"/>
      <c r="C55" s="807"/>
      <c r="E55" s="866"/>
      <c r="F55" s="829"/>
      <c r="G55" s="866"/>
      <c r="H55" s="864"/>
      <c r="I55" s="866"/>
      <c r="J55" s="837"/>
      <c r="K55" s="851"/>
      <c r="L55" s="836"/>
      <c r="M55" s="866"/>
      <c r="N55" s="864"/>
      <c r="O55" s="866"/>
      <c r="P55" s="836"/>
      <c r="Q55" s="851"/>
      <c r="R55" s="836"/>
      <c r="S55" s="829"/>
      <c r="T55" s="829"/>
      <c r="U55" s="829"/>
      <c r="V55" s="829"/>
      <c r="W55" s="829"/>
    </row>
    <row r="56" spans="1:23" ht="12.75">
      <c r="A56" s="827"/>
      <c r="B56" s="807"/>
      <c r="C56" s="807" t="s">
        <v>1204</v>
      </c>
      <c r="E56" s="863">
        <v>857636465.38100004</v>
      </c>
      <c r="F56" s="829"/>
      <c r="G56" s="863">
        <v>897557000</v>
      </c>
      <c r="H56" s="864"/>
      <c r="I56" s="863">
        <v>-39920534.618999958</v>
      </c>
      <c r="J56" s="837"/>
      <c r="K56" s="830">
        <v>-4.4476879595390553E-2</v>
      </c>
      <c r="L56" s="836"/>
      <c r="M56" s="863">
        <v>917606455.65299988</v>
      </c>
      <c r="N56" s="864"/>
      <c r="O56" s="863">
        <v>-59969990.271999836</v>
      </c>
      <c r="P56" s="836"/>
      <c r="Q56" s="830">
        <v>-6.5354804232848548E-2</v>
      </c>
      <c r="R56" s="836"/>
      <c r="S56" s="829"/>
      <c r="T56" s="829"/>
      <c r="U56" s="829"/>
      <c r="V56" s="829"/>
      <c r="W56" s="829"/>
    </row>
    <row r="57" spans="1:23" ht="7.9" customHeight="1">
      <c r="A57" s="827"/>
      <c r="B57" s="807"/>
      <c r="C57" s="807"/>
      <c r="E57" s="864"/>
      <c r="F57" s="829"/>
      <c r="G57" s="864"/>
      <c r="H57" s="864"/>
      <c r="I57" s="864"/>
      <c r="J57" s="837"/>
      <c r="K57" s="845"/>
      <c r="L57" s="836"/>
      <c r="M57" s="864"/>
      <c r="N57" s="864"/>
      <c r="O57" s="864"/>
      <c r="P57" s="836"/>
      <c r="Q57" s="845"/>
      <c r="R57" s="836"/>
      <c r="S57" s="829"/>
      <c r="T57" s="829"/>
      <c r="U57" s="829"/>
      <c r="V57" s="829"/>
      <c r="W57" s="829"/>
    </row>
    <row r="58" spans="1:23" ht="12.75">
      <c r="A58" s="827"/>
      <c r="B58" s="849" t="s">
        <v>1205</v>
      </c>
      <c r="C58" s="807"/>
      <c r="D58" s="807"/>
      <c r="E58" s="864"/>
      <c r="F58" s="836"/>
      <c r="G58" s="864"/>
      <c r="H58" s="864"/>
      <c r="I58" s="864"/>
      <c r="J58" s="837"/>
      <c r="K58" s="845"/>
      <c r="L58" s="836"/>
      <c r="M58" s="864"/>
      <c r="N58" s="864"/>
      <c r="O58" s="864"/>
      <c r="P58" s="836"/>
      <c r="Q58" s="845"/>
      <c r="R58" s="836"/>
      <c r="S58" s="829"/>
      <c r="T58" s="829"/>
      <c r="U58" s="829"/>
      <c r="V58" s="829"/>
      <c r="W58" s="829"/>
    </row>
    <row r="59" spans="1:23" ht="12.75">
      <c r="A59" s="827"/>
      <c r="B59" s="807"/>
      <c r="C59" s="807" t="s">
        <v>1192</v>
      </c>
      <c r="D59" s="807"/>
      <c r="E59" s="863">
        <v>43721364.028999999</v>
      </c>
      <c r="F59" s="836"/>
      <c r="G59" s="863">
        <v>33317000</v>
      </c>
      <c r="H59" s="864"/>
      <c r="I59" s="863">
        <v>10404364.028999999</v>
      </c>
      <c r="J59" s="837"/>
      <c r="K59" s="830">
        <v>0.31228394000060028</v>
      </c>
      <c r="L59" s="836"/>
      <c r="M59" s="863">
        <v>43002360.356999993</v>
      </c>
      <c r="N59" s="829"/>
      <c r="O59" s="863">
        <v>719003.67200000584</v>
      </c>
      <c r="P59" s="836"/>
      <c r="Q59" s="830">
        <v>1.6720097827908308E-2</v>
      </c>
      <c r="R59" s="829"/>
      <c r="S59" s="829"/>
      <c r="T59" s="829"/>
      <c r="U59" s="829"/>
      <c r="V59" s="829"/>
      <c r="W59" s="829"/>
    </row>
    <row r="60" spans="1:23" ht="12.75">
      <c r="A60" s="827"/>
      <c r="B60" s="807"/>
      <c r="C60" s="807" t="s">
        <v>1193</v>
      </c>
      <c r="E60" s="863">
        <v>165484728.26199996</v>
      </c>
      <c r="F60" s="829"/>
      <c r="G60" s="863">
        <v>159201000</v>
      </c>
      <c r="H60" s="864"/>
      <c r="I60" s="863">
        <v>6283728.2619999647</v>
      </c>
      <c r="J60" s="837"/>
      <c r="K60" s="840">
        <v>3.9470406982367978E-2</v>
      </c>
      <c r="L60" s="836"/>
      <c r="M60" s="863">
        <v>166053723.81</v>
      </c>
      <c r="N60" s="829"/>
      <c r="O60" s="863">
        <v>-568995.54800003767</v>
      </c>
      <c r="P60" s="836"/>
      <c r="Q60" s="840">
        <v>-3.4265750562214848E-3</v>
      </c>
      <c r="R60" s="829"/>
      <c r="S60" s="829"/>
      <c r="T60" s="829"/>
      <c r="U60" s="829"/>
      <c r="V60" s="829"/>
      <c r="W60" s="829"/>
    </row>
    <row r="61" spans="1:23" ht="7.9" customHeight="1">
      <c r="A61" s="827"/>
      <c r="B61" s="807"/>
      <c r="C61" s="807"/>
      <c r="E61" s="866"/>
      <c r="F61" s="829"/>
      <c r="G61" s="866"/>
      <c r="H61" s="864"/>
      <c r="I61" s="866"/>
      <c r="J61" s="837"/>
      <c r="K61" s="845"/>
      <c r="L61" s="836"/>
      <c r="M61" s="866"/>
      <c r="N61" s="864"/>
      <c r="O61" s="866"/>
      <c r="P61" s="836"/>
      <c r="Q61" s="845"/>
      <c r="R61" s="829"/>
      <c r="S61" s="829"/>
      <c r="T61" s="829"/>
      <c r="U61" s="829"/>
      <c r="V61" s="829"/>
      <c r="W61" s="829"/>
    </row>
    <row r="62" spans="1:23" ht="12.75">
      <c r="A62" s="827"/>
      <c r="B62" s="807"/>
      <c r="C62" s="807" t="s">
        <v>1194</v>
      </c>
      <c r="E62" s="867">
        <v>209206092.29100001</v>
      </c>
      <c r="F62" s="829"/>
      <c r="G62" s="867">
        <v>192518000</v>
      </c>
      <c r="H62" s="864"/>
      <c r="I62" s="867">
        <v>16688092.291000009</v>
      </c>
      <c r="J62" s="837"/>
      <c r="K62" s="840">
        <v>8.6683283074829406E-2</v>
      </c>
      <c r="L62" s="836"/>
      <c r="M62" s="867">
        <v>209056084.167</v>
      </c>
      <c r="N62" s="864"/>
      <c r="O62" s="867">
        <v>150008.12400001287</v>
      </c>
      <c r="P62" s="836"/>
      <c r="Q62" s="840">
        <v>7.1754966901696146E-4</v>
      </c>
      <c r="R62" s="829"/>
      <c r="S62" s="829"/>
      <c r="T62" s="829"/>
      <c r="U62" s="829"/>
      <c r="V62" s="829"/>
      <c r="W62" s="829"/>
    </row>
    <row r="63" spans="1:23" ht="7.9" customHeight="1">
      <c r="A63" s="827"/>
      <c r="B63" s="807"/>
      <c r="C63" s="807"/>
      <c r="E63" s="864"/>
      <c r="F63" s="829"/>
      <c r="G63" s="864"/>
      <c r="H63" s="864"/>
      <c r="I63" s="864"/>
      <c r="J63" s="837"/>
      <c r="K63" s="845"/>
      <c r="L63" s="836"/>
      <c r="M63" s="864"/>
      <c r="N63" s="864"/>
      <c r="O63" s="864"/>
      <c r="P63" s="836"/>
      <c r="Q63" s="845"/>
      <c r="R63" s="829"/>
      <c r="S63" s="829"/>
      <c r="T63" s="829"/>
      <c r="U63" s="829"/>
      <c r="V63" s="829"/>
      <c r="W63" s="829"/>
    </row>
    <row r="64" spans="1:23" ht="13.5" thickBot="1">
      <c r="A64" s="827"/>
      <c r="B64" s="807"/>
      <c r="C64" s="807" t="s">
        <v>1206</v>
      </c>
      <c r="E64" s="868">
        <v>1066842557.6720001</v>
      </c>
      <c r="F64" s="829"/>
      <c r="G64" s="868">
        <v>1090075000</v>
      </c>
      <c r="H64" s="864"/>
      <c r="I64" s="868">
        <v>-23232442.327999949</v>
      </c>
      <c r="J64" s="837"/>
      <c r="K64" s="858">
        <v>-2.1312700803155699E-2</v>
      </c>
      <c r="L64" s="836"/>
      <c r="M64" s="868">
        <v>1126662539.8199999</v>
      </c>
      <c r="N64" s="864"/>
      <c r="O64" s="868">
        <v>-59819982.147999883</v>
      </c>
      <c r="P64" s="836"/>
      <c r="Q64" s="858">
        <v>-5.3094853191406326E-2</v>
      </c>
      <c r="R64" s="829"/>
      <c r="S64" s="829"/>
      <c r="T64" s="829"/>
      <c r="U64" s="829"/>
      <c r="V64" s="829"/>
      <c r="W64" s="829"/>
    </row>
    <row r="65" spans="1:23" ht="13.5" thickTop="1">
      <c r="A65" s="827"/>
      <c r="B65" s="807"/>
      <c r="C65" s="807"/>
      <c r="E65" s="869"/>
      <c r="F65" s="829"/>
      <c r="G65" s="869"/>
      <c r="H65" s="864"/>
      <c r="I65" s="869"/>
      <c r="J65" s="837"/>
      <c r="K65" s="870"/>
      <c r="L65" s="836"/>
      <c r="M65" s="869"/>
      <c r="N65" s="864"/>
      <c r="O65" s="869"/>
      <c r="P65" s="836"/>
      <c r="Q65" s="870"/>
      <c r="R65" s="829"/>
      <c r="S65" s="829"/>
      <c r="T65" s="829"/>
      <c r="U65" s="829"/>
      <c r="V65" s="829"/>
      <c r="W65" s="829"/>
    </row>
    <row r="66" spans="1:23" ht="12.75" customHeight="1">
      <c r="A66" s="871" t="s">
        <v>1207</v>
      </c>
      <c r="B66" s="871"/>
      <c r="C66" s="871"/>
      <c r="D66" s="871"/>
      <c r="E66" s="871"/>
      <c r="F66" s="871"/>
      <c r="G66" s="871"/>
      <c r="H66" s="871"/>
      <c r="I66" s="871"/>
      <c r="J66" s="871"/>
      <c r="K66" s="871"/>
      <c r="L66" s="871"/>
      <c r="M66" s="871"/>
      <c r="N66" s="871"/>
      <c r="O66" s="871"/>
      <c r="P66" s="871"/>
      <c r="Q66" s="871"/>
      <c r="R66" s="871"/>
      <c r="S66" s="871"/>
      <c r="T66" s="871"/>
      <c r="U66" s="871"/>
      <c r="V66" s="871"/>
      <c r="W66" s="871"/>
    </row>
    <row r="67" spans="1:23" ht="12.75">
      <c r="A67" s="871" t="s">
        <v>17</v>
      </c>
      <c r="B67" s="871"/>
      <c r="C67" s="871"/>
      <c r="D67" s="871"/>
      <c r="E67" s="871"/>
      <c r="F67" s="871"/>
      <c r="G67" s="871"/>
      <c r="H67" s="871"/>
      <c r="I67" s="871"/>
      <c r="J67" s="871"/>
      <c r="K67" s="871"/>
      <c r="L67" s="871"/>
      <c r="M67" s="871"/>
      <c r="N67" s="871"/>
      <c r="O67" s="871"/>
      <c r="P67" s="871"/>
      <c r="Q67" s="871"/>
      <c r="R67" s="871"/>
      <c r="S67" s="871"/>
      <c r="T67" s="871"/>
      <c r="U67" s="871"/>
      <c r="V67" s="871"/>
      <c r="W67" s="871"/>
    </row>
    <row r="68" spans="1:23" ht="12.75" customHeight="1">
      <c r="A68" s="871" t="s">
        <v>17</v>
      </c>
      <c r="B68" s="871"/>
      <c r="C68" s="871"/>
      <c r="D68" s="871"/>
      <c r="E68" s="871"/>
      <c r="F68" s="871"/>
      <c r="G68" s="871"/>
      <c r="H68" s="871"/>
      <c r="I68" s="871"/>
      <c r="J68" s="871"/>
      <c r="K68" s="871"/>
      <c r="L68" s="871"/>
      <c r="M68" s="871"/>
      <c r="N68" s="871"/>
      <c r="O68" s="871"/>
      <c r="P68" s="871"/>
      <c r="Q68" s="871"/>
      <c r="R68" s="871"/>
      <c r="S68" s="871"/>
      <c r="T68" s="871"/>
      <c r="U68" s="871"/>
      <c r="V68" s="871"/>
      <c r="W68" s="871"/>
    </row>
    <row r="69" spans="1:23" ht="12.75">
      <c r="A69" s="871" t="s">
        <v>17</v>
      </c>
      <c r="B69" s="871"/>
      <c r="C69" s="871"/>
      <c r="D69" s="871"/>
      <c r="E69" s="871"/>
      <c r="F69" s="871"/>
      <c r="G69" s="871"/>
      <c r="H69" s="871"/>
      <c r="I69" s="871"/>
      <c r="J69" s="871"/>
      <c r="K69" s="871"/>
      <c r="L69" s="871"/>
      <c r="M69" s="871"/>
      <c r="N69" s="871"/>
      <c r="O69" s="871"/>
      <c r="P69" s="871"/>
      <c r="Q69" s="871"/>
      <c r="R69" s="871"/>
      <c r="S69" s="871"/>
      <c r="T69" s="871"/>
      <c r="U69" s="871"/>
      <c r="V69" s="871"/>
      <c r="W69" s="871"/>
    </row>
    <row r="70" spans="1:23" ht="12.75" customHeight="1">
      <c r="A70" s="871" t="s">
        <v>17</v>
      </c>
      <c r="B70" s="871"/>
      <c r="C70" s="871"/>
      <c r="D70" s="871"/>
      <c r="E70" s="871"/>
      <c r="F70" s="871"/>
      <c r="G70" s="871"/>
      <c r="H70" s="871"/>
      <c r="I70" s="871"/>
      <c r="J70" s="871"/>
      <c r="K70" s="871"/>
      <c r="L70" s="871"/>
      <c r="M70" s="871"/>
      <c r="N70" s="871"/>
      <c r="O70" s="871"/>
      <c r="P70" s="871"/>
      <c r="Q70" s="871"/>
      <c r="R70" s="871"/>
      <c r="S70" s="871"/>
      <c r="T70" s="871"/>
      <c r="U70" s="871"/>
      <c r="V70" s="871"/>
      <c r="W70" s="871"/>
    </row>
    <row r="71" spans="1:23" ht="12.75">
      <c r="A71" s="871" t="s">
        <v>17</v>
      </c>
      <c r="B71" s="871"/>
      <c r="C71" s="871"/>
      <c r="D71" s="871"/>
      <c r="E71" s="871"/>
      <c r="F71" s="871"/>
      <c r="G71" s="871"/>
      <c r="H71" s="871"/>
      <c r="I71" s="871"/>
      <c r="J71" s="871"/>
      <c r="K71" s="871"/>
      <c r="L71" s="871"/>
      <c r="M71" s="871"/>
      <c r="N71" s="871"/>
      <c r="O71" s="871"/>
      <c r="P71" s="871"/>
      <c r="Q71" s="871"/>
      <c r="R71" s="871"/>
      <c r="S71" s="871"/>
      <c r="T71" s="871"/>
      <c r="U71" s="871"/>
      <c r="V71" s="871"/>
      <c r="W71" s="871"/>
    </row>
    <row r="72" spans="1:23" ht="12.75">
      <c r="A72" s="871" t="s">
        <v>17</v>
      </c>
      <c r="B72" s="871"/>
      <c r="C72" s="871"/>
      <c r="D72" s="871"/>
      <c r="E72" s="871"/>
      <c r="F72" s="871"/>
      <c r="G72" s="871"/>
      <c r="H72" s="871"/>
      <c r="I72" s="871"/>
      <c r="J72" s="871"/>
      <c r="K72" s="871"/>
      <c r="L72" s="871"/>
      <c r="M72" s="871"/>
      <c r="N72" s="871"/>
      <c r="O72" s="871"/>
      <c r="P72" s="871"/>
      <c r="Q72" s="871"/>
      <c r="R72" s="871"/>
      <c r="S72" s="871"/>
      <c r="T72" s="871"/>
      <c r="U72" s="871"/>
      <c r="V72" s="871"/>
      <c r="W72" s="871"/>
    </row>
    <row r="73" spans="1:23" ht="12.75">
      <c r="A73" s="871" t="s">
        <v>17</v>
      </c>
      <c r="B73" s="871"/>
      <c r="C73" s="871"/>
      <c r="D73" s="871"/>
      <c r="E73" s="871"/>
      <c r="F73" s="871"/>
      <c r="G73" s="871"/>
      <c r="H73" s="871"/>
      <c r="I73" s="871"/>
      <c r="J73" s="871"/>
      <c r="K73" s="871"/>
      <c r="L73" s="871"/>
      <c r="M73" s="871"/>
      <c r="N73" s="871"/>
      <c r="O73" s="871"/>
      <c r="P73" s="871"/>
      <c r="Q73" s="871"/>
      <c r="R73" s="871"/>
      <c r="S73" s="871"/>
      <c r="T73" s="871"/>
      <c r="U73" s="871"/>
      <c r="V73" s="871"/>
      <c r="W73" s="871"/>
    </row>
    <row r="74" spans="1:23" ht="12.75" customHeight="1">
      <c r="A74" s="871" t="s">
        <v>17</v>
      </c>
      <c r="B74" s="871"/>
      <c r="C74" s="871"/>
      <c r="D74" s="871"/>
      <c r="E74" s="871"/>
      <c r="F74" s="871"/>
      <c r="G74" s="871"/>
      <c r="H74" s="871"/>
      <c r="I74" s="871"/>
      <c r="J74" s="871"/>
      <c r="K74" s="871"/>
      <c r="L74" s="871"/>
      <c r="M74" s="871"/>
      <c r="N74" s="871"/>
      <c r="O74" s="871"/>
      <c r="P74" s="871"/>
      <c r="Q74" s="871"/>
      <c r="R74" s="871"/>
      <c r="S74" s="871"/>
      <c r="T74" s="871"/>
      <c r="U74" s="871"/>
      <c r="V74" s="871"/>
      <c r="W74" s="871"/>
    </row>
    <row r="75" spans="1:23" ht="12.75">
      <c r="A75" s="871" t="s">
        <v>17</v>
      </c>
      <c r="B75" s="871"/>
      <c r="C75" s="871"/>
      <c r="D75" s="871"/>
      <c r="E75" s="871"/>
      <c r="F75" s="871"/>
      <c r="G75" s="871"/>
      <c r="H75" s="871"/>
      <c r="I75" s="871"/>
      <c r="J75" s="871"/>
      <c r="K75" s="871"/>
      <c r="L75" s="871"/>
      <c r="M75" s="871"/>
      <c r="N75" s="871"/>
      <c r="O75" s="871"/>
      <c r="P75" s="871"/>
      <c r="Q75" s="871"/>
      <c r="R75" s="871"/>
      <c r="S75" s="871"/>
      <c r="T75" s="871"/>
      <c r="U75" s="871"/>
      <c r="V75" s="871"/>
      <c r="W75" s="871"/>
    </row>
    <row r="76" spans="1:23" ht="12.75">
      <c r="A76" s="871" t="s">
        <v>17</v>
      </c>
      <c r="B76" s="871"/>
      <c r="C76" s="871"/>
      <c r="D76" s="871"/>
      <c r="E76" s="871"/>
      <c r="F76" s="871"/>
      <c r="G76" s="871"/>
      <c r="H76" s="871"/>
      <c r="I76" s="871"/>
      <c r="J76" s="871"/>
      <c r="K76" s="871"/>
      <c r="L76" s="871"/>
      <c r="M76" s="871"/>
      <c r="N76" s="871"/>
      <c r="O76" s="871"/>
      <c r="P76" s="871"/>
      <c r="Q76" s="871"/>
      <c r="R76" s="871"/>
      <c r="S76" s="871"/>
      <c r="T76" s="871"/>
      <c r="U76" s="871"/>
      <c r="V76" s="871"/>
      <c r="W76" s="871"/>
    </row>
    <row r="77" spans="1:23" ht="12.75">
      <c r="A77" s="871" t="s">
        <v>17</v>
      </c>
      <c r="B77" s="871"/>
      <c r="C77" s="871"/>
      <c r="D77" s="871"/>
      <c r="E77" s="871"/>
      <c r="F77" s="871"/>
      <c r="G77" s="871"/>
      <c r="H77" s="871"/>
      <c r="I77" s="871"/>
      <c r="J77" s="871"/>
      <c r="K77" s="871"/>
      <c r="L77" s="871"/>
      <c r="M77" s="871"/>
      <c r="N77" s="871"/>
      <c r="O77" s="871"/>
      <c r="P77" s="871"/>
      <c r="Q77" s="871"/>
      <c r="R77" s="871"/>
      <c r="S77" s="871"/>
      <c r="T77" s="871"/>
      <c r="U77" s="871"/>
      <c r="V77" s="871"/>
      <c r="W77" s="871"/>
    </row>
    <row r="78" spans="1:23" ht="12.75">
      <c r="A78" s="871" t="s">
        <v>17</v>
      </c>
      <c r="B78" s="871"/>
      <c r="C78" s="871"/>
      <c r="D78" s="871"/>
      <c r="E78" s="871"/>
      <c r="F78" s="871"/>
      <c r="G78" s="871"/>
      <c r="H78" s="871"/>
      <c r="I78" s="871"/>
      <c r="J78" s="871"/>
      <c r="K78" s="871"/>
      <c r="L78" s="871"/>
      <c r="M78" s="871"/>
      <c r="N78" s="871"/>
      <c r="O78" s="871"/>
      <c r="P78" s="871"/>
      <c r="Q78" s="871"/>
      <c r="R78" s="871"/>
      <c r="S78" s="871"/>
      <c r="T78" s="871"/>
      <c r="U78" s="871"/>
      <c r="V78" s="871"/>
      <c r="W78" s="871"/>
    </row>
    <row r="79" spans="1:23" ht="12.75">
      <c r="A79" s="871" t="s">
        <v>17</v>
      </c>
      <c r="B79" s="871"/>
      <c r="C79" s="871"/>
      <c r="D79" s="871"/>
      <c r="E79" s="871"/>
      <c r="F79" s="871"/>
      <c r="G79" s="871"/>
      <c r="H79" s="871"/>
      <c r="I79" s="871"/>
      <c r="J79" s="871"/>
      <c r="K79" s="871"/>
      <c r="L79" s="871"/>
      <c r="M79" s="871"/>
      <c r="N79" s="871"/>
      <c r="O79" s="871"/>
      <c r="P79" s="871"/>
      <c r="Q79" s="871"/>
      <c r="R79" s="871"/>
      <c r="S79" s="871"/>
      <c r="T79" s="871"/>
      <c r="U79" s="871"/>
      <c r="V79" s="871"/>
      <c r="W79" s="871"/>
    </row>
    <row r="80" spans="1:23" ht="12.75">
      <c r="A80" s="871" t="s">
        <v>17</v>
      </c>
      <c r="B80" s="871"/>
      <c r="C80" s="871"/>
      <c r="D80" s="871"/>
      <c r="E80" s="871"/>
      <c r="F80" s="871"/>
      <c r="G80" s="871"/>
      <c r="H80" s="871"/>
      <c r="I80" s="871"/>
      <c r="J80" s="871"/>
      <c r="K80" s="871"/>
      <c r="L80" s="871"/>
      <c r="M80" s="871"/>
      <c r="N80" s="871"/>
      <c r="O80" s="871"/>
      <c r="P80" s="871"/>
      <c r="Q80" s="871"/>
      <c r="R80" s="871"/>
      <c r="S80" s="871"/>
      <c r="T80" s="871"/>
      <c r="U80" s="871"/>
      <c r="V80" s="871"/>
      <c r="W80" s="871"/>
    </row>
    <row r="81" spans="1:23" ht="12.75">
      <c r="A81" s="871" t="s">
        <v>17</v>
      </c>
      <c r="B81" s="871"/>
      <c r="C81" s="871"/>
      <c r="D81" s="871"/>
      <c r="E81" s="871"/>
      <c r="F81" s="871"/>
      <c r="G81" s="871"/>
      <c r="H81" s="871"/>
      <c r="I81" s="871"/>
      <c r="J81" s="871"/>
      <c r="K81" s="871"/>
      <c r="L81" s="871"/>
      <c r="M81" s="871"/>
      <c r="N81" s="871"/>
      <c r="O81" s="871"/>
      <c r="P81" s="871"/>
      <c r="Q81" s="871"/>
      <c r="R81" s="871"/>
      <c r="S81" s="871"/>
      <c r="T81" s="871"/>
      <c r="U81" s="871"/>
      <c r="V81" s="871"/>
      <c r="W81" s="871"/>
    </row>
  </sheetData>
  <conditionalFormatting sqref="A66:W81">
    <cfRule type="expression" dxfId="0" priority="1" stopIfTrue="1">
      <formula>IF(VALUE(TRIM(MID(#REF!,41,LEN(#REF!)-40)))&gt;=9999,TRUE,FALSE)</formula>
    </cfRule>
  </conditionalFormatting>
  <printOptions horizontalCentered="1" verticalCentered="1"/>
  <pageMargins left="0.5" right="0.5" top="0.45" bottom="0.45" header="0.5" footer="0.17"/>
  <pageSetup scale="57" orientation="landscape" r:id="rId1"/>
  <headerFooter alignWithMargins="0">
    <oddFooter>&amp;C&amp;13&amp;"Arial"5c</oddFooter>
  </headerFooter>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7" tint="0.39997558519241921"/>
    <pageSetUpPr fitToPage="1"/>
  </sheetPr>
  <dimension ref="A1:X65"/>
  <sheetViews>
    <sheetView zoomScale="75" zoomScaleNormal="75" workbookViewId="0">
      <pane xSplit="4" ySplit="9" topLeftCell="E10" activePane="bottomRight" state="frozen"/>
      <selection activeCell="C45" sqref="C45"/>
      <selection pane="topRight" activeCell="C45" sqref="C45"/>
      <selection pane="bottomLeft" activeCell="C45" sqref="C45"/>
      <selection pane="bottomRight" activeCell="C45" sqref="C45"/>
    </sheetView>
  </sheetViews>
  <sheetFormatPr defaultColWidth="9.1640625" defaultRowHeight="11.25"/>
  <cols>
    <col min="1" max="2" width="2.5" style="872" customWidth="1"/>
    <col min="3" max="3" width="44.5" style="872" customWidth="1"/>
    <col min="4" max="4" width="1.5" style="872" customWidth="1"/>
    <col min="5" max="5" width="21.6640625" style="872" customWidth="1"/>
    <col min="6" max="6" width="1.5" style="872" customWidth="1"/>
    <col min="7" max="7" width="21.6640625" style="872" hidden="1" customWidth="1"/>
    <col min="8" max="8" width="0.83203125" style="872" hidden="1" customWidth="1"/>
    <col min="9" max="9" width="21.6640625" style="872" hidden="1" customWidth="1"/>
    <col min="10" max="10" width="0.83203125" style="872" hidden="1" customWidth="1"/>
    <col min="11" max="11" width="12.6640625" style="872" hidden="1" customWidth="1"/>
    <col min="12" max="12" width="0.83203125" style="872" hidden="1" customWidth="1"/>
    <col min="13" max="13" width="21.83203125" style="872" customWidth="1"/>
    <col min="14" max="14" width="1.5" style="872" customWidth="1"/>
    <col min="15" max="15" width="21.6640625" style="872" customWidth="1"/>
    <col min="16" max="16" width="1.5" style="872" customWidth="1"/>
    <col min="17" max="17" width="11.83203125" style="872" customWidth="1"/>
    <col min="18" max="18" width="3.5" style="872" customWidth="1"/>
    <col min="19" max="19" width="11.6640625" style="872" customWidth="1"/>
    <col min="20" max="20" width="2.1640625" style="872" customWidth="1"/>
    <col min="21" max="21" width="10.6640625" style="872" hidden="1" customWidth="1"/>
    <col min="22" max="22" width="1.5" style="872" hidden="1" customWidth="1"/>
    <col min="23" max="23" width="11.6640625" style="872" customWidth="1"/>
    <col min="24" max="24" width="9.1640625" style="872" hidden="1" customWidth="1"/>
    <col min="25" max="256" width="9.1640625" style="872"/>
    <col min="257" max="258" width="2.5" style="872" customWidth="1"/>
    <col min="259" max="259" width="44.5" style="872" customWidth="1"/>
    <col min="260" max="260" width="1.5" style="872" customWidth="1"/>
    <col min="261" max="261" width="21.6640625" style="872" customWidth="1"/>
    <col min="262" max="262" width="1.5" style="872" customWidth="1"/>
    <col min="263" max="268" width="0" style="872" hidden="1" customWidth="1"/>
    <col min="269" max="269" width="21.83203125" style="872" customWidth="1"/>
    <col min="270" max="270" width="1.5" style="872" customWidth="1"/>
    <col min="271" max="271" width="21.6640625" style="872" customWidth="1"/>
    <col min="272" max="272" width="1.5" style="872" customWidth="1"/>
    <col min="273" max="273" width="11.83203125" style="872" customWidth="1"/>
    <col min="274" max="274" width="3.5" style="872" customWidth="1"/>
    <col min="275" max="275" width="11.6640625" style="872" customWidth="1"/>
    <col min="276" max="276" width="2.1640625" style="872" customWidth="1"/>
    <col min="277" max="278" width="0" style="872" hidden="1" customWidth="1"/>
    <col min="279" max="279" width="11.6640625" style="872" customWidth="1"/>
    <col min="280" max="280" width="0" style="872" hidden="1" customWidth="1"/>
    <col min="281" max="512" width="9.1640625" style="872"/>
    <col min="513" max="514" width="2.5" style="872" customWidth="1"/>
    <col min="515" max="515" width="44.5" style="872" customWidth="1"/>
    <col min="516" max="516" width="1.5" style="872" customWidth="1"/>
    <col min="517" max="517" width="21.6640625" style="872" customWidth="1"/>
    <col min="518" max="518" width="1.5" style="872" customWidth="1"/>
    <col min="519" max="524" width="0" style="872" hidden="1" customWidth="1"/>
    <col min="525" max="525" width="21.83203125" style="872" customWidth="1"/>
    <col min="526" max="526" width="1.5" style="872" customWidth="1"/>
    <col min="527" max="527" width="21.6640625" style="872" customWidth="1"/>
    <col min="528" max="528" width="1.5" style="872" customWidth="1"/>
    <col min="529" max="529" width="11.83203125" style="872" customWidth="1"/>
    <col min="530" max="530" width="3.5" style="872" customWidth="1"/>
    <col min="531" max="531" width="11.6640625" style="872" customWidth="1"/>
    <col min="532" max="532" width="2.1640625" style="872" customWidth="1"/>
    <col min="533" max="534" width="0" style="872" hidden="1" customWidth="1"/>
    <col min="535" max="535" width="11.6640625" style="872" customWidth="1"/>
    <col min="536" max="536" width="0" style="872" hidden="1" customWidth="1"/>
    <col min="537" max="768" width="9.1640625" style="872"/>
    <col min="769" max="770" width="2.5" style="872" customWidth="1"/>
    <col min="771" max="771" width="44.5" style="872" customWidth="1"/>
    <col min="772" max="772" width="1.5" style="872" customWidth="1"/>
    <col min="773" max="773" width="21.6640625" style="872" customWidth="1"/>
    <col min="774" max="774" width="1.5" style="872" customWidth="1"/>
    <col min="775" max="780" width="0" style="872" hidden="1" customWidth="1"/>
    <col min="781" max="781" width="21.83203125" style="872" customWidth="1"/>
    <col min="782" max="782" width="1.5" style="872" customWidth="1"/>
    <col min="783" max="783" width="21.6640625" style="872" customWidth="1"/>
    <col min="784" max="784" width="1.5" style="872" customWidth="1"/>
    <col min="785" max="785" width="11.83203125" style="872" customWidth="1"/>
    <col min="786" max="786" width="3.5" style="872" customWidth="1"/>
    <col min="787" max="787" width="11.6640625" style="872" customWidth="1"/>
    <col min="788" max="788" width="2.1640625" style="872" customWidth="1"/>
    <col min="789" max="790" width="0" style="872" hidden="1" customWidth="1"/>
    <col min="791" max="791" width="11.6640625" style="872" customWidth="1"/>
    <col min="792" max="792" width="0" style="872" hidden="1" customWidth="1"/>
    <col min="793" max="1024" width="9.1640625" style="872"/>
    <col min="1025" max="1026" width="2.5" style="872" customWidth="1"/>
    <col min="1027" max="1027" width="44.5" style="872" customWidth="1"/>
    <col min="1028" max="1028" width="1.5" style="872" customWidth="1"/>
    <col min="1029" max="1029" width="21.6640625" style="872" customWidth="1"/>
    <col min="1030" max="1030" width="1.5" style="872" customWidth="1"/>
    <col min="1031" max="1036" width="0" style="872" hidden="1" customWidth="1"/>
    <col min="1037" max="1037" width="21.83203125" style="872" customWidth="1"/>
    <col min="1038" max="1038" width="1.5" style="872" customWidth="1"/>
    <col min="1039" max="1039" width="21.6640625" style="872" customWidth="1"/>
    <col min="1040" max="1040" width="1.5" style="872" customWidth="1"/>
    <col min="1041" max="1041" width="11.83203125" style="872" customWidth="1"/>
    <col min="1042" max="1042" width="3.5" style="872" customWidth="1"/>
    <col min="1043" max="1043" width="11.6640625" style="872" customWidth="1"/>
    <col min="1044" max="1044" width="2.1640625" style="872" customWidth="1"/>
    <col min="1045" max="1046" width="0" style="872" hidden="1" customWidth="1"/>
    <col min="1047" max="1047" width="11.6640625" style="872" customWidth="1"/>
    <col min="1048" max="1048" width="0" style="872" hidden="1" customWidth="1"/>
    <col min="1049" max="1280" width="9.1640625" style="872"/>
    <col min="1281" max="1282" width="2.5" style="872" customWidth="1"/>
    <col min="1283" max="1283" width="44.5" style="872" customWidth="1"/>
    <col min="1284" max="1284" width="1.5" style="872" customWidth="1"/>
    <col min="1285" max="1285" width="21.6640625" style="872" customWidth="1"/>
    <col min="1286" max="1286" width="1.5" style="872" customWidth="1"/>
    <col min="1287" max="1292" width="0" style="872" hidden="1" customWidth="1"/>
    <col min="1293" max="1293" width="21.83203125" style="872" customWidth="1"/>
    <col min="1294" max="1294" width="1.5" style="872" customWidth="1"/>
    <col min="1295" max="1295" width="21.6640625" style="872" customWidth="1"/>
    <col min="1296" max="1296" width="1.5" style="872" customWidth="1"/>
    <col min="1297" max="1297" width="11.83203125" style="872" customWidth="1"/>
    <col min="1298" max="1298" width="3.5" style="872" customWidth="1"/>
    <col min="1299" max="1299" width="11.6640625" style="872" customWidth="1"/>
    <col min="1300" max="1300" width="2.1640625" style="872" customWidth="1"/>
    <col min="1301" max="1302" width="0" style="872" hidden="1" customWidth="1"/>
    <col min="1303" max="1303" width="11.6640625" style="872" customWidth="1"/>
    <col min="1304" max="1304" width="0" style="872" hidden="1" customWidth="1"/>
    <col min="1305" max="1536" width="9.1640625" style="872"/>
    <col min="1537" max="1538" width="2.5" style="872" customWidth="1"/>
    <col min="1539" max="1539" width="44.5" style="872" customWidth="1"/>
    <col min="1540" max="1540" width="1.5" style="872" customWidth="1"/>
    <col min="1541" max="1541" width="21.6640625" style="872" customWidth="1"/>
    <col min="1542" max="1542" width="1.5" style="872" customWidth="1"/>
    <col min="1543" max="1548" width="0" style="872" hidden="1" customWidth="1"/>
    <col min="1549" max="1549" width="21.83203125" style="872" customWidth="1"/>
    <col min="1550" max="1550" width="1.5" style="872" customWidth="1"/>
    <col min="1551" max="1551" width="21.6640625" style="872" customWidth="1"/>
    <col min="1552" max="1552" width="1.5" style="872" customWidth="1"/>
    <col min="1553" max="1553" width="11.83203125" style="872" customWidth="1"/>
    <col min="1554" max="1554" width="3.5" style="872" customWidth="1"/>
    <col min="1555" max="1555" width="11.6640625" style="872" customWidth="1"/>
    <col min="1556" max="1556" width="2.1640625" style="872" customWidth="1"/>
    <col min="1557" max="1558" width="0" style="872" hidden="1" customWidth="1"/>
    <col min="1559" max="1559" width="11.6640625" style="872" customWidth="1"/>
    <col min="1560" max="1560" width="0" style="872" hidden="1" customWidth="1"/>
    <col min="1561" max="1792" width="9.1640625" style="872"/>
    <col min="1793" max="1794" width="2.5" style="872" customWidth="1"/>
    <col min="1795" max="1795" width="44.5" style="872" customWidth="1"/>
    <col min="1796" max="1796" width="1.5" style="872" customWidth="1"/>
    <col min="1797" max="1797" width="21.6640625" style="872" customWidth="1"/>
    <col min="1798" max="1798" width="1.5" style="872" customWidth="1"/>
    <col min="1799" max="1804" width="0" style="872" hidden="1" customWidth="1"/>
    <col min="1805" max="1805" width="21.83203125" style="872" customWidth="1"/>
    <col min="1806" max="1806" width="1.5" style="872" customWidth="1"/>
    <col min="1807" max="1807" width="21.6640625" style="872" customWidth="1"/>
    <col min="1808" max="1808" width="1.5" style="872" customWidth="1"/>
    <col min="1809" max="1809" width="11.83203125" style="872" customWidth="1"/>
    <col min="1810" max="1810" width="3.5" style="872" customWidth="1"/>
    <col min="1811" max="1811" width="11.6640625" style="872" customWidth="1"/>
    <col min="1812" max="1812" width="2.1640625" style="872" customWidth="1"/>
    <col min="1813" max="1814" width="0" style="872" hidden="1" customWidth="1"/>
    <col min="1815" max="1815" width="11.6640625" style="872" customWidth="1"/>
    <col min="1816" max="1816" width="0" style="872" hidden="1" customWidth="1"/>
    <col min="1817" max="2048" width="9.1640625" style="872"/>
    <col min="2049" max="2050" width="2.5" style="872" customWidth="1"/>
    <col min="2051" max="2051" width="44.5" style="872" customWidth="1"/>
    <col min="2052" max="2052" width="1.5" style="872" customWidth="1"/>
    <col min="2053" max="2053" width="21.6640625" style="872" customWidth="1"/>
    <col min="2054" max="2054" width="1.5" style="872" customWidth="1"/>
    <col min="2055" max="2060" width="0" style="872" hidden="1" customWidth="1"/>
    <col min="2061" max="2061" width="21.83203125" style="872" customWidth="1"/>
    <col min="2062" max="2062" width="1.5" style="872" customWidth="1"/>
    <col min="2063" max="2063" width="21.6640625" style="872" customWidth="1"/>
    <col min="2064" max="2064" width="1.5" style="872" customWidth="1"/>
    <col min="2065" max="2065" width="11.83203125" style="872" customWidth="1"/>
    <col min="2066" max="2066" width="3.5" style="872" customWidth="1"/>
    <col min="2067" max="2067" width="11.6640625" style="872" customWidth="1"/>
    <col min="2068" max="2068" width="2.1640625" style="872" customWidth="1"/>
    <col min="2069" max="2070" width="0" style="872" hidden="1" customWidth="1"/>
    <col min="2071" max="2071" width="11.6640625" style="872" customWidth="1"/>
    <col min="2072" max="2072" width="0" style="872" hidden="1" customWidth="1"/>
    <col min="2073" max="2304" width="9.1640625" style="872"/>
    <col min="2305" max="2306" width="2.5" style="872" customWidth="1"/>
    <col min="2307" max="2307" width="44.5" style="872" customWidth="1"/>
    <col min="2308" max="2308" width="1.5" style="872" customWidth="1"/>
    <col min="2309" max="2309" width="21.6640625" style="872" customWidth="1"/>
    <col min="2310" max="2310" width="1.5" style="872" customWidth="1"/>
    <col min="2311" max="2316" width="0" style="872" hidden="1" customWidth="1"/>
    <col min="2317" max="2317" width="21.83203125" style="872" customWidth="1"/>
    <col min="2318" max="2318" width="1.5" style="872" customWidth="1"/>
    <col min="2319" max="2319" width="21.6640625" style="872" customWidth="1"/>
    <col min="2320" max="2320" width="1.5" style="872" customWidth="1"/>
    <col min="2321" max="2321" width="11.83203125" style="872" customWidth="1"/>
    <col min="2322" max="2322" width="3.5" style="872" customWidth="1"/>
    <col min="2323" max="2323" width="11.6640625" style="872" customWidth="1"/>
    <col min="2324" max="2324" width="2.1640625" style="872" customWidth="1"/>
    <col min="2325" max="2326" width="0" style="872" hidden="1" customWidth="1"/>
    <col min="2327" max="2327" width="11.6640625" style="872" customWidth="1"/>
    <col min="2328" max="2328" width="0" style="872" hidden="1" customWidth="1"/>
    <col min="2329" max="2560" width="9.1640625" style="872"/>
    <col min="2561" max="2562" width="2.5" style="872" customWidth="1"/>
    <col min="2563" max="2563" width="44.5" style="872" customWidth="1"/>
    <col min="2564" max="2564" width="1.5" style="872" customWidth="1"/>
    <col min="2565" max="2565" width="21.6640625" style="872" customWidth="1"/>
    <col min="2566" max="2566" width="1.5" style="872" customWidth="1"/>
    <col min="2567" max="2572" width="0" style="872" hidden="1" customWidth="1"/>
    <col min="2573" max="2573" width="21.83203125" style="872" customWidth="1"/>
    <col min="2574" max="2574" width="1.5" style="872" customWidth="1"/>
    <col min="2575" max="2575" width="21.6640625" style="872" customWidth="1"/>
    <col min="2576" max="2576" width="1.5" style="872" customWidth="1"/>
    <col min="2577" max="2577" width="11.83203125" style="872" customWidth="1"/>
    <col min="2578" max="2578" width="3.5" style="872" customWidth="1"/>
    <col min="2579" max="2579" width="11.6640625" style="872" customWidth="1"/>
    <col min="2580" max="2580" width="2.1640625" style="872" customWidth="1"/>
    <col min="2581" max="2582" width="0" style="872" hidden="1" customWidth="1"/>
    <col min="2583" max="2583" width="11.6640625" style="872" customWidth="1"/>
    <col min="2584" max="2584" width="0" style="872" hidden="1" customWidth="1"/>
    <col min="2585" max="2816" width="9.1640625" style="872"/>
    <col min="2817" max="2818" width="2.5" style="872" customWidth="1"/>
    <col min="2819" max="2819" width="44.5" style="872" customWidth="1"/>
    <col min="2820" max="2820" width="1.5" style="872" customWidth="1"/>
    <col min="2821" max="2821" width="21.6640625" style="872" customWidth="1"/>
    <col min="2822" max="2822" width="1.5" style="872" customWidth="1"/>
    <col min="2823" max="2828" width="0" style="872" hidden="1" customWidth="1"/>
    <col min="2829" max="2829" width="21.83203125" style="872" customWidth="1"/>
    <col min="2830" max="2830" width="1.5" style="872" customWidth="1"/>
    <col min="2831" max="2831" width="21.6640625" style="872" customWidth="1"/>
    <col min="2832" max="2832" width="1.5" style="872" customWidth="1"/>
    <col min="2833" max="2833" width="11.83203125" style="872" customWidth="1"/>
    <col min="2834" max="2834" width="3.5" style="872" customWidth="1"/>
    <col min="2835" max="2835" width="11.6640625" style="872" customWidth="1"/>
    <col min="2836" max="2836" width="2.1640625" style="872" customWidth="1"/>
    <col min="2837" max="2838" width="0" style="872" hidden="1" customWidth="1"/>
    <col min="2839" max="2839" width="11.6640625" style="872" customWidth="1"/>
    <col min="2840" max="2840" width="0" style="872" hidden="1" customWidth="1"/>
    <col min="2841" max="3072" width="9.1640625" style="872"/>
    <col min="3073" max="3074" width="2.5" style="872" customWidth="1"/>
    <col min="3075" max="3075" width="44.5" style="872" customWidth="1"/>
    <col min="3076" max="3076" width="1.5" style="872" customWidth="1"/>
    <col min="3077" max="3077" width="21.6640625" style="872" customWidth="1"/>
    <col min="3078" max="3078" width="1.5" style="872" customWidth="1"/>
    <col min="3079" max="3084" width="0" style="872" hidden="1" customWidth="1"/>
    <col min="3085" max="3085" width="21.83203125" style="872" customWidth="1"/>
    <col min="3086" max="3086" width="1.5" style="872" customWidth="1"/>
    <col min="3087" max="3087" width="21.6640625" style="872" customWidth="1"/>
    <col min="3088" max="3088" width="1.5" style="872" customWidth="1"/>
    <col min="3089" max="3089" width="11.83203125" style="872" customWidth="1"/>
    <col min="3090" max="3090" width="3.5" style="872" customWidth="1"/>
    <col min="3091" max="3091" width="11.6640625" style="872" customWidth="1"/>
    <col min="3092" max="3092" width="2.1640625" style="872" customWidth="1"/>
    <col min="3093" max="3094" width="0" style="872" hidden="1" customWidth="1"/>
    <col min="3095" max="3095" width="11.6640625" style="872" customWidth="1"/>
    <col min="3096" max="3096" width="0" style="872" hidden="1" customWidth="1"/>
    <col min="3097" max="3328" width="9.1640625" style="872"/>
    <col min="3329" max="3330" width="2.5" style="872" customWidth="1"/>
    <col min="3331" max="3331" width="44.5" style="872" customWidth="1"/>
    <col min="3332" max="3332" width="1.5" style="872" customWidth="1"/>
    <col min="3333" max="3333" width="21.6640625" style="872" customWidth="1"/>
    <col min="3334" max="3334" width="1.5" style="872" customWidth="1"/>
    <col min="3335" max="3340" width="0" style="872" hidden="1" customWidth="1"/>
    <col min="3341" max="3341" width="21.83203125" style="872" customWidth="1"/>
    <col min="3342" max="3342" width="1.5" style="872" customWidth="1"/>
    <col min="3343" max="3343" width="21.6640625" style="872" customWidth="1"/>
    <col min="3344" max="3344" width="1.5" style="872" customWidth="1"/>
    <col min="3345" max="3345" width="11.83203125" style="872" customWidth="1"/>
    <col min="3346" max="3346" width="3.5" style="872" customWidth="1"/>
    <col min="3347" max="3347" width="11.6640625" style="872" customWidth="1"/>
    <col min="3348" max="3348" width="2.1640625" style="872" customWidth="1"/>
    <col min="3349" max="3350" width="0" style="872" hidden="1" customWidth="1"/>
    <col min="3351" max="3351" width="11.6640625" style="872" customWidth="1"/>
    <col min="3352" max="3352" width="0" style="872" hidden="1" customWidth="1"/>
    <col min="3353" max="3584" width="9.1640625" style="872"/>
    <col min="3585" max="3586" width="2.5" style="872" customWidth="1"/>
    <col min="3587" max="3587" width="44.5" style="872" customWidth="1"/>
    <col min="3588" max="3588" width="1.5" style="872" customWidth="1"/>
    <col min="3589" max="3589" width="21.6640625" style="872" customWidth="1"/>
    <col min="3590" max="3590" width="1.5" style="872" customWidth="1"/>
    <col min="3591" max="3596" width="0" style="872" hidden="1" customWidth="1"/>
    <col min="3597" max="3597" width="21.83203125" style="872" customWidth="1"/>
    <col min="3598" max="3598" width="1.5" style="872" customWidth="1"/>
    <col min="3599" max="3599" width="21.6640625" style="872" customWidth="1"/>
    <col min="3600" max="3600" width="1.5" style="872" customWidth="1"/>
    <col min="3601" max="3601" width="11.83203125" style="872" customWidth="1"/>
    <col min="3602" max="3602" width="3.5" style="872" customWidth="1"/>
    <col min="3603" max="3603" width="11.6640625" style="872" customWidth="1"/>
    <col min="3604" max="3604" width="2.1640625" style="872" customWidth="1"/>
    <col min="3605" max="3606" width="0" style="872" hidden="1" customWidth="1"/>
    <col min="3607" max="3607" width="11.6640625" style="872" customWidth="1"/>
    <col min="3608" max="3608" width="0" style="872" hidden="1" customWidth="1"/>
    <col min="3609" max="3840" width="9.1640625" style="872"/>
    <col min="3841" max="3842" width="2.5" style="872" customWidth="1"/>
    <col min="3843" max="3843" width="44.5" style="872" customWidth="1"/>
    <col min="3844" max="3844" width="1.5" style="872" customWidth="1"/>
    <col min="3845" max="3845" width="21.6640625" style="872" customWidth="1"/>
    <col min="3846" max="3846" width="1.5" style="872" customWidth="1"/>
    <col min="3847" max="3852" width="0" style="872" hidden="1" customWidth="1"/>
    <col min="3853" max="3853" width="21.83203125" style="872" customWidth="1"/>
    <col min="3854" max="3854" width="1.5" style="872" customWidth="1"/>
    <col min="3855" max="3855" width="21.6640625" style="872" customWidth="1"/>
    <col min="3856" max="3856" width="1.5" style="872" customWidth="1"/>
    <col min="3857" max="3857" width="11.83203125" style="872" customWidth="1"/>
    <col min="3858" max="3858" width="3.5" style="872" customWidth="1"/>
    <col min="3859" max="3859" width="11.6640625" style="872" customWidth="1"/>
    <col min="3860" max="3860" width="2.1640625" style="872" customWidth="1"/>
    <col min="3861" max="3862" width="0" style="872" hidden="1" customWidth="1"/>
    <col min="3863" max="3863" width="11.6640625" style="872" customWidth="1"/>
    <col min="3864" max="3864" width="0" style="872" hidden="1" customWidth="1"/>
    <col min="3865" max="4096" width="9.1640625" style="872"/>
    <col min="4097" max="4098" width="2.5" style="872" customWidth="1"/>
    <col min="4099" max="4099" width="44.5" style="872" customWidth="1"/>
    <col min="4100" max="4100" width="1.5" style="872" customWidth="1"/>
    <col min="4101" max="4101" width="21.6640625" style="872" customWidth="1"/>
    <col min="4102" max="4102" width="1.5" style="872" customWidth="1"/>
    <col min="4103" max="4108" width="0" style="872" hidden="1" customWidth="1"/>
    <col min="4109" max="4109" width="21.83203125" style="872" customWidth="1"/>
    <col min="4110" max="4110" width="1.5" style="872" customWidth="1"/>
    <col min="4111" max="4111" width="21.6640625" style="872" customWidth="1"/>
    <col min="4112" max="4112" width="1.5" style="872" customWidth="1"/>
    <col min="4113" max="4113" width="11.83203125" style="872" customWidth="1"/>
    <col min="4114" max="4114" width="3.5" style="872" customWidth="1"/>
    <col min="4115" max="4115" width="11.6640625" style="872" customWidth="1"/>
    <col min="4116" max="4116" width="2.1640625" style="872" customWidth="1"/>
    <col min="4117" max="4118" width="0" style="872" hidden="1" customWidth="1"/>
    <col min="4119" max="4119" width="11.6640625" style="872" customWidth="1"/>
    <col min="4120" max="4120" width="0" style="872" hidden="1" customWidth="1"/>
    <col min="4121" max="4352" width="9.1640625" style="872"/>
    <col min="4353" max="4354" width="2.5" style="872" customWidth="1"/>
    <col min="4355" max="4355" width="44.5" style="872" customWidth="1"/>
    <col min="4356" max="4356" width="1.5" style="872" customWidth="1"/>
    <col min="4357" max="4357" width="21.6640625" style="872" customWidth="1"/>
    <col min="4358" max="4358" width="1.5" style="872" customWidth="1"/>
    <col min="4359" max="4364" width="0" style="872" hidden="1" customWidth="1"/>
    <col min="4365" max="4365" width="21.83203125" style="872" customWidth="1"/>
    <col min="4366" max="4366" width="1.5" style="872" customWidth="1"/>
    <col min="4367" max="4367" width="21.6640625" style="872" customWidth="1"/>
    <col min="4368" max="4368" width="1.5" style="872" customWidth="1"/>
    <col min="4369" max="4369" width="11.83203125" style="872" customWidth="1"/>
    <col min="4370" max="4370" width="3.5" style="872" customWidth="1"/>
    <col min="4371" max="4371" width="11.6640625" style="872" customWidth="1"/>
    <col min="4372" max="4372" width="2.1640625" style="872" customWidth="1"/>
    <col min="4373" max="4374" width="0" style="872" hidden="1" customWidth="1"/>
    <col min="4375" max="4375" width="11.6640625" style="872" customWidth="1"/>
    <col min="4376" max="4376" width="0" style="872" hidden="1" customWidth="1"/>
    <col min="4377" max="4608" width="9.1640625" style="872"/>
    <col min="4609" max="4610" width="2.5" style="872" customWidth="1"/>
    <col min="4611" max="4611" width="44.5" style="872" customWidth="1"/>
    <col min="4612" max="4612" width="1.5" style="872" customWidth="1"/>
    <col min="4613" max="4613" width="21.6640625" style="872" customWidth="1"/>
    <col min="4614" max="4614" width="1.5" style="872" customWidth="1"/>
    <col min="4615" max="4620" width="0" style="872" hidden="1" customWidth="1"/>
    <col min="4621" max="4621" width="21.83203125" style="872" customWidth="1"/>
    <col min="4622" max="4622" width="1.5" style="872" customWidth="1"/>
    <col min="4623" max="4623" width="21.6640625" style="872" customWidth="1"/>
    <col min="4624" max="4624" width="1.5" style="872" customWidth="1"/>
    <col min="4625" max="4625" width="11.83203125" style="872" customWidth="1"/>
    <col min="4626" max="4626" width="3.5" style="872" customWidth="1"/>
    <col min="4627" max="4627" width="11.6640625" style="872" customWidth="1"/>
    <col min="4628" max="4628" width="2.1640625" style="872" customWidth="1"/>
    <col min="4629" max="4630" width="0" style="872" hidden="1" customWidth="1"/>
    <col min="4631" max="4631" width="11.6640625" style="872" customWidth="1"/>
    <col min="4632" max="4632" width="0" style="872" hidden="1" customWidth="1"/>
    <col min="4633" max="4864" width="9.1640625" style="872"/>
    <col min="4865" max="4866" width="2.5" style="872" customWidth="1"/>
    <col min="4867" max="4867" width="44.5" style="872" customWidth="1"/>
    <col min="4868" max="4868" width="1.5" style="872" customWidth="1"/>
    <col min="4869" max="4869" width="21.6640625" style="872" customWidth="1"/>
    <col min="4870" max="4870" width="1.5" style="872" customWidth="1"/>
    <col min="4871" max="4876" width="0" style="872" hidden="1" customWidth="1"/>
    <col min="4877" max="4877" width="21.83203125" style="872" customWidth="1"/>
    <col min="4878" max="4878" width="1.5" style="872" customWidth="1"/>
    <col min="4879" max="4879" width="21.6640625" style="872" customWidth="1"/>
    <col min="4880" max="4880" width="1.5" style="872" customWidth="1"/>
    <col min="4881" max="4881" width="11.83203125" style="872" customWidth="1"/>
    <col min="4882" max="4882" width="3.5" style="872" customWidth="1"/>
    <col min="4883" max="4883" width="11.6640625" style="872" customWidth="1"/>
    <col min="4884" max="4884" width="2.1640625" style="872" customWidth="1"/>
    <col min="4885" max="4886" width="0" style="872" hidden="1" customWidth="1"/>
    <col min="4887" max="4887" width="11.6640625" style="872" customWidth="1"/>
    <col min="4888" max="4888" width="0" style="872" hidden="1" customWidth="1"/>
    <col min="4889" max="5120" width="9.1640625" style="872"/>
    <col min="5121" max="5122" width="2.5" style="872" customWidth="1"/>
    <col min="5123" max="5123" width="44.5" style="872" customWidth="1"/>
    <col min="5124" max="5124" width="1.5" style="872" customWidth="1"/>
    <col min="5125" max="5125" width="21.6640625" style="872" customWidth="1"/>
    <col min="5126" max="5126" width="1.5" style="872" customWidth="1"/>
    <col min="5127" max="5132" width="0" style="872" hidden="1" customWidth="1"/>
    <col min="5133" max="5133" width="21.83203125" style="872" customWidth="1"/>
    <col min="5134" max="5134" width="1.5" style="872" customWidth="1"/>
    <col min="5135" max="5135" width="21.6640625" style="872" customWidth="1"/>
    <col min="5136" max="5136" width="1.5" style="872" customWidth="1"/>
    <col min="5137" max="5137" width="11.83203125" style="872" customWidth="1"/>
    <col min="5138" max="5138" width="3.5" style="872" customWidth="1"/>
    <col min="5139" max="5139" width="11.6640625" style="872" customWidth="1"/>
    <col min="5140" max="5140" width="2.1640625" style="872" customWidth="1"/>
    <col min="5141" max="5142" width="0" style="872" hidden="1" customWidth="1"/>
    <col min="5143" max="5143" width="11.6640625" style="872" customWidth="1"/>
    <col min="5144" max="5144" width="0" style="872" hidden="1" customWidth="1"/>
    <col min="5145" max="5376" width="9.1640625" style="872"/>
    <col min="5377" max="5378" width="2.5" style="872" customWidth="1"/>
    <col min="5379" max="5379" width="44.5" style="872" customWidth="1"/>
    <col min="5380" max="5380" width="1.5" style="872" customWidth="1"/>
    <col min="5381" max="5381" width="21.6640625" style="872" customWidth="1"/>
    <col min="5382" max="5382" width="1.5" style="872" customWidth="1"/>
    <col min="5383" max="5388" width="0" style="872" hidden="1" customWidth="1"/>
    <col min="5389" max="5389" width="21.83203125" style="872" customWidth="1"/>
    <col min="5390" max="5390" width="1.5" style="872" customWidth="1"/>
    <col min="5391" max="5391" width="21.6640625" style="872" customWidth="1"/>
    <col min="5392" max="5392" width="1.5" style="872" customWidth="1"/>
    <col min="5393" max="5393" width="11.83203125" style="872" customWidth="1"/>
    <col min="5394" max="5394" width="3.5" style="872" customWidth="1"/>
    <col min="5395" max="5395" width="11.6640625" style="872" customWidth="1"/>
    <col min="5396" max="5396" width="2.1640625" style="872" customWidth="1"/>
    <col min="5397" max="5398" width="0" style="872" hidden="1" customWidth="1"/>
    <col min="5399" max="5399" width="11.6640625" style="872" customWidth="1"/>
    <col min="5400" max="5400" width="0" style="872" hidden="1" customWidth="1"/>
    <col min="5401" max="5632" width="9.1640625" style="872"/>
    <col min="5633" max="5634" width="2.5" style="872" customWidth="1"/>
    <col min="5635" max="5635" width="44.5" style="872" customWidth="1"/>
    <col min="5636" max="5636" width="1.5" style="872" customWidth="1"/>
    <col min="5637" max="5637" width="21.6640625" style="872" customWidth="1"/>
    <col min="5638" max="5638" width="1.5" style="872" customWidth="1"/>
    <col min="5639" max="5644" width="0" style="872" hidden="1" customWidth="1"/>
    <col min="5645" max="5645" width="21.83203125" style="872" customWidth="1"/>
    <col min="5646" max="5646" width="1.5" style="872" customWidth="1"/>
    <col min="5647" max="5647" width="21.6640625" style="872" customWidth="1"/>
    <col min="5648" max="5648" width="1.5" style="872" customWidth="1"/>
    <col min="5649" max="5649" width="11.83203125" style="872" customWidth="1"/>
    <col min="5650" max="5650" width="3.5" style="872" customWidth="1"/>
    <col min="5651" max="5651" width="11.6640625" style="872" customWidth="1"/>
    <col min="5652" max="5652" width="2.1640625" style="872" customWidth="1"/>
    <col min="5653" max="5654" width="0" style="872" hidden="1" customWidth="1"/>
    <col min="5655" max="5655" width="11.6640625" style="872" customWidth="1"/>
    <col min="5656" max="5656" width="0" style="872" hidden="1" customWidth="1"/>
    <col min="5657" max="5888" width="9.1640625" style="872"/>
    <col min="5889" max="5890" width="2.5" style="872" customWidth="1"/>
    <col min="5891" max="5891" width="44.5" style="872" customWidth="1"/>
    <col min="5892" max="5892" width="1.5" style="872" customWidth="1"/>
    <col min="5893" max="5893" width="21.6640625" style="872" customWidth="1"/>
    <col min="5894" max="5894" width="1.5" style="872" customWidth="1"/>
    <col min="5895" max="5900" width="0" style="872" hidden="1" customWidth="1"/>
    <col min="5901" max="5901" width="21.83203125" style="872" customWidth="1"/>
    <col min="5902" max="5902" width="1.5" style="872" customWidth="1"/>
    <col min="5903" max="5903" width="21.6640625" style="872" customWidth="1"/>
    <col min="5904" max="5904" width="1.5" style="872" customWidth="1"/>
    <col min="5905" max="5905" width="11.83203125" style="872" customWidth="1"/>
    <col min="5906" max="5906" width="3.5" style="872" customWidth="1"/>
    <col min="5907" max="5907" width="11.6640625" style="872" customWidth="1"/>
    <col min="5908" max="5908" width="2.1640625" style="872" customWidth="1"/>
    <col min="5909" max="5910" width="0" style="872" hidden="1" customWidth="1"/>
    <col min="5911" max="5911" width="11.6640625" style="872" customWidth="1"/>
    <col min="5912" max="5912" width="0" style="872" hidden="1" customWidth="1"/>
    <col min="5913" max="6144" width="9.1640625" style="872"/>
    <col min="6145" max="6146" width="2.5" style="872" customWidth="1"/>
    <col min="6147" max="6147" width="44.5" style="872" customWidth="1"/>
    <col min="6148" max="6148" width="1.5" style="872" customWidth="1"/>
    <col min="6149" max="6149" width="21.6640625" style="872" customWidth="1"/>
    <col min="6150" max="6150" width="1.5" style="872" customWidth="1"/>
    <col min="6151" max="6156" width="0" style="872" hidden="1" customWidth="1"/>
    <col min="6157" max="6157" width="21.83203125" style="872" customWidth="1"/>
    <col min="6158" max="6158" width="1.5" style="872" customWidth="1"/>
    <col min="6159" max="6159" width="21.6640625" style="872" customWidth="1"/>
    <col min="6160" max="6160" width="1.5" style="872" customWidth="1"/>
    <col min="6161" max="6161" width="11.83203125" style="872" customWidth="1"/>
    <col min="6162" max="6162" width="3.5" style="872" customWidth="1"/>
    <col min="6163" max="6163" width="11.6640625" style="872" customWidth="1"/>
    <col min="6164" max="6164" width="2.1640625" style="872" customWidth="1"/>
    <col min="6165" max="6166" width="0" style="872" hidden="1" customWidth="1"/>
    <col min="6167" max="6167" width="11.6640625" style="872" customWidth="1"/>
    <col min="6168" max="6168" width="0" style="872" hidden="1" customWidth="1"/>
    <col min="6169" max="6400" width="9.1640625" style="872"/>
    <col min="6401" max="6402" width="2.5" style="872" customWidth="1"/>
    <col min="6403" max="6403" width="44.5" style="872" customWidth="1"/>
    <col min="6404" max="6404" width="1.5" style="872" customWidth="1"/>
    <col min="6405" max="6405" width="21.6640625" style="872" customWidth="1"/>
    <col min="6406" max="6406" width="1.5" style="872" customWidth="1"/>
    <col min="6407" max="6412" width="0" style="872" hidden="1" customWidth="1"/>
    <col min="6413" max="6413" width="21.83203125" style="872" customWidth="1"/>
    <col min="6414" max="6414" width="1.5" style="872" customWidth="1"/>
    <col min="6415" max="6415" width="21.6640625" style="872" customWidth="1"/>
    <col min="6416" max="6416" width="1.5" style="872" customWidth="1"/>
    <col min="6417" max="6417" width="11.83203125" style="872" customWidth="1"/>
    <col min="6418" max="6418" width="3.5" style="872" customWidth="1"/>
    <col min="6419" max="6419" width="11.6640625" style="872" customWidth="1"/>
    <col min="6420" max="6420" width="2.1640625" style="872" customWidth="1"/>
    <col min="6421" max="6422" width="0" style="872" hidden="1" customWidth="1"/>
    <col min="6423" max="6423" width="11.6640625" style="872" customWidth="1"/>
    <col min="6424" max="6424" width="0" style="872" hidden="1" customWidth="1"/>
    <col min="6425" max="6656" width="9.1640625" style="872"/>
    <col min="6657" max="6658" width="2.5" style="872" customWidth="1"/>
    <col min="6659" max="6659" width="44.5" style="872" customWidth="1"/>
    <col min="6660" max="6660" width="1.5" style="872" customWidth="1"/>
    <col min="6661" max="6661" width="21.6640625" style="872" customWidth="1"/>
    <col min="6662" max="6662" width="1.5" style="872" customWidth="1"/>
    <col min="6663" max="6668" width="0" style="872" hidden="1" customWidth="1"/>
    <col min="6669" max="6669" width="21.83203125" style="872" customWidth="1"/>
    <col min="6670" max="6670" width="1.5" style="872" customWidth="1"/>
    <col min="6671" max="6671" width="21.6640625" style="872" customWidth="1"/>
    <col min="6672" max="6672" width="1.5" style="872" customWidth="1"/>
    <col min="6673" max="6673" width="11.83203125" style="872" customWidth="1"/>
    <col min="6674" max="6674" width="3.5" style="872" customWidth="1"/>
    <col min="6675" max="6675" width="11.6640625" style="872" customWidth="1"/>
    <col min="6676" max="6676" width="2.1640625" style="872" customWidth="1"/>
    <col min="6677" max="6678" width="0" style="872" hidden="1" customWidth="1"/>
    <col min="6679" max="6679" width="11.6640625" style="872" customWidth="1"/>
    <col min="6680" max="6680" width="0" style="872" hidden="1" customWidth="1"/>
    <col min="6681" max="6912" width="9.1640625" style="872"/>
    <col min="6913" max="6914" width="2.5" style="872" customWidth="1"/>
    <col min="6915" max="6915" width="44.5" style="872" customWidth="1"/>
    <col min="6916" max="6916" width="1.5" style="872" customWidth="1"/>
    <col min="6917" max="6917" width="21.6640625" style="872" customWidth="1"/>
    <col min="6918" max="6918" width="1.5" style="872" customWidth="1"/>
    <col min="6919" max="6924" width="0" style="872" hidden="1" customWidth="1"/>
    <col min="6925" max="6925" width="21.83203125" style="872" customWidth="1"/>
    <col min="6926" max="6926" width="1.5" style="872" customWidth="1"/>
    <col min="6927" max="6927" width="21.6640625" style="872" customWidth="1"/>
    <col min="6928" max="6928" width="1.5" style="872" customWidth="1"/>
    <col min="6929" max="6929" width="11.83203125" style="872" customWidth="1"/>
    <col min="6930" max="6930" width="3.5" style="872" customWidth="1"/>
    <col min="6931" max="6931" width="11.6640625" style="872" customWidth="1"/>
    <col min="6932" max="6932" width="2.1640625" style="872" customWidth="1"/>
    <col min="6933" max="6934" width="0" style="872" hidden="1" customWidth="1"/>
    <col min="6935" max="6935" width="11.6640625" style="872" customWidth="1"/>
    <col min="6936" max="6936" width="0" style="872" hidden="1" customWidth="1"/>
    <col min="6937" max="7168" width="9.1640625" style="872"/>
    <col min="7169" max="7170" width="2.5" style="872" customWidth="1"/>
    <col min="7171" max="7171" width="44.5" style="872" customWidth="1"/>
    <col min="7172" max="7172" width="1.5" style="872" customWidth="1"/>
    <col min="7173" max="7173" width="21.6640625" style="872" customWidth="1"/>
    <col min="7174" max="7174" width="1.5" style="872" customWidth="1"/>
    <col min="7175" max="7180" width="0" style="872" hidden="1" customWidth="1"/>
    <col min="7181" max="7181" width="21.83203125" style="872" customWidth="1"/>
    <col min="7182" max="7182" width="1.5" style="872" customWidth="1"/>
    <col min="7183" max="7183" width="21.6640625" style="872" customWidth="1"/>
    <col min="7184" max="7184" width="1.5" style="872" customWidth="1"/>
    <col min="7185" max="7185" width="11.83203125" style="872" customWidth="1"/>
    <col min="7186" max="7186" width="3.5" style="872" customWidth="1"/>
    <col min="7187" max="7187" width="11.6640625" style="872" customWidth="1"/>
    <col min="7188" max="7188" width="2.1640625" style="872" customWidth="1"/>
    <col min="7189" max="7190" width="0" style="872" hidden="1" customWidth="1"/>
    <col min="7191" max="7191" width="11.6640625" style="872" customWidth="1"/>
    <col min="7192" max="7192" width="0" style="872" hidden="1" customWidth="1"/>
    <col min="7193" max="7424" width="9.1640625" style="872"/>
    <col min="7425" max="7426" width="2.5" style="872" customWidth="1"/>
    <col min="7427" max="7427" width="44.5" style="872" customWidth="1"/>
    <col min="7428" max="7428" width="1.5" style="872" customWidth="1"/>
    <col min="7429" max="7429" width="21.6640625" style="872" customWidth="1"/>
    <col min="7430" max="7430" width="1.5" style="872" customWidth="1"/>
    <col min="7431" max="7436" width="0" style="872" hidden="1" customWidth="1"/>
    <col min="7437" max="7437" width="21.83203125" style="872" customWidth="1"/>
    <col min="7438" max="7438" width="1.5" style="872" customWidth="1"/>
    <col min="7439" max="7439" width="21.6640625" style="872" customWidth="1"/>
    <col min="7440" max="7440" width="1.5" style="872" customWidth="1"/>
    <col min="7441" max="7441" width="11.83203125" style="872" customWidth="1"/>
    <col min="7442" max="7442" width="3.5" style="872" customWidth="1"/>
    <col min="7443" max="7443" width="11.6640625" style="872" customWidth="1"/>
    <col min="7444" max="7444" width="2.1640625" style="872" customWidth="1"/>
    <col min="7445" max="7446" width="0" style="872" hidden="1" customWidth="1"/>
    <col min="7447" max="7447" width="11.6640625" style="872" customWidth="1"/>
    <col min="7448" max="7448" width="0" style="872" hidden="1" customWidth="1"/>
    <col min="7449" max="7680" width="9.1640625" style="872"/>
    <col min="7681" max="7682" width="2.5" style="872" customWidth="1"/>
    <col min="7683" max="7683" width="44.5" style="872" customWidth="1"/>
    <col min="7684" max="7684" width="1.5" style="872" customWidth="1"/>
    <col min="7685" max="7685" width="21.6640625" style="872" customWidth="1"/>
    <col min="7686" max="7686" width="1.5" style="872" customWidth="1"/>
    <col min="7687" max="7692" width="0" style="872" hidden="1" customWidth="1"/>
    <col min="7693" max="7693" width="21.83203125" style="872" customWidth="1"/>
    <col min="7694" max="7694" width="1.5" style="872" customWidth="1"/>
    <col min="7695" max="7695" width="21.6640625" style="872" customWidth="1"/>
    <col min="7696" max="7696" width="1.5" style="872" customWidth="1"/>
    <col min="7697" max="7697" width="11.83203125" style="872" customWidth="1"/>
    <col min="7698" max="7698" width="3.5" style="872" customWidth="1"/>
    <col min="7699" max="7699" width="11.6640625" style="872" customWidth="1"/>
    <col min="7700" max="7700" width="2.1640625" style="872" customWidth="1"/>
    <col min="7701" max="7702" width="0" style="872" hidden="1" customWidth="1"/>
    <col min="7703" max="7703" width="11.6640625" style="872" customWidth="1"/>
    <col min="7704" max="7704" width="0" style="872" hidden="1" customWidth="1"/>
    <col min="7705" max="7936" width="9.1640625" style="872"/>
    <col min="7937" max="7938" width="2.5" style="872" customWidth="1"/>
    <col min="7939" max="7939" width="44.5" style="872" customWidth="1"/>
    <col min="7940" max="7940" width="1.5" style="872" customWidth="1"/>
    <col min="7941" max="7941" width="21.6640625" style="872" customWidth="1"/>
    <col min="7942" max="7942" width="1.5" style="872" customWidth="1"/>
    <col min="7943" max="7948" width="0" style="872" hidden="1" customWidth="1"/>
    <col min="7949" max="7949" width="21.83203125" style="872" customWidth="1"/>
    <col min="7950" max="7950" width="1.5" style="872" customWidth="1"/>
    <col min="7951" max="7951" width="21.6640625" style="872" customWidth="1"/>
    <col min="7952" max="7952" width="1.5" style="872" customWidth="1"/>
    <col min="7953" max="7953" width="11.83203125" style="872" customWidth="1"/>
    <col min="7954" max="7954" width="3.5" style="872" customWidth="1"/>
    <col min="7955" max="7955" width="11.6640625" style="872" customWidth="1"/>
    <col min="7956" max="7956" width="2.1640625" style="872" customWidth="1"/>
    <col min="7957" max="7958" width="0" style="872" hidden="1" customWidth="1"/>
    <col min="7959" max="7959" width="11.6640625" style="872" customWidth="1"/>
    <col min="7960" max="7960" width="0" style="872" hidden="1" customWidth="1"/>
    <col min="7961" max="8192" width="9.1640625" style="872"/>
    <col min="8193" max="8194" width="2.5" style="872" customWidth="1"/>
    <col min="8195" max="8195" width="44.5" style="872" customWidth="1"/>
    <col min="8196" max="8196" width="1.5" style="872" customWidth="1"/>
    <col min="8197" max="8197" width="21.6640625" style="872" customWidth="1"/>
    <col min="8198" max="8198" width="1.5" style="872" customWidth="1"/>
    <col min="8199" max="8204" width="0" style="872" hidden="1" customWidth="1"/>
    <col min="8205" max="8205" width="21.83203125" style="872" customWidth="1"/>
    <col min="8206" max="8206" width="1.5" style="872" customWidth="1"/>
    <col min="8207" max="8207" width="21.6640625" style="872" customWidth="1"/>
    <col min="8208" max="8208" width="1.5" style="872" customWidth="1"/>
    <col min="8209" max="8209" width="11.83203125" style="872" customWidth="1"/>
    <col min="8210" max="8210" width="3.5" style="872" customWidth="1"/>
    <col min="8211" max="8211" width="11.6640625" style="872" customWidth="1"/>
    <col min="8212" max="8212" width="2.1640625" style="872" customWidth="1"/>
    <col min="8213" max="8214" width="0" style="872" hidden="1" customWidth="1"/>
    <col min="8215" max="8215" width="11.6640625" style="872" customWidth="1"/>
    <col min="8216" max="8216" width="0" style="872" hidden="1" customWidth="1"/>
    <col min="8217" max="8448" width="9.1640625" style="872"/>
    <col min="8449" max="8450" width="2.5" style="872" customWidth="1"/>
    <col min="8451" max="8451" width="44.5" style="872" customWidth="1"/>
    <col min="8452" max="8452" width="1.5" style="872" customWidth="1"/>
    <col min="8453" max="8453" width="21.6640625" style="872" customWidth="1"/>
    <col min="8454" max="8454" width="1.5" style="872" customWidth="1"/>
    <col min="8455" max="8460" width="0" style="872" hidden="1" customWidth="1"/>
    <col min="8461" max="8461" width="21.83203125" style="872" customWidth="1"/>
    <col min="8462" max="8462" width="1.5" style="872" customWidth="1"/>
    <col min="8463" max="8463" width="21.6640625" style="872" customWidth="1"/>
    <col min="8464" max="8464" width="1.5" style="872" customWidth="1"/>
    <col min="8465" max="8465" width="11.83203125" style="872" customWidth="1"/>
    <col min="8466" max="8466" width="3.5" style="872" customWidth="1"/>
    <col min="8467" max="8467" width="11.6640625" style="872" customWidth="1"/>
    <col min="8468" max="8468" width="2.1640625" style="872" customWidth="1"/>
    <col min="8469" max="8470" width="0" style="872" hidden="1" customWidth="1"/>
    <col min="8471" max="8471" width="11.6640625" style="872" customWidth="1"/>
    <col min="8472" max="8472" width="0" style="872" hidden="1" customWidth="1"/>
    <col min="8473" max="8704" width="9.1640625" style="872"/>
    <col min="8705" max="8706" width="2.5" style="872" customWidth="1"/>
    <col min="8707" max="8707" width="44.5" style="872" customWidth="1"/>
    <col min="8708" max="8708" width="1.5" style="872" customWidth="1"/>
    <col min="8709" max="8709" width="21.6640625" style="872" customWidth="1"/>
    <col min="8710" max="8710" width="1.5" style="872" customWidth="1"/>
    <col min="8711" max="8716" width="0" style="872" hidden="1" customWidth="1"/>
    <col min="8717" max="8717" width="21.83203125" style="872" customWidth="1"/>
    <col min="8718" max="8718" width="1.5" style="872" customWidth="1"/>
    <col min="8719" max="8719" width="21.6640625" style="872" customWidth="1"/>
    <col min="8720" max="8720" width="1.5" style="872" customWidth="1"/>
    <col min="8721" max="8721" width="11.83203125" style="872" customWidth="1"/>
    <col min="8722" max="8722" width="3.5" style="872" customWidth="1"/>
    <col min="8723" max="8723" width="11.6640625" style="872" customWidth="1"/>
    <col min="8724" max="8724" width="2.1640625" style="872" customWidth="1"/>
    <col min="8725" max="8726" width="0" style="872" hidden="1" customWidth="1"/>
    <col min="8727" max="8727" width="11.6640625" style="872" customWidth="1"/>
    <col min="8728" max="8728" width="0" style="872" hidden="1" customWidth="1"/>
    <col min="8729" max="8960" width="9.1640625" style="872"/>
    <col min="8961" max="8962" width="2.5" style="872" customWidth="1"/>
    <col min="8963" max="8963" width="44.5" style="872" customWidth="1"/>
    <col min="8964" max="8964" width="1.5" style="872" customWidth="1"/>
    <col min="8965" max="8965" width="21.6640625" style="872" customWidth="1"/>
    <col min="8966" max="8966" width="1.5" style="872" customWidth="1"/>
    <col min="8967" max="8972" width="0" style="872" hidden="1" customWidth="1"/>
    <col min="8973" max="8973" width="21.83203125" style="872" customWidth="1"/>
    <col min="8974" max="8974" width="1.5" style="872" customWidth="1"/>
    <col min="8975" max="8975" width="21.6640625" style="872" customWidth="1"/>
    <col min="8976" max="8976" width="1.5" style="872" customWidth="1"/>
    <col min="8977" max="8977" width="11.83203125" style="872" customWidth="1"/>
    <col min="8978" max="8978" width="3.5" style="872" customWidth="1"/>
    <col min="8979" max="8979" width="11.6640625" style="872" customWidth="1"/>
    <col min="8980" max="8980" width="2.1640625" style="872" customWidth="1"/>
    <col min="8981" max="8982" width="0" style="872" hidden="1" customWidth="1"/>
    <col min="8983" max="8983" width="11.6640625" style="872" customWidth="1"/>
    <col min="8984" max="8984" width="0" style="872" hidden="1" customWidth="1"/>
    <col min="8985" max="9216" width="9.1640625" style="872"/>
    <col min="9217" max="9218" width="2.5" style="872" customWidth="1"/>
    <col min="9219" max="9219" width="44.5" style="872" customWidth="1"/>
    <col min="9220" max="9220" width="1.5" style="872" customWidth="1"/>
    <col min="9221" max="9221" width="21.6640625" style="872" customWidth="1"/>
    <col min="9222" max="9222" width="1.5" style="872" customWidth="1"/>
    <col min="9223" max="9228" width="0" style="872" hidden="1" customWidth="1"/>
    <col min="9229" max="9229" width="21.83203125" style="872" customWidth="1"/>
    <col min="9230" max="9230" width="1.5" style="872" customWidth="1"/>
    <col min="9231" max="9231" width="21.6640625" style="872" customWidth="1"/>
    <col min="9232" max="9232" width="1.5" style="872" customWidth="1"/>
    <col min="9233" max="9233" width="11.83203125" style="872" customWidth="1"/>
    <col min="9234" max="9234" width="3.5" style="872" customWidth="1"/>
    <col min="9235" max="9235" width="11.6640625" style="872" customWidth="1"/>
    <col min="9236" max="9236" width="2.1640625" style="872" customWidth="1"/>
    <col min="9237" max="9238" width="0" style="872" hidden="1" customWidth="1"/>
    <col min="9239" max="9239" width="11.6640625" style="872" customWidth="1"/>
    <col min="9240" max="9240" width="0" style="872" hidden="1" customWidth="1"/>
    <col min="9241" max="9472" width="9.1640625" style="872"/>
    <col min="9473" max="9474" width="2.5" style="872" customWidth="1"/>
    <col min="9475" max="9475" width="44.5" style="872" customWidth="1"/>
    <col min="9476" max="9476" width="1.5" style="872" customWidth="1"/>
    <col min="9477" max="9477" width="21.6640625" style="872" customWidth="1"/>
    <col min="9478" max="9478" width="1.5" style="872" customWidth="1"/>
    <col min="9479" max="9484" width="0" style="872" hidden="1" customWidth="1"/>
    <col min="9485" max="9485" width="21.83203125" style="872" customWidth="1"/>
    <col min="9486" max="9486" width="1.5" style="872" customWidth="1"/>
    <col min="9487" max="9487" width="21.6640625" style="872" customWidth="1"/>
    <col min="9488" max="9488" width="1.5" style="872" customWidth="1"/>
    <col min="9489" max="9489" width="11.83203125" style="872" customWidth="1"/>
    <col min="9490" max="9490" width="3.5" style="872" customWidth="1"/>
    <col min="9491" max="9491" width="11.6640625" style="872" customWidth="1"/>
    <col min="9492" max="9492" width="2.1640625" style="872" customWidth="1"/>
    <col min="9493" max="9494" width="0" style="872" hidden="1" customWidth="1"/>
    <col min="9495" max="9495" width="11.6640625" style="872" customWidth="1"/>
    <col min="9496" max="9496" width="0" style="872" hidden="1" customWidth="1"/>
    <col min="9497" max="9728" width="9.1640625" style="872"/>
    <col min="9729" max="9730" width="2.5" style="872" customWidth="1"/>
    <col min="9731" max="9731" width="44.5" style="872" customWidth="1"/>
    <col min="9732" max="9732" width="1.5" style="872" customWidth="1"/>
    <col min="9733" max="9733" width="21.6640625" style="872" customWidth="1"/>
    <col min="9734" max="9734" width="1.5" style="872" customWidth="1"/>
    <col min="9735" max="9740" width="0" style="872" hidden="1" customWidth="1"/>
    <col min="9741" max="9741" width="21.83203125" style="872" customWidth="1"/>
    <col min="9742" max="9742" width="1.5" style="872" customWidth="1"/>
    <col min="9743" max="9743" width="21.6640625" style="872" customWidth="1"/>
    <col min="9744" max="9744" width="1.5" style="872" customWidth="1"/>
    <col min="9745" max="9745" width="11.83203125" style="872" customWidth="1"/>
    <col min="9746" max="9746" width="3.5" style="872" customWidth="1"/>
    <col min="9747" max="9747" width="11.6640625" style="872" customWidth="1"/>
    <col min="9748" max="9748" width="2.1640625" style="872" customWidth="1"/>
    <col min="9749" max="9750" width="0" style="872" hidden="1" customWidth="1"/>
    <col min="9751" max="9751" width="11.6640625" style="872" customWidth="1"/>
    <col min="9752" max="9752" width="0" style="872" hidden="1" customWidth="1"/>
    <col min="9753" max="9984" width="9.1640625" style="872"/>
    <col min="9985" max="9986" width="2.5" style="872" customWidth="1"/>
    <col min="9987" max="9987" width="44.5" style="872" customWidth="1"/>
    <col min="9988" max="9988" width="1.5" style="872" customWidth="1"/>
    <col min="9989" max="9989" width="21.6640625" style="872" customWidth="1"/>
    <col min="9990" max="9990" width="1.5" style="872" customWidth="1"/>
    <col min="9991" max="9996" width="0" style="872" hidden="1" customWidth="1"/>
    <col min="9997" max="9997" width="21.83203125" style="872" customWidth="1"/>
    <col min="9998" max="9998" width="1.5" style="872" customWidth="1"/>
    <col min="9999" max="9999" width="21.6640625" style="872" customWidth="1"/>
    <col min="10000" max="10000" width="1.5" style="872" customWidth="1"/>
    <col min="10001" max="10001" width="11.83203125" style="872" customWidth="1"/>
    <col min="10002" max="10002" width="3.5" style="872" customWidth="1"/>
    <col min="10003" max="10003" width="11.6640625" style="872" customWidth="1"/>
    <col min="10004" max="10004" width="2.1640625" style="872" customWidth="1"/>
    <col min="10005" max="10006" width="0" style="872" hidden="1" customWidth="1"/>
    <col min="10007" max="10007" width="11.6640625" style="872" customWidth="1"/>
    <col min="10008" max="10008" width="0" style="872" hidden="1" customWidth="1"/>
    <col min="10009" max="10240" width="9.1640625" style="872"/>
    <col min="10241" max="10242" width="2.5" style="872" customWidth="1"/>
    <col min="10243" max="10243" width="44.5" style="872" customWidth="1"/>
    <col min="10244" max="10244" width="1.5" style="872" customWidth="1"/>
    <col min="10245" max="10245" width="21.6640625" style="872" customWidth="1"/>
    <col min="10246" max="10246" width="1.5" style="872" customWidth="1"/>
    <col min="10247" max="10252" width="0" style="872" hidden="1" customWidth="1"/>
    <col min="10253" max="10253" width="21.83203125" style="872" customWidth="1"/>
    <col min="10254" max="10254" width="1.5" style="872" customWidth="1"/>
    <col min="10255" max="10255" width="21.6640625" style="872" customWidth="1"/>
    <col min="10256" max="10256" width="1.5" style="872" customWidth="1"/>
    <col min="10257" max="10257" width="11.83203125" style="872" customWidth="1"/>
    <col min="10258" max="10258" width="3.5" style="872" customWidth="1"/>
    <col min="10259" max="10259" width="11.6640625" style="872" customWidth="1"/>
    <col min="10260" max="10260" width="2.1640625" style="872" customWidth="1"/>
    <col min="10261" max="10262" width="0" style="872" hidden="1" customWidth="1"/>
    <col min="10263" max="10263" width="11.6640625" style="872" customWidth="1"/>
    <col min="10264" max="10264" width="0" style="872" hidden="1" customWidth="1"/>
    <col min="10265" max="10496" width="9.1640625" style="872"/>
    <col min="10497" max="10498" width="2.5" style="872" customWidth="1"/>
    <col min="10499" max="10499" width="44.5" style="872" customWidth="1"/>
    <col min="10500" max="10500" width="1.5" style="872" customWidth="1"/>
    <col min="10501" max="10501" width="21.6640625" style="872" customWidth="1"/>
    <col min="10502" max="10502" width="1.5" style="872" customWidth="1"/>
    <col min="10503" max="10508" width="0" style="872" hidden="1" customWidth="1"/>
    <col min="10509" max="10509" width="21.83203125" style="872" customWidth="1"/>
    <col min="10510" max="10510" width="1.5" style="872" customWidth="1"/>
    <col min="10511" max="10511" width="21.6640625" style="872" customWidth="1"/>
    <col min="10512" max="10512" width="1.5" style="872" customWidth="1"/>
    <col min="10513" max="10513" width="11.83203125" style="872" customWidth="1"/>
    <col min="10514" max="10514" width="3.5" style="872" customWidth="1"/>
    <col min="10515" max="10515" width="11.6640625" style="872" customWidth="1"/>
    <col min="10516" max="10516" width="2.1640625" style="872" customWidth="1"/>
    <col min="10517" max="10518" width="0" style="872" hidden="1" customWidth="1"/>
    <col min="10519" max="10519" width="11.6640625" style="872" customWidth="1"/>
    <col min="10520" max="10520" width="0" style="872" hidden="1" customWidth="1"/>
    <col min="10521" max="10752" width="9.1640625" style="872"/>
    <col min="10753" max="10754" width="2.5" style="872" customWidth="1"/>
    <col min="10755" max="10755" width="44.5" style="872" customWidth="1"/>
    <col min="10756" max="10756" width="1.5" style="872" customWidth="1"/>
    <col min="10757" max="10757" width="21.6640625" style="872" customWidth="1"/>
    <col min="10758" max="10758" width="1.5" style="872" customWidth="1"/>
    <col min="10759" max="10764" width="0" style="872" hidden="1" customWidth="1"/>
    <col min="10765" max="10765" width="21.83203125" style="872" customWidth="1"/>
    <col min="10766" max="10766" width="1.5" style="872" customWidth="1"/>
    <col min="10767" max="10767" width="21.6640625" style="872" customWidth="1"/>
    <col min="10768" max="10768" width="1.5" style="872" customWidth="1"/>
    <col min="10769" max="10769" width="11.83203125" style="872" customWidth="1"/>
    <col min="10770" max="10770" width="3.5" style="872" customWidth="1"/>
    <col min="10771" max="10771" width="11.6640625" style="872" customWidth="1"/>
    <col min="10772" max="10772" width="2.1640625" style="872" customWidth="1"/>
    <col min="10773" max="10774" width="0" style="872" hidden="1" customWidth="1"/>
    <col min="10775" max="10775" width="11.6640625" style="872" customWidth="1"/>
    <col min="10776" max="10776" width="0" style="872" hidden="1" customWidth="1"/>
    <col min="10777" max="11008" width="9.1640625" style="872"/>
    <col min="11009" max="11010" width="2.5" style="872" customWidth="1"/>
    <col min="11011" max="11011" width="44.5" style="872" customWidth="1"/>
    <col min="11012" max="11012" width="1.5" style="872" customWidth="1"/>
    <col min="11013" max="11013" width="21.6640625" style="872" customWidth="1"/>
    <col min="11014" max="11014" width="1.5" style="872" customWidth="1"/>
    <col min="11015" max="11020" width="0" style="872" hidden="1" customWidth="1"/>
    <col min="11021" max="11021" width="21.83203125" style="872" customWidth="1"/>
    <col min="11022" max="11022" width="1.5" style="872" customWidth="1"/>
    <col min="11023" max="11023" width="21.6640625" style="872" customWidth="1"/>
    <col min="11024" max="11024" width="1.5" style="872" customWidth="1"/>
    <col min="11025" max="11025" width="11.83203125" style="872" customWidth="1"/>
    <col min="11026" max="11026" width="3.5" style="872" customWidth="1"/>
    <col min="11027" max="11027" width="11.6640625" style="872" customWidth="1"/>
    <col min="11028" max="11028" width="2.1640625" style="872" customWidth="1"/>
    <col min="11029" max="11030" width="0" style="872" hidden="1" customWidth="1"/>
    <col min="11031" max="11031" width="11.6640625" style="872" customWidth="1"/>
    <col min="11032" max="11032" width="0" style="872" hidden="1" customWidth="1"/>
    <col min="11033" max="11264" width="9.1640625" style="872"/>
    <col min="11265" max="11266" width="2.5" style="872" customWidth="1"/>
    <col min="11267" max="11267" width="44.5" style="872" customWidth="1"/>
    <col min="11268" max="11268" width="1.5" style="872" customWidth="1"/>
    <col min="11269" max="11269" width="21.6640625" style="872" customWidth="1"/>
    <col min="11270" max="11270" width="1.5" style="872" customWidth="1"/>
    <col min="11271" max="11276" width="0" style="872" hidden="1" customWidth="1"/>
    <col min="11277" max="11277" width="21.83203125" style="872" customWidth="1"/>
    <col min="11278" max="11278" width="1.5" style="872" customWidth="1"/>
    <col min="11279" max="11279" width="21.6640625" style="872" customWidth="1"/>
    <col min="11280" max="11280" width="1.5" style="872" customWidth="1"/>
    <col min="11281" max="11281" width="11.83203125" style="872" customWidth="1"/>
    <col min="11282" max="11282" width="3.5" style="872" customWidth="1"/>
    <col min="11283" max="11283" width="11.6640625" style="872" customWidth="1"/>
    <col min="11284" max="11284" width="2.1640625" style="872" customWidth="1"/>
    <col min="11285" max="11286" width="0" style="872" hidden="1" customWidth="1"/>
    <col min="11287" max="11287" width="11.6640625" style="872" customWidth="1"/>
    <col min="11288" max="11288" width="0" style="872" hidden="1" customWidth="1"/>
    <col min="11289" max="11520" width="9.1640625" style="872"/>
    <col min="11521" max="11522" width="2.5" style="872" customWidth="1"/>
    <col min="11523" max="11523" width="44.5" style="872" customWidth="1"/>
    <col min="11524" max="11524" width="1.5" style="872" customWidth="1"/>
    <col min="11525" max="11525" width="21.6640625" style="872" customWidth="1"/>
    <col min="11526" max="11526" width="1.5" style="872" customWidth="1"/>
    <col min="11527" max="11532" width="0" style="872" hidden="1" customWidth="1"/>
    <col min="11533" max="11533" width="21.83203125" style="872" customWidth="1"/>
    <col min="11534" max="11534" width="1.5" style="872" customWidth="1"/>
    <col min="11535" max="11535" width="21.6640625" style="872" customWidth="1"/>
    <col min="11536" max="11536" width="1.5" style="872" customWidth="1"/>
    <col min="11537" max="11537" width="11.83203125" style="872" customWidth="1"/>
    <col min="11538" max="11538" width="3.5" style="872" customWidth="1"/>
    <col min="11539" max="11539" width="11.6640625" style="872" customWidth="1"/>
    <col min="11540" max="11540" width="2.1640625" style="872" customWidth="1"/>
    <col min="11541" max="11542" width="0" style="872" hidden="1" customWidth="1"/>
    <col min="11543" max="11543" width="11.6640625" style="872" customWidth="1"/>
    <col min="11544" max="11544" width="0" style="872" hidden="1" customWidth="1"/>
    <col min="11545" max="11776" width="9.1640625" style="872"/>
    <col min="11777" max="11778" width="2.5" style="872" customWidth="1"/>
    <col min="11779" max="11779" width="44.5" style="872" customWidth="1"/>
    <col min="11780" max="11780" width="1.5" style="872" customWidth="1"/>
    <col min="11781" max="11781" width="21.6640625" style="872" customWidth="1"/>
    <col min="11782" max="11782" width="1.5" style="872" customWidth="1"/>
    <col min="11783" max="11788" width="0" style="872" hidden="1" customWidth="1"/>
    <col min="11789" max="11789" width="21.83203125" style="872" customWidth="1"/>
    <col min="11790" max="11790" width="1.5" style="872" customWidth="1"/>
    <col min="11791" max="11791" width="21.6640625" style="872" customWidth="1"/>
    <col min="11792" max="11792" width="1.5" style="872" customWidth="1"/>
    <col min="11793" max="11793" width="11.83203125" style="872" customWidth="1"/>
    <col min="11794" max="11794" width="3.5" style="872" customWidth="1"/>
    <col min="11795" max="11795" width="11.6640625" style="872" customWidth="1"/>
    <col min="11796" max="11796" width="2.1640625" style="872" customWidth="1"/>
    <col min="11797" max="11798" width="0" style="872" hidden="1" customWidth="1"/>
    <col min="11799" max="11799" width="11.6640625" style="872" customWidth="1"/>
    <col min="11800" max="11800" width="0" style="872" hidden="1" customWidth="1"/>
    <col min="11801" max="12032" width="9.1640625" style="872"/>
    <col min="12033" max="12034" width="2.5" style="872" customWidth="1"/>
    <col min="12035" max="12035" width="44.5" style="872" customWidth="1"/>
    <col min="12036" max="12036" width="1.5" style="872" customWidth="1"/>
    <col min="12037" max="12037" width="21.6640625" style="872" customWidth="1"/>
    <col min="12038" max="12038" width="1.5" style="872" customWidth="1"/>
    <col min="12039" max="12044" width="0" style="872" hidden="1" customWidth="1"/>
    <col min="12045" max="12045" width="21.83203125" style="872" customWidth="1"/>
    <col min="12046" max="12046" width="1.5" style="872" customWidth="1"/>
    <col min="12047" max="12047" width="21.6640625" style="872" customWidth="1"/>
    <col min="12048" max="12048" width="1.5" style="872" customWidth="1"/>
    <col min="12049" max="12049" width="11.83203125" style="872" customWidth="1"/>
    <col min="12050" max="12050" width="3.5" style="872" customWidth="1"/>
    <col min="12051" max="12051" width="11.6640625" style="872" customWidth="1"/>
    <col min="12052" max="12052" width="2.1640625" style="872" customWidth="1"/>
    <col min="12053" max="12054" width="0" style="872" hidden="1" customWidth="1"/>
    <col min="12055" max="12055" width="11.6640625" style="872" customWidth="1"/>
    <col min="12056" max="12056" width="0" style="872" hidden="1" customWidth="1"/>
    <col min="12057" max="12288" width="9.1640625" style="872"/>
    <col min="12289" max="12290" width="2.5" style="872" customWidth="1"/>
    <col min="12291" max="12291" width="44.5" style="872" customWidth="1"/>
    <col min="12292" max="12292" width="1.5" style="872" customWidth="1"/>
    <col min="12293" max="12293" width="21.6640625" style="872" customWidth="1"/>
    <col min="12294" max="12294" width="1.5" style="872" customWidth="1"/>
    <col min="12295" max="12300" width="0" style="872" hidden="1" customWidth="1"/>
    <col min="12301" max="12301" width="21.83203125" style="872" customWidth="1"/>
    <col min="12302" max="12302" width="1.5" style="872" customWidth="1"/>
    <col min="12303" max="12303" width="21.6640625" style="872" customWidth="1"/>
    <col min="12304" max="12304" width="1.5" style="872" customWidth="1"/>
    <col min="12305" max="12305" width="11.83203125" style="872" customWidth="1"/>
    <col min="12306" max="12306" width="3.5" style="872" customWidth="1"/>
    <col min="12307" max="12307" width="11.6640625" style="872" customWidth="1"/>
    <col min="12308" max="12308" width="2.1640625" style="872" customWidth="1"/>
    <col min="12309" max="12310" width="0" style="872" hidden="1" customWidth="1"/>
    <col min="12311" max="12311" width="11.6640625" style="872" customWidth="1"/>
    <col min="12312" max="12312" width="0" style="872" hidden="1" customWidth="1"/>
    <col min="12313" max="12544" width="9.1640625" style="872"/>
    <col min="12545" max="12546" width="2.5" style="872" customWidth="1"/>
    <col min="12547" max="12547" width="44.5" style="872" customWidth="1"/>
    <col min="12548" max="12548" width="1.5" style="872" customWidth="1"/>
    <col min="12549" max="12549" width="21.6640625" style="872" customWidth="1"/>
    <col min="12550" max="12550" width="1.5" style="872" customWidth="1"/>
    <col min="12551" max="12556" width="0" style="872" hidden="1" customWidth="1"/>
    <col min="12557" max="12557" width="21.83203125" style="872" customWidth="1"/>
    <col min="12558" max="12558" width="1.5" style="872" customWidth="1"/>
    <col min="12559" max="12559" width="21.6640625" style="872" customWidth="1"/>
    <col min="12560" max="12560" width="1.5" style="872" customWidth="1"/>
    <col min="12561" max="12561" width="11.83203125" style="872" customWidth="1"/>
    <col min="12562" max="12562" width="3.5" style="872" customWidth="1"/>
    <col min="12563" max="12563" width="11.6640625" style="872" customWidth="1"/>
    <col min="12564" max="12564" width="2.1640625" style="872" customWidth="1"/>
    <col min="12565" max="12566" width="0" style="872" hidden="1" customWidth="1"/>
    <col min="12567" max="12567" width="11.6640625" style="872" customWidth="1"/>
    <col min="12568" max="12568" width="0" style="872" hidden="1" customWidth="1"/>
    <col min="12569" max="12800" width="9.1640625" style="872"/>
    <col min="12801" max="12802" width="2.5" style="872" customWidth="1"/>
    <col min="12803" max="12803" width="44.5" style="872" customWidth="1"/>
    <col min="12804" max="12804" width="1.5" style="872" customWidth="1"/>
    <col min="12805" max="12805" width="21.6640625" style="872" customWidth="1"/>
    <col min="12806" max="12806" width="1.5" style="872" customWidth="1"/>
    <col min="12807" max="12812" width="0" style="872" hidden="1" customWidth="1"/>
    <col min="12813" max="12813" width="21.83203125" style="872" customWidth="1"/>
    <col min="12814" max="12814" width="1.5" style="872" customWidth="1"/>
    <col min="12815" max="12815" width="21.6640625" style="872" customWidth="1"/>
    <col min="12816" max="12816" width="1.5" style="872" customWidth="1"/>
    <col min="12817" max="12817" width="11.83203125" style="872" customWidth="1"/>
    <col min="12818" max="12818" width="3.5" style="872" customWidth="1"/>
    <col min="12819" max="12819" width="11.6640625" style="872" customWidth="1"/>
    <col min="12820" max="12820" width="2.1640625" style="872" customWidth="1"/>
    <col min="12821" max="12822" width="0" style="872" hidden="1" customWidth="1"/>
    <col min="12823" max="12823" width="11.6640625" style="872" customWidth="1"/>
    <col min="12824" max="12824" width="0" style="872" hidden="1" customWidth="1"/>
    <col min="12825" max="13056" width="9.1640625" style="872"/>
    <col min="13057" max="13058" width="2.5" style="872" customWidth="1"/>
    <col min="13059" max="13059" width="44.5" style="872" customWidth="1"/>
    <col min="13060" max="13060" width="1.5" style="872" customWidth="1"/>
    <col min="13061" max="13061" width="21.6640625" style="872" customWidth="1"/>
    <col min="13062" max="13062" width="1.5" style="872" customWidth="1"/>
    <col min="13063" max="13068" width="0" style="872" hidden="1" customWidth="1"/>
    <col min="13069" max="13069" width="21.83203125" style="872" customWidth="1"/>
    <col min="13070" max="13070" width="1.5" style="872" customWidth="1"/>
    <col min="13071" max="13071" width="21.6640625" style="872" customWidth="1"/>
    <col min="13072" max="13072" width="1.5" style="872" customWidth="1"/>
    <col min="13073" max="13073" width="11.83203125" style="872" customWidth="1"/>
    <col min="13074" max="13074" width="3.5" style="872" customWidth="1"/>
    <col min="13075" max="13075" width="11.6640625" style="872" customWidth="1"/>
    <col min="13076" max="13076" width="2.1640625" style="872" customWidth="1"/>
    <col min="13077" max="13078" width="0" style="872" hidden="1" customWidth="1"/>
    <col min="13079" max="13079" width="11.6640625" style="872" customWidth="1"/>
    <col min="13080" max="13080" width="0" style="872" hidden="1" customWidth="1"/>
    <col min="13081" max="13312" width="9.1640625" style="872"/>
    <col min="13313" max="13314" width="2.5" style="872" customWidth="1"/>
    <col min="13315" max="13315" width="44.5" style="872" customWidth="1"/>
    <col min="13316" max="13316" width="1.5" style="872" customWidth="1"/>
    <col min="13317" max="13317" width="21.6640625" style="872" customWidth="1"/>
    <col min="13318" max="13318" width="1.5" style="872" customWidth="1"/>
    <col min="13319" max="13324" width="0" style="872" hidden="1" customWidth="1"/>
    <col min="13325" max="13325" width="21.83203125" style="872" customWidth="1"/>
    <col min="13326" max="13326" width="1.5" style="872" customWidth="1"/>
    <col min="13327" max="13327" width="21.6640625" style="872" customWidth="1"/>
    <col min="13328" max="13328" width="1.5" style="872" customWidth="1"/>
    <col min="13329" max="13329" width="11.83203125" style="872" customWidth="1"/>
    <col min="13330" max="13330" width="3.5" style="872" customWidth="1"/>
    <col min="13331" max="13331" width="11.6640625" style="872" customWidth="1"/>
    <col min="13332" max="13332" width="2.1640625" style="872" customWidth="1"/>
    <col min="13333" max="13334" width="0" style="872" hidden="1" customWidth="1"/>
    <col min="13335" max="13335" width="11.6640625" style="872" customWidth="1"/>
    <col min="13336" max="13336" width="0" style="872" hidden="1" customWidth="1"/>
    <col min="13337" max="13568" width="9.1640625" style="872"/>
    <col min="13569" max="13570" width="2.5" style="872" customWidth="1"/>
    <col min="13571" max="13571" width="44.5" style="872" customWidth="1"/>
    <col min="13572" max="13572" width="1.5" style="872" customWidth="1"/>
    <col min="13573" max="13573" width="21.6640625" style="872" customWidth="1"/>
    <col min="13574" max="13574" width="1.5" style="872" customWidth="1"/>
    <col min="13575" max="13580" width="0" style="872" hidden="1" customWidth="1"/>
    <col min="13581" max="13581" width="21.83203125" style="872" customWidth="1"/>
    <col min="13582" max="13582" width="1.5" style="872" customWidth="1"/>
    <col min="13583" max="13583" width="21.6640625" style="872" customWidth="1"/>
    <col min="13584" max="13584" width="1.5" style="872" customWidth="1"/>
    <col min="13585" max="13585" width="11.83203125" style="872" customWidth="1"/>
    <col min="13586" max="13586" width="3.5" style="872" customWidth="1"/>
    <col min="13587" max="13587" width="11.6640625" style="872" customWidth="1"/>
    <col min="13588" max="13588" width="2.1640625" style="872" customWidth="1"/>
    <col min="13589" max="13590" width="0" style="872" hidden="1" customWidth="1"/>
    <col min="13591" max="13591" width="11.6640625" style="872" customWidth="1"/>
    <col min="13592" max="13592" width="0" style="872" hidden="1" customWidth="1"/>
    <col min="13593" max="13824" width="9.1640625" style="872"/>
    <col min="13825" max="13826" width="2.5" style="872" customWidth="1"/>
    <col min="13827" max="13827" width="44.5" style="872" customWidth="1"/>
    <col min="13828" max="13828" width="1.5" style="872" customWidth="1"/>
    <col min="13829" max="13829" width="21.6640625" style="872" customWidth="1"/>
    <col min="13830" max="13830" width="1.5" style="872" customWidth="1"/>
    <col min="13831" max="13836" width="0" style="872" hidden="1" customWidth="1"/>
    <col min="13837" max="13837" width="21.83203125" style="872" customWidth="1"/>
    <col min="13838" max="13838" width="1.5" style="872" customWidth="1"/>
    <col min="13839" max="13839" width="21.6640625" style="872" customWidth="1"/>
    <col min="13840" max="13840" width="1.5" style="872" customWidth="1"/>
    <col min="13841" max="13841" width="11.83203125" style="872" customWidth="1"/>
    <col min="13842" max="13842" width="3.5" style="872" customWidth="1"/>
    <col min="13843" max="13843" width="11.6640625" style="872" customWidth="1"/>
    <col min="13844" max="13844" width="2.1640625" style="872" customWidth="1"/>
    <col min="13845" max="13846" width="0" style="872" hidden="1" customWidth="1"/>
    <col min="13847" max="13847" width="11.6640625" style="872" customWidth="1"/>
    <col min="13848" max="13848" width="0" style="872" hidden="1" customWidth="1"/>
    <col min="13849" max="14080" width="9.1640625" style="872"/>
    <col min="14081" max="14082" width="2.5" style="872" customWidth="1"/>
    <col min="14083" max="14083" width="44.5" style="872" customWidth="1"/>
    <col min="14084" max="14084" width="1.5" style="872" customWidth="1"/>
    <col min="14085" max="14085" width="21.6640625" style="872" customWidth="1"/>
    <col min="14086" max="14086" width="1.5" style="872" customWidth="1"/>
    <col min="14087" max="14092" width="0" style="872" hidden="1" customWidth="1"/>
    <col min="14093" max="14093" width="21.83203125" style="872" customWidth="1"/>
    <col min="14094" max="14094" width="1.5" style="872" customWidth="1"/>
    <col min="14095" max="14095" width="21.6640625" style="872" customWidth="1"/>
    <col min="14096" max="14096" width="1.5" style="872" customWidth="1"/>
    <col min="14097" max="14097" width="11.83203125" style="872" customWidth="1"/>
    <col min="14098" max="14098" width="3.5" style="872" customWidth="1"/>
    <col min="14099" max="14099" width="11.6640625" style="872" customWidth="1"/>
    <col min="14100" max="14100" width="2.1640625" style="872" customWidth="1"/>
    <col min="14101" max="14102" width="0" style="872" hidden="1" customWidth="1"/>
    <col min="14103" max="14103" width="11.6640625" style="872" customWidth="1"/>
    <col min="14104" max="14104" width="0" style="872" hidden="1" customWidth="1"/>
    <col min="14105" max="14336" width="9.1640625" style="872"/>
    <col min="14337" max="14338" width="2.5" style="872" customWidth="1"/>
    <col min="14339" max="14339" width="44.5" style="872" customWidth="1"/>
    <col min="14340" max="14340" width="1.5" style="872" customWidth="1"/>
    <col min="14341" max="14341" width="21.6640625" style="872" customWidth="1"/>
    <col min="14342" max="14342" width="1.5" style="872" customWidth="1"/>
    <col min="14343" max="14348" width="0" style="872" hidden="1" customWidth="1"/>
    <col min="14349" max="14349" width="21.83203125" style="872" customWidth="1"/>
    <col min="14350" max="14350" width="1.5" style="872" customWidth="1"/>
    <col min="14351" max="14351" width="21.6640625" style="872" customWidth="1"/>
    <col min="14352" max="14352" width="1.5" style="872" customWidth="1"/>
    <col min="14353" max="14353" width="11.83203125" style="872" customWidth="1"/>
    <col min="14354" max="14354" width="3.5" style="872" customWidth="1"/>
    <col min="14355" max="14355" width="11.6640625" style="872" customWidth="1"/>
    <col min="14356" max="14356" width="2.1640625" style="872" customWidth="1"/>
    <col min="14357" max="14358" width="0" style="872" hidden="1" customWidth="1"/>
    <col min="14359" max="14359" width="11.6640625" style="872" customWidth="1"/>
    <col min="14360" max="14360" width="0" style="872" hidden="1" customWidth="1"/>
    <col min="14361" max="14592" width="9.1640625" style="872"/>
    <col min="14593" max="14594" width="2.5" style="872" customWidth="1"/>
    <col min="14595" max="14595" width="44.5" style="872" customWidth="1"/>
    <col min="14596" max="14596" width="1.5" style="872" customWidth="1"/>
    <col min="14597" max="14597" width="21.6640625" style="872" customWidth="1"/>
    <col min="14598" max="14598" width="1.5" style="872" customWidth="1"/>
    <col min="14599" max="14604" width="0" style="872" hidden="1" customWidth="1"/>
    <col min="14605" max="14605" width="21.83203125" style="872" customWidth="1"/>
    <col min="14606" max="14606" width="1.5" style="872" customWidth="1"/>
    <col min="14607" max="14607" width="21.6640625" style="872" customWidth="1"/>
    <col min="14608" max="14608" width="1.5" style="872" customWidth="1"/>
    <col min="14609" max="14609" width="11.83203125" style="872" customWidth="1"/>
    <col min="14610" max="14610" width="3.5" style="872" customWidth="1"/>
    <col min="14611" max="14611" width="11.6640625" style="872" customWidth="1"/>
    <col min="14612" max="14612" width="2.1640625" style="872" customWidth="1"/>
    <col min="14613" max="14614" width="0" style="872" hidden="1" customWidth="1"/>
    <col min="14615" max="14615" width="11.6640625" style="872" customWidth="1"/>
    <col min="14616" max="14616" width="0" style="872" hidden="1" customWidth="1"/>
    <col min="14617" max="14848" width="9.1640625" style="872"/>
    <col min="14849" max="14850" width="2.5" style="872" customWidth="1"/>
    <col min="14851" max="14851" width="44.5" style="872" customWidth="1"/>
    <col min="14852" max="14852" width="1.5" style="872" customWidth="1"/>
    <col min="14853" max="14853" width="21.6640625" style="872" customWidth="1"/>
    <col min="14854" max="14854" width="1.5" style="872" customWidth="1"/>
    <col min="14855" max="14860" width="0" style="872" hidden="1" customWidth="1"/>
    <col min="14861" max="14861" width="21.83203125" style="872" customWidth="1"/>
    <col min="14862" max="14862" width="1.5" style="872" customWidth="1"/>
    <col min="14863" max="14863" width="21.6640625" style="872" customWidth="1"/>
    <col min="14864" max="14864" width="1.5" style="872" customWidth="1"/>
    <col min="14865" max="14865" width="11.83203125" style="872" customWidth="1"/>
    <col min="14866" max="14866" width="3.5" style="872" customWidth="1"/>
    <col min="14867" max="14867" width="11.6640625" style="872" customWidth="1"/>
    <col min="14868" max="14868" width="2.1640625" style="872" customWidth="1"/>
    <col min="14869" max="14870" width="0" style="872" hidden="1" customWidth="1"/>
    <col min="14871" max="14871" width="11.6640625" style="872" customWidth="1"/>
    <col min="14872" max="14872" width="0" style="872" hidden="1" customWidth="1"/>
    <col min="14873" max="15104" width="9.1640625" style="872"/>
    <col min="15105" max="15106" width="2.5" style="872" customWidth="1"/>
    <col min="15107" max="15107" width="44.5" style="872" customWidth="1"/>
    <col min="15108" max="15108" width="1.5" style="872" customWidth="1"/>
    <col min="15109" max="15109" width="21.6640625" style="872" customWidth="1"/>
    <col min="15110" max="15110" width="1.5" style="872" customWidth="1"/>
    <col min="15111" max="15116" width="0" style="872" hidden="1" customWidth="1"/>
    <col min="15117" max="15117" width="21.83203125" style="872" customWidth="1"/>
    <col min="15118" max="15118" width="1.5" style="872" customWidth="1"/>
    <col min="15119" max="15119" width="21.6640625" style="872" customWidth="1"/>
    <col min="15120" max="15120" width="1.5" style="872" customWidth="1"/>
    <col min="15121" max="15121" width="11.83203125" style="872" customWidth="1"/>
    <col min="15122" max="15122" width="3.5" style="872" customWidth="1"/>
    <col min="15123" max="15123" width="11.6640625" style="872" customWidth="1"/>
    <col min="15124" max="15124" width="2.1640625" style="872" customWidth="1"/>
    <col min="15125" max="15126" width="0" style="872" hidden="1" customWidth="1"/>
    <col min="15127" max="15127" width="11.6640625" style="872" customWidth="1"/>
    <col min="15128" max="15128" width="0" style="872" hidden="1" customWidth="1"/>
    <col min="15129" max="15360" width="9.1640625" style="872"/>
    <col min="15361" max="15362" width="2.5" style="872" customWidth="1"/>
    <col min="15363" max="15363" width="44.5" style="872" customWidth="1"/>
    <col min="15364" max="15364" width="1.5" style="872" customWidth="1"/>
    <col min="15365" max="15365" width="21.6640625" style="872" customWidth="1"/>
    <col min="15366" max="15366" width="1.5" style="872" customWidth="1"/>
    <col min="15367" max="15372" width="0" style="872" hidden="1" customWidth="1"/>
    <col min="15373" max="15373" width="21.83203125" style="872" customWidth="1"/>
    <col min="15374" max="15374" width="1.5" style="872" customWidth="1"/>
    <col min="15375" max="15375" width="21.6640625" style="872" customWidth="1"/>
    <col min="15376" max="15376" width="1.5" style="872" customWidth="1"/>
    <col min="15377" max="15377" width="11.83203125" style="872" customWidth="1"/>
    <col min="15378" max="15378" width="3.5" style="872" customWidth="1"/>
    <col min="15379" max="15379" width="11.6640625" style="872" customWidth="1"/>
    <col min="15380" max="15380" width="2.1640625" style="872" customWidth="1"/>
    <col min="15381" max="15382" width="0" style="872" hidden="1" customWidth="1"/>
    <col min="15383" max="15383" width="11.6640625" style="872" customWidth="1"/>
    <col min="15384" max="15384" width="0" style="872" hidden="1" customWidth="1"/>
    <col min="15385" max="15616" width="9.1640625" style="872"/>
    <col min="15617" max="15618" width="2.5" style="872" customWidth="1"/>
    <col min="15619" max="15619" width="44.5" style="872" customWidth="1"/>
    <col min="15620" max="15620" width="1.5" style="872" customWidth="1"/>
    <col min="15621" max="15621" width="21.6640625" style="872" customWidth="1"/>
    <col min="15622" max="15622" width="1.5" style="872" customWidth="1"/>
    <col min="15623" max="15628" width="0" style="872" hidden="1" customWidth="1"/>
    <col min="15629" max="15629" width="21.83203125" style="872" customWidth="1"/>
    <col min="15630" max="15630" width="1.5" style="872" customWidth="1"/>
    <col min="15631" max="15631" width="21.6640625" style="872" customWidth="1"/>
    <col min="15632" max="15632" width="1.5" style="872" customWidth="1"/>
    <col min="15633" max="15633" width="11.83203125" style="872" customWidth="1"/>
    <col min="15634" max="15634" width="3.5" style="872" customWidth="1"/>
    <col min="15635" max="15635" width="11.6640625" style="872" customWidth="1"/>
    <col min="15636" max="15636" width="2.1640625" style="872" customWidth="1"/>
    <col min="15637" max="15638" width="0" style="872" hidden="1" customWidth="1"/>
    <col min="15639" max="15639" width="11.6640625" style="872" customWidth="1"/>
    <col min="15640" max="15640" width="0" style="872" hidden="1" customWidth="1"/>
    <col min="15641" max="15872" width="9.1640625" style="872"/>
    <col min="15873" max="15874" width="2.5" style="872" customWidth="1"/>
    <col min="15875" max="15875" width="44.5" style="872" customWidth="1"/>
    <col min="15876" max="15876" width="1.5" style="872" customWidth="1"/>
    <col min="15877" max="15877" width="21.6640625" style="872" customWidth="1"/>
    <col min="15878" max="15878" width="1.5" style="872" customWidth="1"/>
    <col min="15879" max="15884" width="0" style="872" hidden="1" customWidth="1"/>
    <col min="15885" max="15885" width="21.83203125" style="872" customWidth="1"/>
    <col min="15886" max="15886" width="1.5" style="872" customWidth="1"/>
    <col min="15887" max="15887" width="21.6640625" style="872" customWidth="1"/>
    <col min="15888" max="15888" width="1.5" style="872" customWidth="1"/>
    <col min="15889" max="15889" width="11.83203125" style="872" customWidth="1"/>
    <col min="15890" max="15890" width="3.5" style="872" customWidth="1"/>
    <col min="15891" max="15891" width="11.6640625" style="872" customWidth="1"/>
    <col min="15892" max="15892" width="2.1640625" style="872" customWidth="1"/>
    <col min="15893" max="15894" width="0" style="872" hidden="1" customWidth="1"/>
    <col min="15895" max="15895" width="11.6640625" style="872" customWidth="1"/>
    <col min="15896" max="15896" width="0" style="872" hidden="1" customWidth="1"/>
    <col min="15897" max="16128" width="9.1640625" style="872"/>
    <col min="16129" max="16130" width="2.5" style="872" customWidth="1"/>
    <col min="16131" max="16131" width="44.5" style="872" customWidth="1"/>
    <col min="16132" max="16132" width="1.5" style="872" customWidth="1"/>
    <col min="16133" max="16133" width="21.6640625" style="872" customWidth="1"/>
    <col min="16134" max="16134" width="1.5" style="872" customWidth="1"/>
    <col min="16135" max="16140" width="0" style="872" hidden="1" customWidth="1"/>
    <col min="16141" max="16141" width="21.83203125" style="872" customWidth="1"/>
    <col min="16142" max="16142" width="1.5" style="872" customWidth="1"/>
    <col min="16143" max="16143" width="21.6640625" style="872" customWidth="1"/>
    <col min="16144" max="16144" width="1.5" style="872" customWidth="1"/>
    <col min="16145" max="16145" width="11.83203125" style="872" customWidth="1"/>
    <col min="16146" max="16146" width="3.5" style="872" customWidth="1"/>
    <col min="16147" max="16147" width="11.6640625" style="872" customWidth="1"/>
    <col min="16148" max="16148" width="2.1640625" style="872" customWidth="1"/>
    <col min="16149" max="16150" width="0" style="872" hidden="1" customWidth="1"/>
    <col min="16151" max="16151" width="11.6640625" style="872" customWidth="1"/>
    <col min="16152" max="16152" width="0" style="872" hidden="1" customWidth="1"/>
    <col min="16153" max="16384" width="9.1640625" style="872"/>
  </cols>
  <sheetData>
    <row r="1" spans="1:23" ht="15">
      <c r="C1" s="873"/>
      <c r="D1" s="873"/>
      <c r="E1" s="873"/>
      <c r="F1" s="873"/>
      <c r="G1" s="873"/>
      <c r="H1" s="873"/>
      <c r="I1" s="873"/>
      <c r="J1" s="873"/>
      <c r="K1" s="873"/>
      <c r="L1" s="873"/>
      <c r="M1" s="873"/>
      <c r="N1" s="873"/>
      <c r="O1" s="873"/>
      <c r="P1" s="873"/>
      <c r="Q1" s="873"/>
      <c r="R1" s="873"/>
      <c r="S1" s="873"/>
      <c r="T1" s="873"/>
      <c r="U1" s="873"/>
    </row>
    <row r="2" spans="1:23" ht="15.75">
      <c r="A2" s="874" t="s">
        <v>1063</v>
      </c>
      <c r="B2" s="874"/>
      <c r="C2" s="874"/>
      <c r="D2" s="874"/>
      <c r="E2" s="874"/>
      <c r="F2" s="874"/>
      <c r="G2" s="874"/>
      <c r="H2" s="874"/>
      <c r="I2" s="874"/>
      <c r="J2" s="874"/>
      <c r="K2" s="874"/>
      <c r="L2" s="874"/>
      <c r="M2" s="874"/>
      <c r="N2" s="874"/>
      <c r="O2" s="874"/>
      <c r="P2" s="874"/>
      <c r="Q2" s="874"/>
      <c r="R2" s="874"/>
      <c r="S2" s="874"/>
      <c r="T2" s="874"/>
      <c r="U2" s="874"/>
      <c r="V2" s="874"/>
      <c r="W2" s="874"/>
    </row>
    <row r="3" spans="1:23" ht="15.75">
      <c r="A3" s="874" t="s">
        <v>1172</v>
      </c>
      <c r="B3" s="874"/>
      <c r="C3" s="874"/>
      <c r="D3" s="874"/>
      <c r="E3" s="874"/>
      <c r="F3" s="874"/>
      <c r="G3" s="874"/>
      <c r="H3" s="874"/>
      <c r="I3" s="874"/>
      <c r="J3" s="874"/>
      <c r="K3" s="874"/>
      <c r="L3" s="874"/>
      <c r="M3" s="874"/>
      <c r="N3" s="874"/>
      <c r="O3" s="874"/>
      <c r="P3" s="874"/>
      <c r="Q3" s="874"/>
      <c r="R3" s="874"/>
      <c r="S3" s="874"/>
      <c r="T3" s="874"/>
      <c r="U3" s="874"/>
      <c r="V3" s="874"/>
      <c r="W3" s="874"/>
    </row>
    <row r="4" spans="1:23" ht="15.75">
      <c r="A4" s="874" t="s">
        <v>1208</v>
      </c>
      <c r="B4" s="874"/>
      <c r="C4" s="874"/>
      <c r="D4" s="874"/>
      <c r="E4" s="874"/>
      <c r="F4" s="874"/>
      <c r="G4" s="874"/>
      <c r="H4" s="874"/>
      <c r="I4" s="874"/>
      <c r="J4" s="874"/>
      <c r="K4" s="874"/>
      <c r="L4" s="874"/>
      <c r="M4" s="874"/>
      <c r="N4" s="874"/>
      <c r="O4" s="874"/>
      <c r="P4" s="874"/>
      <c r="Q4" s="874"/>
      <c r="R4" s="874"/>
      <c r="S4" s="874"/>
      <c r="T4" s="874"/>
      <c r="U4" s="874"/>
      <c r="V4" s="874"/>
      <c r="W4" s="874"/>
    </row>
    <row r="5" spans="1:23" ht="13.15" customHeight="1">
      <c r="A5" s="875" t="s">
        <v>1174</v>
      </c>
      <c r="B5" s="874"/>
      <c r="C5" s="874"/>
      <c r="D5" s="874"/>
      <c r="E5" s="874"/>
      <c r="F5" s="874"/>
      <c r="G5" s="874"/>
      <c r="H5" s="874"/>
      <c r="I5" s="874"/>
      <c r="J5" s="874"/>
      <c r="K5" s="874"/>
      <c r="L5" s="874"/>
      <c r="M5" s="874"/>
      <c r="N5" s="874"/>
      <c r="O5" s="874"/>
      <c r="P5" s="874"/>
      <c r="Q5" s="874"/>
      <c r="R5" s="874"/>
      <c r="S5" s="874"/>
      <c r="T5" s="874"/>
      <c r="U5" s="874"/>
      <c r="V5" s="874"/>
      <c r="W5" s="874"/>
    </row>
    <row r="6" spans="1:23" ht="15">
      <c r="A6" s="876" t="s">
        <v>17</v>
      </c>
      <c r="B6" s="877"/>
      <c r="C6" s="877"/>
      <c r="D6" s="877"/>
      <c r="E6" s="877"/>
      <c r="F6" s="878"/>
      <c r="G6" s="877"/>
      <c r="H6" s="877"/>
      <c r="I6" s="877"/>
      <c r="J6" s="877"/>
      <c r="K6" s="877"/>
      <c r="L6" s="877"/>
      <c r="M6" s="877"/>
      <c r="N6" s="877"/>
      <c r="O6" s="877"/>
      <c r="P6" s="877"/>
      <c r="Q6" s="877"/>
      <c r="R6" s="877"/>
      <c r="S6" s="877"/>
      <c r="T6" s="877"/>
      <c r="U6" s="879"/>
      <c r="V6" s="877"/>
      <c r="W6" s="879"/>
    </row>
    <row r="7" spans="1:23" ht="15">
      <c r="A7" s="880" t="s">
        <v>17</v>
      </c>
      <c r="B7" s="881"/>
      <c r="C7" s="881"/>
      <c r="D7" s="881"/>
      <c r="E7" s="881"/>
      <c r="F7" s="882"/>
      <c r="G7" s="881"/>
      <c r="H7" s="881"/>
      <c r="I7" s="883" t="s">
        <v>1175</v>
      </c>
      <c r="J7" s="883"/>
      <c r="K7" s="883"/>
      <c r="L7" s="881"/>
      <c r="M7" s="881"/>
      <c r="N7" s="881"/>
      <c r="O7" s="884" t="s">
        <v>1209</v>
      </c>
      <c r="P7" s="885"/>
      <c r="Q7" s="886"/>
      <c r="R7" s="887"/>
      <c r="S7" s="884" t="s">
        <v>1177</v>
      </c>
      <c r="T7" s="885"/>
      <c r="U7" s="888"/>
      <c r="V7" s="885"/>
      <c r="W7" s="888"/>
    </row>
    <row r="8" spans="1:23" ht="12.75" customHeight="1">
      <c r="A8" s="881"/>
      <c r="B8" s="881"/>
      <c r="C8" s="881"/>
      <c r="D8" s="881"/>
      <c r="E8" s="889" t="s">
        <v>36</v>
      </c>
      <c r="F8" s="882"/>
      <c r="G8" s="889"/>
      <c r="H8" s="890"/>
      <c r="I8" s="891"/>
      <c r="J8" s="891"/>
      <c r="K8" s="891"/>
      <c r="L8" s="890"/>
      <c r="M8" s="889" t="s">
        <v>36</v>
      </c>
      <c r="N8" s="881"/>
      <c r="O8" s="881"/>
      <c r="P8" s="881"/>
      <c r="Q8" s="881"/>
      <c r="R8" s="881"/>
      <c r="S8" s="890"/>
      <c r="T8" s="890"/>
      <c r="U8" s="889"/>
      <c r="V8" s="890"/>
      <c r="W8" s="892"/>
    </row>
    <row r="9" spans="1:23" ht="12.75">
      <c r="A9" s="881"/>
      <c r="B9" s="881"/>
      <c r="C9" s="881"/>
      <c r="D9" s="881"/>
      <c r="E9" s="893">
        <v>2009</v>
      </c>
      <c r="F9" s="882"/>
      <c r="G9" s="893" t="s">
        <v>1178</v>
      </c>
      <c r="H9" s="881"/>
      <c r="I9" s="894" t="s">
        <v>41</v>
      </c>
      <c r="J9" s="881"/>
      <c r="K9" s="894" t="s">
        <v>1179</v>
      </c>
      <c r="L9" s="881"/>
      <c r="M9" s="893">
        <v>2008</v>
      </c>
      <c r="N9" s="881"/>
      <c r="O9" s="894" t="s">
        <v>41</v>
      </c>
      <c r="P9" s="881"/>
      <c r="Q9" s="895" t="s">
        <v>1179</v>
      </c>
      <c r="R9" s="881"/>
      <c r="S9" s="896">
        <v>2009</v>
      </c>
      <c r="T9" s="881"/>
      <c r="U9" s="893" t="s">
        <v>1178</v>
      </c>
      <c r="V9" s="881"/>
      <c r="W9" s="893">
        <v>2008</v>
      </c>
    </row>
    <row r="10" spans="1:23" ht="15">
      <c r="A10" s="897" t="s">
        <v>1180</v>
      </c>
      <c r="B10" s="898"/>
      <c r="C10" s="898"/>
      <c r="D10" s="881"/>
      <c r="G10" s="881"/>
      <c r="H10" s="881"/>
      <c r="I10" s="899"/>
      <c r="J10" s="899"/>
      <c r="K10" s="899"/>
      <c r="L10" s="881"/>
      <c r="M10" s="881"/>
      <c r="N10" s="881"/>
      <c r="O10" s="881"/>
      <c r="P10" s="881"/>
      <c r="Q10" s="881"/>
      <c r="R10" s="881"/>
      <c r="S10" s="881"/>
      <c r="T10" s="881"/>
      <c r="U10" s="900"/>
      <c r="V10" s="881"/>
      <c r="W10" s="887"/>
    </row>
    <row r="11" spans="1:23" ht="15">
      <c r="A11" s="897"/>
      <c r="B11" s="898" t="s">
        <v>1181</v>
      </c>
      <c r="C11" s="881"/>
      <c r="D11" s="881"/>
      <c r="G11" s="881"/>
      <c r="H11" s="881"/>
      <c r="I11" s="899"/>
      <c r="J11" s="899"/>
      <c r="K11" s="899"/>
      <c r="L11" s="881"/>
      <c r="M11" s="881"/>
      <c r="N11" s="881"/>
      <c r="O11" s="881"/>
      <c r="P11" s="881"/>
      <c r="Q11" s="881"/>
      <c r="R11" s="881"/>
      <c r="S11" s="881"/>
      <c r="T11" s="881"/>
      <c r="U11" s="900"/>
      <c r="V11" s="881"/>
      <c r="W11" s="887"/>
    </row>
    <row r="12" spans="1:23" ht="12.75">
      <c r="A12" s="901"/>
      <c r="B12" s="881"/>
      <c r="C12" s="881" t="s">
        <v>1182</v>
      </c>
      <c r="E12" s="902">
        <v>818195834.87</v>
      </c>
      <c r="F12" s="903"/>
      <c r="G12" s="902">
        <v>780119000</v>
      </c>
      <c r="H12" s="903"/>
      <c r="I12" s="902">
        <v>38076834.870000005</v>
      </c>
      <c r="J12" s="903"/>
      <c r="K12" s="904">
        <v>4.8809008458965873E-2</v>
      </c>
      <c r="L12" s="905"/>
      <c r="M12" s="902">
        <v>761680680.63</v>
      </c>
      <c r="N12" s="906"/>
      <c r="O12" s="902">
        <v>56515154.24000001</v>
      </c>
      <c r="P12" s="906"/>
      <c r="Q12" s="904">
        <v>7.4197962055772879E-2</v>
      </c>
      <c r="R12" s="906"/>
      <c r="S12" s="907">
        <v>1.4333811524987596</v>
      </c>
      <c r="T12" s="908"/>
      <c r="U12" s="907">
        <v>1.3952522159664047</v>
      </c>
      <c r="V12" s="908"/>
      <c r="W12" s="907">
        <v>1.2485355106588509</v>
      </c>
    </row>
    <row r="13" spans="1:23" ht="12.75" customHeight="1">
      <c r="A13" s="901"/>
      <c r="B13" s="881"/>
      <c r="C13" s="881" t="s">
        <v>1183</v>
      </c>
      <c r="E13" s="909">
        <v>329960818.83999997</v>
      </c>
      <c r="F13" s="903"/>
      <c r="G13" s="909">
        <v>322953000</v>
      </c>
      <c r="H13" s="903"/>
      <c r="I13" s="909">
        <v>7007818.8399999738</v>
      </c>
      <c r="J13" s="903"/>
      <c r="K13" s="904">
        <v>2.1699191027796532E-2</v>
      </c>
      <c r="L13" s="910"/>
      <c r="M13" s="909">
        <v>302129376.54000002</v>
      </c>
      <c r="N13" s="911"/>
      <c r="O13" s="909">
        <v>27831442.299999952</v>
      </c>
      <c r="P13" s="912"/>
      <c r="Q13" s="904">
        <v>9.2117630594968788E-2</v>
      </c>
      <c r="R13" s="912"/>
      <c r="S13" s="913">
        <v>1.2857147436422882</v>
      </c>
      <c r="T13" s="913"/>
      <c r="U13" s="913">
        <v>1.2573260608042607</v>
      </c>
      <c r="V13" s="913"/>
      <c r="W13" s="913">
        <v>1.1268143937537018</v>
      </c>
    </row>
    <row r="14" spans="1:23" ht="12.75">
      <c r="A14" s="901"/>
      <c r="B14" s="881"/>
      <c r="C14" s="881" t="s">
        <v>1184</v>
      </c>
      <c r="E14" s="909">
        <v>40526888.979999997</v>
      </c>
      <c r="F14" s="903"/>
      <c r="G14" s="909">
        <v>44446000</v>
      </c>
      <c r="H14" s="903"/>
      <c r="I14" s="909">
        <v>-3919111.02</v>
      </c>
      <c r="J14" s="903"/>
      <c r="K14" s="914">
        <v>-8.8176911758088547E-2</v>
      </c>
      <c r="L14" s="910"/>
      <c r="M14" s="909">
        <v>42531020.920000002</v>
      </c>
      <c r="N14" s="915"/>
      <c r="O14" s="909">
        <v>-2004131.9400000051</v>
      </c>
      <c r="P14" s="916"/>
      <c r="Q14" s="914">
        <v>-4.7121651365240845E-2</v>
      </c>
      <c r="R14" s="916"/>
      <c r="S14" s="913">
        <v>1.2034222640104055</v>
      </c>
      <c r="T14" s="917"/>
      <c r="U14" s="913">
        <v>1.1451907964236943</v>
      </c>
      <c r="V14" s="913"/>
      <c r="W14" s="913">
        <v>1.0628287515088941</v>
      </c>
    </row>
    <row r="15" spans="1:23" ht="7.9" customHeight="1">
      <c r="A15" s="901"/>
      <c r="B15" s="881"/>
      <c r="C15" s="881"/>
      <c r="E15" s="918"/>
      <c r="F15" s="903"/>
      <c r="G15" s="918"/>
      <c r="H15" s="903"/>
      <c r="I15" s="918"/>
      <c r="J15" s="903"/>
      <c r="K15" s="919"/>
      <c r="L15" s="910"/>
      <c r="M15" s="918"/>
      <c r="N15" s="911"/>
      <c r="O15" s="918"/>
      <c r="P15" s="912"/>
      <c r="Q15" s="919"/>
      <c r="R15" s="912"/>
      <c r="S15" s="920"/>
      <c r="T15" s="913"/>
      <c r="U15" s="920"/>
      <c r="V15" s="913"/>
      <c r="W15" s="920"/>
    </row>
    <row r="16" spans="1:23" ht="12.75">
      <c r="A16" s="901"/>
      <c r="B16" s="881"/>
      <c r="C16" s="881" t="s">
        <v>1185</v>
      </c>
      <c r="E16" s="909">
        <v>1188683542.6900001</v>
      </c>
      <c r="F16" s="903"/>
      <c r="G16" s="909">
        <v>1147518000</v>
      </c>
      <c r="H16" s="903"/>
      <c r="I16" s="909">
        <v>41165542.690000057</v>
      </c>
      <c r="J16" s="903"/>
      <c r="K16" s="904">
        <v>3.5873548554358238E-2</v>
      </c>
      <c r="L16" s="910"/>
      <c r="M16" s="909">
        <v>1106341078.0899999</v>
      </c>
      <c r="N16" s="911"/>
      <c r="O16" s="909">
        <v>82342464.600000143</v>
      </c>
      <c r="P16" s="912"/>
      <c r="Q16" s="904">
        <v>7.4427738633873322E-2</v>
      </c>
      <c r="R16" s="912"/>
      <c r="S16" s="913">
        <v>1.380380058990661</v>
      </c>
      <c r="T16" s="913"/>
      <c r="U16" s="913">
        <v>1.3424529008226562</v>
      </c>
      <c r="V16" s="913"/>
      <c r="W16" s="913">
        <v>1.2048979844856897</v>
      </c>
    </row>
    <row r="17" spans="1:23" ht="7.9" customHeight="1">
      <c r="A17" s="901"/>
      <c r="B17" s="881"/>
      <c r="C17" s="881"/>
      <c r="D17" s="921"/>
      <c r="E17" s="903"/>
      <c r="F17" s="903"/>
      <c r="G17" s="903"/>
      <c r="H17" s="911"/>
      <c r="I17" s="903"/>
      <c r="J17" s="911"/>
      <c r="K17" s="919"/>
      <c r="L17" s="910"/>
      <c r="M17" s="903"/>
      <c r="N17" s="911"/>
      <c r="O17" s="903"/>
      <c r="P17" s="912"/>
      <c r="Q17" s="919"/>
      <c r="R17" s="912"/>
      <c r="S17" s="913"/>
      <c r="T17" s="913"/>
      <c r="U17" s="913"/>
      <c r="V17" s="913"/>
      <c r="W17" s="922"/>
    </row>
    <row r="18" spans="1:23" ht="12.75" customHeight="1">
      <c r="A18" s="901"/>
      <c r="B18" s="923" t="s">
        <v>1186</v>
      </c>
      <c r="C18" s="881"/>
      <c r="D18" s="921"/>
      <c r="E18" s="903"/>
      <c r="F18" s="903"/>
      <c r="G18" s="903"/>
      <c r="H18" s="911"/>
      <c r="I18" s="903"/>
      <c r="J18" s="911"/>
      <c r="K18" s="919"/>
      <c r="L18" s="910"/>
      <c r="M18" s="903"/>
      <c r="N18" s="911"/>
      <c r="O18" s="903"/>
      <c r="P18" s="912"/>
      <c r="Q18" s="919"/>
      <c r="R18" s="912"/>
      <c r="S18" s="913"/>
      <c r="T18" s="913"/>
      <c r="U18" s="913"/>
      <c r="V18" s="913"/>
      <c r="W18" s="922"/>
    </row>
    <row r="19" spans="1:23" ht="12.75">
      <c r="A19" s="901"/>
      <c r="B19" s="881"/>
      <c r="C19" s="881" t="s">
        <v>1187</v>
      </c>
      <c r="E19" s="909">
        <v>54782432.689999998</v>
      </c>
      <c r="F19" s="903"/>
      <c r="G19" s="909">
        <v>51453000</v>
      </c>
      <c r="H19" s="903"/>
      <c r="I19" s="909">
        <v>3329432.69</v>
      </c>
      <c r="J19" s="903"/>
      <c r="K19" s="904">
        <v>6.4708232561755341E-2</v>
      </c>
      <c r="L19" s="910"/>
      <c r="M19" s="909">
        <v>52495064.539999999</v>
      </c>
      <c r="N19" s="911"/>
      <c r="O19" s="909">
        <v>2287368.15</v>
      </c>
      <c r="P19" s="912"/>
      <c r="Q19" s="904">
        <v>4.3573013387898173E-2</v>
      </c>
      <c r="R19" s="912"/>
      <c r="S19" s="913">
        <v>1.0314371846846782</v>
      </c>
      <c r="T19" s="913"/>
      <c r="U19" s="913">
        <v>0.96073269101501235</v>
      </c>
      <c r="V19" s="913"/>
      <c r="W19" s="913">
        <v>0.90727288857948807</v>
      </c>
    </row>
    <row r="20" spans="1:23" ht="12.75">
      <c r="A20" s="901"/>
      <c r="B20" s="881"/>
      <c r="C20" s="881" t="s">
        <v>1188</v>
      </c>
      <c r="E20" s="909">
        <v>3595655.51</v>
      </c>
      <c r="F20" s="903"/>
      <c r="G20" s="909">
        <v>5013000</v>
      </c>
      <c r="H20" s="903"/>
      <c r="I20" s="909">
        <v>-1417344.49</v>
      </c>
      <c r="J20" s="903"/>
      <c r="K20" s="914">
        <v>-0.28273379014562144</v>
      </c>
      <c r="L20" s="910"/>
      <c r="M20" s="909">
        <v>3059442.78</v>
      </c>
      <c r="N20" s="915"/>
      <c r="O20" s="909">
        <v>536212.73</v>
      </c>
      <c r="P20" s="916"/>
      <c r="Q20" s="914">
        <v>0.17526483368321077</v>
      </c>
      <c r="R20" s="916"/>
      <c r="S20" s="913">
        <v>1.0682247718540057</v>
      </c>
      <c r="T20" s="913"/>
      <c r="U20" s="913">
        <v>0.95087253414264039</v>
      </c>
      <c r="V20" s="913"/>
      <c r="W20" s="913">
        <v>0.77825338372998187</v>
      </c>
    </row>
    <row r="21" spans="1:23" ht="7.9" customHeight="1">
      <c r="A21" s="901"/>
      <c r="B21" s="881"/>
      <c r="C21" s="881"/>
      <c r="E21" s="918"/>
      <c r="F21" s="903"/>
      <c r="G21" s="918"/>
      <c r="H21" s="903"/>
      <c r="I21" s="918"/>
      <c r="J21" s="903"/>
      <c r="K21" s="919"/>
      <c r="L21" s="910"/>
      <c r="M21" s="918"/>
      <c r="N21" s="911"/>
      <c r="O21" s="918"/>
      <c r="P21" s="912"/>
      <c r="Q21" s="919"/>
      <c r="R21" s="912"/>
      <c r="S21" s="920"/>
      <c r="T21" s="913"/>
      <c r="U21" s="920"/>
      <c r="V21" s="913"/>
      <c r="W21" s="920"/>
    </row>
    <row r="22" spans="1:23" ht="12.75">
      <c r="A22" s="901"/>
      <c r="B22" s="881"/>
      <c r="C22" s="881" t="s">
        <v>1189</v>
      </c>
      <c r="E22" s="924">
        <v>58378088.200000003</v>
      </c>
      <c r="F22" s="903"/>
      <c r="G22" s="924">
        <v>56466000</v>
      </c>
      <c r="H22" s="903"/>
      <c r="I22" s="924">
        <v>1912088.2</v>
      </c>
      <c r="J22" s="903"/>
      <c r="K22" s="914">
        <v>3.386264654836544E-2</v>
      </c>
      <c r="L22" s="910"/>
      <c r="M22" s="924">
        <v>55554507.32</v>
      </c>
      <c r="N22" s="915"/>
      <c r="O22" s="924">
        <v>2823580.88</v>
      </c>
      <c r="P22" s="916"/>
      <c r="Q22" s="914">
        <v>5.0825414826125084E-2</v>
      </c>
      <c r="R22" s="916"/>
      <c r="S22" s="913">
        <v>1.0336296454190734</v>
      </c>
      <c r="T22" s="913"/>
      <c r="U22" s="913">
        <v>0.9598490514720881</v>
      </c>
      <c r="V22" s="913"/>
      <c r="W22" s="913">
        <v>0.8990646811105848</v>
      </c>
    </row>
    <row r="23" spans="1:23" ht="7.9" customHeight="1">
      <c r="A23" s="901"/>
      <c r="B23" s="881"/>
      <c r="C23" s="881"/>
      <c r="E23" s="915"/>
      <c r="F23" s="903"/>
      <c r="G23" s="915"/>
      <c r="H23" s="903"/>
      <c r="I23" s="915"/>
      <c r="J23" s="903"/>
      <c r="K23" s="919"/>
      <c r="L23" s="910"/>
      <c r="M23" s="915"/>
      <c r="N23" s="915"/>
      <c r="O23" s="915"/>
      <c r="P23" s="916"/>
      <c r="Q23" s="919"/>
      <c r="R23" s="916"/>
      <c r="S23" s="920"/>
      <c r="T23" s="917"/>
      <c r="U23" s="920"/>
      <c r="V23" s="917"/>
      <c r="W23" s="920"/>
    </row>
    <row r="24" spans="1:23" ht="12.75">
      <c r="A24" s="901"/>
      <c r="B24" s="881"/>
      <c r="C24" s="881" t="s">
        <v>1190</v>
      </c>
      <c r="E24" s="909">
        <v>1247061630.8900001</v>
      </c>
      <c r="F24" s="903"/>
      <c r="G24" s="909">
        <v>1203984000</v>
      </c>
      <c r="H24" s="903"/>
      <c r="I24" s="909">
        <v>43077630.890000105</v>
      </c>
      <c r="J24" s="903"/>
      <c r="K24" s="904">
        <v>3.577923866928473E-2</v>
      </c>
      <c r="L24" s="910"/>
      <c r="M24" s="909">
        <v>1161895585.4100001</v>
      </c>
      <c r="N24" s="915"/>
      <c r="O24" s="909">
        <v>85166045.480000019</v>
      </c>
      <c r="P24" s="916"/>
      <c r="Q24" s="904">
        <v>7.3299224602826368E-2</v>
      </c>
      <c r="R24" s="916"/>
      <c r="S24" s="913">
        <v>1.3590375516730087</v>
      </c>
      <c r="T24" s="913"/>
      <c r="U24" s="913">
        <v>1.3178170355289947</v>
      </c>
      <c r="V24" s="913"/>
      <c r="W24" s="913">
        <v>1.1856143240709653</v>
      </c>
    </row>
    <row r="25" spans="1:23" ht="7.9" customHeight="1">
      <c r="A25" s="901"/>
      <c r="B25" s="881"/>
      <c r="C25" s="881"/>
      <c r="D25" s="921"/>
      <c r="E25" s="903"/>
      <c r="F25" s="903"/>
      <c r="G25" s="903"/>
      <c r="H25" s="911"/>
      <c r="I25" s="903"/>
      <c r="J25" s="911"/>
      <c r="K25" s="919"/>
      <c r="L25" s="910"/>
      <c r="M25" s="903"/>
      <c r="N25" s="911"/>
      <c r="O25" s="903"/>
      <c r="P25" s="912"/>
      <c r="Q25" s="919"/>
      <c r="R25" s="912"/>
      <c r="S25" s="913"/>
      <c r="T25" s="913"/>
      <c r="U25" s="913"/>
      <c r="V25" s="913"/>
      <c r="W25" s="922"/>
    </row>
    <row r="26" spans="1:23" ht="12.75">
      <c r="A26" s="901"/>
      <c r="B26" s="923" t="s">
        <v>1191</v>
      </c>
      <c r="C26" s="881"/>
      <c r="D26" s="921"/>
      <c r="E26" s="903"/>
      <c r="F26" s="903"/>
      <c r="G26" s="903"/>
      <c r="H26" s="911"/>
      <c r="I26" s="903"/>
      <c r="J26" s="911"/>
      <c r="K26" s="919"/>
      <c r="L26" s="910"/>
      <c r="M26" s="903"/>
      <c r="N26" s="911"/>
      <c r="O26" s="903"/>
      <c r="P26" s="912"/>
      <c r="Q26" s="919"/>
      <c r="R26" s="912"/>
      <c r="S26" s="913"/>
      <c r="T26" s="913"/>
      <c r="U26" s="913"/>
      <c r="V26" s="913"/>
      <c r="W26" s="922"/>
    </row>
    <row r="27" spans="1:23" ht="12.75">
      <c r="A27" s="901"/>
      <c r="B27" s="881"/>
      <c r="C27" s="881" t="s">
        <v>1192</v>
      </c>
      <c r="E27" s="909">
        <v>3208085.3</v>
      </c>
      <c r="F27" s="903"/>
      <c r="G27" s="909">
        <v>3148000</v>
      </c>
      <c r="H27" s="903"/>
      <c r="I27" s="909">
        <v>60085.299999999814</v>
      </c>
      <c r="J27" s="903"/>
      <c r="K27" s="904">
        <v>1.908681702668355E-2</v>
      </c>
      <c r="L27" s="910"/>
      <c r="M27" s="909">
        <v>3296219.64</v>
      </c>
      <c r="N27" s="911"/>
      <c r="O27" s="909">
        <v>-88134.340000000317</v>
      </c>
      <c r="P27" s="912"/>
      <c r="Q27" s="904">
        <v>-2.6738005844780512E-2</v>
      </c>
      <c r="R27" s="912"/>
      <c r="S27" s="913">
        <v>7.4602539799371329E-2</v>
      </c>
      <c r="T27" s="913"/>
      <c r="U27" s="913">
        <v>7.8052167013785576E-2</v>
      </c>
      <c r="V27" s="913"/>
      <c r="W27" s="913">
        <v>7.5727558467888131E-2</v>
      </c>
    </row>
    <row r="28" spans="1:23" ht="12.75">
      <c r="A28" s="901"/>
      <c r="B28" s="881"/>
      <c r="C28" s="881" t="s">
        <v>1193</v>
      </c>
      <c r="E28" s="909">
        <v>10477591.640000001</v>
      </c>
      <c r="F28" s="903"/>
      <c r="G28" s="909">
        <v>9907000</v>
      </c>
      <c r="H28" s="903"/>
      <c r="I28" s="909">
        <v>570591.6400000006</v>
      </c>
      <c r="J28" s="903"/>
      <c r="K28" s="914">
        <v>5.7594795599071422E-2</v>
      </c>
      <c r="L28" s="910"/>
      <c r="M28" s="909">
        <v>10873129.48</v>
      </c>
      <c r="N28" s="915"/>
      <c r="O28" s="909">
        <v>-395537.84</v>
      </c>
      <c r="P28" s="916"/>
      <c r="Q28" s="914">
        <v>-3.6377552638138896E-2</v>
      </c>
      <c r="R28" s="916"/>
      <c r="S28" s="913">
        <v>6.3097601183509405E-2</v>
      </c>
      <c r="T28" s="913"/>
      <c r="U28" s="913">
        <v>5.796719853487569E-2</v>
      </c>
      <c r="V28" s="913"/>
      <c r="W28" s="913">
        <v>6.1584109988503867E-2</v>
      </c>
    </row>
    <row r="29" spans="1:23" ht="7.9" customHeight="1">
      <c r="A29" s="901"/>
      <c r="B29" s="881"/>
      <c r="C29" s="881"/>
      <c r="E29" s="918"/>
      <c r="F29" s="903"/>
      <c r="G29" s="918"/>
      <c r="H29" s="903"/>
      <c r="I29" s="918"/>
      <c r="J29" s="903"/>
      <c r="K29" s="919"/>
      <c r="L29" s="910"/>
      <c r="M29" s="918"/>
      <c r="N29" s="911"/>
      <c r="O29" s="918"/>
      <c r="P29" s="912"/>
      <c r="Q29" s="919"/>
      <c r="R29" s="912"/>
      <c r="S29" s="920"/>
      <c r="T29" s="913"/>
      <c r="U29" s="920"/>
      <c r="V29" s="913"/>
      <c r="W29" s="920"/>
    </row>
    <row r="30" spans="1:23" ht="12.75">
      <c r="A30" s="901"/>
      <c r="B30" s="881"/>
      <c r="C30" s="881" t="s">
        <v>1194</v>
      </c>
      <c r="E30" s="909">
        <v>13685676.939999999</v>
      </c>
      <c r="F30" s="903"/>
      <c r="G30" s="909">
        <v>13055000</v>
      </c>
      <c r="H30" s="903"/>
      <c r="I30" s="909">
        <v>630676.93999999948</v>
      </c>
      <c r="J30" s="903"/>
      <c r="K30" s="914">
        <v>4.8309225584067368E-2</v>
      </c>
      <c r="L30" s="910"/>
      <c r="M30" s="909">
        <v>14169349.119999999</v>
      </c>
      <c r="N30" s="911"/>
      <c r="O30" s="909">
        <v>-483672.18</v>
      </c>
      <c r="P30" s="912"/>
      <c r="Q30" s="914">
        <v>-3.4135102177509175E-2</v>
      </c>
      <c r="R30" s="912"/>
      <c r="S30" s="913">
        <v>6.5464140852592875E-2</v>
      </c>
      <c r="T30" s="913"/>
      <c r="U30" s="913">
        <v>6.1802034662159923E-2</v>
      </c>
      <c r="V30" s="913"/>
      <c r="W30" s="913">
        <v>6.4381336175286324E-2</v>
      </c>
    </row>
    <row r="31" spans="1:23" ht="7.9" customHeight="1">
      <c r="A31" s="901"/>
      <c r="B31" s="881"/>
      <c r="C31" s="881"/>
      <c r="E31" s="918"/>
      <c r="F31" s="903"/>
      <c r="G31" s="918"/>
      <c r="H31" s="903"/>
      <c r="I31" s="918"/>
      <c r="J31" s="903"/>
      <c r="K31" s="925"/>
      <c r="L31" s="912"/>
      <c r="M31" s="918"/>
      <c r="N31" s="911"/>
      <c r="O31" s="918"/>
      <c r="P31" s="912"/>
      <c r="Q31" s="925"/>
      <c r="R31" s="912"/>
      <c r="S31" s="926"/>
      <c r="T31" s="912"/>
      <c r="U31" s="926"/>
      <c r="V31" s="912"/>
      <c r="W31" s="926"/>
    </row>
    <row r="32" spans="1:23" ht="12.75">
      <c r="A32" s="901"/>
      <c r="B32" s="881"/>
      <c r="C32" s="881" t="s">
        <v>1195</v>
      </c>
      <c r="E32" s="909">
        <v>1260747307.8299999</v>
      </c>
      <c r="F32" s="903"/>
      <c r="G32" s="909">
        <v>1217039000</v>
      </c>
      <c r="H32" s="903"/>
      <c r="I32" s="909">
        <v>43708307.829999924</v>
      </c>
      <c r="J32" s="903"/>
      <c r="K32" s="904">
        <v>3.5913646012987195E-2</v>
      </c>
      <c r="L32" s="910"/>
      <c r="M32" s="909">
        <v>1176064934.53</v>
      </c>
      <c r="N32" s="911"/>
      <c r="O32" s="909">
        <v>84682373.299999952</v>
      </c>
      <c r="P32" s="912"/>
      <c r="Q32" s="904">
        <v>7.2004844982341248E-2</v>
      </c>
      <c r="R32" s="912"/>
      <c r="S32" s="907">
        <v>1.1190105850429908</v>
      </c>
      <c r="T32" s="908"/>
      <c r="U32" s="907">
        <v>1.0819480485998689</v>
      </c>
      <c r="V32" s="908"/>
      <c r="W32" s="907">
        <v>0.97998935933101528</v>
      </c>
    </row>
    <row r="33" spans="1:23" ht="7.9" customHeight="1">
      <c r="A33" s="901"/>
      <c r="B33" s="881"/>
      <c r="C33" s="881"/>
      <c r="E33" s="911"/>
      <c r="F33" s="903"/>
      <c r="G33" s="911"/>
      <c r="H33" s="903"/>
      <c r="I33" s="911"/>
      <c r="J33" s="903"/>
      <c r="K33" s="919"/>
      <c r="L33" s="910"/>
      <c r="M33" s="911"/>
      <c r="N33" s="911"/>
      <c r="O33" s="911"/>
      <c r="P33" s="912"/>
      <c r="Q33" s="919"/>
      <c r="R33" s="912"/>
      <c r="S33" s="910"/>
      <c r="T33" s="912"/>
      <c r="U33" s="927"/>
      <c r="V33" s="912"/>
      <c r="W33" s="928"/>
    </row>
    <row r="34" spans="1:23" ht="15">
      <c r="A34" s="901"/>
      <c r="B34" s="923" t="s">
        <v>1196</v>
      </c>
      <c r="C34" s="881"/>
      <c r="E34" s="1037">
        <v>19180942.879999999</v>
      </c>
      <c r="F34" s="903"/>
      <c r="G34" s="924">
        <v>17620000</v>
      </c>
      <c r="H34" s="903"/>
      <c r="I34" s="924">
        <v>1560942.88</v>
      </c>
      <c r="J34" s="903"/>
      <c r="K34" s="914">
        <v>8.8589266742338191E-2</v>
      </c>
      <c r="L34" s="910"/>
      <c r="M34" s="924">
        <v>17237405.98</v>
      </c>
      <c r="N34" s="915"/>
      <c r="O34" s="924">
        <v>1943536.9</v>
      </c>
      <c r="P34" s="916"/>
      <c r="Q34" s="914">
        <v>0.11275112405283144</v>
      </c>
      <c r="R34" s="916"/>
      <c r="S34" s="929"/>
      <c r="T34" s="916"/>
      <c r="U34" s="927"/>
      <c r="V34" s="916"/>
      <c r="W34" s="928"/>
    </row>
    <row r="35" spans="1:23" ht="7.9" customHeight="1">
      <c r="A35" s="901"/>
      <c r="B35" s="881"/>
      <c r="C35" s="881"/>
      <c r="E35" s="930"/>
      <c r="F35" s="903"/>
      <c r="G35" s="930"/>
      <c r="H35" s="903"/>
      <c r="I35" s="930"/>
      <c r="J35" s="903"/>
      <c r="K35" s="919"/>
      <c r="L35" s="910"/>
      <c r="M35" s="930"/>
      <c r="N35" s="910"/>
      <c r="O35" s="930"/>
      <c r="P35" s="910"/>
      <c r="Q35" s="919"/>
      <c r="R35" s="910"/>
      <c r="S35" s="910"/>
      <c r="T35" s="910"/>
      <c r="U35" s="927"/>
      <c r="V35" s="910"/>
      <c r="W35" s="928"/>
    </row>
    <row r="36" spans="1:23" ht="15.75" thickBot="1">
      <c r="A36" s="901"/>
      <c r="B36" s="881"/>
      <c r="C36" s="881" t="s">
        <v>1197</v>
      </c>
      <c r="E36" s="1034">
        <v>1279928250.71</v>
      </c>
      <c r="F36" s="903"/>
      <c r="G36" s="931">
        <v>1234659000</v>
      </c>
      <c r="H36" s="903"/>
      <c r="I36" s="931">
        <v>45269250.710000038</v>
      </c>
      <c r="J36" s="903"/>
      <c r="K36" s="932">
        <v>3.6665387536153705E-2</v>
      </c>
      <c r="L36" s="910"/>
      <c r="M36" s="931">
        <v>1193302340.51</v>
      </c>
      <c r="N36" s="933"/>
      <c r="O36" s="931">
        <v>86625910.200000048</v>
      </c>
      <c r="P36" s="933"/>
      <c r="Q36" s="932">
        <v>7.2593430230747186E-2</v>
      </c>
      <c r="R36" s="933"/>
      <c r="S36" s="929"/>
      <c r="T36" s="933"/>
      <c r="U36" s="927"/>
      <c r="V36" s="933"/>
      <c r="W36" s="928"/>
    </row>
    <row r="37" spans="1:23" ht="7.9" customHeight="1" thickTop="1">
      <c r="A37" s="901"/>
      <c r="B37" s="881"/>
      <c r="C37" s="881"/>
      <c r="E37" s="903"/>
      <c r="F37" s="903"/>
      <c r="G37" s="903"/>
      <c r="H37" s="910"/>
      <c r="I37" s="905"/>
      <c r="J37" s="911"/>
      <c r="K37" s="934"/>
      <c r="L37" s="910"/>
      <c r="M37" s="903"/>
      <c r="N37" s="933"/>
      <c r="O37" s="906"/>
      <c r="P37" s="933"/>
      <c r="Q37" s="934"/>
      <c r="R37" s="933"/>
      <c r="S37" s="903"/>
      <c r="T37" s="903"/>
      <c r="U37" s="903"/>
      <c r="V37" s="903"/>
      <c r="W37" s="903"/>
    </row>
    <row r="38" spans="1:23" ht="12.75" customHeight="1">
      <c r="A38" s="901"/>
      <c r="B38" s="881"/>
      <c r="C38" s="881" t="s">
        <v>1198</v>
      </c>
      <c r="E38" s="902">
        <v>8906018.1300000008</v>
      </c>
      <c r="F38" s="903"/>
      <c r="G38" s="902">
        <v>8477000</v>
      </c>
      <c r="H38" s="910"/>
      <c r="I38" s="911"/>
      <c r="J38" s="911"/>
      <c r="K38" s="935"/>
      <c r="L38" s="910"/>
      <c r="M38" s="902">
        <v>5105366.2300000004</v>
      </c>
      <c r="N38" s="933"/>
      <c r="O38" s="936"/>
      <c r="P38" s="933"/>
      <c r="Q38" s="935"/>
      <c r="R38" s="910" t="s">
        <v>17</v>
      </c>
      <c r="S38" s="903"/>
      <c r="T38" s="903"/>
      <c r="U38" s="903"/>
      <c r="V38" s="903"/>
      <c r="W38" s="903"/>
    </row>
    <row r="39" spans="1:23" ht="12.75">
      <c r="A39" s="901"/>
      <c r="B39" s="881"/>
      <c r="C39" s="881" t="s">
        <v>1199</v>
      </c>
      <c r="E39" s="909">
        <v>3438833.2</v>
      </c>
      <c r="F39" s="903"/>
      <c r="G39" s="909">
        <v>3438000</v>
      </c>
      <c r="H39" s="910"/>
      <c r="I39" s="911"/>
      <c r="J39" s="911"/>
      <c r="K39" s="935"/>
      <c r="L39" s="910"/>
      <c r="M39" s="909">
        <v>2330992.25</v>
      </c>
      <c r="N39" s="933"/>
      <c r="O39" s="936"/>
      <c r="P39" s="933"/>
      <c r="Q39" s="935"/>
      <c r="R39" s="910" t="s">
        <v>17</v>
      </c>
      <c r="S39" s="903"/>
      <c r="T39" s="903"/>
      <c r="U39" s="903"/>
      <c r="V39" s="903"/>
      <c r="W39" s="903"/>
    </row>
    <row r="40" spans="1:23" ht="12.75">
      <c r="A40" s="901"/>
      <c r="B40" s="881"/>
      <c r="C40" s="881" t="s">
        <v>1200</v>
      </c>
      <c r="E40" s="909">
        <v>-2308261.04</v>
      </c>
      <c r="F40" s="903"/>
      <c r="G40" s="909">
        <v>-1882542</v>
      </c>
      <c r="H40" s="910"/>
      <c r="I40" s="911"/>
      <c r="J40" s="911"/>
      <c r="K40" s="935"/>
      <c r="L40" s="910"/>
      <c r="M40" s="909">
        <v>0</v>
      </c>
      <c r="N40" s="933"/>
      <c r="O40" s="936"/>
      <c r="P40" s="933"/>
      <c r="Q40" s="935"/>
      <c r="R40" s="910"/>
      <c r="S40" s="903"/>
      <c r="T40" s="903"/>
      <c r="U40" s="903"/>
      <c r="V40" s="903"/>
      <c r="W40" s="903"/>
    </row>
    <row r="41" spans="1:23" ht="15">
      <c r="A41" s="901"/>
      <c r="B41" s="881"/>
      <c r="C41" s="881"/>
      <c r="D41" s="881"/>
      <c r="E41" s="903"/>
      <c r="F41" s="903"/>
      <c r="G41" s="910"/>
      <c r="H41" s="910"/>
      <c r="I41" s="911"/>
      <c r="J41" s="911"/>
      <c r="K41" s="935"/>
      <c r="L41" s="910"/>
      <c r="M41" s="910"/>
      <c r="N41" s="910"/>
      <c r="O41" s="936"/>
      <c r="P41" s="910"/>
      <c r="Q41" s="935"/>
      <c r="R41" s="910" t="s">
        <v>17</v>
      </c>
      <c r="S41" s="903"/>
      <c r="T41" s="910"/>
      <c r="U41" s="927"/>
      <c r="V41" s="910"/>
      <c r="W41" s="928"/>
    </row>
    <row r="42" spans="1:23" ht="15" customHeight="1">
      <c r="A42" s="897" t="s">
        <v>1201</v>
      </c>
      <c r="B42" s="898"/>
      <c r="C42" s="898"/>
      <c r="D42" s="881"/>
      <c r="E42" s="903"/>
      <c r="F42" s="903"/>
      <c r="G42" s="910"/>
      <c r="H42" s="910"/>
      <c r="I42" s="911"/>
      <c r="J42" s="911"/>
      <c r="K42" s="935"/>
      <c r="L42" s="910"/>
      <c r="M42" s="910"/>
      <c r="N42" s="910"/>
      <c r="O42" s="936"/>
      <c r="P42" s="910"/>
      <c r="Q42" s="935"/>
      <c r="R42" s="910"/>
      <c r="S42" s="910"/>
      <c r="T42" s="910"/>
      <c r="U42" s="927"/>
      <c r="V42" s="910"/>
      <c r="W42" s="928"/>
    </row>
    <row r="43" spans="1:23" ht="15">
      <c r="A43" s="897"/>
      <c r="B43" s="898" t="s">
        <v>1202</v>
      </c>
      <c r="C43" s="881"/>
      <c r="D43" s="881"/>
      <c r="E43" s="903"/>
      <c r="F43" s="903"/>
      <c r="G43" s="910"/>
      <c r="H43" s="910"/>
      <c r="I43" s="911"/>
      <c r="J43" s="911"/>
      <c r="K43" s="935"/>
      <c r="L43" s="910"/>
      <c r="M43" s="910"/>
      <c r="N43" s="910"/>
      <c r="O43" s="910"/>
      <c r="P43" s="910"/>
      <c r="Q43" s="935"/>
      <c r="R43" s="910"/>
      <c r="S43" s="910"/>
      <c r="T43" s="910"/>
      <c r="U43" s="927"/>
      <c r="V43" s="910"/>
      <c r="W43" s="928"/>
    </row>
    <row r="44" spans="1:23" ht="12.75">
      <c r="A44" s="901"/>
      <c r="B44" s="881"/>
      <c r="C44" s="881" t="s">
        <v>1182</v>
      </c>
      <c r="E44" s="937">
        <v>570815259.74000001</v>
      </c>
      <c r="F44" s="903"/>
      <c r="G44" s="937">
        <v>559124000</v>
      </c>
      <c r="H44" s="938"/>
      <c r="I44" s="937">
        <v>11691259.74000001</v>
      </c>
      <c r="J44" s="911"/>
      <c r="K44" s="904">
        <v>2.0909958685372133E-2</v>
      </c>
      <c r="L44" s="939"/>
      <c r="M44" s="937">
        <v>610059284.75999999</v>
      </c>
      <c r="N44" s="938"/>
      <c r="O44" s="937">
        <v>-39244025.019999981</v>
      </c>
      <c r="P44" s="910"/>
      <c r="Q44" s="904">
        <v>-6.432821530687588E-2</v>
      </c>
      <c r="R44" s="910"/>
      <c r="S44" s="903"/>
      <c r="T44" s="903"/>
      <c r="U44" s="903"/>
      <c r="V44" s="903"/>
      <c r="W44" s="903"/>
    </row>
    <row r="45" spans="1:23" ht="12.75" customHeight="1">
      <c r="A45" s="901"/>
      <c r="B45" s="881"/>
      <c r="C45" s="881" t="s">
        <v>1183</v>
      </c>
      <c r="E45" s="937">
        <v>256636101.02600002</v>
      </c>
      <c r="F45" s="903"/>
      <c r="G45" s="937">
        <v>256857000</v>
      </c>
      <c r="H45" s="938"/>
      <c r="I45" s="937">
        <v>-220898.97399997711</v>
      </c>
      <c r="J45" s="911"/>
      <c r="K45" s="904">
        <v>-8.6000760734563243E-4</v>
      </c>
      <c r="L45" s="910"/>
      <c r="M45" s="937">
        <v>268127012.05700004</v>
      </c>
      <c r="N45" s="938"/>
      <c r="O45" s="937">
        <v>-11490911.031000018</v>
      </c>
      <c r="P45" s="910"/>
      <c r="Q45" s="904">
        <v>-4.2856223037152301E-2</v>
      </c>
      <c r="R45" s="910"/>
      <c r="S45" s="903"/>
      <c r="T45" s="903"/>
      <c r="U45" s="903"/>
      <c r="V45" s="903"/>
      <c r="W45" s="903"/>
    </row>
    <row r="46" spans="1:23" ht="12.75">
      <c r="A46" s="901"/>
      <c r="B46" s="881"/>
      <c r="C46" s="881" t="s">
        <v>1184</v>
      </c>
      <c r="E46" s="937">
        <v>33676366.303000003</v>
      </c>
      <c r="F46" s="903"/>
      <c r="G46" s="937">
        <v>38811000</v>
      </c>
      <c r="H46" s="938"/>
      <c r="I46" s="937">
        <v>-5134633.6969999969</v>
      </c>
      <c r="J46" s="911"/>
      <c r="K46" s="914">
        <v>-0.13229841274380966</v>
      </c>
      <c r="L46" s="910"/>
      <c r="M46" s="937">
        <v>40016814.43</v>
      </c>
      <c r="N46" s="938"/>
      <c r="O46" s="937">
        <v>-6340448.1269999966</v>
      </c>
      <c r="P46" s="910"/>
      <c r="Q46" s="914">
        <v>-0.15844459928441126</v>
      </c>
      <c r="R46" s="910"/>
      <c r="S46" s="903"/>
      <c r="T46" s="903"/>
      <c r="U46" s="903"/>
      <c r="V46" s="903"/>
      <c r="W46" s="903"/>
    </row>
    <row r="47" spans="1:23" ht="7.9" customHeight="1">
      <c r="A47" s="901"/>
      <c r="B47" s="881"/>
      <c r="C47" s="881"/>
      <c r="E47" s="940"/>
      <c r="F47" s="903"/>
      <c r="G47" s="940"/>
      <c r="H47" s="938"/>
      <c r="I47" s="940"/>
      <c r="J47" s="911"/>
      <c r="K47" s="919"/>
      <c r="L47" s="910"/>
      <c r="M47" s="940"/>
      <c r="N47" s="938"/>
      <c r="O47" s="940"/>
      <c r="P47" s="910"/>
      <c r="Q47" s="919"/>
      <c r="R47" s="910"/>
      <c r="S47" s="903"/>
      <c r="T47" s="903"/>
      <c r="U47" s="903"/>
      <c r="V47" s="903"/>
      <c r="W47" s="903"/>
    </row>
    <row r="48" spans="1:23" ht="12.75">
      <c r="A48" s="901"/>
      <c r="B48" s="881"/>
      <c r="C48" s="881" t="s">
        <v>1185</v>
      </c>
      <c r="E48" s="937">
        <v>861127727.06900001</v>
      </c>
      <c r="F48" s="903"/>
      <c r="G48" s="937">
        <v>854792000</v>
      </c>
      <c r="H48" s="938"/>
      <c r="I48" s="937">
        <v>6335727.0690000057</v>
      </c>
      <c r="J48" s="911"/>
      <c r="K48" s="904">
        <v>7.4120102539565243E-3</v>
      </c>
      <c r="L48" s="910"/>
      <c r="M48" s="937">
        <v>918203111.24699998</v>
      </c>
      <c r="N48" s="938"/>
      <c r="O48" s="937">
        <v>-57075384.177999973</v>
      </c>
      <c r="P48" s="910"/>
      <c r="Q48" s="904">
        <v>-6.2159867984422988E-2</v>
      </c>
      <c r="R48" s="910"/>
      <c r="S48" s="903"/>
      <c r="T48" s="903"/>
      <c r="U48" s="903"/>
      <c r="V48" s="903"/>
      <c r="W48" s="903"/>
    </row>
    <row r="49" spans="1:23" ht="7.9" customHeight="1">
      <c r="A49" s="901"/>
      <c r="B49" s="881"/>
      <c r="C49" s="881"/>
      <c r="D49" s="881"/>
      <c r="E49" s="938"/>
      <c r="F49" s="903"/>
      <c r="G49" s="938"/>
      <c r="H49" s="938"/>
      <c r="I49" s="938"/>
      <c r="J49" s="911"/>
      <c r="K49" s="919"/>
      <c r="L49" s="910"/>
      <c r="M49" s="938"/>
      <c r="N49" s="938"/>
      <c r="O49" s="938"/>
      <c r="P49" s="910"/>
      <c r="Q49" s="919"/>
      <c r="R49" s="910"/>
      <c r="S49" s="903"/>
      <c r="T49" s="903"/>
      <c r="U49" s="903"/>
      <c r="V49" s="903"/>
      <c r="W49" s="903"/>
    </row>
    <row r="50" spans="1:23" ht="12.75">
      <c r="A50" s="901"/>
      <c r="B50" s="923" t="s">
        <v>1203</v>
      </c>
      <c r="C50" s="881"/>
      <c r="D50" s="881"/>
      <c r="E50" s="938"/>
      <c r="F50" s="903"/>
      <c r="G50" s="938"/>
      <c r="H50" s="938"/>
      <c r="I50" s="938"/>
      <c r="J50" s="911"/>
      <c r="K50" s="919"/>
      <c r="L50" s="910"/>
      <c r="M50" s="938"/>
      <c r="N50" s="938"/>
      <c r="O50" s="938"/>
      <c r="P50" s="910"/>
      <c r="Q50" s="919"/>
      <c r="R50" s="910"/>
      <c r="S50" s="903"/>
      <c r="T50" s="903"/>
      <c r="U50" s="903"/>
      <c r="V50" s="903"/>
      <c r="W50" s="903"/>
    </row>
    <row r="51" spans="1:23" ht="12.75">
      <c r="A51" s="901"/>
      <c r="B51" s="881"/>
      <c r="C51" s="881" t="s">
        <v>1187</v>
      </c>
      <c r="E51" s="937">
        <v>53112718.354000002</v>
      </c>
      <c r="F51" s="903"/>
      <c r="G51" s="937">
        <v>53556000</v>
      </c>
      <c r="H51" s="938"/>
      <c r="I51" s="937">
        <v>-443281.64599999785</v>
      </c>
      <c r="J51" s="911"/>
      <c r="K51" s="904">
        <v>-8.2769744939875621E-3</v>
      </c>
      <c r="L51" s="910"/>
      <c r="M51" s="937">
        <v>57860281.289999992</v>
      </c>
      <c r="N51" s="938"/>
      <c r="O51" s="937">
        <v>-4747562.9359999895</v>
      </c>
      <c r="P51" s="910"/>
      <c r="Q51" s="904">
        <v>-8.2052192456598241E-2</v>
      </c>
      <c r="R51" s="910"/>
      <c r="S51" s="903"/>
      <c r="T51" s="903"/>
      <c r="U51" s="903"/>
      <c r="V51" s="903"/>
      <c r="W51" s="903"/>
    </row>
    <row r="52" spans="1:23" ht="12.75">
      <c r="A52" s="901"/>
      <c r="B52" s="881"/>
      <c r="C52" s="881" t="s">
        <v>1188</v>
      </c>
      <c r="E52" s="937">
        <v>3366010.23</v>
      </c>
      <c r="F52" s="903"/>
      <c r="G52" s="937">
        <v>5272000</v>
      </c>
      <c r="H52" s="938"/>
      <c r="I52" s="937">
        <v>-1905989.77</v>
      </c>
      <c r="J52" s="911"/>
      <c r="K52" s="914">
        <v>-0.36153068474962058</v>
      </c>
      <c r="L52" s="910"/>
      <c r="M52" s="937">
        <v>3931165.4069999978</v>
      </c>
      <c r="N52" s="938"/>
      <c r="O52" s="937">
        <v>-565155.17699999735</v>
      </c>
      <c r="P52" s="910"/>
      <c r="Q52" s="914">
        <v>-0.1437627569660789</v>
      </c>
      <c r="R52" s="910"/>
      <c r="S52" s="903"/>
      <c r="T52" s="903"/>
      <c r="U52" s="903"/>
      <c r="V52" s="903"/>
      <c r="W52" s="903"/>
    </row>
    <row r="53" spans="1:23" ht="7.9" customHeight="1">
      <c r="A53" s="901"/>
      <c r="B53" s="881"/>
      <c r="C53" s="881"/>
      <c r="E53" s="940"/>
      <c r="F53" s="903"/>
      <c r="G53" s="940"/>
      <c r="H53" s="938"/>
      <c r="I53" s="940"/>
      <c r="J53" s="911"/>
      <c r="K53" s="919"/>
      <c r="L53" s="910"/>
      <c r="M53" s="940"/>
      <c r="N53" s="938"/>
      <c r="O53" s="940"/>
      <c r="P53" s="910"/>
      <c r="Q53" s="919"/>
      <c r="R53" s="910"/>
      <c r="S53" s="903"/>
      <c r="T53" s="903"/>
      <c r="U53" s="903"/>
      <c r="V53" s="903"/>
      <c r="W53" s="903"/>
    </row>
    <row r="54" spans="1:23" ht="12.75">
      <c r="A54" s="901"/>
      <c r="B54" s="881"/>
      <c r="C54" s="881" t="s">
        <v>1189</v>
      </c>
      <c r="E54" s="937">
        <v>56478728.583999991</v>
      </c>
      <c r="F54" s="903"/>
      <c r="G54" s="937">
        <v>58828000</v>
      </c>
      <c r="H54" s="938"/>
      <c r="I54" s="937">
        <v>-2349271.4160000086</v>
      </c>
      <c r="J54" s="911"/>
      <c r="K54" s="914">
        <v>-3.99345790439928E-2</v>
      </c>
      <c r="L54" s="910"/>
      <c r="M54" s="937">
        <v>61791446.696999997</v>
      </c>
      <c r="N54" s="938"/>
      <c r="O54" s="937">
        <v>-5312718.1130000055</v>
      </c>
      <c r="P54" s="910"/>
      <c r="Q54" s="914">
        <v>-8.597821214724756E-2</v>
      </c>
      <c r="R54" s="910"/>
      <c r="S54" s="903"/>
      <c r="T54" s="903"/>
      <c r="U54" s="903"/>
      <c r="V54" s="903"/>
      <c r="W54" s="903"/>
    </row>
    <row r="55" spans="1:23" ht="7.9" customHeight="1">
      <c r="A55" s="901"/>
      <c r="B55" s="881"/>
      <c r="C55" s="881"/>
      <c r="E55" s="940"/>
      <c r="F55" s="903"/>
      <c r="G55" s="940"/>
      <c r="H55" s="938"/>
      <c r="I55" s="940"/>
      <c r="J55" s="911"/>
      <c r="K55" s="925"/>
      <c r="L55" s="910"/>
      <c r="M55" s="940"/>
      <c r="N55" s="938"/>
      <c r="O55" s="940"/>
      <c r="P55" s="910"/>
      <c r="Q55" s="925"/>
      <c r="R55" s="910"/>
      <c r="S55" s="903"/>
      <c r="T55" s="903"/>
      <c r="U55" s="903"/>
      <c r="V55" s="903"/>
      <c r="W55" s="903"/>
    </row>
    <row r="56" spans="1:23" ht="12.75">
      <c r="A56" s="901"/>
      <c r="B56" s="881"/>
      <c r="C56" s="881" t="s">
        <v>1204</v>
      </c>
      <c r="E56" s="937">
        <v>917606455.65299988</v>
      </c>
      <c r="F56" s="903"/>
      <c r="G56" s="937">
        <v>913620000</v>
      </c>
      <c r="H56" s="938"/>
      <c r="I56" s="937">
        <v>3986455.6529998779</v>
      </c>
      <c r="J56" s="911"/>
      <c r="K56" s="904">
        <v>4.3633629441122979E-3</v>
      </c>
      <c r="L56" s="910"/>
      <c r="M56" s="937">
        <v>979994557.94400001</v>
      </c>
      <c r="N56" s="938"/>
      <c r="O56" s="937">
        <v>-62388102.291000128</v>
      </c>
      <c r="P56" s="910"/>
      <c r="Q56" s="904">
        <v>-6.3661682389225246E-2</v>
      </c>
      <c r="R56" s="910"/>
      <c r="S56" s="903"/>
      <c r="T56" s="903"/>
      <c r="U56" s="903"/>
      <c r="V56" s="903"/>
      <c r="W56" s="903"/>
    </row>
    <row r="57" spans="1:23" ht="7.9" customHeight="1">
      <c r="A57" s="901"/>
      <c r="B57" s="881"/>
      <c r="C57" s="881"/>
      <c r="E57" s="938"/>
      <c r="F57" s="903"/>
      <c r="G57" s="938"/>
      <c r="H57" s="938"/>
      <c r="I57" s="938"/>
      <c r="J57" s="911"/>
      <c r="K57" s="919"/>
      <c r="L57" s="910"/>
      <c r="M57" s="938"/>
      <c r="N57" s="938"/>
      <c r="O57" s="938"/>
      <c r="P57" s="910"/>
      <c r="Q57" s="919"/>
      <c r="R57" s="910"/>
      <c r="S57" s="903"/>
      <c r="T57" s="903"/>
      <c r="U57" s="903"/>
      <c r="V57" s="903"/>
      <c r="W57" s="903"/>
    </row>
    <row r="58" spans="1:23" ht="12.75">
      <c r="A58" s="901"/>
      <c r="B58" s="923" t="s">
        <v>1205</v>
      </c>
      <c r="C58" s="881"/>
      <c r="D58" s="881"/>
      <c r="E58" s="938"/>
      <c r="F58" s="910"/>
      <c r="G58" s="938"/>
      <c r="H58" s="938"/>
      <c r="I58" s="938"/>
      <c r="J58" s="911"/>
      <c r="K58" s="919"/>
      <c r="L58" s="910"/>
      <c r="M58" s="938"/>
      <c r="N58" s="938"/>
      <c r="O58" s="938"/>
      <c r="P58" s="910"/>
      <c r="Q58" s="919"/>
      <c r="R58" s="910"/>
      <c r="S58" s="903"/>
      <c r="T58" s="903"/>
      <c r="U58" s="903"/>
      <c r="V58" s="903"/>
      <c r="W58" s="903"/>
    </row>
    <row r="59" spans="1:23" ht="12.75">
      <c r="A59" s="901"/>
      <c r="B59" s="881"/>
      <c r="C59" s="881" t="s">
        <v>1192</v>
      </c>
      <c r="D59" s="881"/>
      <c r="E59" s="937">
        <v>43002360.356999993</v>
      </c>
      <c r="F59" s="910"/>
      <c r="G59" s="937">
        <v>40332000</v>
      </c>
      <c r="H59" s="938"/>
      <c r="I59" s="937">
        <v>2670360.3569999933</v>
      </c>
      <c r="J59" s="911"/>
      <c r="K59" s="904">
        <v>6.6209470321332772E-2</v>
      </c>
      <c r="L59" s="910"/>
      <c r="M59" s="937">
        <v>43527346.011000007</v>
      </c>
      <c r="N59" s="903"/>
      <c r="O59" s="937">
        <v>-524985.65400001407</v>
      </c>
      <c r="P59" s="910"/>
      <c r="Q59" s="904">
        <v>-1.2061053615980685E-2</v>
      </c>
      <c r="R59" s="903"/>
      <c r="S59" s="903"/>
      <c r="T59" s="903"/>
      <c r="U59" s="903"/>
      <c r="V59" s="903"/>
      <c r="W59" s="903"/>
    </row>
    <row r="60" spans="1:23" ht="12.75">
      <c r="A60" s="901"/>
      <c r="B60" s="881"/>
      <c r="C60" s="881" t="s">
        <v>1193</v>
      </c>
      <c r="E60" s="937">
        <v>166053723.81</v>
      </c>
      <c r="F60" s="903"/>
      <c r="G60" s="937">
        <v>170907000</v>
      </c>
      <c r="H60" s="938"/>
      <c r="I60" s="937">
        <v>-4853276.1900000004</v>
      </c>
      <c r="J60" s="911"/>
      <c r="K60" s="914">
        <v>-2.8397176183538403E-2</v>
      </c>
      <c r="L60" s="910"/>
      <c r="M60" s="937">
        <v>176557386.02100003</v>
      </c>
      <c r="N60" s="903"/>
      <c r="O60" s="937">
        <v>-10503662.211000025</v>
      </c>
      <c r="P60" s="910"/>
      <c r="Q60" s="914">
        <v>-5.9491491393912584E-2</v>
      </c>
      <c r="R60" s="903"/>
      <c r="S60" s="903"/>
      <c r="T60" s="903"/>
      <c r="U60" s="903"/>
      <c r="V60" s="903"/>
      <c r="W60" s="903"/>
    </row>
    <row r="61" spans="1:23" ht="7.9" customHeight="1">
      <c r="A61" s="901"/>
      <c r="B61" s="881"/>
      <c r="C61" s="881"/>
      <c r="E61" s="940"/>
      <c r="F61" s="903"/>
      <c r="G61" s="940"/>
      <c r="H61" s="938"/>
      <c r="I61" s="940"/>
      <c r="J61" s="911"/>
      <c r="K61" s="919"/>
      <c r="L61" s="910"/>
      <c r="M61" s="940"/>
      <c r="N61" s="938"/>
      <c r="O61" s="940"/>
      <c r="P61" s="910"/>
      <c r="Q61" s="919"/>
      <c r="R61" s="903"/>
      <c r="S61" s="903"/>
      <c r="T61" s="903"/>
      <c r="U61" s="903"/>
      <c r="V61" s="903"/>
      <c r="W61" s="903"/>
    </row>
    <row r="62" spans="1:23" ht="12.75">
      <c r="A62" s="901"/>
      <c r="B62" s="881"/>
      <c r="C62" s="881" t="s">
        <v>1194</v>
      </c>
      <c r="E62" s="941">
        <v>209056084.167</v>
      </c>
      <c r="F62" s="903"/>
      <c r="G62" s="941">
        <v>211239000</v>
      </c>
      <c r="H62" s="938"/>
      <c r="I62" s="941">
        <v>-2182915.8330000043</v>
      </c>
      <c r="J62" s="911"/>
      <c r="K62" s="914">
        <v>-1.0333867481857063E-2</v>
      </c>
      <c r="L62" s="910"/>
      <c r="M62" s="941">
        <v>220084732.03200001</v>
      </c>
      <c r="N62" s="938"/>
      <c r="O62" s="941">
        <v>-11028647.86500001</v>
      </c>
      <c r="P62" s="910"/>
      <c r="Q62" s="914">
        <v>-5.0110917568768287E-2</v>
      </c>
      <c r="R62" s="903"/>
      <c r="S62" s="903"/>
      <c r="T62" s="903"/>
      <c r="U62" s="903"/>
      <c r="V62" s="903"/>
      <c r="W62" s="903"/>
    </row>
    <row r="63" spans="1:23" ht="7.9" customHeight="1">
      <c r="A63" s="901"/>
      <c r="B63" s="881"/>
      <c r="C63" s="881"/>
      <c r="E63" s="938"/>
      <c r="F63" s="903"/>
      <c r="G63" s="938"/>
      <c r="H63" s="938"/>
      <c r="I63" s="938"/>
      <c r="J63" s="911"/>
      <c r="K63" s="919"/>
      <c r="L63" s="910"/>
      <c r="M63" s="938"/>
      <c r="N63" s="938"/>
      <c r="O63" s="938"/>
      <c r="P63" s="910"/>
      <c r="Q63" s="919"/>
      <c r="R63" s="903"/>
      <c r="S63" s="903"/>
      <c r="T63" s="903"/>
      <c r="U63" s="903"/>
      <c r="V63" s="903"/>
      <c r="W63" s="903"/>
    </row>
    <row r="64" spans="1:23" ht="13.5" thickBot="1">
      <c r="A64" s="901"/>
      <c r="B64" s="881"/>
      <c r="C64" s="881" t="s">
        <v>1206</v>
      </c>
      <c r="E64" s="942">
        <v>1126662539.8199999</v>
      </c>
      <c r="F64" s="903"/>
      <c r="G64" s="942">
        <v>1124859000</v>
      </c>
      <c r="H64" s="938"/>
      <c r="I64" s="942">
        <v>1803539.8199999332</v>
      </c>
      <c r="J64" s="911"/>
      <c r="K64" s="932">
        <v>1.6033474595482039E-3</v>
      </c>
      <c r="L64" s="910"/>
      <c r="M64" s="942">
        <v>1200079289.9760001</v>
      </c>
      <c r="N64" s="938"/>
      <c r="O64" s="942">
        <v>-73416750.156000137</v>
      </c>
      <c r="P64" s="910"/>
      <c r="Q64" s="932">
        <v>-6.1176582888509287E-2</v>
      </c>
      <c r="R64" s="903"/>
      <c r="S64" s="903"/>
      <c r="T64" s="903"/>
      <c r="U64" s="903"/>
      <c r="V64" s="903"/>
      <c r="W64" s="903"/>
    </row>
    <row r="65" spans="1:23" ht="13.5" thickTop="1">
      <c r="A65" s="901"/>
      <c r="B65" s="881"/>
      <c r="C65" s="881"/>
      <c r="E65" s="943"/>
      <c r="F65" s="903"/>
      <c r="G65" s="943"/>
      <c r="H65" s="938"/>
      <c r="I65" s="943"/>
      <c r="J65" s="911"/>
      <c r="K65" s="944"/>
      <c r="L65" s="910"/>
      <c r="M65" s="943"/>
      <c r="N65" s="938"/>
      <c r="O65" s="943"/>
      <c r="P65" s="910"/>
      <c r="Q65" s="944"/>
      <c r="R65" s="903"/>
      <c r="S65" s="903"/>
      <c r="T65" s="903"/>
      <c r="U65" s="903"/>
      <c r="V65" s="903"/>
      <c r="W65" s="903"/>
    </row>
  </sheetData>
  <printOptions horizontalCentered="1" verticalCentered="1"/>
  <pageMargins left="0.5" right="0.5" top="0.45" bottom="0.45" header="0.5" footer="0.17"/>
  <pageSetup scale="73" orientation="landscape" r:id="rId1"/>
  <headerFooter alignWithMargins="0">
    <oddFooter>&amp;C&amp;13&amp;"Arial"5c</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U102"/>
  <sheetViews>
    <sheetView zoomScale="75" zoomScaleNormal="75" workbookViewId="0">
      <selection activeCell="C45" sqref="C45"/>
    </sheetView>
  </sheetViews>
  <sheetFormatPr defaultRowHeight="15"/>
  <cols>
    <col min="1" max="2" width="3.1640625" style="947" customWidth="1"/>
    <col min="3" max="3" width="48.83203125" style="947" customWidth="1"/>
    <col min="4" max="4" width="1.83203125" style="947" customWidth="1"/>
    <col min="5" max="5" width="21.1640625" style="947" customWidth="1"/>
    <col min="6" max="6" width="1.83203125" style="947" customWidth="1"/>
    <col min="7" max="7" width="21.1640625" style="947" customWidth="1"/>
    <col min="8" max="8" width="1.83203125" style="947" customWidth="1"/>
    <col min="9" max="9" width="21.1640625" style="947" customWidth="1"/>
    <col min="10" max="10" width="1.83203125" style="947" customWidth="1"/>
    <col min="11" max="11" width="17.33203125" style="1030" customWidth="1"/>
    <col min="12" max="12" width="1.83203125" style="947" customWidth="1"/>
    <col min="13" max="13" width="13" style="947" customWidth="1"/>
    <col min="14" max="14" width="1.83203125" style="947" customWidth="1"/>
    <col min="15" max="15" width="13.83203125" style="947" customWidth="1"/>
    <col min="16" max="256" width="9.33203125" style="947"/>
    <col min="257" max="258" width="3.1640625" style="947" customWidth="1"/>
    <col min="259" max="259" width="48.83203125" style="947" customWidth="1"/>
    <col min="260" max="260" width="1.83203125" style="947" customWidth="1"/>
    <col min="261" max="261" width="21.1640625" style="947" customWidth="1"/>
    <col min="262" max="262" width="1.83203125" style="947" customWidth="1"/>
    <col min="263" max="263" width="21.1640625" style="947" customWidth="1"/>
    <col min="264" max="264" width="1.83203125" style="947" customWidth="1"/>
    <col min="265" max="265" width="21.1640625" style="947" customWidth="1"/>
    <col min="266" max="266" width="1.83203125" style="947" customWidth="1"/>
    <col min="267" max="267" width="17.33203125" style="947" customWidth="1"/>
    <col min="268" max="268" width="1.83203125" style="947" customWidth="1"/>
    <col min="269" max="269" width="13" style="947" customWidth="1"/>
    <col min="270" max="270" width="1.83203125" style="947" customWidth="1"/>
    <col min="271" max="271" width="13.83203125" style="947" customWidth="1"/>
    <col min="272" max="512" width="9.33203125" style="947"/>
    <col min="513" max="514" width="3.1640625" style="947" customWidth="1"/>
    <col min="515" max="515" width="48.83203125" style="947" customWidth="1"/>
    <col min="516" max="516" width="1.83203125" style="947" customWidth="1"/>
    <col min="517" max="517" width="21.1640625" style="947" customWidth="1"/>
    <col min="518" max="518" width="1.83203125" style="947" customWidth="1"/>
    <col min="519" max="519" width="21.1640625" style="947" customWidth="1"/>
    <col min="520" max="520" width="1.83203125" style="947" customWidth="1"/>
    <col min="521" max="521" width="21.1640625" style="947" customWidth="1"/>
    <col min="522" max="522" width="1.83203125" style="947" customWidth="1"/>
    <col min="523" max="523" width="17.33203125" style="947" customWidth="1"/>
    <col min="524" max="524" width="1.83203125" style="947" customWidth="1"/>
    <col min="525" max="525" width="13" style="947" customWidth="1"/>
    <col min="526" max="526" width="1.83203125" style="947" customWidth="1"/>
    <col min="527" max="527" width="13.83203125" style="947" customWidth="1"/>
    <col min="528" max="768" width="9.33203125" style="947"/>
    <col min="769" max="770" width="3.1640625" style="947" customWidth="1"/>
    <col min="771" max="771" width="48.83203125" style="947" customWidth="1"/>
    <col min="772" max="772" width="1.83203125" style="947" customWidth="1"/>
    <col min="773" max="773" width="21.1640625" style="947" customWidth="1"/>
    <col min="774" max="774" width="1.83203125" style="947" customWidth="1"/>
    <col min="775" max="775" width="21.1640625" style="947" customWidth="1"/>
    <col min="776" max="776" width="1.83203125" style="947" customWidth="1"/>
    <col min="777" max="777" width="21.1640625" style="947" customWidth="1"/>
    <col min="778" max="778" width="1.83203125" style="947" customWidth="1"/>
    <col min="779" max="779" width="17.33203125" style="947" customWidth="1"/>
    <col min="780" max="780" width="1.83203125" style="947" customWidth="1"/>
    <col min="781" max="781" width="13" style="947" customWidth="1"/>
    <col min="782" max="782" width="1.83203125" style="947" customWidth="1"/>
    <col min="783" max="783" width="13.83203125" style="947" customWidth="1"/>
    <col min="784" max="1024" width="9.33203125" style="947"/>
    <col min="1025" max="1026" width="3.1640625" style="947" customWidth="1"/>
    <col min="1027" max="1027" width="48.83203125" style="947" customWidth="1"/>
    <col min="1028" max="1028" width="1.83203125" style="947" customWidth="1"/>
    <col min="1029" max="1029" width="21.1640625" style="947" customWidth="1"/>
    <col min="1030" max="1030" width="1.83203125" style="947" customWidth="1"/>
    <col min="1031" max="1031" width="21.1640625" style="947" customWidth="1"/>
    <col min="1032" max="1032" width="1.83203125" style="947" customWidth="1"/>
    <col min="1033" max="1033" width="21.1640625" style="947" customWidth="1"/>
    <col min="1034" max="1034" width="1.83203125" style="947" customWidth="1"/>
    <col min="1035" max="1035" width="17.33203125" style="947" customWidth="1"/>
    <col min="1036" max="1036" width="1.83203125" style="947" customWidth="1"/>
    <col min="1037" max="1037" width="13" style="947" customWidth="1"/>
    <col min="1038" max="1038" width="1.83203125" style="947" customWidth="1"/>
    <col min="1039" max="1039" width="13.83203125" style="947" customWidth="1"/>
    <col min="1040" max="1280" width="9.33203125" style="947"/>
    <col min="1281" max="1282" width="3.1640625" style="947" customWidth="1"/>
    <col min="1283" max="1283" width="48.83203125" style="947" customWidth="1"/>
    <col min="1284" max="1284" width="1.83203125" style="947" customWidth="1"/>
    <col min="1285" max="1285" width="21.1640625" style="947" customWidth="1"/>
    <col min="1286" max="1286" width="1.83203125" style="947" customWidth="1"/>
    <col min="1287" max="1287" width="21.1640625" style="947" customWidth="1"/>
    <col min="1288" max="1288" width="1.83203125" style="947" customWidth="1"/>
    <col min="1289" max="1289" width="21.1640625" style="947" customWidth="1"/>
    <col min="1290" max="1290" width="1.83203125" style="947" customWidth="1"/>
    <col min="1291" max="1291" width="17.33203125" style="947" customWidth="1"/>
    <col min="1292" max="1292" width="1.83203125" style="947" customWidth="1"/>
    <col min="1293" max="1293" width="13" style="947" customWidth="1"/>
    <col min="1294" max="1294" width="1.83203125" style="947" customWidth="1"/>
    <col min="1295" max="1295" width="13.83203125" style="947" customWidth="1"/>
    <col min="1296" max="1536" width="9.33203125" style="947"/>
    <col min="1537" max="1538" width="3.1640625" style="947" customWidth="1"/>
    <col min="1539" max="1539" width="48.83203125" style="947" customWidth="1"/>
    <col min="1540" max="1540" width="1.83203125" style="947" customWidth="1"/>
    <col min="1541" max="1541" width="21.1640625" style="947" customWidth="1"/>
    <col min="1542" max="1542" width="1.83203125" style="947" customWidth="1"/>
    <col min="1543" max="1543" width="21.1640625" style="947" customWidth="1"/>
    <col min="1544" max="1544" width="1.83203125" style="947" customWidth="1"/>
    <col min="1545" max="1545" width="21.1640625" style="947" customWidth="1"/>
    <col min="1546" max="1546" width="1.83203125" style="947" customWidth="1"/>
    <col min="1547" max="1547" width="17.33203125" style="947" customWidth="1"/>
    <col min="1548" max="1548" width="1.83203125" style="947" customWidth="1"/>
    <col min="1549" max="1549" width="13" style="947" customWidth="1"/>
    <col min="1550" max="1550" width="1.83203125" style="947" customWidth="1"/>
    <col min="1551" max="1551" width="13.83203125" style="947" customWidth="1"/>
    <col min="1552" max="1792" width="9.33203125" style="947"/>
    <col min="1793" max="1794" width="3.1640625" style="947" customWidth="1"/>
    <col min="1795" max="1795" width="48.83203125" style="947" customWidth="1"/>
    <col min="1796" max="1796" width="1.83203125" style="947" customWidth="1"/>
    <col min="1797" max="1797" width="21.1640625" style="947" customWidth="1"/>
    <col min="1798" max="1798" width="1.83203125" style="947" customWidth="1"/>
    <col min="1799" max="1799" width="21.1640625" style="947" customWidth="1"/>
    <col min="1800" max="1800" width="1.83203125" style="947" customWidth="1"/>
    <col min="1801" max="1801" width="21.1640625" style="947" customWidth="1"/>
    <col min="1802" max="1802" width="1.83203125" style="947" customWidth="1"/>
    <col min="1803" max="1803" width="17.33203125" style="947" customWidth="1"/>
    <col min="1804" max="1804" width="1.83203125" style="947" customWidth="1"/>
    <col min="1805" max="1805" width="13" style="947" customWidth="1"/>
    <col min="1806" max="1806" width="1.83203125" style="947" customWidth="1"/>
    <col min="1807" max="1807" width="13.83203125" style="947" customWidth="1"/>
    <col min="1808" max="2048" width="9.33203125" style="947"/>
    <col min="2049" max="2050" width="3.1640625" style="947" customWidth="1"/>
    <col min="2051" max="2051" width="48.83203125" style="947" customWidth="1"/>
    <col min="2052" max="2052" width="1.83203125" style="947" customWidth="1"/>
    <col min="2053" max="2053" width="21.1640625" style="947" customWidth="1"/>
    <col min="2054" max="2054" width="1.83203125" style="947" customWidth="1"/>
    <col min="2055" max="2055" width="21.1640625" style="947" customWidth="1"/>
    <col min="2056" max="2056" width="1.83203125" style="947" customWidth="1"/>
    <col min="2057" max="2057" width="21.1640625" style="947" customWidth="1"/>
    <col min="2058" max="2058" width="1.83203125" style="947" customWidth="1"/>
    <col min="2059" max="2059" width="17.33203125" style="947" customWidth="1"/>
    <col min="2060" max="2060" width="1.83203125" style="947" customWidth="1"/>
    <col min="2061" max="2061" width="13" style="947" customWidth="1"/>
    <col min="2062" max="2062" width="1.83203125" style="947" customWidth="1"/>
    <col min="2063" max="2063" width="13.83203125" style="947" customWidth="1"/>
    <col min="2064" max="2304" width="9.33203125" style="947"/>
    <col min="2305" max="2306" width="3.1640625" style="947" customWidth="1"/>
    <col min="2307" max="2307" width="48.83203125" style="947" customWidth="1"/>
    <col min="2308" max="2308" width="1.83203125" style="947" customWidth="1"/>
    <col min="2309" max="2309" width="21.1640625" style="947" customWidth="1"/>
    <col min="2310" max="2310" width="1.83203125" style="947" customWidth="1"/>
    <col min="2311" max="2311" width="21.1640625" style="947" customWidth="1"/>
    <col min="2312" max="2312" width="1.83203125" style="947" customWidth="1"/>
    <col min="2313" max="2313" width="21.1640625" style="947" customWidth="1"/>
    <col min="2314" max="2314" width="1.83203125" style="947" customWidth="1"/>
    <col min="2315" max="2315" width="17.33203125" style="947" customWidth="1"/>
    <col min="2316" max="2316" width="1.83203125" style="947" customWidth="1"/>
    <col min="2317" max="2317" width="13" style="947" customWidth="1"/>
    <col min="2318" max="2318" width="1.83203125" style="947" customWidth="1"/>
    <col min="2319" max="2319" width="13.83203125" style="947" customWidth="1"/>
    <col min="2320" max="2560" width="9.33203125" style="947"/>
    <col min="2561" max="2562" width="3.1640625" style="947" customWidth="1"/>
    <col min="2563" max="2563" width="48.83203125" style="947" customWidth="1"/>
    <col min="2564" max="2564" width="1.83203125" style="947" customWidth="1"/>
    <col min="2565" max="2565" width="21.1640625" style="947" customWidth="1"/>
    <col min="2566" max="2566" width="1.83203125" style="947" customWidth="1"/>
    <col min="2567" max="2567" width="21.1640625" style="947" customWidth="1"/>
    <col min="2568" max="2568" width="1.83203125" style="947" customWidth="1"/>
    <col min="2569" max="2569" width="21.1640625" style="947" customWidth="1"/>
    <col min="2570" max="2570" width="1.83203125" style="947" customWidth="1"/>
    <col min="2571" max="2571" width="17.33203125" style="947" customWidth="1"/>
    <col min="2572" max="2572" width="1.83203125" style="947" customWidth="1"/>
    <col min="2573" max="2573" width="13" style="947" customWidth="1"/>
    <col min="2574" max="2574" width="1.83203125" style="947" customWidth="1"/>
    <col min="2575" max="2575" width="13.83203125" style="947" customWidth="1"/>
    <col min="2576" max="2816" width="9.33203125" style="947"/>
    <col min="2817" max="2818" width="3.1640625" style="947" customWidth="1"/>
    <col min="2819" max="2819" width="48.83203125" style="947" customWidth="1"/>
    <col min="2820" max="2820" width="1.83203125" style="947" customWidth="1"/>
    <col min="2821" max="2821" width="21.1640625" style="947" customWidth="1"/>
    <col min="2822" max="2822" width="1.83203125" style="947" customWidth="1"/>
    <col min="2823" max="2823" width="21.1640625" style="947" customWidth="1"/>
    <col min="2824" max="2824" width="1.83203125" style="947" customWidth="1"/>
    <col min="2825" max="2825" width="21.1640625" style="947" customWidth="1"/>
    <col min="2826" max="2826" width="1.83203125" style="947" customWidth="1"/>
    <col min="2827" max="2827" width="17.33203125" style="947" customWidth="1"/>
    <col min="2828" max="2828" width="1.83203125" style="947" customWidth="1"/>
    <col min="2829" max="2829" width="13" style="947" customWidth="1"/>
    <col min="2830" max="2830" width="1.83203125" style="947" customWidth="1"/>
    <col min="2831" max="2831" width="13.83203125" style="947" customWidth="1"/>
    <col min="2832" max="3072" width="9.33203125" style="947"/>
    <col min="3073" max="3074" width="3.1640625" style="947" customWidth="1"/>
    <col min="3075" max="3075" width="48.83203125" style="947" customWidth="1"/>
    <col min="3076" max="3076" width="1.83203125" style="947" customWidth="1"/>
    <col min="3077" max="3077" width="21.1640625" style="947" customWidth="1"/>
    <col min="3078" max="3078" width="1.83203125" style="947" customWidth="1"/>
    <col min="3079" max="3079" width="21.1640625" style="947" customWidth="1"/>
    <col min="3080" max="3080" width="1.83203125" style="947" customWidth="1"/>
    <col min="3081" max="3081" width="21.1640625" style="947" customWidth="1"/>
    <col min="3082" max="3082" width="1.83203125" style="947" customWidth="1"/>
    <col min="3083" max="3083" width="17.33203125" style="947" customWidth="1"/>
    <col min="3084" max="3084" width="1.83203125" style="947" customWidth="1"/>
    <col min="3085" max="3085" width="13" style="947" customWidth="1"/>
    <col min="3086" max="3086" width="1.83203125" style="947" customWidth="1"/>
    <col min="3087" max="3087" width="13.83203125" style="947" customWidth="1"/>
    <col min="3088" max="3328" width="9.33203125" style="947"/>
    <col min="3329" max="3330" width="3.1640625" style="947" customWidth="1"/>
    <col min="3331" max="3331" width="48.83203125" style="947" customWidth="1"/>
    <col min="3332" max="3332" width="1.83203125" style="947" customWidth="1"/>
    <col min="3333" max="3333" width="21.1640625" style="947" customWidth="1"/>
    <col min="3334" max="3334" width="1.83203125" style="947" customWidth="1"/>
    <col min="3335" max="3335" width="21.1640625" style="947" customWidth="1"/>
    <col min="3336" max="3336" width="1.83203125" style="947" customWidth="1"/>
    <col min="3337" max="3337" width="21.1640625" style="947" customWidth="1"/>
    <col min="3338" max="3338" width="1.83203125" style="947" customWidth="1"/>
    <col min="3339" max="3339" width="17.33203125" style="947" customWidth="1"/>
    <col min="3340" max="3340" width="1.83203125" style="947" customWidth="1"/>
    <col min="3341" max="3341" width="13" style="947" customWidth="1"/>
    <col min="3342" max="3342" width="1.83203125" style="947" customWidth="1"/>
    <col min="3343" max="3343" width="13.83203125" style="947" customWidth="1"/>
    <col min="3344" max="3584" width="9.33203125" style="947"/>
    <col min="3585" max="3586" width="3.1640625" style="947" customWidth="1"/>
    <col min="3587" max="3587" width="48.83203125" style="947" customWidth="1"/>
    <col min="3588" max="3588" width="1.83203125" style="947" customWidth="1"/>
    <col min="3589" max="3589" width="21.1640625" style="947" customWidth="1"/>
    <col min="3590" max="3590" width="1.83203125" style="947" customWidth="1"/>
    <col min="3591" max="3591" width="21.1640625" style="947" customWidth="1"/>
    <col min="3592" max="3592" width="1.83203125" style="947" customWidth="1"/>
    <col min="3593" max="3593" width="21.1640625" style="947" customWidth="1"/>
    <col min="3594" max="3594" width="1.83203125" style="947" customWidth="1"/>
    <col min="3595" max="3595" width="17.33203125" style="947" customWidth="1"/>
    <col min="3596" max="3596" width="1.83203125" style="947" customWidth="1"/>
    <col min="3597" max="3597" width="13" style="947" customWidth="1"/>
    <col min="3598" max="3598" width="1.83203125" style="947" customWidth="1"/>
    <col min="3599" max="3599" width="13.83203125" style="947" customWidth="1"/>
    <col min="3600" max="3840" width="9.33203125" style="947"/>
    <col min="3841" max="3842" width="3.1640625" style="947" customWidth="1"/>
    <col min="3843" max="3843" width="48.83203125" style="947" customWidth="1"/>
    <col min="3844" max="3844" width="1.83203125" style="947" customWidth="1"/>
    <col min="3845" max="3845" width="21.1640625" style="947" customWidth="1"/>
    <col min="3846" max="3846" width="1.83203125" style="947" customWidth="1"/>
    <col min="3847" max="3847" width="21.1640625" style="947" customWidth="1"/>
    <col min="3848" max="3848" width="1.83203125" style="947" customWidth="1"/>
    <col min="3849" max="3849" width="21.1640625" style="947" customWidth="1"/>
    <col min="3850" max="3850" width="1.83203125" style="947" customWidth="1"/>
    <col min="3851" max="3851" width="17.33203125" style="947" customWidth="1"/>
    <col min="3852" max="3852" width="1.83203125" style="947" customWidth="1"/>
    <col min="3853" max="3853" width="13" style="947" customWidth="1"/>
    <col min="3854" max="3854" width="1.83203125" style="947" customWidth="1"/>
    <col min="3855" max="3855" width="13.83203125" style="947" customWidth="1"/>
    <col min="3856" max="4096" width="9.33203125" style="947"/>
    <col min="4097" max="4098" width="3.1640625" style="947" customWidth="1"/>
    <col min="4099" max="4099" width="48.83203125" style="947" customWidth="1"/>
    <col min="4100" max="4100" width="1.83203125" style="947" customWidth="1"/>
    <col min="4101" max="4101" width="21.1640625" style="947" customWidth="1"/>
    <col min="4102" max="4102" width="1.83203125" style="947" customWidth="1"/>
    <col min="4103" max="4103" width="21.1640625" style="947" customWidth="1"/>
    <col min="4104" max="4104" width="1.83203125" style="947" customWidth="1"/>
    <col min="4105" max="4105" width="21.1640625" style="947" customWidth="1"/>
    <col min="4106" max="4106" width="1.83203125" style="947" customWidth="1"/>
    <col min="4107" max="4107" width="17.33203125" style="947" customWidth="1"/>
    <col min="4108" max="4108" width="1.83203125" style="947" customWidth="1"/>
    <col min="4109" max="4109" width="13" style="947" customWidth="1"/>
    <col min="4110" max="4110" width="1.83203125" style="947" customWidth="1"/>
    <col min="4111" max="4111" width="13.83203125" style="947" customWidth="1"/>
    <col min="4112" max="4352" width="9.33203125" style="947"/>
    <col min="4353" max="4354" width="3.1640625" style="947" customWidth="1"/>
    <col min="4355" max="4355" width="48.83203125" style="947" customWidth="1"/>
    <col min="4356" max="4356" width="1.83203125" style="947" customWidth="1"/>
    <col min="4357" max="4357" width="21.1640625" style="947" customWidth="1"/>
    <col min="4358" max="4358" width="1.83203125" style="947" customWidth="1"/>
    <col min="4359" max="4359" width="21.1640625" style="947" customWidth="1"/>
    <col min="4360" max="4360" width="1.83203125" style="947" customWidth="1"/>
    <col min="4361" max="4361" width="21.1640625" style="947" customWidth="1"/>
    <col min="4362" max="4362" width="1.83203125" style="947" customWidth="1"/>
    <col min="4363" max="4363" width="17.33203125" style="947" customWidth="1"/>
    <col min="4364" max="4364" width="1.83203125" style="947" customWidth="1"/>
    <col min="4365" max="4365" width="13" style="947" customWidth="1"/>
    <col min="4366" max="4366" width="1.83203125" style="947" customWidth="1"/>
    <col min="4367" max="4367" width="13.83203125" style="947" customWidth="1"/>
    <col min="4368" max="4608" width="9.33203125" style="947"/>
    <col min="4609" max="4610" width="3.1640625" style="947" customWidth="1"/>
    <col min="4611" max="4611" width="48.83203125" style="947" customWidth="1"/>
    <col min="4612" max="4612" width="1.83203125" style="947" customWidth="1"/>
    <col min="4613" max="4613" width="21.1640625" style="947" customWidth="1"/>
    <col min="4614" max="4614" width="1.83203125" style="947" customWidth="1"/>
    <col min="4615" max="4615" width="21.1640625" style="947" customWidth="1"/>
    <col min="4616" max="4616" width="1.83203125" style="947" customWidth="1"/>
    <col min="4617" max="4617" width="21.1640625" style="947" customWidth="1"/>
    <col min="4618" max="4618" width="1.83203125" style="947" customWidth="1"/>
    <col min="4619" max="4619" width="17.33203125" style="947" customWidth="1"/>
    <col min="4620" max="4620" width="1.83203125" style="947" customWidth="1"/>
    <col min="4621" max="4621" width="13" style="947" customWidth="1"/>
    <col min="4622" max="4622" width="1.83203125" style="947" customWidth="1"/>
    <col min="4623" max="4623" width="13.83203125" style="947" customWidth="1"/>
    <col min="4624" max="4864" width="9.33203125" style="947"/>
    <col min="4865" max="4866" width="3.1640625" style="947" customWidth="1"/>
    <col min="4867" max="4867" width="48.83203125" style="947" customWidth="1"/>
    <col min="4868" max="4868" width="1.83203125" style="947" customWidth="1"/>
    <col min="4869" max="4869" width="21.1640625" style="947" customWidth="1"/>
    <col min="4870" max="4870" width="1.83203125" style="947" customWidth="1"/>
    <col min="4871" max="4871" width="21.1640625" style="947" customWidth="1"/>
    <col min="4872" max="4872" width="1.83203125" style="947" customWidth="1"/>
    <col min="4873" max="4873" width="21.1640625" style="947" customWidth="1"/>
    <col min="4874" max="4874" width="1.83203125" style="947" customWidth="1"/>
    <col min="4875" max="4875" width="17.33203125" style="947" customWidth="1"/>
    <col min="4876" max="4876" width="1.83203125" style="947" customWidth="1"/>
    <col min="4877" max="4877" width="13" style="947" customWidth="1"/>
    <col min="4878" max="4878" width="1.83203125" style="947" customWidth="1"/>
    <col min="4879" max="4879" width="13.83203125" style="947" customWidth="1"/>
    <col min="4880" max="5120" width="9.33203125" style="947"/>
    <col min="5121" max="5122" width="3.1640625" style="947" customWidth="1"/>
    <col min="5123" max="5123" width="48.83203125" style="947" customWidth="1"/>
    <col min="5124" max="5124" width="1.83203125" style="947" customWidth="1"/>
    <col min="5125" max="5125" width="21.1640625" style="947" customWidth="1"/>
    <col min="5126" max="5126" width="1.83203125" style="947" customWidth="1"/>
    <col min="5127" max="5127" width="21.1640625" style="947" customWidth="1"/>
    <col min="5128" max="5128" width="1.83203125" style="947" customWidth="1"/>
    <col min="5129" max="5129" width="21.1640625" style="947" customWidth="1"/>
    <col min="5130" max="5130" width="1.83203125" style="947" customWidth="1"/>
    <col min="5131" max="5131" width="17.33203125" style="947" customWidth="1"/>
    <col min="5132" max="5132" width="1.83203125" style="947" customWidth="1"/>
    <col min="5133" max="5133" width="13" style="947" customWidth="1"/>
    <col min="5134" max="5134" width="1.83203125" style="947" customWidth="1"/>
    <col min="5135" max="5135" width="13.83203125" style="947" customWidth="1"/>
    <col min="5136" max="5376" width="9.33203125" style="947"/>
    <col min="5377" max="5378" width="3.1640625" style="947" customWidth="1"/>
    <col min="5379" max="5379" width="48.83203125" style="947" customWidth="1"/>
    <col min="5380" max="5380" width="1.83203125" style="947" customWidth="1"/>
    <col min="5381" max="5381" width="21.1640625" style="947" customWidth="1"/>
    <col min="5382" max="5382" width="1.83203125" style="947" customWidth="1"/>
    <col min="5383" max="5383" width="21.1640625" style="947" customWidth="1"/>
    <col min="5384" max="5384" width="1.83203125" style="947" customWidth="1"/>
    <col min="5385" max="5385" width="21.1640625" style="947" customWidth="1"/>
    <col min="5386" max="5386" width="1.83203125" style="947" customWidth="1"/>
    <col min="5387" max="5387" width="17.33203125" style="947" customWidth="1"/>
    <col min="5388" max="5388" width="1.83203125" style="947" customWidth="1"/>
    <col min="5389" max="5389" width="13" style="947" customWidth="1"/>
    <col min="5390" max="5390" width="1.83203125" style="947" customWidth="1"/>
    <col min="5391" max="5391" width="13.83203125" style="947" customWidth="1"/>
    <col min="5392" max="5632" width="9.33203125" style="947"/>
    <col min="5633" max="5634" width="3.1640625" style="947" customWidth="1"/>
    <col min="5635" max="5635" width="48.83203125" style="947" customWidth="1"/>
    <col min="5636" max="5636" width="1.83203125" style="947" customWidth="1"/>
    <col min="5637" max="5637" width="21.1640625" style="947" customWidth="1"/>
    <col min="5638" max="5638" width="1.83203125" style="947" customWidth="1"/>
    <col min="5639" max="5639" width="21.1640625" style="947" customWidth="1"/>
    <col min="5640" max="5640" width="1.83203125" style="947" customWidth="1"/>
    <col min="5641" max="5641" width="21.1640625" style="947" customWidth="1"/>
    <col min="5642" max="5642" width="1.83203125" style="947" customWidth="1"/>
    <col min="5643" max="5643" width="17.33203125" style="947" customWidth="1"/>
    <col min="5644" max="5644" width="1.83203125" style="947" customWidth="1"/>
    <col min="5645" max="5645" width="13" style="947" customWidth="1"/>
    <col min="5646" max="5646" width="1.83203125" style="947" customWidth="1"/>
    <col min="5647" max="5647" width="13.83203125" style="947" customWidth="1"/>
    <col min="5648" max="5888" width="9.33203125" style="947"/>
    <col min="5889" max="5890" width="3.1640625" style="947" customWidth="1"/>
    <col min="5891" max="5891" width="48.83203125" style="947" customWidth="1"/>
    <col min="5892" max="5892" width="1.83203125" style="947" customWidth="1"/>
    <col min="5893" max="5893" width="21.1640625" style="947" customWidth="1"/>
    <col min="5894" max="5894" width="1.83203125" style="947" customWidth="1"/>
    <col min="5895" max="5895" width="21.1640625" style="947" customWidth="1"/>
    <col min="5896" max="5896" width="1.83203125" style="947" customWidth="1"/>
    <col min="5897" max="5897" width="21.1640625" style="947" customWidth="1"/>
    <col min="5898" max="5898" width="1.83203125" style="947" customWidth="1"/>
    <col min="5899" max="5899" width="17.33203125" style="947" customWidth="1"/>
    <col min="5900" max="5900" width="1.83203125" style="947" customWidth="1"/>
    <col min="5901" max="5901" width="13" style="947" customWidth="1"/>
    <col min="5902" max="5902" width="1.83203125" style="947" customWidth="1"/>
    <col min="5903" max="5903" width="13.83203125" style="947" customWidth="1"/>
    <col min="5904" max="6144" width="9.33203125" style="947"/>
    <col min="6145" max="6146" width="3.1640625" style="947" customWidth="1"/>
    <col min="6147" max="6147" width="48.83203125" style="947" customWidth="1"/>
    <col min="6148" max="6148" width="1.83203125" style="947" customWidth="1"/>
    <col min="6149" max="6149" width="21.1640625" style="947" customWidth="1"/>
    <col min="6150" max="6150" width="1.83203125" style="947" customWidth="1"/>
    <col min="6151" max="6151" width="21.1640625" style="947" customWidth="1"/>
    <col min="6152" max="6152" width="1.83203125" style="947" customWidth="1"/>
    <col min="6153" max="6153" width="21.1640625" style="947" customWidth="1"/>
    <col min="6154" max="6154" width="1.83203125" style="947" customWidth="1"/>
    <col min="6155" max="6155" width="17.33203125" style="947" customWidth="1"/>
    <col min="6156" max="6156" width="1.83203125" style="947" customWidth="1"/>
    <col min="6157" max="6157" width="13" style="947" customWidth="1"/>
    <col min="6158" max="6158" width="1.83203125" style="947" customWidth="1"/>
    <col min="6159" max="6159" width="13.83203125" style="947" customWidth="1"/>
    <col min="6160" max="6400" width="9.33203125" style="947"/>
    <col min="6401" max="6402" width="3.1640625" style="947" customWidth="1"/>
    <col min="6403" max="6403" width="48.83203125" style="947" customWidth="1"/>
    <col min="6404" max="6404" width="1.83203125" style="947" customWidth="1"/>
    <col min="6405" max="6405" width="21.1640625" style="947" customWidth="1"/>
    <col min="6406" max="6406" width="1.83203125" style="947" customWidth="1"/>
    <col min="6407" max="6407" width="21.1640625" style="947" customWidth="1"/>
    <col min="6408" max="6408" width="1.83203125" style="947" customWidth="1"/>
    <col min="6409" max="6409" width="21.1640625" style="947" customWidth="1"/>
    <col min="6410" max="6410" width="1.83203125" style="947" customWidth="1"/>
    <col min="6411" max="6411" width="17.33203125" style="947" customWidth="1"/>
    <col min="6412" max="6412" width="1.83203125" style="947" customWidth="1"/>
    <col min="6413" max="6413" width="13" style="947" customWidth="1"/>
    <col min="6414" max="6414" width="1.83203125" style="947" customWidth="1"/>
    <col min="6415" max="6415" width="13.83203125" style="947" customWidth="1"/>
    <col min="6416" max="6656" width="9.33203125" style="947"/>
    <col min="6657" max="6658" width="3.1640625" style="947" customWidth="1"/>
    <col min="6659" max="6659" width="48.83203125" style="947" customWidth="1"/>
    <col min="6660" max="6660" width="1.83203125" style="947" customWidth="1"/>
    <col min="6661" max="6661" width="21.1640625" style="947" customWidth="1"/>
    <col min="6662" max="6662" width="1.83203125" style="947" customWidth="1"/>
    <col min="6663" max="6663" width="21.1640625" style="947" customWidth="1"/>
    <col min="6664" max="6664" width="1.83203125" style="947" customWidth="1"/>
    <col min="6665" max="6665" width="21.1640625" style="947" customWidth="1"/>
    <col min="6666" max="6666" width="1.83203125" style="947" customWidth="1"/>
    <col min="6667" max="6667" width="17.33203125" style="947" customWidth="1"/>
    <col min="6668" max="6668" width="1.83203125" style="947" customWidth="1"/>
    <col min="6669" max="6669" width="13" style="947" customWidth="1"/>
    <col min="6670" max="6670" width="1.83203125" style="947" customWidth="1"/>
    <col min="6671" max="6671" width="13.83203125" style="947" customWidth="1"/>
    <col min="6672" max="6912" width="9.33203125" style="947"/>
    <col min="6913" max="6914" width="3.1640625" style="947" customWidth="1"/>
    <col min="6915" max="6915" width="48.83203125" style="947" customWidth="1"/>
    <col min="6916" max="6916" width="1.83203125" style="947" customWidth="1"/>
    <col min="6917" max="6917" width="21.1640625" style="947" customWidth="1"/>
    <col min="6918" max="6918" width="1.83203125" style="947" customWidth="1"/>
    <col min="6919" max="6919" width="21.1640625" style="947" customWidth="1"/>
    <col min="6920" max="6920" width="1.83203125" style="947" customWidth="1"/>
    <col min="6921" max="6921" width="21.1640625" style="947" customWidth="1"/>
    <col min="6922" max="6922" width="1.83203125" style="947" customWidth="1"/>
    <col min="6923" max="6923" width="17.33203125" style="947" customWidth="1"/>
    <col min="6924" max="6924" width="1.83203125" style="947" customWidth="1"/>
    <col min="6925" max="6925" width="13" style="947" customWidth="1"/>
    <col min="6926" max="6926" width="1.83203125" style="947" customWidth="1"/>
    <col min="6927" max="6927" width="13.83203125" style="947" customWidth="1"/>
    <col min="6928" max="7168" width="9.33203125" style="947"/>
    <col min="7169" max="7170" width="3.1640625" style="947" customWidth="1"/>
    <col min="7171" max="7171" width="48.83203125" style="947" customWidth="1"/>
    <col min="7172" max="7172" width="1.83203125" style="947" customWidth="1"/>
    <col min="7173" max="7173" width="21.1640625" style="947" customWidth="1"/>
    <col min="7174" max="7174" width="1.83203125" style="947" customWidth="1"/>
    <col min="7175" max="7175" width="21.1640625" style="947" customWidth="1"/>
    <col min="7176" max="7176" width="1.83203125" style="947" customWidth="1"/>
    <col min="7177" max="7177" width="21.1640625" style="947" customWidth="1"/>
    <col min="7178" max="7178" width="1.83203125" style="947" customWidth="1"/>
    <col min="7179" max="7179" width="17.33203125" style="947" customWidth="1"/>
    <col min="7180" max="7180" width="1.83203125" style="947" customWidth="1"/>
    <col min="7181" max="7181" width="13" style="947" customWidth="1"/>
    <col min="7182" max="7182" width="1.83203125" style="947" customWidth="1"/>
    <col min="7183" max="7183" width="13.83203125" style="947" customWidth="1"/>
    <col min="7184" max="7424" width="9.33203125" style="947"/>
    <col min="7425" max="7426" width="3.1640625" style="947" customWidth="1"/>
    <col min="7427" max="7427" width="48.83203125" style="947" customWidth="1"/>
    <col min="7428" max="7428" width="1.83203125" style="947" customWidth="1"/>
    <col min="7429" max="7429" width="21.1640625" style="947" customWidth="1"/>
    <col min="7430" max="7430" width="1.83203125" style="947" customWidth="1"/>
    <col min="7431" max="7431" width="21.1640625" style="947" customWidth="1"/>
    <col min="7432" max="7432" width="1.83203125" style="947" customWidth="1"/>
    <col min="7433" max="7433" width="21.1640625" style="947" customWidth="1"/>
    <col min="7434" max="7434" width="1.83203125" style="947" customWidth="1"/>
    <col min="7435" max="7435" width="17.33203125" style="947" customWidth="1"/>
    <col min="7436" max="7436" width="1.83203125" style="947" customWidth="1"/>
    <col min="7437" max="7437" width="13" style="947" customWidth="1"/>
    <col min="7438" max="7438" width="1.83203125" style="947" customWidth="1"/>
    <col min="7439" max="7439" width="13.83203125" style="947" customWidth="1"/>
    <col min="7440" max="7680" width="9.33203125" style="947"/>
    <col min="7681" max="7682" width="3.1640625" style="947" customWidth="1"/>
    <col min="7683" max="7683" width="48.83203125" style="947" customWidth="1"/>
    <col min="7684" max="7684" width="1.83203125" style="947" customWidth="1"/>
    <col min="7685" max="7685" width="21.1640625" style="947" customWidth="1"/>
    <col min="7686" max="7686" width="1.83203125" style="947" customWidth="1"/>
    <col min="7687" max="7687" width="21.1640625" style="947" customWidth="1"/>
    <col min="7688" max="7688" width="1.83203125" style="947" customWidth="1"/>
    <col min="7689" max="7689" width="21.1640625" style="947" customWidth="1"/>
    <col min="7690" max="7690" width="1.83203125" style="947" customWidth="1"/>
    <col min="7691" max="7691" width="17.33203125" style="947" customWidth="1"/>
    <col min="7692" max="7692" width="1.83203125" style="947" customWidth="1"/>
    <col min="7693" max="7693" width="13" style="947" customWidth="1"/>
    <col min="7694" max="7694" width="1.83203125" style="947" customWidth="1"/>
    <col min="7695" max="7695" width="13.83203125" style="947" customWidth="1"/>
    <col min="7696" max="7936" width="9.33203125" style="947"/>
    <col min="7937" max="7938" width="3.1640625" style="947" customWidth="1"/>
    <col min="7939" max="7939" width="48.83203125" style="947" customWidth="1"/>
    <col min="7940" max="7940" width="1.83203125" style="947" customWidth="1"/>
    <col min="7941" max="7941" width="21.1640625" style="947" customWidth="1"/>
    <col min="7942" max="7942" width="1.83203125" style="947" customWidth="1"/>
    <col min="7943" max="7943" width="21.1640625" style="947" customWidth="1"/>
    <col min="7944" max="7944" width="1.83203125" style="947" customWidth="1"/>
    <col min="7945" max="7945" width="21.1640625" style="947" customWidth="1"/>
    <col min="7946" max="7946" width="1.83203125" style="947" customWidth="1"/>
    <col min="7947" max="7947" width="17.33203125" style="947" customWidth="1"/>
    <col min="7948" max="7948" width="1.83203125" style="947" customWidth="1"/>
    <col min="7949" max="7949" width="13" style="947" customWidth="1"/>
    <col min="7950" max="7950" width="1.83203125" style="947" customWidth="1"/>
    <col min="7951" max="7951" width="13.83203125" style="947" customWidth="1"/>
    <col min="7952" max="8192" width="9.33203125" style="947"/>
    <col min="8193" max="8194" width="3.1640625" style="947" customWidth="1"/>
    <col min="8195" max="8195" width="48.83203125" style="947" customWidth="1"/>
    <col min="8196" max="8196" width="1.83203125" style="947" customWidth="1"/>
    <col min="8197" max="8197" width="21.1640625" style="947" customWidth="1"/>
    <col min="8198" max="8198" width="1.83203125" style="947" customWidth="1"/>
    <col min="8199" max="8199" width="21.1640625" style="947" customWidth="1"/>
    <col min="8200" max="8200" width="1.83203125" style="947" customWidth="1"/>
    <col min="8201" max="8201" width="21.1640625" style="947" customWidth="1"/>
    <col min="8202" max="8202" width="1.83203125" style="947" customWidth="1"/>
    <col min="8203" max="8203" width="17.33203125" style="947" customWidth="1"/>
    <col min="8204" max="8204" width="1.83203125" style="947" customWidth="1"/>
    <col min="8205" max="8205" width="13" style="947" customWidth="1"/>
    <col min="8206" max="8206" width="1.83203125" style="947" customWidth="1"/>
    <col min="8207" max="8207" width="13.83203125" style="947" customWidth="1"/>
    <col min="8208" max="8448" width="9.33203125" style="947"/>
    <col min="8449" max="8450" width="3.1640625" style="947" customWidth="1"/>
    <col min="8451" max="8451" width="48.83203125" style="947" customWidth="1"/>
    <col min="8452" max="8452" width="1.83203125" style="947" customWidth="1"/>
    <col min="8453" max="8453" width="21.1640625" style="947" customWidth="1"/>
    <col min="8454" max="8454" width="1.83203125" style="947" customWidth="1"/>
    <col min="8455" max="8455" width="21.1640625" style="947" customWidth="1"/>
    <col min="8456" max="8456" width="1.83203125" style="947" customWidth="1"/>
    <col min="8457" max="8457" width="21.1640625" style="947" customWidth="1"/>
    <col min="8458" max="8458" width="1.83203125" style="947" customWidth="1"/>
    <col min="8459" max="8459" width="17.33203125" style="947" customWidth="1"/>
    <col min="8460" max="8460" width="1.83203125" style="947" customWidth="1"/>
    <col min="8461" max="8461" width="13" style="947" customWidth="1"/>
    <col min="8462" max="8462" width="1.83203125" style="947" customWidth="1"/>
    <col min="8463" max="8463" width="13.83203125" style="947" customWidth="1"/>
    <col min="8464" max="8704" width="9.33203125" style="947"/>
    <col min="8705" max="8706" width="3.1640625" style="947" customWidth="1"/>
    <col min="8707" max="8707" width="48.83203125" style="947" customWidth="1"/>
    <col min="8708" max="8708" width="1.83203125" style="947" customWidth="1"/>
    <col min="8709" max="8709" width="21.1640625" style="947" customWidth="1"/>
    <col min="8710" max="8710" width="1.83203125" style="947" customWidth="1"/>
    <col min="8711" max="8711" width="21.1640625" style="947" customWidth="1"/>
    <col min="8712" max="8712" width="1.83203125" style="947" customWidth="1"/>
    <col min="8713" max="8713" width="21.1640625" style="947" customWidth="1"/>
    <col min="8714" max="8714" width="1.83203125" style="947" customWidth="1"/>
    <col min="8715" max="8715" width="17.33203125" style="947" customWidth="1"/>
    <col min="8716" max="8716" width="1.83203125" style="947" customWidth="1"/>
    <col min="8717" max="8717" width="13" style="947" customWidth="1"/>
    <col min="8718" max="8718" width="1.83203125" style="947" customWidth="1"/>
    <col min="8719" max="8719" width="13.83203125" style="947" customWidth="1"/>
    <col min="8720" max="8960" width="9.33203125" style="947"/>
    <col min="8961" max="8962" width="3.1640625" style="947" customWidth="1"/>
    <col min="8963" max="8963" width="48.83203125" style="947" customWidth="1"/>
    <col min="8964" max="8964" width="1.83203125" style="947" customWidth="1"/>
    <col min="8965" max="8965" width="21.1640625" style="947" customWidth="1"/>
    <col min="8966" max="8966" width="1.83203125" style="947" customWidth="1"/>
    <col min="8967" max="8967" width="21.1640625" style="947" customWidth="1"/>
    <col min="8968" max="8968" width="1.83203125" style="947" customWidth="1"/>
    <col min="8969" max="8969" width="21.1640625" style="947" customWidth="1"/>
    <col min="8970" max="8970" width="1.83203125" style="947" customWidth="1"/>
    <col min="8971" max="8971" width="17.33203125" style="947" customWidth="1"/>
    <col min="8972" max="8972" width="1.83203125" style="947" customWidth="1"/>
    <col min="8973" max="8973" width="13" style="947" customWidth="1"/>
    <col min="8974" max="8974" width="1.83203125" style="947" customWidth="1"/>
    <col min="8975" max="8975" width="13.83203125" style="947" customWidth="1"/>
    <col min="8976" max="9216" width="9.33203125" style="947"/>
    <col min="9217" max="9218" width="3.1640625" style="947" customWidth="1"/>
    <col min="9219" max="9219" width="48.83203125" style="947" customWidth="1"/>
    <col min="9220" max="9220" width="1.83203125" style="947" customWidth="1"/>
    <col min="9221" max="9221" width="21.1640625" style="947" customWidth="1"/>
    <col min="9222" max="9222" width="1.83203125" style="947" customWidth="1"/>
    <col min="9223" max="9223" width="21.1640625" style="947" customWidth="1"/>
    <col min="9224" max="9224" width="1.83203125" style="947" customWidth="1"/>
    <col min="9225" max="9225" width="21.1640625" style="947" customWidth="1"/>
    <col min="9226" max="9226" width="1.83203125" style="947" customWidth="1"/>
    <col min="9227" max="9227" width="17.33203125" style="947" customWidth="1"/>
    <col min="9228" max="9228" width="1.83203125" style="947" customWidth="1"/>
    <col min="9229" max="9229" width="13" style="947" customWidth="1"/>
    <col min="9230" max="9230" width="1.83203125" style="947" customWidth="1"/>
    <col min="9231" max="9231" width="13.83203125" style="947" customWidth="1"/>
    <col min="9232" max="9472" width="9.33203125" style="947"/>
    <col min="9473" max="9474" width="3.1640625" style="947" customWidth="1"/>
    <col min="9475" max="9475" width="48.83203125" style="947" customWidth="1"/>
    <col min="9476" max="9476" width="1.83203125" style="947" customWidth="1"/>
    <col min="9477" max="9477" width="21.1640625" style="947" customWidth="1"/>
    <col min="9478" max="9478" width="1.83203125" style="947" customWidth="1"/>
    <col min="9479" max="9479" width="21.1640625" style="947" customWidth="1"/>
    <col min="9480" max="9480" width="1.83203125" style="947" customWidth="1"/>
    <col min="9481" max="9481" width="21.1640625" style="947" customWidth="1"/>
    <col min="9482" max="9482" width="1.83203125" style="947" customWidth="1"/>
    <col min="9483" max="9483" width="17.33203125" style="947" customWidth="1"/>
    <col min="9484" max="9484" width="1.83203125" style="947" customWidth="1"/>
    <col min="9485" max="9485" width="13" style="947" customWidth="1"/>
    <col min="9486" max="9486" width="1.83203125" style="947" customWidth="1"/>
    <col min="9487" max="9487" width="13.83203125" style="947" customWidth="1"/>
    <col min="9488" max="9728" width="9.33203125" style="947"/>
    <col min="9729" max="9730" width="3.1640625" style="947" customWidth="1"/>
    <col min="9731" max="9731" width="48.83203125" style="947" customWidth="1"/>
    <col min="9732" max="9732" width="1.83203125" style="947" customWidth="1"/>
    <col min="9733" max="9733" width="21.1640625" style="947" customWidth="1"/>
    <col min="9734" max="9734" width="1.83203125" style="947" customWidth="1"/>
    <col min="9735" max="9735" width="21.1640625" style="947" customWidth="1"/>
    <col min="9736" max="9736" width="1.83203125" style="947" customWidth="1"/>
    <col min="9737" max="9737" width="21.1640625" style="947" customWidth="1"/>
    <col min="9738" max="9738" width="1.83203125" style="947" customWidth="1"/>
    <col min="9739" max="9739" width="17.33203125" style="947" customWidth="1"/>
    <col min="9740" max="9740" width="1.83203125" style="947" customWidth="1"/>
    <col min="9741" max="9741" width="13" style="947" customWidth="1"/>
    <col min="9742" max="9742" width="1.83203125" style="947" customWidth="1"/>
    <col min="9743" max="9743" width="13.83203125" style="947" customWidth="1"/>
    <col min="9744" max="9984" width="9.33203125" style="947"/>
    <col min="9985" max="9986" width="3.1640625" style="947" customWidth="1"/>
    <col min="9987" max="9987" width="48.83203125" style="947" customWidth="1"/>
    <col min="9988" max="9988" width="1.83203125" style="947" customWidth="1"/>
    <col min="9989" max="9989" width="21.1640625" style="947" customWidth="1"/>
    <col min="9990" max="9990" width="1.83203125" style="947" customWidth="1"/>
    <col min="9991" max="9991" width="21.1640625" style="947" customWidth="1"/>
    <col min="9992" max="9992" width="1.83203125" style="947" customWidth="1"/>
    <col min="9993" max="9993" width="21.1640625" style="947" customWidth="1"/>
    <col min="9994" max="9994" width="1.83203125" style="947" customWidth="1"/>
    <col min="9995" max="9995" width="17.33203125" style="947" customWidth="1"/>
    <col min="9996" max="9996" width="1.83203125" style="947" customWidth="1"/>
    <col min="9997" max="9997" width="13" style="947" customWidth="1"/>
    <col min="9998" max="9998" width="1.83203125" style="947" customWidth="1"/>
    <col min="9999" max="9999" width="13.83203125" style="947" customWidth="1"/>
    <col min="10000" max="10240" width="9.33203125" style="947"/>
    <col min="10241" max="10242" width="3.1640625" style="947" customWidth="1"/>
    <col min="10243" max="10243" width="48.83203125" style="947" customWidth="1"/>
    <col min="10244" max="10244" width="1.83203125" style="947" customWidth="1"/>
    <col min="10245" max="10245" width="21.1640625" style="947" customWidth="1"/>
    <col min="10246" max="10246" width="1.83203125" style="947" customWidth="1"/>
    <col min="10247" max="10247" width="21.1640625" style="947" customWidth="1"/>
    <col min="10248" max="10248" width="1.83203125" style="947" customWidth="1"/>
    <col min="10249" max="10249" width="21.1640625" style="947" customWidth="1"/>
    <col min="10250" max="10250" width="1.83203125" style="947" customWidth="1"/>
    <col min="10251" max="10251" width="17.33203125" style="947" customWidth="1"/>
    <col min="10252" max="10252" width="1.83203125" style="947" customWidth="1"/>
    <col min="10253" max="10253" width="13" style="947" customWidth="1"/>
    <col min="10254" max="10254" width="1.83203125" style="947" customWidth="1"/>
    <col min="10255" max="10255" width="13.83203125" style="947" customWidth="1"/>
    <col min="10256" max="10496" width="9.33203125" style="947"/>
    <col min="10497" max="10498" width="3.1640625" style="947" customWidth="1"/>
    <col min="10499" max="10499" width="48.83203125" style="947" customWidth="1"/>
    <col min="10500" max="10500" width="1.83203125" style="947" customWidth="1"/>
    <col min="10501" max="10501" width="21.1640625" style="947" customWidth="1"/>
    <col min="10502" max="10502" width="1.83203125" style="947" customWidth="1"/>
    <col min="10503" max="10503" width="21.1640625" style="947" customWidth="1"/>
    <col min="10504" max="10504" width="1.83203125" style="947" customWidth="1"/>
    <col min="10505" max="10505" width="21.1640625" style="947" customWidth="1"/>
    <col min="10506" max="10506" width="1.83203125" style="947" customWidth="1"/>
    <col min="10507" max="10507" width="17.33203125" style="947" customWidth="1"/>
    <col min="10508" max="10508" width="1.83203125" style="947" customWidth="1"/>
    <col min="10509" max="10509" width="13" style="947" customWidth="1"/>
    <col min="10510" max="10510" width="1.83203125" style="947" customWidth="1"/>
    <col min="10511" max="10511" width="13.83203125" style="947" customWidth="1"/>
    <col min="10512" max="10752" width="9.33203125" style="947"/>
    <col min="10753" max="10754" width="3.1640625" style="947" customWidth="1"/>
    <col min="10755" max="10755" width="48.83203125" style="947" customWidth="1"/>
    <col min="10756" max="10756" width="1.83203125" style="947" customWidth="1"/>
    <col min="10757" max="10757" width="21.1640625" style="947" customWidth="1"/>
    <col min="10758" max="10758" width="1.83203125" style="947" customWidth="1"/>
    <col min="10759" max="10759" width="21.1640625" style="947" customWidth="1"/>
    <col min="10760" max="10760" width="1.83203125" style="947" customWidth="1"/>
    <col min="10761" max="10761" width="21.1640625" style="947" customWidth="1"/>
    <col min="10762" max="10762" width="1.83203125" style="947" customWidth="1"/>
    <col min="10763" max="10763" width="17.33203125" style="947" customWidth="1"/>
    <col min="10764" max="10764" width="1.83203125" style="947" customWidth="1"/>
    <col min="10765" max="10765" width="13" style="947" customWidth="1"/>
    <col min="10766" max="10766" width="1.83203125" style="947" customWidth="1"/>
    <col min="10767" max="10767" width="13.83203125" style="947" customWidth="1"/>
    <col min="10768" max="11008" width="9.33203125" style="947"/>
    <col min="11009" max="11010" width="3.1640625" style="947" customWidth="1"/>
    <col min="11011" max="11011" width="48.83203125" style="947" customWidth="1"/>
    <col min="11012" max="11012" width="1.83203125" style="947" customWidth="1"/>
    <col min="11013" max="11013" width="21.1640625" style="947" customWidth="1"/>
    <col min="11014" max="11014" width="1.83203125" style="947" customWidth="1"/>
    <col min="11015" max="11015" width="21.1640625" style="947" customWidth="1"/>
    <col min="11016" max="11016" width="1.83203125" style="947" customWidth="1"/>
    <col min="11017" max="11017" width="21.1640625" style="947" customWidth="1"/>
    <col min="11018" max="11018" width="1.83203125" style="947" customWidth="1"/>
    <col min="11019" max="11019" width="17.33203125" style="947" customWidth="1"/>
    <col min="11020" max="11020" width="1.83203125" style="947" customWidth="1"/>
    <col min="11021" max="11021" width="13" style="947" customWidth="1"/>
    <col min="11022" max="11022" width="1.83203125" style="947" customWidth="1"/>
    <col min="11023" max="11023" width="13.83203125" style="947" customWidth="1"/>
    <col min="11024" max="11264" width="9.33203125" style="947"/>
    <col min="11265" max="11266" width="3.1640625" style="947" customWidth="1"/>
    <col min="11267" max="11267" width="48.83203125" style="947" customWidth="1"/>
    <col min="11268" max="11268" width="1.83203125" style="947" customWidth="1"/>
    <col min="11269" max="11269" width="21.1640625" style="947" customWidth="1"/>
    <col min="11270" max="11270" width="1.83203125" style="947" customWidth="1"/>
    <col min="11271" max="11271" width="21.1640625" style="947" customWidth="1"/>
    <col min="11272" max="11272" width="1.83203125" style="947" customWidth="1"/>
    <col min="11273" max="11273" width="21.1640625" style="947" customWidth="1"/>
    <col min="11274" max="11274" width="1.83203125" style="947" customWidth="1"/>
    <col min="11275" max="11275" width="17.33203125" style="947" customWidth="1"/>
    <col min="11276" max="11276" width="1.83203125" style="947" customWidth="1"/>
    <col min="11277" max="11277" width="13" style="947" customWidth="1"/>
    <col min="11278" max="11278" width="1.83203125" style="947" customWidth="1"/>
    <col min="11279" max="11279" width="13.83203125" style="947" customWidth="1"/>
    <col min="11280" max="11520" width="9.33203125" style="947"/>
    <col min="11521" max="11522" width="3.1640625" style="947" customWidth="1"/>
    <col min="11523" max="11523" width="48.83203125" style="947" customWidth="1"/>
    <col min="11524" max="11524" width="1.83203125" style="947" customWidth="1"/>
    <col min="11525" max="11525" width="21.1640625" style="947" customWidth="1"/>
    <col min="11526" max="11526" width="1.83203125" style="947" customWidth="1"/>
    <col min="11527" max="11527" width="21.1640625" style="947" customWidth="1"/>
    <col min="11528" max="11528" width="1.83203125" style="947" customWidth="1"/>
    <col min="11529" max="11529" width="21.1640625" style="947" customWidth="1"/>
    <col min="11530" max="11530" width="1.83203125" style="947" customWidth="1"/>
    <col min="11531" max="11531" width="17.33203125" style="947" customWidth="1"/>
    <col min="11532" max="11532" width="1.83203125" style="947" customWidth="1"/>
    <col min="11533" max="11533" width="13" style="947" customWidth="1"/>
    <col min="11534" max="11534" width="1.83203125" style="947" customWidth="1"/>
    <col min="11535" max="11535" width="13.83203125" style="947" customWidth="1"/>
    <col min="11536" max="11776" width="9.33203125" style="947"/>
    <col min="11777" max="11778" width="3.1640625" style="947" customWidth="1"/>
    <col min="11779" max="11779" width="48.83203125" style="947" customWidth="1"/>
    <col min="11780" max="11780" width="1.83203125" style="947" customWidth="1"/>
    <col min="11781" max="11781" width="21.1640625" style="947" customWidth="1"/>
    <col min="11782" max="11782" width="1.83203125" style="947" customWidth="1"/>
    <col min="11783" max="11783" width="21.1640625" style="947" customWidth="1"/>
    <col min="11784" max="11784" width="1.83203125" style="947" customWidth="1"/>
    <col min="11785" max="11785" width="21.1640625" style="947" customWidth="1"/>
    <col min="11786" max="11786" width="1.83203125" style="947" customWidth="1"/>
    <col min="11787" max="11787" width="17.33203125" style="947" customWidth="1"/>
    <col min="11788" max="11788" width="1.83203125" style="947" customWidth="1"/>
    <col min="11789" max="11789" width="13" style="947" customWidth="1"/>
    <col min="11790" max="11790" width="1.83203125" style="947" customWidth="1"/>
    <col min="11791" max="11791" width="13.83203125" style="947" customWidth="1"/>
    <col min="11792" max="12032" width="9.33203125" style="947"/>
    <col min="12033" max="12034" width="3.1640625" style="947" customWidth="1"/>
    <col min="12035" max="12035" width="48.83203125" style="947" customWidth="1"/>
    <col min="12036" max="12036" width="1.83203125" style="947" customWidth="1"/>
    <col min="12037" max="12037" width="21.1640625" style="947" customWidth="1"/>
    <col min="12038" max="12038" width="1.83203125" style="947" customWidth="1"/>
    <col min="12039" max="12039" width="21.1640625" style="947" customWidth="1"/>
    <col min="12040" max="12040" width="1.83203125" style="947" customWidth="1"/>
    <col min="12041" max="12041" width="21.1640625" style="947" customWidth="1"/>
    <col min="12042" max="12042" width="1.83203125" style="947" customWidth="1"/>
    <col min="12043" max="12043" width="17.33203125" style="947" customWidth="1"/>
    <col min="12044" max="12044" width="1.83203125" style="947" customWidth="1"/>
    <col min="12045" max="12045" width="13" style="947" customWidth="1"/>
    <col min="12046" max="12046" width="1.83203125" style="947" customWidth="1"/>
    <col min="12047" max="12047" width="13.83203125" style="947" customWidth="1"/>
    <col min="12048" max="12288" width="9.33203125" style="947"/>
    <col min="12289" max="12290" width="3.1640625" style="947" customWidth="1"/>
    <col min="12291" max="12291" width="48.83203125" style="947" customWidth="1"/>
    <col min="12292" max="12292" width="1.83203125" style="947" customWidth="1"/>
    <col min="12293" max="12293" width="21.1640625" style="947" customWidth="1"/>
    <col min="12294" max="12294" width="1.83203125" style="947" customWidth="1"/>
    <col min="12295" max="12295" width="21.1640625" style="947" customWidth="1"/>
    <col min="12296" max="12296" width="1.83203125" style="947" customWidth="1"/>
    <col min="12297" max="12297" width="21.1640625" style="947" customWidth="1"/>
    <col min="12298" max="12298" width="1.83203125" style="947" customWidth="1"/>
    <col min="12299" max="12299" width="17.33203125" style="947" customWidth="1"/>
    <col min="12300" max="12300" width="1.83203125" style="947" customWidth="1"/>
    <col min="12301" max="12301" width="13" style="947" customWidth="1"/>
    <col min="12302" max="12302" width="1.83203125" style="947" customWidth="1"/>
    <col min="12303" max="12303" width="13.83203125" style="947" customWidth="1"/>
    <col min="12304" max="12544" width="9.33203125" style="947"/>
    <col min="12545" max="12546" width="3.1640625" style="947" customWidth="1"/>
    <col min="12547" max="12547" width="48.83203125" style="947" customWidth="1"/>
    <col min="12548" max="12548" width="1.83203125" style="947" customWidth="1"/>
    <col min="12549" max="12549" width="21.1640625" style="947" customWidth="1"/>
    <col min="12550" max="12550" width="1.83203125" style="947" customWidth="1"/>
    <col min="12551" max="12551" width="21.1640625" style="947" customWidth="1"/>
    <col min="12552" max="12552" width="1.83203125" style="947" customWidth="1"/>
    <col min="12553" max="12553" width="21.1640625" style="947" customWidth="1"/>
    <col min="12554" max="12554" width="1.83203125" style="947" customWidth="1"/>
    <col min="12555" max="12555" width="17.33203125" style="947" customWidth="1"/>
    <col min="12556" max="12556" width="1.83203125" style="947" customWidth="1"/>
    <col min="12557" max="12557" width="13" style="947" customWidth="1"/>
    <col min="12558" max="12558" width="1.83203125" style="947" customWidth="1"/>
    <col min="12559" max="12559" width="13.83203125" style="947" customWidth="1"/>
    <col min="12560" max="12800" width="9.33203125" style="947"/>
    <col min="12801" max="12802" width="3.1640625" style="947" customWidth="1"/>
    <col min="12803" max="12803" width="48.83203125" style="947" customWidth="1"/>
    <col min="12804" max="12804" width="1.83203125" style="947" customWidth="1"/>
    <col min="12805" max="12805" width="21.1640625" style="947" customWidth="1"/>
    <col min="12806" max="12806" width="1.83203125" style="947" customWidth="1"/>
    <col min="12807" max="12807" width="21.1640625" style="947" customWidth="1"/>
    <col min="12808" max="12808" width="1.83203125" style="947" customWidth="1"/>
    <col min="12809" max="12809" width="21.1640625" style="947" customWidth="1"/>
    <col min="12810" max="12810" width="1.83203125" style="947" customWidth="1"/>
    <col min="12811" max="12811" width="17.33203125" style="947" customWidth="1"/>
    <col min="12812" max="12812" width="1.83203125" style="947" customWidth="1"/>
    <col min="12813" max="12813" width="13" style="947" customWidth="1"/>
    <col min="12814" max="12814" width="1.83203125" style="947" customWidth="1"/>
    <col min="12815" max="12815" width="13.83203125" style="947" customWidth="1"/>
    <col min="12816" max="13056" width="9.33203125" style="947"/>
    <col min="13057" max="13058" width="3.1640625" style="947" customWidth="1"/>
    <col min="13059" max="13059" width="48.83203125" style="947" customWidth="1"/>
    <col min="13060" max="13060" width="1.83203125" style="947" customWidth="1"/>
    <col min="13061" max="13061" width="21.1640625" style="947" customWidth="1"/>
    <col min="13062" max="13062" width="1.83203125" style="947" customWidth="1"/>
    <col min="13063" max="13063" width="21.1640625" style="947" customWidth="1"/>
    <col min="13064" max="13064" width="1.83203125" style="947" customWidth="1"/>
    <col min="13065" max="13065" width="21.1640625" style="947" customWidth="1"/>
    <col min="13066" max="13066" width="1.83203125" style="947" customWidth="1"/>
    <col min="13067" max="13067" width="17.33203125" style="947" customWidth="1"/>
    <col min="13068" max="13068" width="1.83203125" style="947" customWidth="1"/>
    <col min="13069" max="13069" width="13" style="947" customWidth="1"/>
    <col min="13070" max="13070" width="1.83203125" style="947" customWidth="1"/>
    <col min="13071" max="13071" width="13.83203125" style="947" customWidth="1"/>
    <col min="13072" max="13312" width="9.33203125" style="947"/>
    <col min="13313" max="13314" width="3.1640625" style="947" customWidth="1"/>
    <col min="13315" max="13315" width="48.83203125" style="947" customWidth="1"/>
    <col min="13316" max="13316" width="1.83203125" style="947" customWidth="1"/>
    <col min="13317" max="13317" width="21.1640625" style="947" customWidth="1"/>
    <col min="13318" max="13318" width="1.83203125" style="947" customWidth="1"/>
    <col min="13319" max="13319" width="21.1640625" style="947" customWidth="1"/>
    <col min="13320" max="13320" width="1.83203125" style="947" customWidth="1"/>
    <col min="13321" max="13321" width="21.1640625" style="947" customWidth="1"/>
    <col min="13322" max="13322" width="1.83203125" style="947" customWidth="1"/>
    <col min="13323" max="13323" width="17.33203125" style="947" customWidth="1"/>
    <col min="13324" max="13324" width="1.83203125" style="947" customWidth="1"/>
    <col min="13325" max="13325" width="13" style="947" customWidth="1"/>
    <col min="13326" max="13326" width="1.83203125" style="947" customWidth="1"/>
    <col min="13327" max="13327" width="13.83203125" style="947" customWidth="1"/>
    <col min="13328" max="13568" width="9.33203125" style="947"/>
    <col min="13569" max="13570" width="3.1640625" style="947" customWidth="1"/>
    <col min="13571" max="13571" width="48.83203125" style="947" customWidth="1"/>
    <col min="13572" max="13572" width="1.83203125" style="947" customWidth="1"/>
    <col min="13573" max="13573" width="21.1640625" style="947" customWidth="1"/>
    <col min="13574" max="13574" width="1.83203125" style="947" customWidth="1"/>
    <col min="13575" max="13575" width="21.1640625" style="947" customWidth="1"/>
    <col min="13576" max="13576" width="1.83203125" style="947" customWidth="1"/>
    <col min="13577" max="13577" width="21.1640625" style="947" customWidth="1"/>
    <col min="13578" max="13578" width="1.83203125" style="947" customWidth="1"/>
    <col min="13579" max="13579" width="17.33203125" style="947" customWidth="1"/>
    <col min="13580" max="13580" width="1.83203125" style="947" customWidth="1"/>
    <col min="13581" max="13581" width="13" style="947" customWidth="1"/>
    <col min="13582" max="13582" width="1.83203125" style="947" customWidth="1"/>
    <col min="13583" max="13583" width="13.83203125" style="947" customWidth="1"/>
    <col min="13584" max="13824" width="9.33203125" style="947"/>
    <col min="13825" max="13826" width="3.1640625" style="947" customWidth="1"/>
    <col min="13827" max="13827" width="48.83203125" style="947" customWidth="1"/>
    <col min="13828" max="13828" width="1.83203125" style="947" customWidth="1"/>
    <col min="13829" max="13829" width="21.1640625" style="947" customWidth="1"/>
    <col min="13830" max="13830" width="1.83203125" style="947" customWidth="1"/>
    <col min="13831" max="13831" width="21.1640625" style="947" customWidth="1"/>
    <col min="13832" max="13832" width="1.83203125" style="947" customWidth="1"/>
    <col min="13833" max="13833" width="21.1640625" style="947" customWidth="1"/>
    <col min="13834" max="13834" width="1.83203125" style="947" customWidth="1"/>
    <col min="13835" max="13835" width="17.33203125" style="947" customWidth="1"/>
    <col min="13836" max="13836" width="1.83203125" style="947" customWidth="1"/>
    <col min="13837" max="13837" width="13" style="947" customWidth="1"/>
    <col min="13838" max="13838" width="1.83203125" style="947" customWidth="1"/>
    <col min="13839" max="13839" width="13.83203125" style="947" customWidth="1"/>
    <col min="13840" max="14080" width="9.33203125" style="947"/>
    <col min="14081" max="14082" width="3.1640625" style="947" customWidth="1"/>
    <col min="14083" max="14083" width="48.83203125" style="947" customWidth="1"/>
    <col min="14084" max="14084" width="1.83203125" style="947" customWidth="1"/>
    <col min="14085" max="14085" width="21.1640625" style="947" customWidth="1"/>
    <col min="14086" max="14086" width="1.83203125" style="947" customWidth="1"/>
    <col min="14087" max="14087" width="21.1640625" style="947" customWidth="1"/>
    <col min="14088" max="14088" width="1.83203125" style="947" customWidth="1"/>
    <col min="14089" max="14089" width="21.1640625" style="947" customWidth="1"/>
    <col min="14090" max="14090" width="1.83203125" style="947" customWidth="1"/>
    <col min="14091" max="14091" width="17.33203125" style="947" customWidth="1"/>
    <col min="14092" max="14092" width="1.83203125" style="947" customWidth="1"/>
    <col min="14093" max="14093" width="13" style="947" customWidth="1"/>
    <col min="14094" max="14094" width="1.83203125" style="947" customWidth="1"/>
    <col min="14095" max="14095" width="13.83203125" style="947" customWidth="1"/>
    <col min="14096" max="14336" width="9.33203125" style="947"/>
    <col min="14337" max="14338" width="3.1640625" style="947" customWidth="1"/>
    <col min="14339" max="14339" width="48.83203125" style="947" customWidth="1"/>
    <col min="14340" max="14340" width="1.83203125" style="947" customWidth="1"/>
    <col min="14341" max="14341" width="21.1640625" style="947" customWidth="1"/>
    <col min="14342" max="14342" width="1.83203125" style="947" customWidth="1"/>
    <col min="14343" max="14343" width="21.1640625" style="947" customWidth="1"/>
    <col min="14344" max="14344" width="1.83203125" style="947" customWidth="1"/>
    <col min="14345" max="14345" width="21.1640625" style="947" customWidth="1"/>
    <col min="14346" max="14346" width="1.83203125" style="947" customWidth="1"/>
    <col min="14347" max="14347" width="17.33203125" style="947" customWidth="1"/>
    <col min="14348" max="14348" width="1.83203125" style="947" customWidth="1"/>
    <col min="14349" max="14349" width="13" style="947" customWidth="1"/>
    <col min="14350" max="14350" width="1.83203125" style="947" customWidth="1"/>
    <col min="14351" max="14351" width="13.83203125" style="947" customWidth="1"/>
    <col min="14352" max="14592" width="9.33203125" style="947"/>
    <col min="14593" max="14594" width="3.1640625" style="947" customWidth="1"/>
    <col min="14595" max="14595" width="48.83203125" style="947" customWidth="1"/>
    <col min="14596" max="14596" width="1.83203125" style="947" customWidth="1"/>
    <col min="14597" max="14597" width="21.1640625" style="947" customWidth="1"/>
    <col min="14598" max="14598" width="1.83203125" style="947" customWidth="1"/>
    <col min="14599" max="14599" width="21.1640625" style="947" customWidth="1"/>
    <col min="14600" max="14600" width="1.83203125" style="947" customWidth="1"/>
    <col min="14601" max="14601" width="21.1640625" style="947" customWidth="1"/>
    <col min="14602" max="14602" width="1.83203125" style="947" customWidth="1"/>
    <col min="14603" max="14603" width="17.33203125" style="947" customWidth="1"/>
    <col min="14604" max="14604" width="1.83203125" style="947" customWidth="1"/>
    <col min="14605" max="14605" width="13" style="947" customWidth="1"/>
    <col min="14606" max="14606" width="1.83203125" style="947" customWidth="1"/>
    <col min="14607" max="14607" width="13.83203125" style="947" customWidth="1"/>
    <col min="14608" max="14848" width="9.33203125" style="947"/>
    <col min="14849" max="14850" width="3.1640625" style="947" customWidth="1"/>
    <col min="14851" max="14851" width="48.83203125" style="947" customWidth="1"/>
    <col min="14852" max="14852" width="1.83203125" style="947" customWidth="1"/>
    <col min="14853" max="14853" width="21.1640625" style="947" customWidth="1"/>
    <col min="14854" max="14854" width="1.83203125" style="947" customWidth="1"/>
    <col min="14855" max="14855" width="21.1640625" style="947" customWidth="1"/>
    <col min="14856" max="14856" width="1.83203125" style="947" customWidth="1"/>
    <col min="14857" max="14857" width="21.1640625" style="947" customWidth="1"/>
    <col min="14858" max="14858" width="1.83203125" style="947" customWidth="1"/>
    <col min="14859" max="14859" width="17.33203125" style="947" customWidth="1"/>
    <col min="14860" max="14860" width="1.83203125" style="947" customWidth="1"/>
    <col min="14861" max="14861" width="13" style="947" customWidth="1"/>
    <col min="14862" max="14862" width="1.83203125" style="947" customWidth="1"/>
    <col min="14863" max="14863" width="13.83203125" style="947" customWidth="1"/>
    <col min="14864" max="15104" width="9.33203125" style="947"/>
    <col min="15105" max="15106" width="3.1640625" style="947" customWidth="1"/>
    <col min="15107" max="15107" width="48.83203125" style="947" customWidth="1"/>
    <col min="15108" max="15108" width="1.83203125" style="947" customWidth="1"/>
    <col min="15109" max="15109" width="21.1640625" style="947" customWidth="1"/>
    <col min="15110" max="15110" width="1.83203125" style="947" customWidth="1"/>
    <col min="15111" max="15111" width="21.1640625" style="947" customWidth="1"/>
    <col min="15112" max="15112" width="1.83203125" style="947" customWidth="1"/>
    <col min="15113" max="15113" width="21.1640625" style="947" customWidth="1"/>
    <col min="15114" max="15114" width="1.83203125" style="947" customWidth="1"/>
    <col min="15115" max="15115" width="17.33203125" style="947" customWidth="1"/>
    <col min="15116" max="15116" width="1.83203125" style="947" customWidth="1"/>
    <col min="15117" max="15117" width="13" style="947" customWidth="1"/>
    <col min="15118" max="15118" width="1.83203125" style="947" customWidth="1"/>
    <col min="15119" max="15119" width="13.83203125" style="947" customWidth="1"/>
    <col min="15120" max="15360" width="9.33203125" style="947"/>
    <col min="15361" max="15362" width="3.1640625" style="947" customWidth="1"/>
    <col min="15363" max="15363" width="48.83203125" style="947" customWidth="1"/>
    <col min="15364" max="15364" width="1.83203125" style="947" customWidth="1"/>
    <col min="15365" max="15365" width="21.1640625" style="947" customWidth="1"/>
    <col min="15366" max="15366" width="1.83203125" style="947" customWidth="1"/>
    <col min="15367" max="15367" width="21.1640625" style="947" customWidth="1"/>
    <col min="15368" max="15368" width="1.83203125" style="947" customWidth="1"/>
    <col min="15369" max="15369" width="21.1640625" style="947" customWidth="1"/>
    <col min="15370" max="15370" width="1.83203125" style="947" customWidth="1"/>
    <col min="15371" max="15371" width="17.33203125" style="947" customWidth="1"/>
    <col min="15372" max="15372" width="1.83203125" style="947" customWidth="1"/>
    <col min="15373" max="15373" width="13" style="947" customWidth="1"/>
    <col min="15374" max="15374" width="1.83203125" style="947" customWidth="1"/>
    <col min="15375" max="15375" width="13.83203125" style="947" customWidth="1"/>
    <col min="15376" max="15616" width="9.33203125" style="947"/>
    <col min="15617" max="15618" width="3.1640625" style="947" customWidth="1"/>
    <col min="15619" max="15619" width="48.83203125" style="947" customWidth="1"/>
    <col min="15620" max="15620" width="1.83203125" style="947" customWidth="1"/>
    <col min="15621" max="15621" width="21.1640625" style="947" customWidth="1"/>
    <col min="15622" max="15622" width="1.83203125" style="947" customWidth="1"/>
    <col min="15623" max="15623" width="21.1640625" style="947" customWidth="1"/>
    <col min="15624" max="15624" width="1.83203125" style="947" customWidth="1"/>
    <col min="15625" max="15625" width="21.1640625" style="947" customWidth="1"/>
    <col min="15626" max="15626" width="1.83203125" style="947" customWidth="1"/>
    <col min="15627" max="15627" width="17.33203125" style="947" customWidth="1"/>
    <col min="15628" max="15628" width="1.83203125" style="947" customWidth="1"/>
    <col min="15629" max="15629" width="13" style="947" customWidth="1"/>
    <col min="15630" max="15630" width="1.83203125" style="947" customWidth="1"/>
    <col min="15631" max="15631" width="13.83203125" style="947" customWidth="1"/>
    <col min="15632" max="15872" width="9.33203125" style="947"/>
    <col min="15873" max="15874" width="3.1640625" style="947" customWidth="1"/>
    <col min="15875" max="15875" width="48.83203125" style="947" customWidth="1"/>
    <col min="15876" max="15876" width="1.83203125" style="947" customWidth="1"/>
    <col min="15877" max="15877" width="21.1640625" style="947" customWidth="1"/>
    <col min="15878" max="15878" width="1.83203125" style="947" customWidth="1"/>
    <col min="15879" max="15879" width="21.1640625" style="947" customWidth="1"/>
    <col min="15880" max="15880" width="1.83203125" style="947" customWidth="1"/>
    <col min="15881" max="15881" width="21.1640625" style="947" customWidth="1"/>
    <col min="15882" max="15882" width="1.83203125" style="947" customWidth="1"/>
    <col min="15883" max="15883" width="17.33203125" style="947" customWidth="1"/>
    <col min="15884" max="15884" width="1.83203125" style="947" customWidth="1"/>
    <col min="15885" max="15885" width="13" style="947" customWidth="1"/>
    <col min="15886" max="15886" width="1.83203125" style="947" customWidth="1"/>
    <col min="15887" max="15887" width="13.83203125" style="947" customWidth="1"/>
    <col min="15888" max="16128" width="9.33203125" style="947"/>
    <col min="16129" max="16130" width="3.1640625" style="947" customWidth="1"/>
    <col min="16131" max="16131" width="48.83203125" style="947" customWidth="1"/>
    <col min="16132" max="16132" width="1.83203125" style="947" customWidth="1"/>
    <col min="16133" max="16133" width="21.1640625" style="947" customWidth="1"/>
    <col min="16134" max="16134" width="1.83203125" style="947" customWidth="1"/>
    <col min="16135" max="16135" width="21.1640625" style="947" customWidth="1"/>
    <col min="16136" max="16136" width="1.83203125" style="947" customWidth="1"/>
    <col min="16137" max="16137" width="21.1640625" style="947" customWidth="1"/>
    <col min="16138" max="16138" width="1.83203125" style="947" customWidth="1"/>
    <col min="16139" max="16139" width="17.33203125" style="947" customWidth="1"/>
    <col min="16140" max="16140" width="1.83203125" style="947" customWidth="1"/>
    <col min="16141" max="16141" width="13" style="947" customWidth="1"/>
    <col min="16142" max="16142" width="1.83203125" style="947" customWidth="1"/>
    <col min="16143" max="16143" width="13.83203125" style="947" customWidth="1"/>
    <col min="16144" max="16384" width="9.33203125" style="947"/>
  </cols>
  <sheetData>
    <row r="1" spans="1:15">
      <c r="A1" s="945"/>
      <c r="B1" s="945"/>
      <c r="C1" s="945"/>
      <c r="D1" s="945"/>
      <c r="E1" s="945"/>
      <c r="F1" s="945"/>
      <c r="G1" s="945"/>
      <c r="H1" s="945"/>
      <c r="I1" s="945"/>
      <c r="J1" s="945"/>
      <c r="K1" s="946"/>
      <c r="L1" s="945"/>
      <c r="M1" s="945"/>
      <c r="N1" s="945"/>
      <c r="O1" s="945"/>
    </row>
    <row r="2" spans="1:15" s="945" customFormat="1" ht="15.75">
      <c r="A2" s="948" t="s">
        <v>1063</v>
      </c>
      <c r="B2" s="949"/>
      <c r="C2" s="949"/>
      <c r="D2" s="949"/>
      <c r="E2" s="949"/>
      <c r="F2" s="949"/>
      <c r="G2" s="949"/>
      <c r="H2" s="949"/>
      <c r="I2" s="949"/>
      <c r="J2" s="949"/>
      <c r="K2" s="950"/>
      <c r="L2" s="949"/>
      <c r="M2" s="949"/>
      <c r="N2" s="949"/>
      <c r="O2" s="951"/>
    </row>
    <row r="3" spans="1:15" s="945" customFormat="1" ht="15.75">
      <c r="A3" s="948" t="s">
        <v>1172</v>
      </c>
      <c r="B3" s="949"/>
      <c r="C3" s="949"/>
      <c r="D3" s="949"/>
      <c r="E3" s="949"/>
      <c r="F3" s="949"/>
      <c r="G3" s="949"/>
      <c r="H3" s="949"/>
      <c r="I3" s="949"/>
      <c r="J3" s="949"/>
      <c r="K3" s="950"/>
      <c r="L3" s="949"/>
      <c r="M3" s="949"/>
      <c r="N3" s="949"/>
      <c r="O3" s="951"/>
    </row>
    <row r="4" spans="1:15" s="945" customFormat="1" ht="15.75">
      <c r="A4" s="952" t="s">
        <v>1210</v>
      </c>
      <c r="B4" s="949"/>
      <c r="C4" s="949"/>
      <c r="D4" s="948"/>
      <c r="E4" s="949"/>
      <c r="F4" s="948"/>
      <c r="G4" s="949"/>
      <c r="H4" s="948"/>
      <c r="I4" s="949"/>
      <c r="J4" s="948"/>
      <c r="K4" s="950"/>
      <c r="L4" s="948"/>
      <c r="M4" s="949"/>
      <c r="N4" s="948"/>
      <c r="O4" s="951"/>
    </row>
    <row r="5" spans="1:15" s="957" customFormat="1" ht="12.75">
      <c r="A5" s="953" t="s">
        <v>1174</v>
      </c>
      <c r="B5" s="954"/>
      <c r="C5" s="954"/>
      <c r="D5" s="953"/>
      <c r="E5" s="954"/>
      <c r="F5" s="953"/>
      <c r="G5" s="954"/>
      <c r="H5" s="953"/>
      <c r="I5" s="954"/>
      <c r="J5" s="953"/>
      <c r="K5" s="955"/>
      <c r="L5" s="953"/>
      <c r="M5" s="954"/>
      <c r="N5" s="953"/>
      <c r="O5" s="956"/>
    </row>
    <row r="6" spans="1:15" ht="9" customHeight="1">
      <c r="A6" s="958"/>
      <c r="B6" s="958"/>
      <c r="C6" s="958"/>
      <c r="D6" s="958"/>
      <c r="E6" s="958"/>
      <c r="F6" s="958"/>
      <c r="G6" s="958"/>
      <c r="H6" s="958"/>
      <c r="I6" s="958"/>
      <c r="J6" s="958"/>
      <c r="K6" s="959"/>
      <c r="L6" s="958"/>
      <c r="M6" s="958"/>
      <c r="N6" s="958"/>
      <c r="O6" s="960"/>
    </row>
    <row r="7" spans="1:15" s="945" customFormat="1">
      <c r="A7" s="957"/>
      <c r="B7" s="957"/>
      <c r="C7" s="957"/>
      <c r="D7" s="957"/>
      <c r="E7" s="957"/>
      <c r="F7" s="957"/>
      <c r="G7" s="957"/>
      <c r="H7" s="957"/>
      <c r="I7" s="961" t="s">
        <v>1211</v>
      </c>
      <c r="J7" s="962"/>
      <c r="K7" s="963"/>
      <c r="L7" s="964"/>
      <c r="M7" s="965" t="s">
        <v>1177</v>
      </c>
      <c r="N7" s="962"/>
      <c r="O7" s="951"/>
    </row>
    <row r="8" spans="1:15" s="945" customFormat="1">
      <c r="A8" s="957"/>
      <c r="B8" s="957"/>
      <c r="C8" s="957"/>
      <c r="D8" s="957"/>
      <c r="E8" s="966" t="s">
        <v>36</v>
      </c>
      <c r="F8" s="957"/>
      <c r="G8" s="966" t="s">
        <v>36</v>
      </c>
      <c r="H8" s="957"/>
      <c r="I8" s="957"/>
      <c r="J8" s="957"/>
      <c r="K8" s="957"/>
      <c r="L8" s="957"/>
      <c r="M8" s="956"/>
      <c r="N8" s="956"/>
      <c r="O8" s="962"/>
    </row>
    <row r="9" spans="1:15" s="945" customFormat="1">
      <c r="A9" s="957"/>
      <c r="B9" s="957"/>
      <c r="C9" s="957"/>
      <c r="D9" s="957"/>
      <c r="E9" s="967">
        <v>2008</v>
      </c>
      <c r="F9" s="957"/>
      <c r="G9" s="967">
        <v>2007</v>
      </c>
      <c r="H9" s="957"/>
      <c r="I9" s="968" t="s">
        <v>41</v>
      </c>
      <c r="J9" s="957"/>
      <c r="K9" s="969" t="s">
        <v>1179</v>
      </c>
      <c r="L9" s="957"/>
      <c r="M9" s="970">
        <v>2008</v>
      </c>
      <c r="N9" s="957"/>
      <c r="O9" s="971">
        <v>2007</v>
      </c>
    </row>
    <row r="10" spans="1:15">
      <c r="A10" s="972" t="s">
        <v>1180</v>
      </c>
      <c r="B10" s="972"/>
      <c r="C10" s="972"/>
      <c r="D10" s="957"/>
      <c r="E10" s="957"/>
      <c r="F10" s="957"/>
      <c r="G10" s="966"/>
      <c r="H10" s="957"/>
      <c r="I10" s="957"/>
      <c r="J10" s="957"/>
      <c r="K10" s="973"/>
      <c r="L10" s="957"/>
      <c r="M10" s="957"/>
      <c r="N10" s="957"/>
      <c r="O10" s="964"/>
    </row>
    <row r="11" spans="1:15">
      <c r="A11" s="972"/>
      <c r="B11" s="972" t="s">
        <v>1181</v>
      </c>
      <c r="C11" s="957"/>
      <c r="D11" s="957"/>
      <c r="E11" s="957"/>
      <c r="F11" s="957"/>
      <c r="G11" s="957"/>
      <c r="H11" s="957"/>
      <c r="I11" s="957"/>
      <c r="J11" s="957"/>
      <c r="K11" s="973"/>
      <c r="L11" s="957"/>
      <c r="M11" s="957"/>
      <c r="N11" s="957"/>
      <c r="O11" s="964"/>
    </row>
    <row r="12" spans="1:15">
      <c r="A12" s="957"/>
      <c r="B12" s="957"/>
      <c r="C12" s="957" t="s">
        <v>1182</v>
      </c>
      <c r="D12" s="974"/>
      <c r="E12" s="975">
        <v>761680681</v>
      </c>
      <c r="F12" s="974"/>
      <c r="G12" s="975">
        <v>764339615</v>
      </c>
      <c r="H12" s="974"/>
      <c r="I12" s="975">
        <f>+E12-G12</f>
        <v>-2658934</v>
      </c>
      <c r="J12" s="974"/>
      <c r="K12" s="976">
        <f>+I12/G12</f>
        <v>-3.4787337301626056E-3</v>
      </c>
      <c r="L12" s="974"/>
      <c r="M12" s="977">
        <f>E12/E43</f>
        <v>1.24853551077417</v>
      </c>
      <c r="N12" s="974"/>
      <c r="O12" s="977">
        <f>G12/G43</f>
        <v>1.4014354601479988</v>
      </c>
    </row>
    <row r="13" spans="1:15">
      <c r="A13" s="957"/>
      <c r="B13" s="957"/>
      <c r="C13" s="957" t="s">
        <v>1183</v>
      </c>
      <c r="D13" s="978"/>
      <c r="E13" s="979">
        <v>302129377</v>
      </c>
      <c r="F13" s="978"/>
      <c r="G13" s="980">
        <v>309750210</v>
      </c>
      <c r="H13" s="978"/>
      <c r="I13" s="980">
        <f>+E13-G13</f>
        <v>-7620833</v>
      </c>
      <c r="J13" s="978"/>
      <c r="K13" s="976">
        <f>+I13/G13</f>
        <v>-2.4603156846931595E-2</v>
      </c>
      <c r="L13" s="978"/>
      <c r="M13" s="981">
        <f>E13/E44</f>
        <v>1.1268143957088517</v>
      </c>
      <c r="N13" s="982"/>
      <c r="O13" s="981">
        <f>G13/G44</f>
        <v>1.2705051652675485</v>
      </c>
    </row>
    <row r="14" spans="1:15">
      <c r="A14" s="957"/>
      <c r="B14" s="957"/>
      <c r="C14" s="957" t="s">
        <v>1184</v>
      </c>
      <c r="D14" s="983"/>
      <c r="E14" s="979">
        <v>42531021</v>
      </c>
      <c r="F14" s="983"/>
      <c r="G14" s="980">
        <v>48077055</v>
      </c>
      <c r="H14" s="983"/>
      <c r="I14" s="980">
        <f>+E14-G14</f>
        <v>-5546034</v>
      </c>
      <c r="J14" s="983"/>
      <c r="K14" s="984">
        <f>+I14/G14</f>
        <v>-0.11535719065986882</v>
      </c>
      <c r="L14" s="983"/>
      <c r="M14" s="981">
        <f>E14/E45</f>
        <v>1.0628287649286623</v>
      </c>
      <c r="N14" s="982"/>
      <c r="O14" s="981">
        <f>G14/G45</f>
        <v>1.1751354605011752</v>
      </c>
    </row>
    <row r="15" spans="1:15" ht="8.25" customHeight="1">
      <c r="A15" s="957"/>
      <c r="B15" s="957"/>
      <c r="C15" s="957"/>
      <c r="D15" s="978"/>
      <c r="E15" s="985"/>
      <c r="F15" s="978"/>
      <c r="G15" s="985"/>
      <c r="H15" s="978"/>
      <c r="I15" s="985"/>
      <c r="J15" s="978"/>
      <c r="K15" s="973"/>
      <c r="L15" s="978"/>
      <c r="M15" s="986"/>
      <c r="N15" s="978"/>
      <c r="O15" s="986"/>
    </row>
    <row r="16" spans="1:15">
      <c r="A16" s="957"/>
      <c r="B16" s="957"/>
      <c r="C16" s="957" t="s">
        <v>1185</v>
      </c>
      <c r="D16" s="978"/>
      <c r="E16" s="987">
        <f>SUM(E12:E15)-1</f>
        <v>1106341078</v>
      </c>
      <c r="F16" s="978"/>
      <c r="G16" s="987">
        <f>SUM(G12:G15)</f>
        <v>1122166880</v>
      </c>
      <c r="H16" s="978"/>
      <c r="I16" s="987">
        <f>+E16-G16</f>
        <v>-15825802</v>
      </c>
      <c r="J16" s="978"/>
      <c r="K16" s="976">
        <f>+I16/G16</f>
        <v>-1.4102895284166648E-2</v>
      </c>
      <c r="L16" s="978"/>
      <c r="M16" s="981">
        <f>E16/E47</f>
        <v>1.2048979847117944</v>
      </c>
      <c r="N16" s="982"/>
      <c r="O16" s="981">
        <f>G16/G47</f>
        <v>1.3518284650253072</v>
      </c>
    </row>
    <row r="17" spans="1:21" ht="8.25" customHeight="1">
      <c r="A17" s="957"/>
      <c r="B17" s="957"/>
      <c r="C17" s="957"/>
      <c r="D17" s="978"/>
      <c r="E17" s="987"/>
      <c r="F17" s="978"/>
      <c r="G17" s="987"/>
      <c r="H17" s="978"/>
      <c r="I17" s="987"/>
      <c r="J17" s="978"/>
      <c r="K17" s="973"/>
      <c r="L17" s="978"/>
      <c r="M17" s="957"/>
      <c r="N17" s="978"/>
      <c r="O17" s="964"/>
    </row>
    <row r="18" spans="1:21">
      <c r="A18" s="957"/>
      <c r="B18" s="988" t="s">
        <v>1186</v>
      </c>
      <c r="C18" s="957"/>
      <c r="D18" s="978"/>
      <c r="E18" s="987"/>
      <c r="F18" s="978"/>
      <c r="G18" s="987"/>
      <c r="H18" s="978"/>
      <c r="I18" s="987"/>
      <c r="J18" s="978"/>
      <c r="K18" s="973"/>
      <c r="L18" s="978"/>
      <c r="M18" s="957"/>
      <c r="N18" s="978"/>
      <c r="O18" s="964"/>
    </row>
    <row r="19" spans="1:21">
      <c r="A19" s="957"/>
      <c r="B19" s="957"/>
      <c r="C19" s="957" t="s">
        <v>1187</v>
      </c>
      <c r="D19" s="978"/>
      <c r="E19" s="979">
        <v>52495064</v>
      </c>
      <c r="F19" s="978"/>
      <c r="G19" s="980">
        <v>59120091</v>
      </c>
      <c r="H19" s="978"/>
      <c r="I19" s="980">
        <f>+E19-G19</f>
        <v>-6625027</v>
      </c>
      <c r="J19" s="978"/>
      <c r="K19" s="976">
        <f>+I19/G19</f>
        <v>-0.11206050071878272</v>
      </c>
      <c r="L19" s="978"/>
      <c r="M19" s="981">
        <f>E19/E50</f>
        <v>0.90727288379397952</v>
      </c>
      <c r="N19" s="982"/>
      <c r="O19" s="981">
        <f>G19/G50</f>
        <v>1.0941218541916833</v>
      </c>
    </row>
    <row r="20" spans="1:21">
      <c r="A20" s="957"/>
      <c r="B20" s="957"/>
      <c r="C20" s="957" t="s">
        <v>1188</v>
      </c>
      <c r="D20" s="983"/>
      <c r="E20" s="979">
        <v>3059443</v>
      </c>
      <c r="F20" s="983"/>
      <c r="G20" s="980">
        <v>12646134</v>
      </c>
      <c r="H20" s="983"/>
      <c r="I20" s="980">
        <f>+E20-G20</f>
        <v>-9586691</v>
      </c>
      <c r="J20" s="983"/>
      <c r="K20" s="984">
        <f>+I20/G20</f>
        <v>-0.75807286242578165</v>
      </c>
      <c r="L20" s="983"/>
      <c r="M20" s="981">
        <f>E20/E51</f>
        <v>0.77825352026689287</v>
      </c>
      <c r="N20" s="982"/>
      <c r="O20" s="981">
        <f>G20/G51</f>
        <v>1.228851964553545</v>
      </c>
    </row>
    <row r="21" spans="1:21" ht="8.25" customHeight="1">
      <c r="A21" s="957"/>
      <c r="B21" s="957"/>
      <c r="C21" s="957"/>
      <c r="D21" s="978"/>
      <c r="E21" s="985"/>
      <c r="F21" s="978"/>
      <c r="G21" s="985"/>
      <c r="H21" s="978"/>
      <c r="I21" s="985"/>
      <c r="J21" s="978"/>
      <c r="K21" s="989"/>
      <c r="L21" s="978"/>
      <c r="M21" s="986"/>
      <c r="N21" s="978"/>
      <c r="O21" s="986"/>
    </row>
    <row r="22" spans="1:21">
      <c r="A22" s="957"/>
      <c r="B22" s="957"/>
      <c r="C22" s="957" t="s">
        <v>1189</v>
      </c>
      <c r="D22" s="983"/>
      <c r="E22" s="990">
        <f>SUM(E19:E21)</f>
        <v>55554507</v>
      </c>
      <c r="F22" s="983"/>
      <c r="G22" s="990">
        <f>SUM(G19:G21)</f>
        <v>71766225</v>
      </c>
      <c r="H22" s="983"/>
      <c r="I22" s="990">
        <f>+E22-G22</f>
        <v>-16211718</v>
      </c>
      <c r="J22" s="983"/>
      <c r="K22" s="984">
        <f>+I22/G22</f>
        <v>-0.22589620674627933</v>
      </c>
      <c r="L22" s="983"/>
      <c r="M22" s="981">
        <f>E22/E53</f>
        <v>0.89906468607321477</v>
      </c>
      <c r="N22" s="982"/>
      <c r="O22" s="981">
        <f>G22/G53</f>
        <v>1.1156765085538118</v>
      </c>
    </row>
    <row r="23" spans="1:21" ht="8.25" customHeight="1">
      <c r="A23" s="957"/>
      <c r="B23" s="957"/>
      <c r="C23" s="957"/>
      <c r="D23" s="983"/>
      <c r="E23" s="979"/>
      <c r="F23" s="983"/>
      <c r="G23" s="979"/>
      <c r="H23" s="983"/>
      <c r="I23" s="979"/>
      <c r="J23" s="983"/>
      <c r="K23" s="989"/>
      <c r="L23" s="983"/>
      <c r="M23" s="986"/>
      <c r="N23" s="983"/>
      <c r="O23" s="986"/>
    </row>
    <row r="24" spans="1:21">
      <c r="A24" s="957"/>
      <c r="B24" s="957"/>
      <c r="C24" s="957" t="s">
        <v>1190</v>
      </c>
      <c r="D24" s="983"/>
      <c r="E24" s="979">
        <f>+E16+E22</f>
        <v>1161895585</v>
      </c>
      <c r="F24" s="983"/>
      <c r="G24" s="979">
        <f>+G16+G22</f>
        <v>1193933105</v>
      </c>
      <c r="H24" s="983"/>
      <c r="I24" s="979">
        <f>+E24-G24</f>
        <v>-32037520</v>
      </c>
      <c r="J24" s="983"/>
      <c r="K24" s="976">
        <f>+I24/G24</f>
        <v>-2.683359718047185E-2</v>
      </c>
      <c r="L24" s="983"/>
      <c r="M24" s="981">
        <f>E24/E55</f>
        <v>1.1856143247946631</v>
      </c>
      <c r="N24" s="982"/>
      <c r="O24" s="981">
        <f>G24/G55</f>
        <v>1.3348450808942882</v>
      </c>
    </row>
    <row r="25" spans="1:21" ht="8.25" customHeight="1">
      <c r="A25" s="957"/>
      <c r="B25" s="957"/>
      <c r="C25" s="957"/>
      <c r="D25" s="978"/>
      <c r="E25" s="987"/>
      <c r="F25" s="978"/>
      <c r="G25" s="987"/>
      <c r="H25" s="978"/>
      <c r="I25" s="987"/>
      <c r="J25" s="978"/>
      <c r="K25" s="973"/>
      <c r="L25" s="978"/>
      <c r="M25" s="957"/>
      <c r="N25" s="978"/>
      <c r="O25" s="964"/>
    </row>
    <row r="26" spans="1:21">
      <c r="A26" s="957"/>
      <c r="B26" s="988" t="s">
        <v>1191</v>
      </c>
      <c r="C26" s="957"/>
      <c r="D26" s="978"/>
      <c r="E26" s="987"/>
      <c r="F26" s="978"/>
      <c r="G26" s="987"/>
      <c r="H26" s="978"/>
      <c r="I26" s="987"/>
      <c r="J26" s="978"/>
      <c r="K26" s="973"/>
      <c r="L26" s="978"/>
      <c r="M26" s="957"/>
      <c r="N26" s="978"/>
      <c r="O26" s="964"/>
    </row>
    <row r="27" spans="1:21">
      <c r="A27" s="957"/>
      <c r="B27" s="957"/>
      <c r="C27" s="957" t="s">
        <v>1192</v>
      </c>
      <c r="D27" s="978"/>
      <c r="E27" s="979">
        <v>3296220</v>
      </c>
      <c r="F27" s="978"/>
      <c r="G27" s="980">
        <v>3029885</v>
      </c>
      <c r="H27" s="978"/>
      <c r="I27" s="980">
        <f>+E27-G27</f>
        <v>266335</v>
      </c>
      <c r="J27" s="978"/>
      <c r="K27" s="976">
        <f>+I27/G27</f>
        <v>8.7902676174178226E-2</v>
      </c>
      <c r="L27" s="978"/>
      <c r="M27" s="981">
        <f>E27/E58</f>
        <v>7.572756675768838E-2</v>
      </c>
      <c r="N27" s="982"/>
      <c r="O27" s="981">
        <f>G27/G58</f>
        <v>7.6291478046873099E-2</v>
      </c>
    </row>
    <row r="28" spans="1:21">
      <c r="A28" s="957"/>
      <c r="B28" s="957"/>
      <c r="C28" s="957" t="s">
        <v>1193</v>
      </c>
      <c r="D28" s="983"/>
      <c r="E28" s="979">
        <v>10873130</v>
      </c>
      <c r="F28" s="983"/>
      <c r="G28" s="980">
        <v>10409743</v>
      </c>
      <c r="H28" s="983"/>
      <c r="I28" s="980">
        <f>+E28-G28</f>
        <v>463387</v>
      </c>
      <c r="J28" s="983"/>
      <c r="K28" s="984">
        <f>+I28/G28</f>
        <v>4.4514739701066584E-2</v>
      </c>
      <c r="L28" s="983"/>
      <c r="M28" s="981">
        <f>E28/E59</f>
        <v>6.1584112941046827E-2</v>
      </c>
      <c r="N28" s="982"/>
      <c r="O28" s="981">
        <f>G28/G59</f>
        <v>6.0781167878075172E-2</v>
      </c>
    </row>
    <row r="29" spans="1:21" ht="8.25" customHeight="1">
      <c r="A29" s="957"/>
      <c r="B29" s="957"/>
      <c r="C29" s="957"/>
      <c r="D29" s="978"/>
      <c r="E29" s="985"/>
      <c r="F29" s="978"/>
      <c r="G29" s="985"/>
      <c r="H29" s="978"/>
      <c r="I29" s="985"/>
      <c r="J29" s="978"/>
      <c r="K29" s="989"/>
      <c r="L29" s="978"/>
      <c r="M29" s="986"/>
      <c r="N29" s="978"/>
      <c r="O29" s="986"/>
    </row>
    <row r="30" spans="1:21">
      <c r="A30" s="957"/>
      <c r="B30" s="957"/>
      <c r="C30" s="957" t="s">
        <v>1212</v>
      </c>
      <c r="D30" s="978"/>
      <c r="E30" s="987">
        <f>SUM(E27:E29)</f>
        <v>14169350</v>
      </c>
      <c r="F30" s="978"/>
      <c r="G30" s="987">
        <f>SUM(G27:G29)</f>
        <v>13439628</v>
      </c>
      <c r="H30" s="978"/>
      <c r="I30" s="987">
        <f>+E30-G30</f>
        <v>729722</v>
      </c>
      <c r="J30" s="978"/>
      <c r="K30" s="976">
        <f>+I30/G30</f>
        <v>5.4296294510532583E-2</v>
      </c>
      <c r="L30" s="978"/>
      <c r="M30" s="981">
        <f>E30/E61</f>
        <v>6.4381340183107288E-2</v>
      </c>
      <c r="N30" s="978"/>
      <c r="O30" s="981">
        <f>G30/G61</f>
        <v>6.3700800736014876E-2</v>
      </c>
    </row>
    <row r="31" spans="1:21" ht="8.25" customHeight="1">
      <c r="A31" s="957"/>
      <c r="B31" s="957"/>
      <c r="C31" s="957"/>
      <c r="D31" s="978"/>
      <c r="E31" s="985"/>
      <c r="F31" s="978"/>
      <c r="G31" s="991"/>
      <c r="H31" s="978"/>
      <c r="I31" s="991"/>
      <c r="J31" s="978"/>
      <c r="K31" s="992"/>
      <c r="L31" s="978"/>
      <c r="M31" s="993"/>
      <c r="N31" s="978"/>
      <c r="O31" s="993"/>
      <c r="P31" s="978"/>
      <c r="Q31" s="983"/>
      <c r="R31" s="983"/>
      <c r="S31" s="983"/>
      <c r="T31" s="983"/>
      <c r="U31" s="983"/>
    </row>
    <row r="32" spans="1:21">
      <c r="A32" s="957"/>
      <c r="B32" s="957"/>
      <c r="C32" s="957" t="s">
        <v>1195</v>
      </c>
      <c r="D32" s="978"/>
      <c r="E32" s="987">
        <f>+E24+E30</f>
        <v>1176064935</v>
      </c>
      <c r="F32" s="978"/>
      <c r="G32" s="987">
        <f>+G24+G30</f>
        <v>1207372733</v>
      </c>
      <c r="H32" s="978"/>
      <c r="I32" s="987">
        <f>+E32-G32</f>
        <v>-31307798</v>
      </c>
      <c r="J32" s="978"/>
      <c r="K32" s="976">
        <f>+I32/G32</f>
        <v>-2.5930516024002342E-2</v>
      </c>
      <c r="L32" s="978"/>
      <c r="M32" s="977">
        <f>E32/E63</f>
        <v>0.97998936051966146</v>
      </c>
      <c r="N32" s="994"/>
      <c r="O32" s="977">
        <f>G32/G63</f>
        <v>1.0922335890406647</v>
      </c>
    </row>
    <row r="33" spans="1:15" ht="8.25" customHeight="1">
      <c r="A33" s="957"/>
      <c r="B33" s="957"/>
      <c r="C33" s="957"/>
      <c r="D33" s="978"/>
      <c r="E33" s="987"/>
      <c r="F33" s="978"/>
      <c r="G33" s="987"/>
      <c r="H33" s="978"/>
      <c r="I33" s="987"/>
      <c r="J33" s="978"/>
      <c r="K33" s="989"/>
      <c r="L33" s="978"/>
      <c r="M33" s="957"/>
      <c r="N33" s="978"/>
      <c r="O33" s="964"/>
    </row>
    <row r="34" spans="1:15">
      <c r="A34" s="957"/>
      <c r="B34" s="988" t="s">
        <v>1196</v>
      </c>
      <c r="C34" s="957"/>
      <c r="D34" s="983"/>
      <c r="E34" s="1038">
        <v>17237406</v>
      </c>
      <c r="F34" s="983"/>
      <c r="G34" s="990">
        <v>17471949</v>
      </c>
      <c r="H34" s="983"/>
      <c r="I34" s="990">
        <f>+E34-G34</f>
        <v>-234543</v>
      </c>
      <c r="J34" s="983"/>
      <c r="K34" s="984">
        <f>+I34/G34</f>
        <v>-1.34239746235523E-2</v>
      </c>
      <c r="L34" s="983"/>
      <c r="M34" s="995"/>
      <c r="N34" s="983"/>
      <c r="O34" s="964"/>
    </row>
    <row r="35" spans="1:15" ht="8.25" customHeight="1">
      <c r="A35" s="957"/>
      <c r="B35" s="957"/>
      <c r="C35" s="957"/>
      <c r="D35" s="957"/>
      <c r="E35" s="996"/>
      <c r="F35" s="957"/>
      <c r="G35" s="996"/>
      <c r="H35" s="957"/>
      <c r="I35" s="996"/>
      <c r="J35" s="957"/>
      <c r="K35" s="989"/>
      <c r="L35" s="957"/>
      <c r="M35" s="957"/>
      <c r="N35" s="957"/>
      <c r="O35" s="964"/>
    </row>
    <row r="36" spans="1:15" ht="15.75" thickBot="1">
      <c r="A36" s="957"/>
      <c r="B36" s="957"/>
      <c r="C36" s="957" t="s">
        <v>1197</v>
      </c>
      <c r="D36" s="997"/>
      <c r="E36" s="1035">
        <f>+E32+E34</f>
        <v>1193302341</v>
      </c>
      <c r="F36" s="997"/>
      <c r="G36" s="998">
        <f>+G32+G34</f>
        <v>1224844682</v>
      </c>
      <c r="H36" s="997"/>
      <c r="I36" s="998">
        <f>+E36-G36</f>
        <v>-31542341</v>
      </c>
      <c r="J36" s="997"/>
      <c r="K36" s="999">
        <f>+I36/G36</f>
        <v>-2.5752114911823571E-2</v>
      </c>
      <c r="L36" s="997"/>
      <c r="M36" s="995"/>
      <c r="N36" s="997"/>
      <c r="O36" s="964"/>
    </row>
    <row r="37" spans="1:15" ht="6.75" customHeight="1" thickTop="1">
      <c r="A37" s="957"/>
      <c r="B37" s="957"/>
      <c r="C37" s="957"/>
      <c r="D37" s="997"/>
      <c r="E37" s="1000"/>
      <c r="F37" s="997"/>
      <c r="G37" s="1000"/>
      <c r="H37" s="997"/>
      <c r="I37" s="974"/>
      <c r="J37" s="997"/>
      <c r="K37" s="995"/>
      <c r="L37" s="997"/>
      <c r="M37" s="995"/>
      <c r="N37" s="997"/>
      <c r="O37" s="964"/>
    </row>
    <row r="38" spans="1:15">
      <c r="A38" s="957"/>
      <c r="B38" s="957"/>
      <c r="C38" s="957" t="s">
        <v>1198</v>
      </c>
      <c r="D38" s="997"/>
      <c r="E38" s="975">
        <v>7879757.3399999999</v>
      </c>
      <c r="F38" s="997"/>
      <c r="G38" s="975">
        <v>4889795</v>
      </c>
      <c r="H38" s="997"/>
      <c r="I38" s="975"/>
      <c r="J38" s="997"/>
      <c r="K38" s="1001"/>
      <c r="L38" s="997"/>
      <c r="M38" s="995"/>
      <c r="N38" s="997"/>
      <c r="O38" s="964"/>
    </row>
    <row r="39" spans="1:15">
      <c r="A39" s="957"/>
      <c r="B39" s="957"/>
      <c r="C39" s="957" t="s">
        <v>1199</v>
      </c>
      <c r="D39" s="997"/>
      <c r="E39" s="979">
        <v>3660848.27</v>
      </c>
      <c r="F39" s="997"/>
      <c r="G39" s="979">
        <v>3455137.61</v>
      </c>
      <c r="H39" s="997"/>
      <c r="I39" s="979"/>
      <c r="J39" s="997"/>
      <c r="K39" s="1001"/>
      <c r="L39" s="957"/>
      <c r="M39" s="1002"/>
      <c r="N39" s="997"/>
      <c r="O39" s="964"/>
    </row>
    <row r="40" spans="1:15">
      <c r="A40" s="972"/>
      <c r="B40" s="972"/>
      <c r="C40" s="972"/>
      <c r="D40" s="957"/>
      <c r="E40" s="1003"/>
      <c r="F40" s="957"/>
      <c r="G40" s="957"/>
      <c r="H40" s="957"/>
      <c r="I40" s="1004"/>
      <c r="J40" s="957"/>
      <c r="K40" s="957"/>
      <c r="L40" s="957"/>
      <c r="M40" s="957"/>
      <c r="N40" s="957"/>
      <c r="O40" s="964"/>
    </row>
    <row r="41" spans="1:15">
      <c r="A41" s="972" t="s">
        <v>1201</v>
      </c>
      <c r="B41" s="972"/>
      <c r="C41" s="957"/>
      <c r="D41" s="957"/>
      <c r="E41" s="1003"/>
      <c r="F41" s="957"/>
      <c r="G41" s="957"/>
      <c r="H41" s="957"/>
      <c r="I41" s="1004"/>
      <c r="J41" s="957"/>
      <c r="K41" s="957"/>
      <c r="L41" s="957"/>
      <c r="M41" s="957"/>
      <c r="N41" s="957"/>
      <c r="O41" s="964"/>
    </row>
    <row r="42" spans="1:15">
      <c r="A42" s="957"/>
      <c r="B42" s="988" t="s">
        <v>1202</v>
      </c>
      <c r="C42" s="957"/>
      <c r="D42" s="957"/>
      <c r="E42" s="1003"/>
      <c r="F42" s="957"/>
      <c r="G42" s="1005"/>
      <c r="H42" s="957"/>
      <c r="I42" s="987"/>
      <c r="J42" s="957"/>
      <c r="K42" s="1006"/>
      <c r="L42" s="957"/>
      <c r="M42" s="957"/>
      <c r="N42" s="957"/>
      <c r="O42" s="964"/>
    </row>
    <row r="43" spans="1:15">
      <c r="A43" s="957"/>
      <c r="B43" s="957"/>
      <c r="C43" s="957" t="str">
        <f>+C12</f>
        <v>Residential firm</v>
      </c>
      <c r="D43" s="957"/>
      <c r="E43" s="1007">
        <v>610059285</v>
      </c>
      <c r="F43" s="1008"/>
      <c r="G43" s="1007">
        <v>545397656</v>
      </c>
      <c r="H43" s="957"/>
      <c r="I43" s="987">
        <f>+E43-G43</f>
        <v>64661629</v>
      </c>
      <c r="J43" s="957"/>
      <c r="K43" s="976">
        <f>+I43/G43</f>
        <v>0.11855868518804195</v>
      </c>
      <c r="L43" s="957"/>
      <c r="M43" s="1001"/>
      <c r="N43" s="957"/>
      <c r="O43" s="964"/>
    </row>
    <row r="44" spans="1:15">
      <c r="A44" s="957"/>
      <c r="B44" s="957"/>
      <c r="C44" s="957" t="str">
        <f>+C13</f>
        <v>Commercial firm</v>
      </c>
      <c r="D44" s="957"/>
      <c r="E44" s="1007">
        <v>268127012</v>
      </c>
      <c r="F44" s="1008"/>
      <c r="G44" s="1007">
        <v>243800827</v>
      </c>
      <c r="H44" s="957"/>
      <c r="I44" s="979">
        <f>+E44-G44</f>
        <v>24326185</v>
      </c>
      <c r="J44" s="957"/>
      <c r="K44" s="1009">
        <f>+I44/G44</f>
        <v>9.9778927329069317E-2</v>
      </c>
      <c r="L44" s="957"/>
      <c r="M44" s="1001"/>
      <c r="N44" s="957"/>
      <c r="O44" s="964"/>
    </row>
    <row r="45" spans="1:15">
      <c r="A45" s="957"/>
      <c r="B45" s="957"/>
      <c r="C45" s="957" t="str">
        <f>+C14</f>
        <v>Industrial firm</v>
      </c>
      <c r="D45" s="957"/>
      <c r="E45" s="1007">
        <v>40016814</v>
      </c>
      <c r="F45" s="1008"/>
      <c r="G45" s="1007">
        <v>40911926</v>
      </c>
      <c r="H45" s="957"/>
      <c r="I45" s="990">
        <f>+E45-G45</f>
        <v>-895112</v>
      </c>
      <c r="J45" s="957"/>
      <c r="K45" s="984">
        <f>+I45/G45</f>
        <v>-2.1878999292284602E-2</v>
      </c>
      <c r="L45" s="957"/>
      <c r="M45" s="995"/>
      <c r="N45" s="957"/>
      <c r="O45" s="964"/>
    </row>
    <row r="46" spans="1:15" ht="8.25" customHeight="1">
      <c r="A46" s="957"/>
      <c r="B46" s="957"/>
      <c r="C46" s="957"/>
      <c r="D46" s="957"/>
      <c r="E46" s="1010"/>
      <c r="F46" s="1008"/>
      <c r="G46" s="1010"/>
      <c r="H46" s="957"/>
      <c r="I46" s="987"/>
      <c r="J46" s="957"/>
      <c r="K46" s="976"/>
      <c r="L46" s="957"/>
      <c r="M46" s="957"/>
      <c r="N46" s="957"/>
      <c r="O46" s="964"/>
    </row>
    <row r="47" spans="1:15" ht="12" customHeight="1">
      <c r="A47" s="957"/>
      <c r="B47" s="957"/>
      <c r="C47" s="957" t="str">
        <f>+C16</f>
        <v xml:space="preserve">  Total firm</v>
      </c>
      <c r="D47" s="957"/>
      <c r="E47" s="1007">
        <f>SUM(E43:E46)</f>
        <v>918203111</v>
      </c>
      <c r="F47" s="1008"/>
      <c r="G47" s="1007">
        <f>SUM(G43:G46)</f>
        <v>830110409</v>
      </c>
      <c r="H47" s="957"/>
      <c r="I47" s="987">
        <f>+E47-G47</f>
        <v>88092702</v>
      </c>
      <c r="J47" s="957"/>
      <c r="K47" s="976">
        <f>+I47/G47</f>
        <v>0.10612166893090964</v>
      </c>
      <c r="L47" s="957"/>
      <c r="M47" s="1001"/>
      <c r="N47" s="957"/>
      <c r="O47" s="964"/>
    </row>
    <row r="48" spans="1:15" ht="8.25" customHeight="1">
      <c r="A48" s="957"/>
      <c r="B48" s="988"/>
      <c r="C48" s="957"/>
      <c r="D48" s="957"/>
      <c r="E48" s="1005"/>
      <c r="F48" s="1008"/>
      <c r="G48" s="1005"/>
      <c r="H48" s="957"/>
      <c r="I48" s="987"/>
      <c r="J48" s="957"/>
      <c r="K48" s="976"/>
      <c r="L48" s="957"/>
      <c r="M48" s="957"/>
      <c r="N48" s="957"/>
      <c r="O48" s="964"/>
    </row>
    <row r="49" spans="1:16">
      <c r="A49" s="957"/>
      <c r="B49" s="988" t="s">
        <v>1203</v>
      </c>
      <c r="C49" s="957"/>
      <c r="D49" s="957"/>
      <c r="E49" s="1005"/>
      <c r="F49" s="1008"/>
      <c r="G49" s="1005"/>
      <c r="H49" s="957"/>
      <c r="I49" s="987"/>
      <c r="J49" s="957"/>
      <c r="K49" s="976"/>
      <c r="L49" s="957"/>
      <c r="M49" s="957"/>
      <c r="N49" s="957"/>
      <c r="O49" s="964"/>
    </row>
    <row r="50" spans="1:16">
      <c r="A50" s="957"/>
      <c r="B50" s="957"/>
      <c r="C50" s="957" t="str">
        <f>+C19</f>
        <v>Commercial interruptible</v>
      </c>
      <c r="D50" s="957"/>
      <c r="E50" s="1007">
        <v>57860281</v>
      </c>
      <c r="F50" s="1008"/>
      <c r="G50" s="1007">
        <v>54034284</v>
      </c>
      <c r="H50" s="957"/>
      <c r="I50" s="979">
        <f>+E50-G50</f>
        <v>3825997</v>
      </c>
      <c r="J50" s="957"/>
      <c r="K50" s="1009">
        <f>+I50/G50</f>
        <v>7.0806841819167993E-2</v>
      </c>
      <c r="L50" s="957"/>
      <c r="M50" s="1001"/>
      <c r="N50" s="957"/>
      <c r="O50" s="964"/>
    </row>
    <row r="51" spans="1:16">
      <c r="A51" s="957"/>
      <c r="B51" s="957"/>
      <c r="C51" s="957" t="str">
        <f>+C20</f>
        <v>Industrial interruptible</v>
      </c>
      <c r="D51" s="957"/>
      <c r="E51" s="1007">
        <v>3931165</v>
      </c>
      <c r="F51" s="1008"/>
      <c r="G51" s="1007">
        <v>10291015</v>
      </c>
      <c r="H51" s="957"/>
      <c r="I51" s="990">
        <f>+E51-G51</f>
        <v>-6359850</v>
      </c>
      <c r="J51" s="957"/>
      <c r="K51" s="984">
        <f>+I51/G51</f>
        <v>-0.61800026527995533</v>
      </c>
      <c r="L51" s="957"/>
      <c r="M51" s="995"/>
      <c r="N51" s="957"/>
      <c r="O51" s="964"/>
    </row>
    <row r="52" spans="1:16" ht="8.25" customHeight="1">
      <c r="A52" s="957"/>
      <c r="B52" s="957"/>
      <c r="C52" s="957"/>
      <c r="D52" s="957"/>
      <c r="E52" s="1010"/>
      <c r="F52" s="1008"/>
      <c r="G52" s="1010"/>
      <c r="H52" s="957"/>
      <c r="I52" s="979"/>
      <c r="J52" s="957"/>
      <c r="K52" s="1009"/>
      <c r="L52" s="957"/>
      <c r="M52" s="957"/>
      <c r="N52" s="957"/>
      <c r="O52" s="964"/>
    </row>
    <row r="53" spans="1:16">
      <c r="A53" s="957"/>
      <c r="B53" s="957"/>
      <c r="C53" s="957" t="str">
        <f>+C22</f>
        <v xml:space="preserve">  Total interruptible</v>
      </c>
      <c r="D53" s="957"/>
      <c r="E53" s="1007">
        <f>SUM(E50:E51)</f>
        <v>61791446</v>
      </c>
      <c r="F53" s="1008"/>
      <c r="G53" s="1007">
        <f>SUM(G50:G51)</f>
        <v>64325299</v>
      </c>
      <c r="H53" s="957"/>
      <c r="I53" s="990">
        <f>+E53-G53</f>
        <v>-2533853</v>
      </c>
      <c r="J53" s="957"/>
      <c r="K53" s="984">
        <f>+I53/G53</f>
        <v>-3.9391235476418075E-2</v>
      </c>
      <c r="L53" s="957"/>
      <c r="M53" s="995"/>
      <c r="N53" s="957"/>
      <c r="O53" s="964"/>
    </row>
    <row r="54" spans="1:16" ht="8.25" customHeight="1">
      <c r="A54" s="957"/>
      <c r="B54" s="957"/>
      <c r="C54" s="957"/>
      <c r="D54" s="957"/>
      <c r="E54" s="1010"/>
      <c r="F54" s="1008"/>
      <c r="G54" s="1010"/>
      <c r="H54" s="957"/>
      <c r="I54" s="987"/>
      <c r="J54" s="957"/>
      <c r="K54" s="976"/>
      <c r="L54" s="957"/>
      <c r="M54" s="957"/>
      <c r="N54" s="957"/>
      <c r="O54" s="964"/>
    </row>
    <row r="55" spans="1:16" ht="12.75" customHeight="1">
      <c r="A55" s="957"/>
      <c r="B55" s="957"/>
      <c r="C55" s="957" t="s">
        <v>1204</v>
      </c>
      <c r="D55" s="957"/>
      <c r="E55" s="1007">
        <f>+E47+E53</f>
        <v>979994557</v>
      </c>
      <c r="F55" s="1008"/>
      <c r="G55" s="1007">
        <f>+G47+G53</f>
        <v>894435708</v>
      </c>
      <c r="H55" s="957"/>
      <c r="I55" s="987">
        <f>+E55-G55</f>
        <v>85558849</v>
      </c>
      <c r="J55" s="957"/>
      <c r="K55" s="976">
        <f>+I55/G55</f>
        <v>9.5656790348088383E-2</v>
      </c>
      <c r="L55" s="957"/>
      <c r="M55" s="1001"/>
      <c r="N55" s="957"/>
      <c r="O55" s="964"/>
    </row>
    <row r="56" spans="1:16" ht="8.25" customHeight="1">
      <c r="A56" s="957"/>
      <c r="B56" s="988"/>
      <c r="C56" s="957"/>
      <c r="D56" s="957"/>
      <c r="E56" s="1005"/>
      <c r="F56" s="1008"/>
      <c r="G56" s="1005"/>
      <c r="H56" s="957"/>
      <c r="I56" s="987"/>
      <c r="J56" s="957"/>
      <c r="K56" s="976"/>
      <c r="L56" s="957"/>
      <c r="M56" s="957"/>
      <c r="N56" s="957"/>
      <c r="O56" s="964"/>
    </row>
    <row r="57" spans="1:16">
      <c r="A57" s="957"/>
      <c r="B57" s="988" t="s">
        <v>1205</v>
      </c>
      <c r="C57" s="957"/>
      <c r="D57" s="957"/>
      <c r="E57" s="1005"/>
      <c r="F57" s="1008"/>
      <c r="G57" s="1005"/>
      <c r="H57" s="957"/>
      <c r="I57" s="987"/>
      <c r="J57" s="957"/>
      <c r="K57" s="976"/>
      <c r="L57" s="957"/>
      <c r="M57" s="957"/>
      <c r="N57" s="957"/>
      <c r="O57" s="964"/>
    </row>
    <row r="58" spans="1:16">
      <c r="A58" s="957"/>
      <c r="B58" s="957"/>
      <c r="C58" s="957" t="str">
        <f>+C27</f>
        <v>Commercial transportation</v>
      </c>
      <c r="D58" s="957"/>
      <c r="E58" s="1007">
        <v>43527346</v>
      </c>
      <c r="F58" s="1008"/>
      <c r="G58" s="1007">
        <v>39714593</v>
      </c>
      <c r="H58" s="957"/>
      <c r="I58" s="979">
        <f>+E58-G58</f>
        <v>3812753</v>
      </c>
      <c r="J58" s="957"/>
      <c r="K58" s="1009">
        <f>+I58/G58</f>
        <v>9.6003829121451653E-2</v>
      </c>
      <c r="L58" s="957"/>
      <c r="M58" s="1001"/>
      <c r="N58" s="957"/>
      <c r="O58" s="964"/>
    </row>
    <row r="59" spans="1:16">
      <c r="A59" s="957"/>
      <c r="B59" s="957"/>
      <c r="C59" s="957" t="str">
        <f>+C28</f>
        <v>Industrial transportation</v>
      </c>
      <c r="D59" s="957"/>
      <c r="E59" s="1007">
        <v>176557386</v>
      </c>
      <c r="F59" s="1008"/>
      <c r="G59" s="1007">
        <v>171265926</v>
      </c>
      <c r="H59" s="957"/>
      <c r="I59" s="990">
        <f>+E59-G59</f>
        <v>5291460</v>
      </c>
      <c r="J59" s="957"/>
      <c r="K59" s="984">
        <f>+I59/G59</f>
        <v>3.0896163198276812E-2</v>
      </c>
      <c r="L59" s="957"/>
      <c r="M59" s="995"/>
      <c r="N59" s="957"/>
      <c r="O59" s="964"/>
    </row>
    <row r="60" spans="1:16" ht="8.25" customHeight="1">
      <c r="A60" s="957"/>
      <c r="B60" s="957"/>
      <c r="C60" s="957"/>
      <c r="D60" s="957"/>
      <c r="E60" s="1010"/>
      <c r="F60" s="957"/>
      <c r="G60" s="1010"/>
      <c r="H60" s="957"/>
      <c r="I60" s="987"/>
      <c r="J60" s="957"/>
      <c r="K60" s="976"/>
      <c r="L60" s="957"/>
      <c r="M60" s="957"/>
      <c r="N60" s="957"/>
      <c r="O60" s="964"/>
    </row>
    <row r="61" spans="1:16">
      <c r="A61" s="957"/>
      <c r="B61" s="957"/>
      <c r="C61" s="957" t="str">
        <f>+C30</f>
        <v xml:space="preserve">  Total transportation </v>
      </c>
      <c r="D61" s="957"/>
      <c r="E61" s="1011">
        <f>SUM(E58:E60)</f>
        <v>220084732</v>
      </c>
      <c r="F61" s="957"/>
      <c r="G61" s="1011">
        <f>SUM(G58:G60)</f>
        <v>210980519</v>
      </c>
      <c r="H61" s="957"/>
      <c r="I61" s="990">
        <f>+E61-G61</f>
        <v>9104213</v>
      </c>
      <c r="J61" s="957"/>
      <c r="K61" s="984">
        <f>+I61/G61</f>
        <v>4.3151912997237439E-2</v>
      </c>
      <c r="L61" s="957"/>
      <c r="M61" s="1001"/>
      <c r="N61" s="957"/>
      <c r="O61" s="964"/>
    </row>
    <row r="62" spans="1:16" s="1013" customFormat="1" ht="8.25" customHeight="1">
      <c r="A62" s="1012"/>
      <c r="B62" s="1012"/>
      <c r="C62" s="1012"/>
      <c r="D62" s="957"/>
      <c r="E62" s="1005"/>
      <c r="F62" s="957"/>
      <c r="G62" s="1005"/>
      <c r="H62" s="957"/>
      <c r="I62" s="979"/>
      <c r="J62" s="957"/>
      <c r="K62" s="976"/>
      <c r="L62" s="957"/>
      <c r="M62" s="957"/>
      <c r="N62" s="957"/>
      <c r="O62" s="964"/>
    </row>
    <row r="63" spans="1:16" s="1016" customFormat="1" ht="13.5" thickBot="1">
      <c r="A63" s="957"/>
      <c r="B63" s="957"/>
      <c r="C63" s="957" t="s">
        <v>1206</v>
      </c>
      <c r="D63" s="957"/>
      <c r="E63" s="1014">
        <f>+E55+E61</f>
        <v>1200079289</v>
      </c>
      <c r="F63" s="957"/>
      <c r="G63" s="1014">
        <f>+G55+G61</f>
        <v>1105416227</v>
      </c>
      <c r="H63" s="957"/>
      <c r="I63" s="1015">
        <f>+E63-G63</f>
        <v>94663062</v>
      </c>
      <c r="J63" s="957"/>
      <c r="K63" s="999">
        <f>+I63/G63</f>
        <v>8.5635672507637248E-2</v>
      </c>
      <c r="L63" s="957"/>
      <c r="M63" s="995"/>
      <c r="N63" s="957"/>
      <c r="O63" s="964"/>
    </row>
    <row r="64" spans="1:16" ht="15.75" thickTop="1">
      <c r="A64" s="1017"/>
      <c r="B64" s="1017"/>
      <c r="C64" s="1017"/>
      <c r="D64" s="945"/>
      <c r="E64" s="1018"/>
      <c r="F64" s="945"/>
      <c r="G64" s="1019"/>
      <c r="H64" s="945"/>
      <c r="I64" s="1017"/>
      <c r="J64" s="945"/>
      <c r="K64" s="1001"/>
      <c r="L64" s="945"/>
      <c r="M64" s="945"/>
      <c r="N64" s="945"/>
      <c r="O64" s="964"/>
      <c r="P64" s="1013"/>
    </row>
    <row r="65" spans="1:16" ht="15.75">
      <c r="A65" s="1020"/>
      <c r="B65" s="1020"/>
      <c r="C65" s="1020"/>
      <c r="D65" s="1017"/>
      <c r="E65" s="1019"/>
      <c r="F65" s="1017"/>
      <c r="G65" s="1021"/>
      <c r="H65" s="1017"/>
      <c r="I65" s="1017"/>
      <c r="J65" s="1017"/>
      <c r="K65" s="1001"/>
      <c r="L65" s="1017"/>
      <c r="M65" s="1017"/>
      <c r="N65" s="1017"/>
      <c r="O65" s="964"/>
      <c r="P65" s="1013"/>
    </row>
    <row r="66" spans="1:16" ht="15.75">
      <c r="A66" s="1022"/>
      <c r="B66" s="1023"/>
      <c r="C66" s="1022"/>
      <c r="D66" s="1013"/>
      <c r="E66" s="1024"/>
      <c r="F66" s="1013"/>
      <c r="G66" s="1024"/>
      <c r="H66" s="1013"/>
      <c r="I66" s="1013"/>
      <c r="J66" s="1013"/>
      <c r="K66" s="1025"/>
      <c r="L66" s="1013"/>
      <c r="M66" s="1013"/>
      <c r="N66" s="1013"/>
      <c r="O66" s="1026"/>
      <c r="P66" s="1013"/>
    </row>
    <row r="67" spans="1:16">
      <c r="A67" s="1013"/>
      <c r="B67" s="1013"/>
      <c r="C67" s="1013"/>
      <c r="D67" s="1013"/>
      <c r="E67" s="1027"/>
      <c r="F67" s="1013"/>
      <c r="G67" s="1028"/>
      <c r="H67" s="1013"/>
      <c r="I67" s="1013"/>
      <c r="J67" s="1013"/>
      <c r="K67" s="1025"/>
      <c r="L67" s="1013"/>
      <c r="M67" s="1013"/>
      <c r="N67" s="1013"/>
      <c r="O67" s="1026"/>
      <c r="P67" s="1013"/>
    </row>
    <row r="68" spans="1:16">
      <c r="A68" s="1013"/>
      <c r="B68" s="1013"/>
      <c r="C68" s="1013"/>
      <c r="D68" s="1013"/>
      <c r="E68" s="1027"/>
      <c r="F68" s="1013"/>
      <c r="G68" s="1027"/>
      <c r="H68" s="1013"/>
      <c r="I68" s="1013"/>
      <c r="J68" s="1013"/>
      <c r="K68" s="1025"/>
      <c r="L68" s="1013"/>
      <c r="M68" s="1013"/>
      <c r="N68" s="1013"/>
      <c r="O68" s="1026"/>
      <c r="P68" s="1013"/>
    </row>
    <row r="69" spans="1:16">
      <c r="A69" s="1013"/>
      <c r="B69" s="1013"/>
      <c r="C69" s="1013"/>
      <c r="D69" s="1013"/>
      <c r="E69" s="1027"/>
      <c r="F69" s="1013"/>
      <c r="G69" s="1027"/>
      <c r="H69" s="1013"/>
      <c r="I69" s="1013"/>
      <c r="J69" s="1013"/>
      <c r="K69" s="1025"/>
      <c r="L69" s="1013"/>
      <c r="M69" s="1013"/>
      <c r="N69" s="1013"/>
      <c r="O69" s="1026"/>
      <c r="P69" s="1013"/>
    </row>
    <row r="70" spans="1:16">
      <c r="A70" s="1013"/>
      <c r="B70" s="1013"/>
      <c r="C70" s="1013"/>
      <c r="D70" s="1013"/>
      <c r="E70" s="1027"/>
      <c r="F70" s="1013"/>
      <c r="G70" s="1027"/>
      <c r="H70" s="1013"/>
      <c r="I70" s="1013"/>
      <c r="J70" s="1013"/>
      <c r="K70" s="1025"/>
      <c r="L70" s="1013"/>
      <c r="M70" s="1013"/>
      <c r="N70" s="1013"/>
      <c r="O70" s="1026"/>
      <c r="P70" s="1013"/>
    </row>
    <row r="71" spans="1:16">
      <c r="A71" s="1013"/>
      <c r="B71" s="1013"/>
      <c r="C71" s="1013"/>
      <c r="D71" s="1013"/>
      <c r="E71" s="1027"/>
      <c r="F71" s="1013"/>
      <c r="G71" s="1027"/>
      <c r="H71" s="1013"/>
      <c r="I71" s="1013"/>
      <c r="J71" s="1013"/>
      <c r="K71" s="1025"/>
      <c r="L71" s="1013"/>
      <c r="M71" s="1013"/>
      <c r="N71" s="1013"/>
      <c r="O71" s="1026"/>
      <c r="P71" s="1013"/>
    </row>
    <row r="72" spans="1:16">
      <c r="A72" s="1013"/>
      <c r="B72" s="1013"/>
      <c r="C72" s="1013"/>
      <c r="D72" s="1013"/>
      <c r="E72" s="1013"/>
      <c r="F72" s="1013"/>
      <c r="G72" s="1027"/>
      <c r="H72" s="1013"/>
      <c r="I72" s="1013"/>
      <c r="J72" s="1013"/>
      <c r="K72" s="1025"/>
      <c r="L72" s="1013"/>
      <c r="M72" s="1013"/>
      <c r="N72" s="1013"/>
      <c r="O72" s="1026"/>
      <c r="P72" s="1013"/>
    </row>
    <row r="73" spans="1:16">
      <c r="A73" s="1013"/>
      <c r="B73" s="1013"/>
      <c r="C73" s="1013"/>
      <c r="D73" s="1013"/>
      <c r="E73" s="1013"/>
      <c r="F73" s="1013"/>
      <c r="G73" s="1027"/>
      <c r="H73" s="1013"/>
      <c r="I73" s="1013"/>
      <c r="J73" s="1013"/>
      <c r="K73" s="1025"/>
      <c r="L73" s="1013"/>
      <c r="M73" s="1013"/>
      <c r="N73" s="1013"/>
      <c r="O73" s="1026"/>
      <c r="P73" s="1013"/>
    </row>
    <row r="74" spans="1:16">
      <c r="A74" s="1013"/>
      <c r="B74" s="1013"/>
      <c r="C74" s="1013"/>
      <c r="D74" s="1013"/>
      <c r="E74" s="1013"/>
      <c r="F74" s="1013"/>
      <c r="G74" s="1027"/>
      <c r="H74" s="1013"/>
      <c r="I74" s="1013"/>
      <c r="J74" s="1013"/>
      <c r="K74" s="1025"/>
      <c r="L74" s="1013"/>
      <c r="M74" s="1013"/>
      <c r="N74" s="1013"/>
      <c r="O74" s="1026"/>
      <c r="P74" s="1013"/>
    </row>
    <row r="75" spans="1:16">
      <c r="A75" s="1013"/>
      <c r="B75" s="1013"/>
      <c r="C75" s="1013"/>
      <c r="D75" s="1013"/>
      <c r="E75" s="1013"/>
      <c r="F75" s="1013"/>
      <c r="G75" s="1027"/>
      <c r="H75" s="1013"/>
      <c r="I75" s="1013"/>
      <c r="J75" s="1013"/>
      <c r="K75" s="1025"/>
      <c r="L75" s="1013"/>
      <c r="M75" s="1013"/>
      <c r="N75" s="1013"/>
      <c r="O75" s="1026"/>
      <c r="P75" s="1013"/>
    </row>
    <row r="76" spans="1:16">
      <c r="A76" s="1013"/>
      <c r="B76" s="1013"/>
      <c r="C76" s="1013"/>
      <c r="D76" s="1013"/>
      <c r="E76" s="1013"/>
      <c r="F76" s="1013"/>
      <c r="G76" s="1027"/>
      <c r="H76" s="1013"/>
      <c r="I76" s="1013"/>
      <c r="J76" s="1013"/>
      <c r="K76" s="1025"/>
      <c r="L76" s="1013"/>
      <c r="M76" s="1013"/>
      <c r="N76" s="1013"/>
      <c r="O76" s="1026"/>
      <c r="P76" s="1013"/>
    </row>
    <row r="77" spans="1:16">
      <c r="A77" s="1013"/>
      <c r="B77" s="1013"/>
      <c r="C77" s="1013"/>
      <c r="D77" s="1013"/>
      <c r="E77" s="1013"/>
      <c r="F77" s="1013"/>
      <c r="G77" s="1027"/>
      <c r="H77" s="1013"/>
      <c r="I77" s="1013"/>
      <c r="J77" s="1013"/>
      <c r="K77" s="1025"/>
      <c r="L77" s="1013"/>
      <c r="M77" s="1013"/>
      <c r="N77" s="1013"/>
      <c r="O77" s="1026"/>
      <c r="P77" s="1013"/>
    </row>
    <row r="78" spans="1:16">
      <c r="A78" s="1013"/>
      <c r="B78" s="1013"/>
      <c r="C78" s="1013"/>
      <c r="D78" s="1013"/>
      <c r="E78" s="1013"/>
      <c r="F78" s="1013"/>
      <c r="G78" s="1027"/>
      <c r="H78" s="1013"/>
      <c r="I78" s="1013"/>
      <c r="J78" s="1013"/>
      <c r="K78" s="1025"/>
      <c r="L78" s="1013"/>
      <c r="M78" s="1013"/>
      <c r="N78" s="1013"/>
      <c r="O78" s="1026"/>
      <c r="P78" s="1013"/>
    </row>
    <row r="79" spans="1:16">
      <c r="A79" s="1013"/>
      <c r="B79" s="1013"/>
      <c r="C79" s="1013"/>
      <c r="D79" s="1013"/>
      <c r="E79" s="1013"/>
      <c r="F79" s="1013"/>
      <c r="G79" s="1027"/>
      <c r="H79" s="1013"/>
      <c r="I79" s="1013"/>
      <c r="J79" s="1013"/>
      <c r="K79" s="1025"/>
      <c r="L79" s="1013"/>
      <c r="M79" s="1013"/>
      <c r="N79" s="1013"/>
      <c r="O79" s="1026"/>
      <c r="P79" s="1013"/>
    </row>
    <row r="80" spans="1:16">
      <c r="A80" s="1013"/>
      <c r="B80" s="1013"/>
      <c r="C80" s="1013"/>
      <c r="D80" s="1013"/>
      <c r="E80" s="1013"/>
      <c r="F80" s="1013"/>
      <c r="G80" s="1027"/>
      <c r="H80" s="1013"/>
      <c r="I80" s="1013"/>
      <c r="J80" s="1013"/>
      <c r="K80" s="1025"/>
      <c r="L80" s="1013"/>
      <c r="M80" s="1013"/>
      <c r="N80" s="1013"/>
      <c r="O80" s="1026"/>
      <c r="P80" s="1013"/>
    </row>
    <row r="81" spans="1:16">
      <c r="A81" s="1013"/>
      <c r="B81" s="1013"/>
      <c r="C81" s="1013"/>
      <c r="D81" s="1013"/>
      <c r="E81" s="1013"/>
      <c r="F81" s="1013"/>
      <c r="G81" s="1027"/>
      <c r="H81" s="1013"/>
      <c r="I81" s="1013"/>
      <c r="J81" s="1013"/>
      <c r="K81" s="1025"/>
      <c r="L81" s="1013"/>
      <c r="M81" s="1013"/>
      <c r="N81" s="1013"/>
      <c r="O81" s="1026"/>
      <c r="P81" s="1013"/>
    </row>
    <row r="82" spans="1:16">
      <c r="A82" s="1013"/>
      <c r="B82" s="1013"/>
      <c r="C82" s="1013"/>
      <c r="D82" s="1013"/>
      <c r="E82" s="1013"/>
      <c r="F82" s="1013"/>
      <c r="G82" s="1027"/>
      <c r="H82" s="1013"/>
      <c r="I82" s="1013"/>
      <c r="J82" s="1013"/>
      <c r="K82" s="1025"/>
      <c r="L82" s="1013"/>
      <c r="M82" s="1013"/>
      <c r="N82" s="1013"/>
      <c r="O82" s="1026"/>
      <c r="P82" s="1013"/>
    </row>
    <row r="83" spans="1:16">
      <c r="A83" s="1013"/>
      <c r="B83" s="1013"/>
      <c r="C83" s="1013"/>
      <c r="D83" s="1013"/>
      <c r="E83" s="1013"/>
      <c r="F83" s="1013"/>
      <c r="G83" s="1027"/>
      <c r="H83" s="1013"/>
      <c r="I83" s="1013"/>
      <c r="J83" s="1013"/>
      <c r="K83" s="1025"/>
      <c r="L83" s="1013"/>
      <c r="M83" s="1013"/>
      <c r="N83" s="1013"/>
      <c r="O83" s="1026"/>
      <c r="P83" s="1013"/>
    </row>
    <row r="84" spans="1:16">
      <c r="A84" s="1013"/>
      <c r="B84" s="1013"/>
      <c r="C84" s="1013"/>
      <c r="D84" s="1013"/>
      <c r="E84" s="1013"/>
      <c r="F84" s="1013"/>
      <c r="G84" s="1027"/>
      <c r="H84" s="1013"/>
      <c r="I84" s="1013"/>
      <c r="J84" s="1013"/>
      <c r="K84" s="1025"/>
      <c r="L84" s="1013"/>
      <c r="M84" s="1013"/>
      <c r="N84" s="1013"/>
      <c r="O84" s="1026"/>
      <c r="P84" s="1013"/>
    </row>
    <row r="85" spans="1:16">
      <c r="A85" s="1013"/>
      <c r="B85" s="1013"/>
      <c r="C85" s="1013"/>
      <c r="D85" s="1013"/>
      <c r="E85" s="1013"/>
      <c r="F85" s="1013"/>
      <c r="G85" s="1013"/>
      <c r="H85" s="1013"/>
      <c r="I85" s="1013"/>
      <c r="J85" s="1013"/>
      <c r="K85" s="1025"/>
      <c r="L85" s="1013"/>
      <c r="M85" s="1013"/>
      <c r="N85" s="1013"/>
      <c r="O85" s="1026"/>
      <c r="P85" s="1013"/>
    </row>
    <row r="86" spans="1:16">
      <c r="A86" s="1013"/>
      <c r="B86" s="1013"/>
      <c r="C86" s="1013"/>
      <c r="D86" s="1013"/>
      <c r="E86" s="1013"/>
      <c r="F86" s="1013"/>
      <c r="G86" s="1013"/>
      <c r="H86" s="1013"/>
      <c r="I86" s="1013"/>
      <c r="J86" s="1013"/>
      <c r="K86" s="1025"/>
      <c r="L86" s="1013"/>
      <c r="M86" s="1013"/>
      <c r="N86" s="1013"/>
      <c r="O86" s="1013"/>
      <c r="P86" s="1013"/>
    </row>
    <row r="87" spans="1:16">
      <c r="A87" s="1013"/>
      <c r="B87" s="1013"/>
      <c r="C87" s="1013"/>
      <c r="D87" s="1013"/>
      <c r="E87" s="1013"/>
      <c r="F87" s="1013"/>
      <c r="G87" s="1013"/>
      <c r="H87" s="1013"/>
      <c r="I87" s="1013"/>
      <c r="J87" s="1013"/>
      <c r="K87" s="1025"/>
      <c r="L87" s="1013"/>
      <c r="M87" s="1013"/>
      <c r="N87" s="1013"/>
      <c r="O87" s="1013"/>
      <c r="P87" s="1013"/>
    </row>
    <row r="88" spans="1:16">
      <c r="A88" s="1013"/>
      <c r="B88" s="1013"/>
      <c r="C88" s="1013"/>
      <c r="D88" s="1013"/>
      <c r="E88" s="1013"/>
      <c r="F88" s="1013"/>
      <c r="G88" s="1013"/>
      <c r="H88" s="1013"/>
      <c r="I88" s="1013"/>
      <c r="J88" s="1013"/>
      <c r="K88" s="1025"/>
      <c r="L88" s="1013"/>
      <c r="M88" s="1013"/>
      <c r="N88" s="1013"/>
      <c r="O88" s="1013"/>
      <c r="P88" s="1013"/>
    </row>
    <row r="89" spans="1:16">
      <c r="A89" s="1013"/>
      <c r="B89" s="1013"/>
      <c r="C89" s="1013"/>
      <c r="D89" s="1013"/>
      <c r="E89" s="1013"/>
      <c r="F89" s="1013"/>
      <c r="G89" s="1013"/>
      <c r="H89" s="1013"/>
      <c r="I89" s="1013"/>
      <c r="J89" s="1013"/>
      <c r="K89" s="1025"/>
      <c r="L89" s="1013"/>
      <c r="M89" s="1013"/>
      <c r="N89" s="1013"/>
      <c r="O89" s="1013"/>
      <c r="P89" s="1013"/>
    </row>
    <row r="90" spans="1:16">
      <c r="A90" s="1013"/>
      <c r="B90" s="1013"/>
      <c r="C90" s="1013"/>
      <c r="D90" s="1013"/>
      <c r="E90" s="1013"/>
      <c r="F90" s="1013"/>
      <c r="G90" s="1013"/>
      <c r="H90" s="1013"/>
      <c r="I90" s="1013"/>
      <c r="J90" s="1013"/>
      <c r="K90" s="1029"/>
      <c r="L90" s="1013"/>
      <c r="M90" s="1013"/>
      <c r="N90" s="1013"/>
      <c r="O90" s="1013"/>
      <c r="P90" s="1013"/>
    </row>
    <row r="91" spans="1:16">
      <c r="A91" s="1013"/>
      <c r="B91" s="1013"/>
      <c r="C91" s="1013"/>
      <c r="D91" s="1013"/>
      <c r="E91" s="1013"/>
      <c r="F91" s="1013"/>
      <c r="G91" s="1013"/>
      <c r="H91" s="1013"/>
      <c r="I91" s="1013"/>
      <c r="J91" s="1013"/>
      <c r="K91" s="1029"/>
      <c r="L91" s="1013"/>
      <c r="M91" s="1013"/>
      <c r="N91" s="1013"/>
      <c r="O91" s="1013"/>
      <c r="P91" s="1013"/>
    </row>
    <row r="92" spans="1:16">
      <c r="A92" s="1013"/>
      <c r="B92" s="1013"/>
      <c r="C92" s="1013"/>
      <c r="D92" s="1013"/>
      <c r="E92" s="1013"/>
      <c r="F92" s="1013"/>
      <c r="G92" s="1013"/>
      <c r="H92" s="1013"/>
      <c r="I92" s="1013"/>
      <c r="J92" s="1013"/>
      <c r="K92" s="1029"/>
      <c r="L92" s="1013"/>
      <c r="M92" s="1013"/>
      <c r="N92" s="1013"/>
      <c r="O92" s="1013"/>
      <c r="P92" s="1013"/>
    </row>
    <row r="93" spans="1:16">
      <c r="A93" s="1013"/>
      <c r="B93" s="1013"/>
      <c r="C93" s="1013"/>
      <c r="D93" s="1013"/>
      <c r="E93" s="1013"/>
      <c r="F93" s="1013"/>
      <c r="G93" s="1013"/>
      <c r="H93" s="1013"/>
      <c r="I93" s="1013"/>
      <c r="J93" s="1013"/>
      <c r="K93" s="1029"/>
      <c r="L93" s="1013"/>
      <c r="M93" s="1013"/>
      <c r="N93" s="1013"/>
      <c r="O93" s="1013"/>
      <c r="P93" s="1013"/>
    </row>
    <row r="94" spans="1:16">
      <c r="A94" s="1013"/>
      <c r="B94" s="1013"/>
      <c r="C94" s="1013"/>
      <c r="D94" s="1013"/>
      <c r="E94" s="1013"/>
      <c r="F94" s="1013"/>
      <c r="G94" s="1013"/>
      <c r="H94" s="1013"/>
      <c r="I94" s="1013"/>
      <c r="J94" s="1013"/>
      <c r="K94" s="1029"/>
      <c r="L94" s="1013"/>
      <c r="M94" s="1013"/>
      <c r="N94" s="1013"/>
      <c r="O94" s="1013"/>
      <c r="P94" s="1013"/>
    </row>
    <row r="95" spans="1:16">
      <c r="A95" s="1013"/>
      <c r="B95" s="1013"/>
      <c r="C95" s="1013"/>
      <c r="D95" s="1013"/>
      <c r="E95" s="1013"/>
      <c r="F95" s="1013"/>
      <c r="G95" s="1013"/>
      <c r="H95" s="1013"/>
      <c r="I95" s="1013"/>
      <c r="J95" s="1013"/>
      <c r="K95" s="1029"/>
      <c r="L95" s="1013"/>
      <c r="M95" s="1013"/>
      <c r="N95" s="1013"/>
      <c r="O95" s="1013"/>
      <c r="P95" s="1013"/>
    </row>
    <row r="96" spans="1:16">
      <c r="A96" s="1013"/>
      <c r="B96" s="1013"/>
      <c r="C96" s="1013"/>
      <c r="D96" s="1013"/>
      <c r="E96" s="1013"/>
      <c r="F96" s="1013"/>
      <c r="G96" s="1013"/>
      <c r="H96" s="1013"/>
      <c r="I96" s="1013"/>
      <c r="J96" s="1013"/>
      <c r="K96" s="1029"/>
      <c r="L96" s="1013"/>
      <c r="M96" s="1013"/>
      <c r="N96" s="1013"/>
      <c r="O96" s="1013"/>
      <c r="P96" s="1013"/>
    </row>
    <row r="97" spans="1:16">
      <c r="A97" s="1013"/>
      <c r="B97" s="1013"/>
      <c r="C97" s="1013"/>
      <c r="D97" s="1013"/>
      <c r="E97" s="1013"/>
      <c r="F97" s="1013"/>
      <c r="G97" s="1013"/>
      <c r="H97" s="1013"/>
      <c r="I97" s="1013"/>
      <c r="J97" s="1013"/>
      <c r="K97" s="1029"/>
      <c r="L97" s="1013"/>
      <c r="M97" s="1013"/>
      <c r="N97" s="1013"/>
      <c r="O97" s="1013"/>
      <c r="P97" s="1013"/>
    </row>
    <row r="98" spans="1:16">
      <c r="A98" s="1013"/>
      <c r="B98" s="1013"/>
      <c r="C98" s="1013"/>
      <c r="D98" s="1013"/>
      <c r="E98" s="1013"/>
      <c r="F98" s="1013"/>
      <c r="G98" s="1013"/>
      <c r="H98" s="1013"/>
      <c r="I98" s="1013"/>
      <c r="J98" s="1013"/>
      <c r="K98" s="1029"/>
      <c r="L98" s="1013"/>
      <c r="M98" s="1013"/>
      <c r="N98" s="1013"/>
      <c r="O98" s="1013"/>
      <c r="P98" s="1013"/>
    </row>
    <row r="99" spans="1:16">
      <c r="A99" s="1013"/>
      <c r="B99" s="1013"/>
      <c r="C99" s="1013"/>
      <c r="D99" s="1013"/>
      <c r="E99" s="1013"/>
      <c r="F99" s="1013"/>
      <c r="G99" s="1013"/>
      <c r="H99" s="1013"/>
      <c r="I99" s="1013"/>
      <c r="J99" s="1013"/>
      <c r="K99" s="1029"/>
      <c r="L99" s="1013"/>
      <c r="M99" s="1013"/>
      <c r="N99" s="1013"/>
      <c r="O99" s="1013"/>
      <c r="P99" s="1013"/>
    </row>
    <row r="100" spans="1:16">
      <c r="A100" s="1013"/>
      <c r="B100" s="1013"/>
      <c r="C100" s="1013"/>
      <c r="D100" s="1013"/>
      <c r="E100" s="1013"/>
      <c r="F100" s="1013"/>
      <c r="G100" s="1013"/>
      <c r="H100" s="1013"/>
      <c r="I100" s="1013"/>
      <c r="J100" s="1013"/>
      <c r="K100" s="1029"/>
      <c r="L100" s="1013"/>
      <c r="M100" s="1013"/>
      <c r="N100" s="1013"/>
      <c r="O100" s="1013"/>
      <c r="P100" s="1013"/>
    </row>
    <row r="101" spans="1:16">
      <c r="A101" s="1013"/>
      <c r="B101" s="1013"/>
      <c r="C101" s="1013"/>
      <c r="E101" s="1013"/>
      <c r="G101" s="1013"/>
      <c r="I101" s="1013"/>
      <c r="K101" s="1029"/>
      <c r="P101" s="1013"/>
    </row>
    <row r="102" spans="1:16">
      <c r="A102" s="1013"/>
      <c r="B102" s="1013"/>
      <c r="C102" s="1013"/>
      <c r="E102" s="1013"/>
      <c r="G102" s="1013"/>
      <c r="I102" s="1013"/>
      <c r="K102" s="1029"/>
      <c r="P102" s="1013"/>
    </row>
  </sheetData>
  <printOptions horizontalCentered="1"/>
  <pageMargins left="0.2" right="0.2" top="0.4" bottom="0.4" header="0.5" footer="0.2"/>
  <pageSetup scale="68" orientation="landscape" r:id="rId1"/>
  <headerFooter alignWithMargins="0">
    <oddFooter>&amp;C&amp;12  5c</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U102"/>
  <sheetViews>
    <sheetView zoomScale="75" workbookViewId="0">
      <selection activeCell="C45" sqref="C45"/>
    </sheetView>
  </sheetViews>
  <sheetFormatPr defaultRowHeight="15"/>
  <cols>
    <col min="1" max="2" width="3.1640625" style="947" customWidth="1"/>
    <col min="3" max="3" width="48.83203125" style="947" customWidth="1"/>
    <col min="4" max="4" width="1.83203125" style="947" customWidth="1"/>
    <col min="5" max="5" width="21.1640625" style="947" customWidth="1"/>
    <col min="6" max="6" width="1.83203125" style="947" customWidth="1"/>
    <col min="7" max="7" width="21.1640625" style="947" customWidth="1"/>
    <col min="8" max="8" width="1.83203125" style="947" customWidth="1"/>
    <col min="9" max="9" width="21.1640625" style="947" customWidth="1"/>
    <col min="10" max="10" width="1.83203125" style="947" customWidth="1"/>
    <col min="11" max="11" width="17.33203125" style="1030" customWidth="1"/>
    <col min="12" max="12" width="1.83203125" style="947" customWidth="1"/>
    <col min="13" max="13" width="13" style="947" customWidth="1"/>
    <col min="14" max="14" width="1.83203125" style="947" customWidth="1"/>
    <col min="15" max="15" width="13.83203125" style="947" customWidth="1"/>
    <col min="16" max="256" width="9.33203125" style="947"/>
    <col min="257" max="258" width="3.1640625" style="947" customWidth="1"/>
    <col min="259" max="259" width="48.83203125" style="947" customWidth="1"/>
    <col min="260" max="260" width="1.83203125" style="947" customWidth="1"/>
    <col min="261" max="261" width="21.1640625" style="947" customWidth="1"/>
    <col min="262" max="262" width="1.83203125" style="947" customWidth="1"/>
    <col min="263" max="263" width="21.1640625" style="947" customWidth="1"/>
    <col min="264" max="264" width="1.83203125" style="947" customWidth="1"/>
    <col min="265" max="265" width="21.1640625" style="947" customWidth="1"/>
    <col min="266" max="266" width="1.83203125" style="947" customWidth="1"/>
    <col min="267" max="267" width="17.33203125" style="947" customWidth="1"/>
    <col min="268" max="268" width="1.83203125" style="947" customWidth="1"/>
    <col min="269" max="269" width="13" style="947" customWidth="1"/>
    <col min="270" max="270" width="1.83203125" style="947" customWidth="1"/>
    <col min="271" max="271" width="13.83203125" style="947" customWidth="1"/>
    <col min="272" max="512" width="9.33203125" style="947"/>
    <col min="513" max="514" width="3.1640625" style="947" customWidth="1"/>
    <col min="515" max="515" width="48.83203125" style="947" customWidth="1"/>
    <col min="516" max="516" width="1.83203125" style="947" customWidth="1"/>
    <col min="517" max="517" width="21.1640625" style="947" customWidth="1"/>
    <col min="518" max="518" width="1.83203125" style="947" customWidth="1"/>
    <col min="519" max="519" width="21.1640625" style="947" customWidth="1"/>
    <col min="520" max="520" width="1.83203125" style="947" customWidth="1"/>
    <col min="521" max="521" width="21.1640625" style="947" customWidth="1"/>
    <col min="522" max="522" width="1.83203125" style="947" customWidth="1"/>
    <col min="523" max="523" width="17.33203125" style="947" customWidth="1"/>
    <col min="524" max="524" width="1.83203125" style="947" customWidth="1"/>
    <col min="525" max="525" width="13" style="947" customWidth="1"/>
    <col min="526" max="526" width="1.83203125" style="947" customWidth="1"/>
    <col min="527" max="527" width="13.83203125" style="947" customWidth="1"/>
    <col min="528" max="768" width="9.33203125" style="947"/>
    <col min="769" max="770" width="3.1640625" style="947" customWidth="1"/>
    <col min="771" max="771" width="48.83203125" style="947" customWidth="1"/>
    <col min="772" max="772" width="1.83203125" style="947" customWidth="1"/>
    <col min="773" max="773" width="21.1640625" style="947" customWidth="1"/>
    <col min="774" max="774" width="1.83203125" style="947" customWidth="1"/>
    <col min="775" max="775" width="21.1640625" style="947" customWidth="1"/>
    <col min="776" max="776" width="1.83203125" style="947" customWidth="1"/>
    <col min="777" max="777" width="21.1640625" style="947" customWidth="1"/>
    <col min="778" max="778" width="1.83203125" style="947" customWidth="1"/>
    <col min="779" max="779" width="17.33203125" style="947" customWidth="1"/>
    <col min="780" max="780" width="1.83203125" style="947" customWidth="1"/>
    <col min="781" max="781" width="13" style="947" customWidth="1"/>
    <col min="782" max="782" width="1.83203125" style="947" customWidth="1"/>
    <col min="783" max="783" width="13.83203125" style="947" customWidth="1"/>
    <col min="784" max="1024" width="9.33203125" style="947"/>
    <col min="1025" max="1026" width="3.1640625" style="947" customWidth="1"/>
    <col min="1027" max="1027" width="48.83203125" style="947" customWidth="1"/>
    <col min="1028" max="1028" width="1.83203125" style="947" customWidth="1"/>
    <col min="1029" max="1029" width="21.1640625" style="947" customWidth="1"/>
    <col min="1030" max="1030" width="1.83203125" style="947" customWidth="1"/>
    <col min="1031" max="1031" width="21.1640625" style="947" customWidth="1"/>
    <col min="1032" max="1032" width="1.83203125" style="947" customWidth="1"/>
    <col min="1033" max="1033" width="21.1640625" style="947" customWidth="1"/>
    <col min="1034" max="1034" width="1.83203125" style="947" customWidth="1"/>
    <col min="1035" max="1035" width="17.33203125" style="947" customWidth="1"/>
    <col min="1036" max="1036" width="1.83203125" style="947" customWidth="1"/>
    <col min="1037" max="1037" width="13" style="947" customWidth="1"/>
    <col min="1038" max="1038" width="1.83203125" style="947" customWidth="1"/>
    <col min="1039" max="1039" width="13.83203125" style="947" customWidth="1"/>
    <col min="1040" max="1280" width="9.33203125" style="947"/>
    <col min="1281" max="1282" width="3.1640625" style="947" customWidth="1"/>
    <col min="1283" max="1283" width="48.83203125" style="947" customWidth="1"/>
    <col min="1284" max="1284" width="1.83203125" style="947" customWidth="1"/>
    <col min="1285" max="1285" width="21.1640625" style="947" customWidth="1"/>
    <col min="1286" max="1286" width="1.83203125" style="947" customWidth="1"/>
    <col min="1287" max="1287" width="21.1640625" style="947" customWidth="1"/>
    <col min="1288" max="1288" width="1.83203125" style="947" customWidth="1"/>
    <col min="1289" max="1289" width="21.1640625" style="947" customWidth="1"/>
    <col min="1290" max="1290" width="1.83203125" style="947" customWidth="1"/>
    <col min="1291" max="1291" width="17.33203125" style="947" customWidth="1"/>
    <col min="1292" max="1292" width="1.83203125" style="947" customWidth="1"/>
    <col min="1293" max="1293" width="13" style="947" customWidth="1"/>
    <col min="1294" max="1294" width="1.83203125" style="947" customWidth="1"/>
    <col min="1295" max="1295" width="13.83203125" style="947" customWidth="1"/>
    <col min="1296" max="1536" width="9.33203125" style="947"/>
    <col min="1537" max="1538" width="3.1640625" style="947" customWidth="1"/>
    <col min="1539" max="1539" width="48.83203125" style="947" customWidth="1"/>
    <col min="1540" max="1540" width="1.83203125" style="947" customWidth="1"/>
    <col min="1541" max="1541" width="21.1640625" style="947" customWidth="1"/>
    <col min="1542" max="1542" width="1.83203125" style="947" customWidth="1"/>
    <col min="1543" max="1543" width="21.1640625" style="947" customWidth="1"/>
    <col min="1544" max="1544" width="1.83203125" style="947" customWidth="1"/>
    <col min="1545" max="1545" width="21.1640625" style="947" customWidth="1"/>
    <col min="1546" max="1546" width="1.83203125" style="947" customWidth="1"/>
    <col min="1547" max="1547" width="17.33203125" style="947" customWidth="1"/>
    <col min="1548" max="1548" width="1.83203125" style="947" customWidth="1"/>
    <col min="1549" max="1549" width="13" style="947" customWidth="1"/>
    <col min="1550" max="1550" width="1.83203125" style="947" customWidth="1"/>
    <col min="1551" max="1551" width="13.83203125" style="947" customWidth="1"/>
    <col min="1552" max="1792" width="9.33203125" style="947"/>
    <col min="1793" max="1794" width="3.1640625" style="947" customWidth="1"/>
    <col min="1795" max="1795" width="48.83203125" style="947" customWidth="1"/>
    <col min="1796" max="1796" width="1.83203125" style="947" customWidth="1"/>
    <col min="1797" max="1797" width="21.1640625" style="947" customWidth="1"/>
    <col min="1798" max="1798" width="1.83203125" style="947" customWidth="1"/>
    <col min="1799" max="1799" width="21.1640625" style="947" customWidth="1"/>
    <col min="1800" max="1800" width="1.83203125" style="947" customWidth="1"/>
    <col min="1801" max="1801" width="21.1640625" style="947" customWidth="1"/>
    <col min="1802" max="1802" width="1.83203125" style="947" customWidth="1"/>
    <col min="1803" max="1803" width="17.33203125" style="947" customWidth="1"/>
    <col min="1804" max="1804" width="1.83203125" style="947" customWidth="1"/>
    <col min="1805" max="1805" width="13" style="947" customWidth="1"/>
    <col min="1806" max="1806" width="1.83203125" style="947" customWidth="1"/>
    <col min="1807" max="1807" width="13.83203125" style="947" customWidth="1"/>
    <col min="1808" max="2048" width="9.33203125" style="947"/>
    <col min="2049" max="2050" width="3.1640625" style="947" customWidth="1"/>
    <col min="2051" max="2051" width="48.83203125" style="947" customWidth="1"/>
    <col min="2052" max="2052" width="1.83203125" style="947" customWidth="1"/>
    <col min="2053" max="2053" width="21.1640625" style="947" customWidth="1"/>
    <col min="2054" max="2054" width="1.83203125" style="947" customWidth="1"/>
    <col min="2055" max="2055" width="21.1640625" style="947" customWidth="1"/>
    <col min="2056" max="2056" width="1.83203125" style="947" customWidth="1"/>
    <col min="2057" max="2057" width="21.1640625" style="947" customWidth="1"/>
    <col min="2058" max="2058" width="1.83203125" style="947" customWidth="1"/>
    <col min="2059" max="2059" width="17.33203125" style="947" customWidth="1"/>
    <col min="2060" max="2060" width="1.83203125" style="947" customWidth="1"/>
    <col min="2061" max="2061" width="13" style="947" customWidth="1"/>
    <col min="2062" max="2062" width="1.83203125" style="947" customWidth="1"/>
    <col min="2063" max="2063" width="13.83203125" style="947" customWidth="1"/>
    <col min="2064" max="2304" width="9.33203125" style="947"/>
    <col min="2305" max="2306" width="3.1640625" style="947" customWidth="1"/>
    <col min="2307" max="2307" width="48.83203125" style="947" customWidth="1"/>
    <col min="2308" max="2308" width="1.83203125" style="947" customWidth="1"/>
    <col min="2309" max="2309" width="21.1640625" style="947" customWidth="1"/>
    <col min="2310" max="2310" width="1.83203125" style="947" customWidth="1"/>
    <col min="2311" max="2311" width="21.1640625" style="947" customWidth="1"/>
    <col min="2312" max="2312" width="1.83203125" style="947" customWidth="1"/>
    <col min="2313" max="2313" width="21.1640625" style="947" customWidth="1"/>
    <col min="2314" max="2314" width="1.83203125" style="947" customWidth="1"/>
    <col min="2315" max="2315" width="17.33203125" style="947" customWidth="1"/>
    <col min="2316" max="2316" width="1.83203125" style="947" customWidth="1"/>
    <col min="2317" max="2317" width="13" style="947" customWidth="1"/>
    <col min="2318" max="2318" width="1.83203125" style="947" customWidth="1"/>
    <col min="2319" max="2319" width="13.83203125" style="947" customWidth="1"/>
    <col min="2320" max="2560" width="9.33203125" style="947"/>
    <col min="2561" max="2562" width="3.1640625" style="947" customWidth="1"/>
    <col min="2563" max="2563" width="48.83203125" style="947" customWidth="1"/>
    <col min="2564" max="2564" width="1.83203125" style="947" customWidth="1"/>
    <col min="2565" max="2565" width="21.1640625" style="947" customWidth="1"/>
    <col min="2566" max="2566" width="1.83203125" style="947" customWidth="1"/>
    <col min="2567" max="2567" width="21.1640625" style="947" customWidth="1"/>
    <col min="2568" max="2568" width="1.83203125" style="947" customWidth="1"/>
    <col min="2569" max="2569" width="21.1640625" style="947" customWidth="1"/>
    <col min="2570" max="2570" width="1.83203125" style="947" customWidth="1"/>
    <col min="2571" max="2571" width="17.33203125" style="947" customWidth="1"/>
    <col min="2572" max="2572" width="1.83203125" style="947" customWidth="1"/>
    <col min="2573" max="2573" width="13" style="947" customWidth="1"/>
    <col min="2574" max="2574" width="1.83203125" style="947" customWidth="1"/>
    <col min="2575" max="2575" width="13.83203125" style="947" customWidth="1"/>
    <col min="2576" max="2816" width="9.33203125" style="947"/>
    <col min="2817" max="2818" width="3.1640625" style="947" customWidth="1"/>
    <col min="2819" max="2819" width="48.83203125" style="947" customWidth="1"/>
    <col min="2820" max="2820" width="1.83203125" style="947" customWidth="1"/>
    <col min="2821" max="2821" width="21.1640625" style="947" customWidth="1"/>
    <col min="2822" max="2822" width="1.83203125" style="947" customWidth="1"/>
    <col min="2823" max="2823" width="21.1640625" style="947" customWidth="1"/>
    <col min="2824" max="2824" width="1.83203125" style="947" customWidth="1"/>
    <col min="2825" max="2825" width="21.1640625" style="947" customWidth="1"/>
    <col min="2826" max="2826" width="1.83203125" style="947" customWidth="1"/>
    <col min="2827" max="2827" width="17.33203125" style="947" customWidth="1"/>
    <col min="2828" max="2828" width="1.83203125" style="947" customWidth="1"/>
    <col min="2829" max="2829" width="13" style="947" customWidth="1"/>
    <col min="2830" max="2830" width="1.83203125" style="947" customWidth="1"/>
    <col min="2831" max="2831" width="13.83203125" style="947" customWidth="1"/>
    <col min="2832" max="3072" width="9.33203125" style="947"/>
    <col min="3073" max="3074" width="3.1640625" style="947" customWidth="1"/>
    <col min="3075" max="3075" width="48.83203125" style="947" customWidth="1"/>
    <col min="3076" max="3076" width="1.83203125" style="947" customWidth="1"/>
    <col min="3077" max="3077" width="21.1640625" style="947" customWidth="1"/>
    <col min="3078" max="3078" width="1.83203125" style="947" customWidth="1"/>
    <col min="3079" max="3079" width="21.1640625" style="947" customWidth="1"/>
    <col min="3080" max="3080" width="1.83203125" style="947" customWidth="1"/>
    <col min="3081" max="3081" width="21.1640625" style="947" customWidth="1"/>
    <col min="3082" max="3082" width="1.83203125" style="947" customWidth="1"/>
    <col min="3083" max="3083" width="17.33203125" style="947" customWidth="1"/>
    <col min="3084" max="3084" width="1.83203125" style="947" customWidth="1"/>
    <col min="3085" max="3085" width="13" style="947" customWidth="1"/>
    <col min="3086" max="3086" width="1.83203125" style="947" customWidth="1"/>
    <col min="3087" max="3087" width="13.83203125" style="947" customWidth="1"/>
    <col min="3088" max="3328" width="9.33203125" style="947"/>
    <col min="3329" max="3330" width="3.1640625" style="947" customWidth="1"/>
    <col min="3331" max="3331" width="48.83203125" style="947" customWidth="1"/>
    <col min="3332" max="3332" width="1.83203125" style="947" customWidth="1"/>
    <col min="3333" max="3333" width="21.1640625" style="947" customWidth="1"/>
    <col min="3334" max="3334" width="1.83203125" style="947" customWidth="1"/>
    <col min="3335" max="3335" width="21.1640625" style="947" customWidth="1"/>
    <col min="3336" max="3336" width="1.83203125" style="947" customWidth="1"/>
    <col min="3337" max="3337" width="21.1640625" style="947" customWidth="1"/>
    <col min="3338" max="3338" width="1.83203125" style="947" customWidth="1"/>
    <col min="3339" max="3339" width="17.33203125" style="947" customWidth="1"/>
    <col min="3340" max="3340" width="1.83203125" style="947" customWidth="1"/>
    <col min="3341" max="3341" width="13" style="947" customWidth="1"/>
    <col min="3342" max="3342" width="1.83203125" style="947" customWidth="1"/>
    <col min="3343" max="3343" width="13.83203125" style="947" customWidth="1"/>
    <col min="3344" max="3584" width="9.33203125" style="947"/>
    <col min="3585" max="3586" width="3.1640625" style="947" customWidth="1"/>
    <col min="3587" max="3587" width="48.83203125" style="947" customWidth="1"/>
    <col min="3588" max="3588" width="1.83203125" style="947" customWidth="1"/>
    <col min="3589" max="3589" width="21.1640625" style="947" customWidth="1"/>
    <col min="3590" max="3590" width="1.83203125" style="947" customWidth="1"/>
    <col min="3591" max="3591" width="21.1640625" style="947" customWidth="1"/>
    <col min="3592" max="3592" width="1.83203125" style="947" customWidth="1"/>
    <col min="3593" max="3593" width="21.1640625" style="947" customWidth="1"/>
    <col min="3594" max="3594" width="1.83203125" style="947" customWidth="1"/>
    <col min="3595" max="3595" width="17.33203125" style="947" customWidth="1"/>
    <col min="3596" max="3596" width="1.83203125" style="947" customWidth="1"/>
    <col min="3597" max="3597" width="13" style="947" customWidth="1"/>
    <col min="3598" max="3598" width="1.83203125" style="947" customWidth="1"/>
    <col min="3599" max="3599" width="13.83203125" style="947" customWidth="1"/>
    <col min="3600" max="3840" width="9.33203125" style="947"/>
    <col min="3841" max="3842" width="3.1640625" style="947" customWidth="1"/>
    <col min="3843" max="3843" width="48.83203125" style="947" customWidth="1"/>
    <col min="3844" max="3844" width="1.83203125" style="947" customWidth="1"/>
    <col min="3845" max="3845" width="21.1640625" style="947" customWidth="1"/>
    <col min="3846" max="3846" width="1.83203125" style="947" customWidth="1"/>
    <col min="3847" max="3847" width="21.1640625" style="947" customWidth="1"/>
    <col min="3848" max="3848" width="1.83203125" style="947" customWidth="1"/>
    <col min="3849" max="3849" width="21.1640625" style="947" customWidth="1"/>
    <col min="3850" max="3850" width="1.83203125" style="947" customWidth="1"/>
    <col min="3851" max="3851" width="17.33203125" style="947" customWidth="1"/>
    <col min="3852" max="3852" width="1.83203125" style="947" customWidth="1"/>
    <col min="3853" max="3853" width="13" style="947" customWidth="1"/>
    <col min="3854" max="3854" width="1.83203125" style="947" customWidth="1"/>
    <col min="3855" max="3855" width="13.83203125" style="947" customWidth="1"/>
    <col min="3856" max="4096" width="9.33203125" style="947"/>
    <col min="4097" max="4098" width="3.1640625" style="947" customWidth="1"/>
    <col min="4099" max="4099" width="48.83203125" style="947" customWidth="1"/>
    <col min="4100" max="4100" width="1.83203125" style="947" customWidth="1"/>
    <col min="4101" max="4101" width="21.1640625" style="947" customWidth="1"/>
    <col min="4102" max="4102" width="1.83203125" style="947" customWidth="1"/>
    <col min="4103" max="4103" width="21.1640625" style="947" customWidth="1"/>
    <col min="4104" max="4104" width="1.83203125" style="947" customWidth="1"/>
    <col min="4105" max="4105" width="21.1640625" style="947" customWidth="1"/>
    <col min="4106" max="4106" width="1.83203125" style="947" customWidth="1"/>
    <col min="4107" max="4107" width="17.33203125" style="947" customWidth="1"/>
    <col min="4108" max="4108" width="1.83203125" style="947" customWidth="1"/>
    <col min="4109" max="4109" width="13" style="947" customWidth="1"/>
    <col min="4110" max="4110" width="1.83203125" style="947" customWidth="1"/>
    <col min="4111" max="4111" width="13.83203125" style="947" customWidth="1"/>
    <col min="4112" max="4352" width="9.33203125" style="947"/>
    <col min="4353" max="4354" width="3.1640625" style="947" customWidth="1"/>
    <col min="4355" max="4355" width="48.83203125" style="947" customWidth="1"/>
    <col min="4356" max="4356" width="1.83203125" style="947" customWidth="1"/>
    <col min="4357" max="4357" width="21.1640625" style="947" customWidth="1"/>
    <col min="4358" max="4358" width="1.83203125" style="947" customWidth="1"/>
    <col min="4359" max="4359" width="21.1640625" style="947" customWidth="1"/>
    <col min="4360" max="4360" width="1.83203125" style="947" customWidth="1"/>
    <col min="4361" max="4361" width="21.1640625" style="947" customWidth="1"/>
    <col min="4362" max="4362" width="1.83203125" style="947" customWidth="1"/>
    <col min="4363" max="4363" width="17.33203125" style="947" customWidth="1"/>
    <col min="4364" max="4364" width="1.83203125" style="947" customWidth="1"/>
    <col min="4365" max="4365" width="13" style="947" customWidth="1"/>
    <col min="4366" max="4366" width="1.83203125" style="947" customWidth="1"/>
    <col min="4367" max="4367" width="13.83203125" style="947" customWidth="1"/>
    <col min="4368" max="4608" width="9.33203125" style="947"/>
    <col min="4609" max="4610" width="3.1640625" style="947" customWidth="1"/>
    <col min="4611" max="4611" width="48.83203125" style="947" customWidth="1"/>
    <col min="4612" max="4612" width="1.83203125" style="947" customWidth="1"/>
    <col min="4613" max="4613" width="21.1640625" style="947" customWidth="1"/>
    <col min="4614" max="4614" width="1.83203125" style="947" customWidth="1"/>
    <col min="4615" max="4615" width="21.1640625" style="947" customWidth="1"/>
    <col min="4616" max="4616" width="1.83203125" style="947" customWidth="1"/>
    <col min="4617" max="4617" width="21.1640625" style="947" customWidth="1"/>
    <col min="4618" max="4618" width="1.83203125" style="947" customWidth="1"/>
    <col min="4619" max="4619" width="17.33203125" style="947" customWidth="1"/>
    <col min="4620" max="4620" width="1.83203125" style="947" customWidth="1"/>
    <col min="4621" max="4621" width="13" style="947" customWidth="1"/>
    <col min="4622" max="4622" width="1.83203125" style="947" customWidth="1"/>
    <col min="4623" max="4623" width="13.83203125" style="947" customWidth="1"/>
    <col min="4624" max="4864" width="9.33203125" style="947"/>
    <col min="4865" max="4866" width="3.1640625" style="947" customWidth="1"/>
    <col min="4867" max="4867" width="48.83203125" style="947" customWidth="1"/>
    <col min="4868" max="4868" width="1.83203125" style="947" customWidth="1"/>
    <col min="4869" max="4869" width="21.1640625" style="947" customWidth="1"/>
    <col min="4870" max="4870" width="1.83203125" style="947" customWidth="1"/>
    <col min="4871" max="4871" width="21.1640625" style="947" customWidth="1"/>
    <col min="4872" max="4872" width="1.83203125" style="947" customWidth="1"/>
    <col min="4873" max="4873" width="21.1640625" style="947" customWidth="1"/>
    <col min="4874" max="4874" width="1.83203125" style="947" customWidth="1"/>
    <col min="4875" max="4875" width="17.33203125" style="947" customWidth="1"/>
    <col min="4876" max="4876" width="1.83203125" style="947" customWidth="1"/>
    <col min="4877" max="4877" width="13" style="947" customWidth="1"/>
    <col min="4878" max="4878" width="1.83203125" style="947" customWidth="1"/>
    <col min="4879" max="4879" width="13.83203125" style="947" customWidth="1"/>
    <col min="4880" max="5120" width="9.33203125" style="947"/>
    <col min="5121" max="5122" width="3.1640625" style="947" customWidth="1"/>
    <col min="5123" max="5123" width="48.83203125" style="947" customWidth="1"/>
    <col min="5124" max="5124" width="1.83203125" style="947" customWidth="1"/>
    <col min="5125" max="5125" width="21.1640625" style="947" customWidth="1"/>
    <col min="5126" max="5126" width="1.83203125" style="947" customWidth="1"/>
    <col min="5127" max="5127" width="21.1640625" style="947" customWidth="1"/>
    <col min="5128" max="5128" width="1.83203125" style="947" customWidth="1"/>
    <col min="5129" max="5129" width="21.1640625" style="947" customWidth="1"/>
    <col min="5130" max="5130" width="1.83203125" style="947" customWidth="1"/>
    <col min="5131" max="5131" width="17.33203125" style="947" customWidth="1"/>
    <col min="5132" max="5132" width="1.83203125" style="947" customWidth="1"/>
    <col min="5133" max="5133" width="13" style="947" customWidth="1"/>
    <col min="5134" max="5134" width="1.83203125" style="947" customWidth="1"/>
    <col min="5135" max="5135" width="13.83203125" style="947" customWidth="1"/>
    <col min="5136" max="5376" width="9.33203125" style="947"/>
    <col min="5377" max="5378" width="3.1640625" style="947" customWidth="1"/>
    <col min="5379" max="5379" width="48.83203125" style="947" customWidth="1"/>
    <col min="5380" max="5380" width="1.83203125" style="947" customWidth="1"/>
    <col min="5381" max="5381" width="21.1640625" style="947" customWidth="1"/>
    <col min="5382" max="5382" width="1.83203125" style="947" customWidth="1"/>
    <col min="5383" max="5383" width="21.1640625" style="947" customWidth="1"/>
    <col min="5384" max="5384" width="1.83203125" style="947" customWidth="1"/>
    <col min="5385" max="5385" width="21.1640625" style="947" customWidth="1"/>
    <col min="5386" max="5386" width="1.83203125" style="947" customWidth="1"/>
    <col min="5387" max="5387" width="17.33203125" style="947" customWidth="1"/>
    <col min="5388" max="5388" width="1.83203125" style="947" customWidth="1"/>
    <col min="5389" max="5389" width="13" style="947" customWidth="1"/>
    <col min="5390" max="5390" width="1.83203125" style="947" customWidth="1"/>
    <col min="5391" max="5391" width="13.83203125" style="947" customWidth="1"/>
    <col min="5392" max="5632" width="9.33203125" style="947"/>
    <col min="5633" max="5634" width="3.1640625" style="947" customWidth="1"/>
    <col min="5635" max="5635" width="48.83203125" style="947" customWidth="1"/>
    <col min="5636" max="5636" width="1.83203125" style="947" customWidth="1"/>
    <col min="5637" max="5637" width="21.1640625" style="947" customWidth="1"/>
    <col min="5638" max="5638" width="1.83203125" style="947" customWidth="1"/>
    <col min="5639" max="5639" width="21.1640625" style="947" customWidth="1"/>
    <col min="5640" max="5640" width="1.83203125" style="947" customWidth="1"/>
    <col min="5641" max="5641" width="21.1640625" style="947" customWidth="1"/>
    <col min="5642" max="5642" width="1.83203125" style="947" customWidth="1"/>
    <col min="5643" max="5643" width="17.33203125" style="947" customWidth="1"/>
    <col min="5644" max="5644" width="1.83203125" style="947" customWidth="1"/>
    <col min="5645" max="5645" width="13" style="947" customWidth="1"/>
    <col min="5646" max="5646" width="1.83203125" style="947" customWidth="1"/>
    <col min="5647" max="5647" width="13.83203125" style="947" customWidth="1"/>
    <col min="5648" max="5888" width="9.33203125" style="947"/>
    <col min="5889" max="5890" width="3.1640625" style="947" customWidth="1"/>
    <col min="5891" max="5891" width="48.83203125" style="947" customWidth="1"/>
    <col min="5892" max="5892" width="1.83203125" style="947" customWidth="1"/>
    <col min="5893" max="5893" width="21.1640625" style="947" customWidth="1"/>
    <col min="5894" max="5894" width="1.83203125" style="947" customWidth="1"/>
    <col min="5895" max="5895" width="21.1640625" style="947" customWidth="1"/>
    <col min="5896" max="5896" width="1.83203125" style="947" customWidth="1"/>
    <col min="5897" max="5897" width="21.1640625" style="947" customWidth="1"/>
    <col min="5898" max="5898" width="1.83203125" style="947" customWidth="1"/>
    <col min="5899" max="5899" width="17.33203125" style="947" customWidth="1"/>
    <col min="5900" max="5900" width="1.83203125" style="947" customWidth="1"/>
    <col min="5901" max="5901" width="13" style="947" customWidth="1"/>
    <col min="5902" max="5902" width="1.83203125" style="947" customWidth="1"/>
    <col min="5903" max="5903" width="13.83203125" style="947" customWidth="1"/>
    <col min="5904" max="6144" width="9.33203125" style="947"/>
    <col min="6145" max="6146" width="3.1640625" style="947" customWidth="1"/>
    <col min="6147" max="6147" width="48.83203125" style="947" customWidth="1"/>
    <col min="6148" max="6148" width="1.83203125" style="947" customWidth="1"/>
    <col min="6149" max="6149" width="21.1640625" style="947" customWidth="1"/>
    <col min="6150" max="6150" width="1.83203125" style="947" customWidth="1"/>
    <col min="6151" max="6151" width="21.1640625" style="947" customWidth="1"/>
    <col min="6152" max="6152" width="1.83203125" style="947" customWidth="1"/>
    <col min="6153" max="6153" width="21.1640625" style="947" customWidth="1"/>
    <col min="6154" max="6154" width="1.83203125" style="947" customWidth="1"/>
    <col min="6155" max="6155" width="17.33203125" style="947" customWidth="1"/>
    <col min="6156" max="6156" width="1.83203125" style="947" customWidth="1"/>
    <col min="6157" max="6157" width="13" style="947" customWidth="1"/>
    <col min="6158" max="6158" width="1.83203125" style="947" customWidth="1"/>
    <col min="6159" max="6159" width="13.83203125" style="947" customWidth="1"/>
    <col min="6160" max="6400" width="9.33203125" style="947"/>
    <col min="6401" max="6402" width="3.1640625" style="947" customWidth="1"/>
    <col min="6403" max="6403" width="48.83203125" style="947" customWidth="1"/>
    <col min="6404" max="6404" width="1.83203125" style="947" customWidth="1"/>
    <col min="6405" max="6405" width="21.1640625" style="947" customWidth="1"/>
    <col min="6406" max="6406" width="1.83203125" style="947" customWidth="1"/>
    <col min="6407" max="6407" width="21.1640625" style="947" customWidth="1"/>
    <col min="6408" max="6408" width="1.83203125" style="947" customWidth="1"/>
    <col min="6409" max="6409" width="21.1640625" style="947" customWidth="1"/>
    <col min="6410" max="6410" width="1.83203125" style="947" customWidth="1"/>
    <col min="6411" max="6411" width="17.33203125" style="947" customWidth="1"/>
    <col min="6412" max="6412" width="1.83203125" style="947" customWidth="1"/>
    <col min="6413" max="6413" width="13" style="947" customWidth="1"/>
    <col min="6414" max="6414" width="1.83203125" style="947" customWidth="1"/>
    <col min="6415" max="6415" width="13.83203125" style="947" customWidth="1"/>
    <col min="6416" max="6656" width="9.33203125" style="947"/>
    <col min="6657" max="6658" width="3.1640625" style="947" customWidth="1"/>
    <col min="6659" max="6659" width="48.83203125" style="947" customWidth="1"/>
    <col min="6660" max="6660" width="1.83203125" style="947" customWidth="1"/>
    <col min="6661" max="6661" width="21.1640625" style="947" customWidth="1"/>
    <col min="6662" max="6662" width="1.83203125" style="947" customWidth="1"/>
    <col min="6663" max="6663" width="21.1640625" style="947" customWidth="1"/>
    <col min="6664" max="6664" width="1.83203125" style="947" customWidth="1"/>
    <col min="6665" max="6665" width="21.1640625" style="947" customWidth="1"/>
    <col min="6666" max="6666" width="1.83203125" style="947" customWidth="1"/>
    <col min="6667" max="6667" width="17.33203125" style="947" customWidth="1"/>
    <col min="6668" max="6668" width="1.83203125" style="947" customWidth="1"/>
    <col min="6669" max="6669" width="13" style="947" customWidth="1"/>
    <col min="6670" max="6670" width="1.83203125" style="947" customWidth="1"/>
    <col min="6671" max="6671" width="13.83203125" style="947" customWidth="1"/>
    <col min="6672" max="6912" width="9.33203125" style="947"/>
    <col min="6913" max="6914" width="3.1640625" style="947" customWidth="1"/>
    <col min="6915" max="6915" width="48.83203125" style="947" customWidth="1"/>
    <col min="6916" max="6916" width="1.83203125" style="947" customWidth="1"/>
    <col min="6917" max="6917" width="21.1640625" style="947" customWidth="1"/>
    <col min="6918" max="6918" width="1.83203125" style="947" customWidth="1"/>
    <col min="6919" max="6919" width="21.1640625" style="947" customWidth="1"/>
    <col min="6920" max="6920" width="1.83203125" style="947" customWidth="1"/>
    <col min="6921" max="6921" width="21.1640625" style="947" customWidth="1"/>
    <col min="6922" max="6922" width="1.83203125" style="947" customWidth="1"/>
    <col min="6923" max="6923" width="17.33203125" style="947" customWidth="1"/>
    <col min="6924" max="6924" width="1.83203125" style="947" customWidth="1"/>
    <col min="6925" max="6925" width="13" style="947" customWidth="1"/>
    <col min="6926" max="6926" width="1.83203125" style="947" customWidth="1"/>
    <col min="6927" max="6927" width="13.83203125" style="947" customWidth="1"/>
    <col min="6928" max="7168" width="9.33203125" style="947"/>
    <col min="7169" max="7170" width="3.1640625" style="947" customWidth="1"/>
    <col min="7171" max="7171" width="48.83203125" style="947" customWidth="1"/>
    <col min="7172" max="7172" width="1.83203125" style="947" customWidth="1"/>
    <col min="7173" max="7173" width="21.1640625" style="947" customWidth="1"/>
    <col min="7174" max="7174" width="1.83203125" style="947" customWidth="1"/>
    <col min="7175" max="7175" width="21.1640625" style="947" customWidth="1"/>
    <col min="7176" max="7176" width="1.83203125" style="947" customWidth="1"/>
    <col min="7177" max="7177" width="21.1640625" style="947" customWidth="1"/>
    <col min="7178" max="7178" width="1.83203125" style="947" customWidth="1"/>
    <col min="7179" max="7179" width="17.33203125" style="947" customWidth="1"/>
    <col min="7180" max="7180" width="1.83203125" style="947" customWidth="1"/>
    <col min="7181" max="7181" width="13" style="947" customWidth="1"/>
    <col min="7182" max="7182" width="1.83203125" style="947" customWidth="1"/>
    <col min="7183" max="7183" width="13.83203125" style="947" customWidth="1"/>
    <col min="7184" max="7424" width="9.33203125" style="947"/>
    <col min="7425" max="7426" width="3.1640625" style="947" customWidth="1"/>
    <col min="7427" max="7427" width="48.83203125" style="947" customWidth="1"/>
    <col min="7428" max="7428" width="1.83203125" style="947" customWidth="1"/>
    <col min="7429" max="7429" width="21.1640625" style="947" customWidth="1"/>
    <col min="7430" max="7430" width="1.83203125" style="947" customWidth="1"/>
    <col min="7431" max="7431" width="21.1640625" style="947" customWidth="1"/>
    <col min="7432" max="7432" width="1.83203125" style="947" customWidth="1"/>
    <col min="7433" max="7433" width="21.1640625" style="947" customWidth="1"/>
    <col min="7434" max="7434" width="1.83203125" style="947" customWidth="1"/>
    <col min="7435" max="7435" width="17.33203125" style="947" customWidth="1"/>
    <col min="7436" max="7436" width="1.83203125" style="947" customWidth="1"/>
    <col min="7437" max="7437" width="13" style="947" customWidth="1"/>
    <col min="7438" max="7438" width="1.83203125" style="947" customWidth="1"/>
    <col min="7439" max="7439" width="13.83203125" style="947" customWidth="1"/>
    <col min="7440" max="7680" width="9.33203125" style="947"/>
    <col min="7681" max="7682" width="3.1640625" style="947" customWidth="1"/>
    <col min="7683" max="7683" width="48.83203125" style="947" customWidth="1"/>
    <col min="7684" max="7684" width="1.83203125" style="947" customWidth="1"/>
    <col min="7685" max="7685" width="21.1640625" style="947" customWidth="1"/>
    <col min="7686" max="7686" width="1.83203125" style="947" customWidth="1"/>
    <col min="7687" max="7687" width="21.1640625" style="947" customWidth="1"/>
    <col min="7688" max="7688" width="1.83203125" style="947" customWidth="1"/>
    <col min="7689" max="7689" width="21.1640625" style="947" customWidth="1"/>
    <col min="7690" max="7690" width="1.83203125" style="947" customWidth="1"/>
    <col min="7691" max="7691" width="17.33203125" style="947" customWidth="1"/>
    <col min="7692" max="7692" width="1.83203125" style="947" customWidth="1"/>
    <col min="7693" max="7693" width="13" style="947" customWidth="1"/>
    <col min="7694" max="7694" width="1.83203125" style="947" customWidth="1"/>
    <col min="7695" max="7695" width="13.83203125" style="947" customWidth="1"/>
    <col min="7696" max="7936" width="9.33203125" style="947"/>
    <col min="7937" max="7938" width="3.1640625" style="947" customWidth="1"/>
    <col min="7939" max="7939" width="48.83203125" style="947" customWidth="1"/>
    <col min="7940" max="7940" width="1.83203125" style="947" customWidth="1"/>
    <col min="7941" max="7941" width="21.1640625" style="947" customWidth="1"/>
    <col min="7942" max="7942" width="1.83203125" style="947" customWidth="1"/>
    <col min="7943" max="7943" width="21.1640625" style="947" customWidth="1"/>
    <col min="7944" max="7944" width="1.83203125" style="947" customWidth="1"/>
    <col min="7945" max="7945" width="21.1640625" style="947" customWidth="1"/>
    <col min="7946" max="7946" width="1.83203125" style="947" customWidth="1"/>
    <col min="7947" max="7947" width="17.33203125" style="947" customWidth="1"/>
    <col min="7948" max="7948" width="1.83203125" style="947" customWidth="1"/>
    <col min="7949" max="7949" width="13" style="947" customWidth="1"/>
    <col min="7950" max="7950" width="1.83203125" style="947" customWidth="1"/>
    <col min="7951" max="7951" width="13.83203125" style="947" customWidth="1"/>
    <col min="7952" max="8192" width="9.33203125" style="947"/>
    <col min="8193" max="8194" width="3.1640625" style="947" customWidth="1"/>
    <col min="8195" max="8195" width="48.83203125" style="947" customWidth="1"/>
    <col min="8196" max="8196" width="1.83203125" style="947" customWidth="1"/>
    <col min="8197" max="8197" width="21.1640625" style="947" customWidth="1"/>
    <col min="8198" max="8198" width="1.83203125" style="947" customWidth="1"/>
    <col min="8199" max="8199" width="21.1640625" style="947" customWidth="1"/>
    <col min="8200" max="8200" width="1.83203125" style="947" customWidth="1"/>
    <col min="8201" max="8201" width="21.1640625" style="947" customWidth="1"/>
    <col min="8202" max="8202" width="1.83203125" style="947" customWidth="1"/>
    <col min="8203" max="8203" width="17.33203125" style="947" customWidth="1"/>
    <col min="8204" max="8204" width="1.83203125" style="947" customWidth="1"/>
    <col min="8205" max="8205" width="13" style="947" customWidth="1"/>
    <col min="8206" max="8206" width="1.83203125" style="947" customWidth="1"/>
    <col min="8207" max="8207" width="13.83203125" style="947" customWidth="1"/>
    <col min="8208" max="8448" width="9.33203125" style="947"/>
    <col min="8449" max="8450" width="3.1640625" style="947" customWidth="1"/>
    <col min="8451" max="8451" width="48.83203125" style="947" customWidth="1"/>
    <col min="8452" max="8452" width="1.83203125" style="947" customWidth="1"/>
    <col min="8453" max="8453" width="21.1640625" style="947" customWidth="1"/>
    <col min="8454" max="8454" width="1.83203125" style="947" customWidth="1"/>
    <col min="8455" max="8455" width="21.1640625" style="947" customWidth="1"/>
    <col min="8456" max="8456" width="1.83203125" style="947" customWidth="1"/>
    <col min="8457" max="8457" width="21.1640625" style="947" customWidth="1"/>
    <col min="8458" max="8458" width="1.83203125" style="947" customWidth="1"/>
    <col min="8459" max="8459" width="17.33203125" style="947" customWidth="1"/>
    <col min="8460" max="8460" width="1.83203125" style="947" customWidth="1"/>
    <col min="8461" max="8461" width="13" style="947" customWidth="1"/>
    <col min="8462" max="8462" width="1.83203125" style="947" customWidth="1"/>
    <col min="8463" max="8463" width="13.83203125" style="947" customWidth="1"/>
    <col min="8464" max="8704" width="9.33203125" style="947"/>
    <col min="8705" max="8706" width="3.1640625" style="947" customWidth="1"/>
    <col min="8707" max="8707" width="48.83203125" style="947" customWidth="1"/>
    <col min="8708" max="8708" width="1.83203125" style="947" customWidth="1"/>
    <col min="8709" max="8709" width="21.1640625" style="947" customWidth="1"/>
    <col min="8710" max="8710" width="1.83203125" style="947" customWidth="1"/>
    <col min="8711" max="8711" width="21.1640625" style="947" customWidth="1"/>
    <col min="8712" max="8712" width="1.83203125" style="947" customWidth="1"/>
    <col min="8713" max="8713" width="21.1640625" style="947" customWidth="1"/>
    <col min="8714" max="8714" width="1.83203125" style="947" customWidth="1"/>
    <col min="8715" max="8715" width="17.33203125" style="947" customWidth="1"/>
    <col min="8716" max="8716" width="1.83203125" style="947" customWidth="1"/>
    <col min="8717" max="8717" width="13" style="947" customWidth="1"/>
    <col min="8718" max="8718" width="1.83203125" style="947" customWidth="1"/>
    <col min="8719" max="8719" width="13.83203125" style="947" customWidth="1"/>
    <col min="8720" max="8960" width="9.33203125" style="947"/>
    <col min="8961" max="8962" width="3.1640625" style="947" customWidth="1"/>
    <col min="8963" max="8963" width="48.83203125" style="947" customWidth="1"/>
    <col min="8964" max="8964" width="1.83203125" style="947" customWidth="1"/>
    <col min="8965" max="8965" width="21.1640625" style="947" customWidth="1"/>
    <col min="8966" max="8966" width="1.83203125" style="947" customWidth="1"/>
    <col min="8967" max="8967" width="21.1640625" style="947" customWidth="1"/>
    <col min="8968" max="8968" width="1.83203125" style="947" customWidth="1"/>
    <col min="8969" max="8969" width="21.1640625" style="947" customWidth="1"/>
    <col min="8970" max="8970" width="1.83203125" style="947" customWidth="1"/>
    <col min="8971" max="8971" width="17.33203125" style="947" customWidth="1"/>
    <col min="8972" max="8972" width="1.83203125" style="947" customWidth="1"/>
    <col min="8973" max="8973" width="13" style="947" customWidth="1"/>
    <col min="8974" max="8974" width="1.83203125" style="947" customWidth="1"/>
    <col min="8975" max="8975" width="13.83203125" style="947" customWidth="1"/>
    <col min="8976" max="9216" width="9.33203125" style="947"/>
    <col min="9217" max="9218" width="3.1640625" style="947" customWidth="1"/>
    <col min="9219" max="9219" width="48.83203125" style="947" customWidth="1"/>
    <col min="9220" max="9220" width="1.83203125" style="947" customWidth="1"/>
    <col min="9221" max="9221" width="21.1640625" style="947" customWidth="1"/>
    <col min="9222" max="9222" width="1.83203125" style="947" customWidth="1"/>
    <col min="9223" max="9223" width="21.1640625" style="947" customWidth="1"/>
    <col min="9224" max="9224" width="1.83203125" style="947" customWidth="1"/>
    <col min="9225" max="9225" width="21.1640625" style="947" customWidth="1"/>
    <col min="9226" max="9226" width="1.83203125" style="947" customWidth="1"/>
    <col min="9227" max="9227" width="17.33203125" style="947" customWidth="1"/>
    <col min="9228" max="9228" width="1.83203125" style="947" customWidth="1"/>
    <col min="9229" max="9229" width="13" style="947" customWidth="1"/>
    <col min="9230" max="9230" width="1.83203125" style="947" customWidth="1"/>
    <col min="9231" max="9231" width="13.83203125" style="947" customWidth="1"/>
    <col min="9232" max="9472" width="9.33203125" style="947"/>
    <col min="9473" max="9474" width="3.1640625" style="947" customWidth="1"/>
    <col min="9475" max="9475" width="48.83203125" style="947" customWidth="1"/>
    <col min="9476" max="9476" width="1.83203125" style="947" customWidth="1"/>
    <col min="9477" max="9477" width="21.1640625" style="947" customWidth="1"/>
    <col min="9478" max="9478" width="1.83203125" style="947" customWidth="1"/>
    <col min="9479" max="9479" width="21.1640625" style="947" customWidth="1"/>
    <col min="9480" max="9480" width="1.83203125" style="947" customWidth="1"/>
    <col min="9481" max="9481" width="21.1640625" style="947" customWidth="1"/>
    <col min="9482" max="9482" width="1.83203125" style="947" customWidth="1"/>
    <col min="9483" max="9483" width="17.33203125" style="947" customWidth="1"/>
    <col min="9484" max="9484" width="1.83203125" style="947" customWidth="1"/>
    <col min="9485" max="9485" width="13" style="947" customWidth="1"/>
    <col min="9486" max="9486" width="1.83203125" style="947" customWidth="1"/>
    <col min="9487" max="9487" width="13.83203125" style="947" customWidth="1"/>
    <col min="9488" max="9728" width="9.33203125" style="947"/>
    <col min="9729" max="9730" width="3.1640625" style="947" customWidth="1"/>
    <col min="9731" max="9731" width="48.83203125" style="947" customWidth="1"/>
    <col min="9732" max="9732" width="1.83203125" style="947" customWidth="1"/>
    <col min="9733" max="9733" width="21.1640625" style="947" customWidth="1"/>
    <col min="9734" max="9734" width="1.83203125" style="947" customWidth="1"/>
    <col min="9735" max="9735" width="21.1640625" style="947" customWidth="1"/>
    <col min="9736" max="9736" width="1.83203125" style="947" customWidth="1"/>
    <col min="9737" max="9737" width="21.1640625" style="947" customWidth="1"/>
    <col min="9738" max="9738" width="1.83203125" style="947" customWidth="1"/>
    <col min="9739" max="9739" width="17.33203125" style="947" customWidth="1"/>
    <col min="9740" max="9740" width="1.83203125" style="947" customWidth="1"/>
    <col min="9741" max="9741" width="13" style="947" customWidth="1"/>
    <col min="9742" max="9742" width="1.83203125" style="947" customWidth="1"/>
    <col min="9743" max="9743" width="13.83203125" style="947" customWidth="1"/>
    <col min="9744" max="9984" width="9.33203125" style="947"/>
    <col min="9985" max="9986" width="3.1640625" style="947" customWidth="1"/>
    <col min="9987" max="9987" width="48.83203125" style="947" customWidth="1"/>
    <col min="9988" max="9988" width="1.83203125" style="947" customWidth="1"/>
    <col min="9989" max="9989" width="21.1640625" style="947" customWidth="1"/>
    <col min="9990" max="9990" width="1.83203125" style="947" customWidth="1"/>
    <col min="9991" max="9991" width="21.1640625" style="947" customWidth="1"/>
    <col min="9992" max="9992" width="1.83203125" style="947" customWidth="1"/>
    <col min="9993" max="9993" width="21.1640625" style="947" customWidth="1"/>
    <col min="9994" max="9994" width="1.83203125" style="947" customWidth="1"/>
    <col min="9995" max="9995" width="17.33203125" style="947" customWidth="1"/>
    <col min="9996" max="9996" width="1.83203125" style="947" customWidth="1"/>
    <col min="9997" max="9997" width="13" style="947" customWidth="1"/>
    <col min="9998" max="9998" width="1.83203125" style="947" customWidth="1"/>
    <col min="9999" max="9999" width="13.83203125" style="947" customWidth="1"/>
    <col min="10000" max="10240" width="9.33203125" style="947"/>
    <col min="10241" max="10242" width="3.1640625" style="947" customWidth="1"/>
    <col min="10243" max="10243" width="48.83203125" style="947" customWidth="1"/>
    <col min="10244" max="10244" width="1.83203125" style="947" customWidth="1"/>
    <col min="10245" max="10245" width="21.1640625" style="947" customWidth="1"/>
    <col min="10246" max="10246" width="1.83203125" style="947" customWidth="1"/>
    <col min="10247" max="10247" width="21.1640625" style="947" customWidth="1"/>
    <col min="10248" max="10248" width="1.83203125" style="947" customWidth="1"/>
    <col min="10249" max="10249" width="21.1640625" style="947" customWidth="1"/>
    <col min="10250" max="10250" width="1.83203125" style="947" customWidth="1"/>
    <col min="10251" max="10251" width="17.33203125" style="947" customWidth="1"/>
    <col min="10252" max="10252" width="1.83203125" style="947" customWidth="1"/>
    <col min="10253" max="10253" width="13" style="947" customWidth="1"/>
    <col min="10254" max="10254" width="1.83203125" style="947" customWidth="1"/>
    <col min="10255" max="10255" width="13.83203125" style="947" customWidth="1"/>
    <col min="10256" max="10496" width="9.33203125" style="947"/>
    <col min="10497" max="10498" width="3.1640625" style="947" customWidth="1"/>
    <col min="10499" max="10499" width="48.83203125" style="947" customWidth="1"/>
    <col min="10500" max="10500" width="1.83203125" style="947" customWidth="1"/>
    <col min="10501" max="10501" width="21.1640625" style="947" customWidth="1"/>
    <col min="10502" max="10502" width="1.83203125" style="947" customWidth="1"/>
    <col min="10503" max="10503" width="21.1640625" style="947" customWidth="1"/>
    <col min="10504" max="10504" width="1.83203125" style="947" customWidth="1"/>
    <col min="10505" max="10505" width="21.1640625" style="947" customWidth="1"/>
    <col min="10506" max="10506" width="1.83203125" style="947" customWidth="1"/>
    <col min="10507" max="10507" width="17.33203125" style="947" customWidth="1"/>
    <col min="10508" max="10508" width="1.83203125" style="947" customWidth="1"/>
    <col min="10509" max="10509" width="13" style="947" customWidth="1"/>
    <col min="10510" max="10510" width="1.83203125" style="947" customWidth="1"/>
    <col min="10511" max="10511" width="13.83203125" style="947" customWidth="1"/>
    <col min="10512" max="10752" width="9.33203125" style="947"/>
    <col min="10753" max="10754" width="3.1640625" style="947" customWidth="1"/>
    <col min="10755" max="10755" width="48.83203125" style="947" customWidth="1"/>
    <col min="10756" max="10756" width="1.83203125" style="947" customWidth="1"/>
    <col min="10757" max="10757" width="21.1640625" style="947" customWidth="1"/>
    <col min="10758" max="10758" width="1.83203125" style="947" customWidth="1"/>
    <col min="10759" max="10759" width="21.1640625" style="947" customWidth="1"/>
    <col min="10760" max="10760" width="1.83203125" style="947" customWidth="1"/>
    <col min="10761" max="10761" width="21.1640625" style="947" customWidth="1"/>
    <col min="10762" max="10762" width="1.83203125" style="947" customWidth="1"/>
    <col min="10763" max="10763" width="17.33203125" style="947" customWidth="1"/>
    <col min="10764" max="10764" width="1.83203125" style="947" customWidth="1"/>
    <col min="10765" max="10765" width="13" style="947" customWidth="1"/>
    <col min="10766" max="10766" width="1.83203125" style="947" customWidth="1"/>
    <col min="10767" max="10767" width="13.83203125" style="947" customWidth="1"/>
    <col min="10768" max="11008" width="9.33203125" style="947"/>
    <col min="11009" max="11010" width="3.1640625" style="947" customWidth="1"/>
    <col min="11011" max="11011" width="48.83203125" style="947" customWidth="1"/>
    <col min="11012" max="11012" width="1.83203125" style="947" customWidth="1"/>
    <col min="11013" max="11013" width="21.1640625" style="947" customWidth="1"/>
    <col min="11014" max="11014" width="1.83203125" style="947" customWidth="1"/>
    <col min="11015" max="11015" width="21.1640625" style="947" customWidth="1"/>
    <col min="11016" max="11016" width="1.83203125" style="947" customWidth="1"/>
    <col min="11017" max="11017" width="21.1640625" style="947" customWidth="1"/>
    <col min="11018" max="11018" width="1.83203125" style="947" customWidth="1"/>
    <col min="11019" max="11019" width="17.33203125" style="947" customWidth="1"/>
    <col min="11020" max="11020" width="1.83203125" style="947" customWidth="1"/>
    <col min="11021" max="11021" width="13" style="947" customWidth="1"/>
    <col min="11022" max="11022" width="1.83203125" style="947" customWidth="1"/>
    <col min="11023" max="11023" width="13.83203125" style="947" customWidth="1"/>
    <col min="11024" max="11264" width="9.33203125" style="947"/>
    <col min="11265" max="11266" width="3.1640625" style="947" customWidth="1"/>
    <col min="11267" max="11267" width="48.83203125" style="947" customWidth="1"/>
    <col min="11268" max="11268" width="1.83203125" style="947" customWidth="1"/>
    <col min="11269" max="11269" width="21.1640625" style="947" customWidth="1"/>
    <col min="11270" max="11270" width="1.83203125" style="947" customWidth="1"/>
    <col min="11271" max="11271" width="21.1640625" style="947" customWidth="1"/>
    <col min="11272" max="11272" width="1.83203125" style="947" customWidth="1"/>
    <col min="11273" max="11273" width="21.1640625" style="947" customWidth="1"/>
    <col min="11274" max="11274" width="1.83203125" style="947" customWidth="1"/>
    <col min="11275" max="11275" width="17.33203125" style="947" customWidth="1"/>
    <col min="11276" max="11276" width="1.83203125" style="947" customWidth="1"/>
    <col min="11277" max="11277" width="13" style="947" customWidth="1"/>
    <col min="11278" max="11278" width="1.83203125" style="947" customWidth="1"/>
    <col min="11279" max="11279" width="13.83203125" style="947" customWidth="1"/>
    <col min="11280" max="11520" width="9.33203125" style="947"/>
    <col min="11521" max="11522" width="3.1640625" style="947" customWidth="1"/>
    <col min="11523" max="11523" width="48.83203125" style="947" customWidth="1"/>
    <col min="11524" max="11524" width="1.83203125" style="947" customWidth="1"/>
    <col min="11525" max="11525" width="21.1640625" style="947" customWidth="1"/>
    <col min="11526" max="11526" width="1.83203125" style="947" customWidth="1"/>
    <col min="11527" max="11527" width="21.1640625" style="947" customWidth="1"/>
    <col min="11528" max="11528" width="1.83203125" style="947" customWidth="1"/>
    <col min="11529" max="11529" width="21.1640625" style="947" customWidth="1"/>
    <col min="11530" max="11530" width="1.83203125" style="947" customWidth="1"/>
    <col min="11531" max="11531" width="17.33203125" style="947" customWidth="1"/>
    <col min="11532" max="11532" width="1.83203125" style="947" customWidth="1"/>
    <col min="11533" max="11533" width="13" style="947" customWidth="1"/>
    <col min="11534" max="11534" width="1.83203125" style="947" customWidth="1"/>
    <col min="11535" max="11535" width="13.83203125" style="947" customWidth="1"/>
    <col min="11536" max="11776" width="9.33203125" style="947"/>
    <col min="11777" max="11778" width="3.1640625" style="947" customWidth="1"/>
    <col min="11779" max="11779" width="48.83203125" style="947" customWidth="1"/>
    <col min="11780" max="11780" width="1.83203125" style="947" customWidth="1"/>
    <col min="11781" max="11781" width="21.1640625" style="947" customWidth="1"/>
    <col min="11782" max="11782" width="1.83203125" style="947" customWidth="1"/>
    <col min="11783" max="11783" width="21.1640625" style="947" customWidth="1"/>
    <col min="11784" max="11784" width="1.83203125" style="947" customWidth="1"/>
    <col min="11785" max="11785" width="21.1640625" style="947" customWidth="1"/>
    <col min="11786" max="11786" width="1.83203125" style="947" customWidth="1"/>
    <col min="11787" max="11787" width="17.33203125" style="947" customWidth="1"/>
    <col min="11788" max="11788" width="1.83203125" style="947" customWidth="1"/>
    <col min="11789" max="11789" width="13" style="947" customWidth="1"/>
    <col min="11790" max="11790" width="1.83203125" style="947" customWidth="1"/>
    <col min="11791" max="11791" width="13.83203125" style="947" customWidth="1"/>
    <col min="11792" max="12032" width="9.33203125" style="947"/>
    <col min="12033" max="12034" width="3.1640625" style="947" customWidth="1"/>
    <col min="12035" max="12035" width="48.83203125" style="947" customWidth="1"/>
    <col min="12036" max="12036" width="1.83203125" style="947" customWidth="1"/>
    <col min="12037" max="12037" width="21.1640625" style="947" customWidth="1"/>
    <col min="12038" max="12038" width="1.83203125" style="947" customWidth="1"/>
    <col min="12039" max="12039" width="21.1640625" style="947" customWidth="1"/>
    <col min="12040" max="12040" width="1.83203125" style="947" customWidth="1"/>
    <col min="12041" max="12041" width="21.1640625" style="947" customWidth="1"/>
    <col min="12042" max="12042" width="1.83203125" style="947" customWidth="1"/>
    <col min="12043" max="12043" width="17.33203125" style="947" customWidth="1"/>
    <col min="12044" max="12044" width="1.83203125" style="947" customWidth="1"/>
    <col min="12045" max="12045" width="13" style="947" customWidth="1"/>
    <col min="12046" max="12046" width="1.83203125" style="947" customWidth="1"/>
    <col min="12047" max="12047" width="13.83203125" style="947" customWidth="1"/>
    <col min="12048" max="12288" width="9.33203125" style="947"/>
    <col min="12289" max="12290" width="3.1640625" style="947" customWidth="1"/>
    <col min="12291" max="12291" width="48.83203125" style="947" customWidth="1"/>
    <col min="12292" max="12292" width="1.83203125" style="947" customWidth="1"/>
    <col min="12293" max="12293" width="21.1640625" style="947" customWidth="1"/>
    <col min="12294" max="12294" width="1.83203125" style="947" customWidth="1"/>
    <col min="12295" max="12295" width="21.1640625" style="947" customWidth="1"/>
    <col min="12296" max="12296" width="1.83203125" style="947" customWidth="1"/>
    <col min="12297" max="12297" width="21.1640625" style="947" customWidth="1"/>
    <col min="12298" max="12298" width="1.83203125" style="947" customWidth="1"/>
    <col min="12299" max="12299" width="17.33203125" style="947" customWidth="1"/>
    <col min="12300" max="12300" width="1.83203125" style="947" customWidth="1"/>
    <col min="12301" max="12301" width="13" style="947" customWidth="1"/>
    <col min="12302" max="12302" width="1.83203125" style="947" customWidth="1"/>
    <col min="12303" max="12303" width="13.83203125" style="947" customWidth="1"/>
    <col min="12304" max="12544" width="9.33203125" style="947"/>
    <col min="12545" max="12546" width="3.1640625" style="947" customWidth="1"/>
    <col min="12547" max="12547" width="48.83203125" style="947" customWidth="1"/>
    <col min="12548" max="12548" width="1.83203125" style="947" customWidth="1"/>
    <col min="12549" max="12549" width="21.1640625" style="947" customWidth="1"/>
    <col min="12550" max="12550" width="1.83203125" style="947" customWidth="1"/>
    <col min="12551" max="12551" width="21.1640625" style="947" customWidth="1"/>
    <col min="12552" max="12552" width="1.83203125" style="947" customWidth="1"/>
    <col min="12553" max="12553" width="21.1640625" style="947" customWidth="1"/>
    <col min="12554" max="12554" width="1.83203125" style="947" customWidth="1"/>
    <col min="12555" max="12555" width="17.33203125" style="947" customWidth="1"/>
    <col min="12556" max="12556" width="1.83203125" style="947" customWidth="1"/>
    <col min="12557" max="12557" width="13" style="947" customWidth="1"/>
    <col min="12558" max="12558" width="1.83203125" style="947" customWidth="1"/>
    <col min="12559" max="12559" width="13.83203125" style="947" customWidth="1"/>
    <col min="12560" max="12800" width="9.33203125" style="947"/>
    <col min="12801" max="12802" width="3.1640625" style="947" customWidth="1"/>
    <col min="12803" max="12803" width="48.83203125" style="947" customWidth="1"/>
    <col min="12804" max="12804" width="1.83203125" style="947" customWidth="1"/>
    <col min="12805" max="12805" width="21.1640625" style="947" customWidth="1"/>
    <col min="12806" max="12806" width="1.83203125" style="947" customWidth="1"/>
    <col min="12807" max="12807" width="21.1640625" style="947" customWidth="1"/>
    <col min="12808" max="12808" width="1.83203125" style="947" customWidth="1"/>
    <col min="12809" max="12809" width="21.1640625" style="947" customWidth="1"/>
    <col min="12810" max="12810" width="1.83203125" style="947" customWidth="1"/>
    <col min="12811" max="12811" width="17.33203125" style="947" customWidth="1"/>
    <col min="12812" max="12812" width="1.83203125" style="947" customWidth="1"/>
    <col min="12813" max="12813" width="13" style="947" customWidth="1"/>
    <col min="12814" max="12814" width="1.83203125" style="947" customWidth="1"/>
    <col min="12815" max="12815" width="13.83203125" style="947" customWidth="1"/>
    <col min="12816" max="13056" width="9.33203125" style="947"/>
    <col min="13057" max="13058" width="3.1640625" style="947" customWidth="1"/>
    <col min="13059" max="13059" width="48.83203125" style="947" customWidth="1"/>
    <col min="13060" max="13060" width="1.83203125" style="947" customWidth="1"/>
    <col min="13061" max="13061" width="21.1640625" style="947" customWidth="1"/>
    <col min="13062" max="13062" width="1.83203125" style="947" customWidth="1"/>
    <col min="13063" max="13063" width="21.1640625" style="947" customWidth="1"/>
    <col min="13064" max="13064" width="1.83203125" style="947" customWidth="1"/>
    <col min="13065" max="13065" width="21.1640625" style="947" customWidth="1"/>
    <col min="13066" max="13066" width="1.83203125" style="947" customWidth="1"/>
    <col min="13067" max="13067" width="17.33203125" style="947" customWidth="1"/>
    <col min="13068" max="13068" width="1.83203125" style="947" customWidth="1"/>
    <col min="13069" max="13069" width="13" style="947" customWidth="1"/>
    <col min="13070" max="13070" width="1.83203125" style="947" customWidth="1"/>
    <col min="13071" max="13071" width="13.83203125" style="947" customWidth="1"/>
    <col min="13072" max="13312" width="9.33203125" style="947"/>
    <col min="13313" max="13314" width="3.1640625" style="947" customWidth="1"/>
    <col min="13315" max="13315" width="48.83203125" style="947" customWidth="1"/>
    <col min="13316" max="13316" width="1.83203125" style="947" customWidth="1"/>
    <col min="13317" max="13317" width="21.1640625" style="947" customWidth="1"/>
    <col min="13318" max="13318" width="1.83203125" style="947" customWidth="1"/>
    <col min="13319" max="13319" width="21.1640625" style="947" customWidth="1"/>
    <col min="13320" max="13320" width="1.83203125" style="947" customWidth="1"/>
    <col min="13321" max="13321" width="21.1640625" style="947" customWidth="1"/>
    <col min="13322" max="13322" width="1.83203125" style="947" customWidth="1"/>
    <col min="13323" max="13323" width="17.33203125" style="947" customWidth="1"/>
    <col min="13324" max="13324" width="1.83203125" style="947" customWidth="1"/>
    <col min="13325" max="13325" width="13" style="947" customWidth="1"/>
    <col min="13326" max="13326" width="1.83203125" style="947" customWidth="1"/>
    <col min="13327" max="13327" width="13.83203125" style="947" customWidth="1"/>
    <col min="13328" max="13568" width="9.33203125" style="947"/>
    <col min="13569" max="13570" width="3.1640625" style="947" customWidth="1"/>
    <col min="13571" max="13571" width="48.83203125" style="947" customWidth="1"/>
    <col min="13572" max="13572" width="1.83203125" style="947" customWidth="1"/>
    <col min="13573" max="13573" width="21.1640625" style="947" customWidth="1"/>
    <col min="13574" max="13574" width="1.83203125" style="947" customWidth="1"/>
    <col min="13575" max="13575" width="21.1640625" style="947" customWidth="1"/>
    <col min="13576" max="13576" width="1.83203125" style="947" customWidth="1"/>
    <col min="13577" max="13577" width="21.1640625" style="947" customWidth="1"/>
    <col min="13578" max="13578" width="1.83203125" style="947" customWidth="1"/>
    <col min="13579" max="13579" width="17.33203125" style="947" customWidth="1"/>
    <col min="13580" max="13580" width="1.83203125" style="947" customWidth="1"/>
    <col min="13581" max="13581" width="13" style="947" customWidth="1"/>
    <col min="13582" max="13582" width="1.83203125" style="947" customWidth="1"/>
    <col min="13583" max="13583" width="13.83203125" style="947" customWidth="1"/>
    <col min="13584" max="13824" width="9.33203125" style="947"/>
    <col min="13825" max="13826" width="3.1640625" style="947" customWidth="1"/>
    <col min="13827" max="13827" width="48.83203125" style="947" customWidth="1"/>
    <col min="13828" max="13828" width="1.83203125" style="947" customWidth="1"/>
    <col min="13829" max="13829" width="21.1640625" style="947" customWidth="1"/>
    <col min="13830" max="13830" width="1.83203125" style="947" customWidth="1"/>
    <col min="13831" max="13831" width="21.1640625" style="947" customWidth="1"/>
    <col min="13832" max="13832" width="1.83203125" style="947" customWidth="1"/>
    <col min="13833" max="13833" width="21.1640625" style="947" customWidth="1"/>
    <col min="13834" max="13834" width="1.83203125" style="947" customWidth="1"/>
    <col min="13835" max="13835" width="17.33203125" style="947" customWidth="1"/>
    <col min="13836" max="13836" width="1.83203125" style="947" customWidth="1"/>
    <col min="13837" max="13837" width="13" style="947" customWidth="1"/>
    <col min="13838" max="13838" width="1.83203125" style="947" customWidth="1"/>
    <col min="13839" max="13839" width="13.83203125" style="947" customWidth="1"/>
    <col min="13840" max="14080" width="9.33203125" style="947"/>
    <col min="14081" max="14082" width="3.1640625" style="947" customWidth="1"/>
    <col min="14083" max="14083" width="48.83203125" style="947" customWidth="1"/>
    <col min="14084" max="14084" width="1.83203125" style="947" customWidth="1"/>
    <col min="14085" max="14085" width="21.1640625" style="947" customWidth="1"/>
    <col min="14086" max="14086" width="1.83203125" style="947" customWidth="1"/>
    <col min="14087" max="14087" width="21.1640625" style="947" customWidth="1"/>
    <col min="14088" max="14088" width="1.83203125" style="947" customWidth="1"/>
    <col min="14089" max="14089" width="21.1640625" style="947" customWidth="1"/>
    <col min="14090" max="14090" width="1.83203125" style="947" customWidth="1"/>
    <col min="14091" max="14091" width="17.33203125" style="947" customWidth="1"/>
    <col min="14092" max="14092" width="1.83203125" style="947" customWidth="1"/>
    <col min="14093" max="14093" width="13" style="947" customWidth="1"/>
    <col min="14094" max="14094" width="1.83203125" style="947" customWidth="1"/>
    <col min="14095" max="14095" width="13.83203125" style="947" customWidth="1"/>
    <col min="14096" max="14336" width="9.33203125" style="947"/>
    <col min="14337" max="14338" width="3.1640625" style="947" customWidth="1"/>
    <col min="14339" max="14339" width="48.83203125" style="947" customWidth="1"/>
    <col min="14340" max="14340" width="1.83203125" style="947" customWidth="1"/>
    <col min="14341" max="14341" width="21.1640625" style="947" customWidth="1"/>
    <col min="14342" max="14342" width="1.83203125" style="947" customWidth="1"/>
    <col min="14343" max="14343" width="21.1640625" style="947" customWidth="1"/>
    <col min="14344" max="14344" width="1.83203125" style="947" customWidth="1"/>
    <col min="14345" max="14345" width="21.1640625" style="947" customWidth="1"/>
    <col min="14346" max="14346" width="1.83203125" style="947" customWidth="1"/>
    <col min="14347" max="14347" width="17.33203125" style="947" customWidth="1"/>
    <col min="14348" max="14348" width="1.83203125" style="947" customWidth="1"/>
    <col min="14349" max="14349" width="13" style="947" customWidth="1"/>
    <col min="14350" max="14350" width="1.83203125" style="947" customWidth="1"/>
    <col min="14351" max="14351" width="13.83203125" style="947" customWidth="1"/>
    <col min="14352" max="14592" width="9.33203125" style="947"/>
    <col min="14593" max="14594" width="3.1640625" style="947" customWidth="1"/>
    <col min="14595" max="14595" width="48.83203125" style="947" customWidth="1"/>
    <col min="14596" max="14596" width="1.83203125" style="947" customWidth="1"/>
    <col min="14597" max="14597" width="21.1640625" style="947" customWidth="1"/>
    <col min="14598" max="14598" width="1.83203125" style="947" customWidth="1"/>
    <col min="14599" max="14599" width="21.1640625" style="947" customWidth="1"/>
    <col min="14600" max="14600" width="1.83203125" style="947" customWidth="1"/>
    <col min="14601" max="14601" width="21.1640625" style="947" customWidth="1"/>
    <col min="14602" max="14602" width="1.83203125" style="947" customWidth="1"/>
    <col min="14603" max="14603" width="17.33203125" style="947" customWidth="1"/>
    <col min="14604" max="14604" width="1.83203125" style="947" customWidth="1"/>
    <col min="14605" max="14605" width="13" style="947" customWidth="1"/>
    <col min="14606" max="14606" width="1.83203125" style="947" customWidth="1"/>
    <col min="14607" max="14607" width="13.83203125" style="947" customWidth="1"/>
    <col min="14608" max="14848" width="9.33203125" style="947"/>
    <col min="14849" max="14850" width="3.1640625" style="947" customWidth="1"/>
    <col min="14851" max="14851" width="48.83203125" style="947" customWidth="1"/>
    <col min="14852" max="14852" width="1.83203125" style="947" customWidth="1"/>
    <col min="14853" max="14853" width="21.1640625" style="947" customWidth="1"/>
    <col min="14854" max="14854" width="1.83203125" style="947" customWidth="1"/>
    <col min="14855" max="14855" width="21.1640625" style="947" customWidth="1"/>
    <col min="14856" max="14856" width="1.83203125" style="947" customWidth="1"/>
    <col min="14857" max="14857" width="21.1640625" style="947" customWidth="1"/>
    <col min="14858" max="14858" width="1.83203125" style="947" customWidth="1"/>
    <col min="14859" max="14859" width="17.33203125" style="947" customWidth="1"/>
    <col min="14860" max="14860" width="1.83203125" style="947" customWidth="1"/>
    <col min="14861" max="14861" width="13" style="947" customWidth="1"/>
    <col min="14862" max="14862" width="1.83203125" style="947" customWidth="1"/>
    <col min="14863" max="14863" width="13.83203125" style="947" customWidth="1"/>
    <col min="14864" max="15104" width="9.33203125" style="947"/>
    <col min="15105" max="15106" width="3.1640625" style="947" customWidth="1"/>
    <col min="15107" max="15107" width="48.83203125" style="947" customWidth="1"/>
    <col min="15108" max="15108" width="1.83203125" style="947" customWidth="1"/>
    <col min="15109" max="15109" width="21.1640625" style="947" customWidth="1"/>
    <col min="15110" max="15110" width="1.83203125" style="947" customWidth="1"/>
    <col min="15111" max="15111" width="21.1640625" style="947" customWidth="1"/>
    <col min="15112" max="15112" width="1.83203125" style="947" customWidth="1"/>
    <col min="15113" max="15113" width="21.1640625" style="947" customWidth="1"/>
    <col min="15114" max="15114" width="1.83203125" style="947" customWidth="1"/>
    <col min="15115" max="15115" width="17.33203125" style="947" customWidth="1"/>
    <col min="15116" max="15116" width="1.83203125" style="947" customWidth="1"/>
    <col min="15117" max="15117" width="13" style="947" customWidth="1"/>
    <col min="15118" max="15118" width="1.83203125" style="947" customWidth="1"/>
    <col min="15119" max="15119" width="13.83203125" style="947" customWidth="1"/>
    <col min="15120" max="15360" width="9.33203125" style="947"/>
    <col min="15361" max="15362" width="3.1640625" style="947" customWidth="1"/>
    <col min="15363" max="15363" width="48.83203125" style="947" customWidth="1"/>
    <col min="15364" max="15364" width="1.83203125" style="947" customWidth="1"/>
    <col min="15365" max="15365" width="21.1640625" style="947" customWidth="1"/>
    <col min="15366" max="15366" width="1.83203125" style="947" customWidth="1"/>
    <col min="15367" max="15367" width="21.1640625" style="947" customWidth="1"/>
    <col min="15368" max="15368" width="1.83203125" style="947" customWidth="1"/>
    <col min="15369" max="15369" width="21.1640625" style="947" customWidth="1"/>
    <col min="15370" max="15370" width="1.83203125" style="947" customWidth="1"/>
    <col min="15371" max="15371" width="17.33203125" style="947" customWidth="1"/>
    <col min="15372" max="15372" width="1.83203125" style="947" customWidth="1"/>
    <col min="15373" max="15373" width="13" style="947" customWidth="1"/>
    <col min="15374" max="15374" width="1.83203125" style="947" customWidth="1"/>
    <col min="15375" max="15375" width="13.83203125" style="947" customWidth="1"/>
    <col min="15376" max="15616" width="9.33203125" style="947"/>
    <col min="15617" max="15618" width="3.1640625" style="947" customWidth="1"/>
    <col min="15619" max="15619" width="48.83203125" style="947" customWidth="1"/>
    <col min="15620" max="15620" width="1.83203125" style="947" customWidth="1"/>
    <col min="15621" max="15621" width="21.1640625" style="947" customWidth="1"/>
    <col min="15622" max="15622" width="1.83203125" style="947" customWidth="1"/>
    <col min="15623" max="15623" width="21.1640625" style="947" customWidth="1"/>
    <col min="15624" max="15624" width="1.83203125" style="947" customWidth="1"/>
    <col min="15625" max="15625" width="21.1640625" style="947" customWidth="1"/>
    <col min="15626" max="15626" width="1.83203125" style="947" customWidth="1"/>
    <col min="15627" max="15627" width="17.33203125" style="947" customWidth="1"/>
    <col min="15628" max="15628" width="1.83203125" style="947" customWidth="1"/>
    <col min="15629" max="15629" width="13" style="947" customWidth="1"/>
    <col min="15630" max="15630" width="1.83203125" style="947" customWidth="1"/>
    <col min="15631" max="15631" width="13.83203125" style="947" customWidth="1"/>
    <col min="15632" max="15872" width="9.33203125" style="947"/>
    <col min="15873" max="15874" width="3.1640625" style="947" customWidth="1"/>
    <col min="15875" max="15875" width="48.83203125" style="947" customWidth="1"/>
    <col min="15876" max="15876" width="1.83203125" style="947" customWidth="1"/>
    <col min="15877" max="15877" width="21.1640625" style="947" customWidth="1"/>
    <col min="15878" max="15878" width="1.83203125" style="947" customWidth="1"/>
    <col min="15879" max="15879" width="21.1640625" style="947" customWidth="1"/>
    <col min="15880" max="15880" width="1.83203125" style="947" customWidth="1"/>
    <col min="15881" max="15881" width="21.1640625" style="947" customWidth="1"/>
    <col min="15882" max="15882" width="1.83203125" style="947" customWidth="1"/>
    <col min="15883" max="15883" width="17.33203125" style="947" customWidth="1"/>
    <col min="15884" max="15884" width="1.83203125" style="947" customWidth="1"/>
    <col min="15885" max="15885" width="13" style="947" customWidth="1"/>
    <col min="15886" max="15886" width="1.83203125" style="947" customWidth="1"/>
    <col min="15887" max="15887" width="13.83203125" style="947" customWidth="1"/>
    <col min="15888" max="16128" width="9.33203125" style="947"/>
    <col min="16129" max="16130" width="3.1640625" style="947" customWidth="1"/>
    <col min="16131" max="16131" width="48.83203125" style="947" customWidth="1"/>
    <col min="16132" max="16132" width="1.83203125" style="947" customWidth="1"/>
    <col min="16133" max="16133" width="21.1640625" style="947" customWidth="1"/>
    <col min="16134" max="16134" width="1.83203125" style="947" customWidth="1"/>
    <col min="16135" max="16135" width="21.1640625" style="947" customWidth="1"/>
    <col min="16136" max="16136" width="1.83203125" style="947" customWidth="1"/>
    <col min="16137" max="16137" width="21.1640625" style="947" customWidth="1"/>
    <col min="16138" max="16138" width="1.83203125" style="947" customWidth="1"/>
    <col min="16139" max="16139" width="17.33203125" style="947" customWidth="1"/>
    <col min="16140" max="16140" width="1.83203125" style="947" customWidth="1"/>
    <col min="16141" max="16141" width="13" style="947" customWidth="1"/>
    <col min="16142" max="16142" width="1.83203125" style="947" customWidth="1"/>
    <col min="16143" max="16143" width="13.83203125" style="947" customWidth="1"/>
    <col min="16144" max="16384" width="9.33203125" style="947"/>
  </cols>
  <sheetData>
    <row r="1" spans="1:15">
      <c r="A1" s="945"/>
      <c r="B1" s="945"/>
      <c r="C1" s="945"/>
      <c r="D1" s="945"/>
      <c r="E1" s="945"/>
      <c r="F1" s="945"/>
      <c r="G1" s="945"/>
      <c r="H1" s="945"/>
      <c r="I1" s="945"/>
      <c r="J1" s="945"/>
      <c r="K1" s="946"/>
      <c r="L1" s="945"/>
      <c r="M1" s="945"/>
      <c r="N1" s="945"/>
      <c r="O1" s="945"/>
    </row>
    <row r="2" spans="1:15" s="945" customFormat="1" ht="15.75">
      <c r="A2" s="948" t="s">
        <v>1063</v>
      </c>
      <c r="B2" s="949"/>
      <c r="C2" s="949"/>
      <c r="D2" s="949"/>
      <c r="E2" s="949"/>
      <c r="F2" s="949"/>
      <c r="G2" s="949"/>
      <c r="H2" s="949"/>
      <c r="I2" s="949"/>
      <c r="J2" s="949"/>
      <c r="K2" s="950"/>
      <c r="L2" s="949"/>
      <c r="M2" s="949"/>
      <c r="N2" s="949"/>
      <c r="O2" s="951"/>
    </row>
    <row r="3" spans="1:15" s="945" customFormat="1" ht="15.75">
      <c r="A3" s="948" t="s">
        <v>1172</v>
      </c>
      <c r="B3" s="949"/>
      <c r="C3" s="949"/>
      <c r="D3" s="949"/>
      <c r="E3" s="949"/>
      <c r="F3" s="949"/>
      <c r="G3" s="949"/>
      <c r="H3" s="949"/>
      <c r="I3" s="949"/>
      <c r="J3" s="949"/>
      <c r="K3" s="950"/>
      <c r="L3" s="949"/>
      <c r="M3" s="949"/>
      <c r="N3" s="949"/>
      <c r="O3" s="951"/>
    </row>
    <row r="4" spans="1:15" s="945" customFormat="1" ht="15.75">
      <c r="A4" s="952" t="s">
        <v>1213</v>
      </c>
      <c r="B4" s="949"/>
      <c r="C4" s="949"/>
      <c r="D4" s="948"/>
      <c r="E4" s="949"/>
      <c r="F4" s="948"/>
      <c r="G4" s="949"/>
      <c r="H4" s="948"/>
      <c r="I4" s="949"/>
      <c r="J4" s="948"/>
      <c r="K4" s="950"/>
      <c r="L4" s="948"/>
      <c r="M4" s="949"/>
      <c r="N4" s="948"/>
      <c r="O4" s="951"/>
    </row>
    <row r="5" spans="1:15" s="957" customFormat="1" ht="12.75">
      <c r="A5" s="953" t="s">
        <v>1174</v>
      </c>
      <c r="B5" s="954"/>
      <c r="C5" s="954"/>
      <c r="D5" s="953"/>
      <c r="E5" s="954"/>
      <c r="F5" s="953"/>
      <c r="G5" s="954"/>
      <c r="H5" s="953"/>
      <c r="I5" s="954"/>
      <c r="J5" s="953"/>
      <c r="K5" s="955"/>
      <c r="L5" s="953"/>
      <c r="M5" s="954"/>
      <c r="N5" s="953"/>
      <c r="O5" s="956"/>
    </row>
    <row r="6" spans="1:15" ht="9" customHeight="1">
      <c r="A6" s="958"/>
      <c r="B6" s="958"/>
      <c r="C6" s="958"/>
      <c r="D6" s="958"/>
      <c r="E6" s="958"/>
      <c r="F6" s="958"/>
      <c r="G6" s="958"/>
      <c r="H6" s="958"/>
      <c r="I6" s="958"/>
      <c r="J6" s="958"/>
      <c r="K6" s="959"/>
      <c r="L6" s="958"/>
      <c r="M6" s="958"/>
      <c r="N6" s="958"/>
      <c r="O6" s="960"/>
    </row>
    <row r="7" spans="1:15" s="945" customFormat="1">
      <c r="A7" s="957"/>
      <c r="B7" s="957"/>
      <c r="C7" s="957"/>
      <c r="D7" s="957"/>
      <c r="E7" s="957"/>
      <c r="F7" s="957"/>
      <c r="G7" s="957"/>
      <c r="H7" s="957"/>
      <c r="I7" s="961" t="s">
        <v>1214</v>
      </c>
      <c r="J7" s="962"/>
      <c r="K7" s="963"/>
      <c r="L7" s="964"/>
      <c r="M7" s="965" t="s">
        <v>1177</v>
      </c>
      <c r="N7" s="962"/>
      <c r="O7" s="951"/>
    </row>
    <row r="8" spans="1:15" s="945" customFormat="1">
      <c r="A8" s="957"/>
      <c r="B8" s="957"/>
      <c r="C8" s="957"/>
      <c r="D8" s="957"/>
      <c r="E8" s="966" t="s">
        <v>36</v>
      </c>
      <c r="F8" s="957"/>
      <c r="G8" s="966" t="s">
        <v>36</v>
      </c>
      <c r="H8" s="957"/>
      <c r="I8" s="957"/>
      <c r="J8" s="957"/>
      <c r="K8" s="957"/>
      <c r="L8" s="957"/>
      <c r="M8" s="956"/>
      <c r="N8" s="956"/>
      <c r="O8" s="962"/>
    </row>
    <row r="9" spans="1:15" s="945" customFormat="1">
      <c r="A9" s="957"/>
      <c r="B9" s="957"/>
      <c r="C9" s="957"/>
      <c r="D9" s="957"/>
      <c r="E9" s="967">
        <v>2007</v>
      </c>
      <c r="F9" s="957"/>
      <c r="G9" s="967">
        <v>2006</v>
      </c>
      <c r="H9" s="957"/>
      <c r="I9" s="968" t="s">
        <v>41</v>
      </c>
      <c r="J9" s="957"/>
      <c r="K9" s="969" t="s">
        <v>1179</v>
      </c>
      <c r="L9" s="957"/>
      <c r="M9" s="970">
        <v>2007</v>
      </c>
      <c r="N9" s="957"/>
      <c r="O9" s="971">
        <v>2006</v>
      </c>
    </row>
    <row r="10" spans="1:15">
      <c r="A10" s="972" t="s">
        <v>1180</v>
      </c>
      <c r="B10" s="972"/>
      <c r="C10" s="972"/>
      <c r="D10" s="957"/>
      <c r="E10" s="957"/>
      <c r="F10" s="957"/>
      <c r="G10" s="966"/>
      <c r="H10" s="957"/>
      <c r="I10" s="957"/>
      <c r="J10" s="957"/>
      <c r="K10" s="973"/>
      <c r="L10" s="957"/>
      <c r="M10" s="957"/>
      <c r="N10" s="957"/>
      <c r="O10" s="964"/>
    </row>
    <row r="11" spans="1:15">
      <c r="A11" s="972"/>
      <c r="B11" s="972" t="s">
        <v>1181</v>
      </c>
      <c r="C11" s="957"/>
      <c r="D11" s="957"/>
      <c r="E11" s="957"/>
      <c r="F11" s="957"/>
      <c r="G11" s="957"/>
      <c r="H11" s="957"/>
      <c r="I11" s="957"/>
      <c r="J11" s="957"/>
      <c r="K11" s="973"/>
      <c r="L11" s="957"/>
      <c r="M11" s="957"/>
      <c r="N11" s="957"/>
      <c r="O11" s="964"/>
    </row>
    <row r="12" spans="1:15">
      <c r="A12" s="957"/>
      <c r="B12" s="957"/>
      <c r="C12" s="957" t="s">
        <v>1182</v>
      </c>
      <c r="D12" s="974"/>
      <c r="E12" s="975">
        <v>764339615</v>
      </c>
      <c r="F12" s="974"/>
      <c r="G12" s="975">
        <v>666103091</v>
      </c>
      <c r="H12" s="974"/>
      <c r="I12" s="975">
        <f>+E12-G12</f>
        <v>98236524</v>
      </c>
      <c r="J12" s="974"/>
      <c r="K12" s="976">
        <f>+I12/G12</f>
        <v>0.14747945975227431</v>
      </c>
      <c r="L12" s="974"/>
      <c r="M12" s="977">
        <f>E12/E43</f>
        <v>1.4014354601479988</v>
      </c>
      <c r="N12" s="974"/>
      <c r="O12" s="977">
        <f>G12/G43</f>
        <v>1.2621038360464809</v>
      </c>
    </row>
    <row r="13" spans="1:15">
      <c r="A13" s="957"/>
      <c r="B13" s="957"/>
      <c r="C13" s="957" t="s">
        <v>1183</v>
      </c>
      <c r="D13" s="978"/>
      <c r="E13" s="979">
        <v>309750210</v>
      </c>
      <c r="F13" s="978"/>
      <c r="G13" s="980">
        <v>267284088</v>
      </c>
      <c r="H13" s="978"/>
      <c r="I13" s="980">
        <f>+E13-G13</f>
        <v>42466122</v>
      </c>
      <c r="J13" s="978"/>
      <c r="K13" s="976">
        <f>+I13/G13</f>
        <v>0.15888009764352301</v>
      </c>
      <c r="L13" s="978"/>
      <c r="M13" s="981">
        <f>E13/E44</f>
        <v>1.2705051652675485</v>
      </c>
      <c r="N13" s="982"/>
      <c r="O13" s="981">
        <f>G13/G44</f>
        <v>1.1397989395230304</v>
      </c>
    </row>
    <row r="14" spans="1:15">
      <c r="A14" s="957"/>
      <c r="B14" s="957"/>
      <c r="C14" s="957" t="s">
        <v>1184</v>
      </c>
      <c r="D14" s="983"/>
      <c r="E14" s="979">
        <v>48077055</v>
      </c>
      <c r="F14" s="983"/>
      <c r="G14" s="980">
        <v>43412019</v>
      </c>
      <c r="H14" s="983"/>
      <c r="I14" s="980">
        <f>+E14-G14</f>
        <v>4665036</v>
      </c>
      <c r="J14" s="983"/>
      <c r="K14" s="984">
        <f>+I14/G14</f>
        <v>0.10745954939345254</v>
      </c>
      <c r="L14" s="983"/>
      <c r="M14" s="981">
        <f>E14/E45</f>
        <v>1.1751354605011752</v>
      </c>
      <c r="N14" s="982"/>
      <c r="O14" s="981">
        <f>G14/G45</f>
        <v>1.0387801101213634</v>
      </c>
    </row>
    <row r="15" spans="1:15" ht="8.25" customHeight="1">
      <c r="A15" s="957"/>
      <c r="B15" s="957"/>
      <c r="C15" s="957"/>
      <c r="D15" s="978"/>
      <c r="E15" s="985"/>
      <c r="F15" s="978"/>
      <c r="G15" s="985"/>
      <c r="H15" s="978"/>
      <c r="I15" s="985"/>
      <c r="J15" s="978"/>
      <c r="K15" s="973"/>
      <c r="L15" s="978"/>
      <c r="M15" s="986"/>
      <c r="N15" s="978"/>
      <c r="O15" s="986"/>
    </row>
    <row r="16" spans="1:15">
      <c r="A16" s="957"/>
      <c r="B16" s="957"/>
      <c r="C16" s="957" t="s">
        <v>1185</v>
      </c>
      <c r="D16" s="978"/>
      <c r="E16" s="987">
        <f>SUM(E12:E15)</f>
        <v>1122166880</v>
      </c>
      <c r="F16" s="978"/>
      <c r="G16" s="987">
        <f>SUM(G12:G15)</f>
        <v>976799198</v>
      </c>
      <c r="H16" s="978"/>
      <c r="I16" s="987">
        <f>+E16-G16</f>
        <v>145367682</v>
      </c>
      <c r="J16" s="978"/>
      <c r="K16" s="976">
        <f>+I16/G16</f>
        <v>0.14882043545658194</v>
      </c>
      <c r="L16" s="978"/>
      <c r="M16" s="981">
        <f>E16/E47</f>
        <v>1.3518284650253072</v>
      </c>
      <c r="N16" s="982"/>
      <c r="O16" s="981">
        <f>G16/G47</f>
        <v>1.2148269915243399</v>
      </c>
    </row>
    <row r="17" spans="1:21" ht="8.25" customHeight="1">
      <c r="A17" s="957"/>
      <c r="B17" s="957"/>
      <c r="C17" s="957"/>
      <c r="D17" s="978"/>
      <c r="E17" s="987"/>
      <c r="F17" s="978"/>
      <c r="G17" s="987"/>
      <c r="H17" s="978"/>
      <c r="I17" s="987"/>
      <c r="J17" s="978"/>
      <c r="K17" s="973"/>
      <c r="L17" s="978"/>
      <c r="M17" s="957"/>
      <c r="N17" s="978"/>
      <c r="O17" s="964"/>
    </row>
    <row r="18" spans="1:21">
      <c r="A18" s="957"/>
      <c r="B18" s="988" t="s">
        <v>1186</v>
      </c>
      <c r="C18" s="957"/>
      <c r="D18" s="978"/>
      <c r="E18" s="987"/>
      <c r="F18" s="978"/>
      <c r="G18" s="987"/>
      <c r="H18" s="978"/>
      <c r="I18" s="987"/>
      <c r="J18" s="978"/>
      <c r="K18" s="973"/>
      <c r="L18" s="978"/>
      <c r="M18" s="957"/>
      <c r="N18" s="978"/>
      <c r="O18" s="964"/>
    </row>
    <row r="19" spans="1:21">
      <c r="A19" s="957"/>
      <c r="B19" s="957"/>
      <c r="C19" s="957" t="s">
        <v>1187</v>
      </c>
      <c r="D19" s="978"/>
      <c r="E19" s="979">
        <v>59120091</v>
      </c>
      <c r="F19" s="978"/>
      <c r="G19" s="980">
        <v>54153638</v>
      </c>
      <c r="H19" s="978"/>
      <c r="I19" s="980">
        <f>+E19-G19</f>
        <v>4966453</v>
      </c>
      <c r="J19" s="978"/>
      <c r="K19" s="976">
        <f>+I19/G19</f>
        <v>9.1710422114207726E-2</v>
      </c>
      <c r="L19" s="978"/>
      <c r="M19" s="981">
        <f>E19/E50</f>
        <v>1.0941218541916833</v>
      </c>
      <c r="N19" s="982"/>
      <c r="O19" s="981">
        <f>G19/G50</f>
        <v>0.98650874600117355</v>
      </c>
    </row>
    <row r="20" spans="1:21">
      <c r="A20" s="957"/>
      <c r="B20" s="957"/>
      <c r="C20" s="957" t="s">
        <v>1188</v>
      </c>
      <c r="D20" s="983"/>
      <c r="E20" s="979">
        <v>12646134</v>
      </c>
      <c r="F20" s="983"/>
      <c r="G20" s="980">
        <v>12657267</v>
      </c>
      <c r="H20" s="983"/>
      <c r="I20" s="980">
        <f>+E20-G20</f>
        <v>-11133</v>
      </c>
      <c r="J20" s="983"/>
      <c r="K20" s="984">
        <f>+I20/G20</f>
        <v>-8.7957376580584097E-4</v>
      </c>
      <c r="L20" s="983"/>
      <c r="M20" s="981">
        <f>E20/E51</f>
        <v>1.228851964553545</v>
      </c>
      <c r="N20" s="982"/>
      <c r="O20" s="981">
        <f>G20/G51</f>
        <v>1.1087540668568892</v>
      </c>
    </row>
    <row r="21" spans="1:21" ht="8.25" customHeight="1">
      <c r="A21" s="957"/>
      <c r="B21" s="957"/>
      <c r="C21" s="957"/>
      <c r="D21" s="978"/>
      <c r="E21" s="985"/>
      <c r="F21" s="978"/>
      <c r="G21" s="985"/>
      <c r="H21" s="978"/>
      <c r="I21" s="985"/>
      <c r="J21" s="978"/>
      <c r="K21" s="989"/>
      <c r="L21" s="978"/>
      <c r="M21" s="986"/>
      <c r="N21" s="978"/>
      <c r="O21" s="986"/>
    </row>
    <row r="22" spans="1:21">
      <c r="A22" s="957"/>
      <c r="B22" s="957"/>
      <c r="C22" s="957" t="s">
        <v>1189</v>
      </c>
      <c r="D22" s="983"/>
      <c r="E22" s="990">
        <f>SUM(E19:E21)</f>
        <v>71766225</v>
      </c>
      <c r="F22" s="983"/>
      <c r="G22" s="990">
        <f>SUM(G19:G21)</f>
        <v>66810905</v>
      </c>
      <c r="H22" s="983"/>
      <c r="I22" s="990">
        <f>+E22-G22</f>
        <v>4955320</v>
      </c>
      <c r="J22" s="983"/>
      <c r="K22" s="984">
        <f>+I22/G22</f>
        <v>7.4169329093805872E-2</v>
      </c>
      <c r="L22" s="983"/>
      <c r="M22" s="981">
        <f>E22/E53</f>
        <v>1.1156765085538118</v>
      </c>
      <c r="N22" s="982"/>
      <c r="O22" s="981">
        <f>G22/G53</f>
        <v>1.0075541863701467</v>
      </c>
    </row>
    <row r="23" spans="1:21" ht="8.25" customHeight="1">
      <c r="A23" s="957"/>
      <c r="B23" s="957"/>
      <c r="C23" s="957"/>
      <c r="D23" s="983"/>
      <c r="E23" s="979"/>
      <c r="F23" s="983"/>
      <c r="G23" s="979"/>
      <c r="H23" s="983"/>
      <c r="I23" s="979"/>
      <c r="J23" s="983"/>
      <c r="K23" s="989"/>
      <c r="L23" s="983"/>
      <c r="M23" s="986"/>
      <c r="N23" s="983"/>
      <c r="O23" s="986"/>
    </row>
    <row r="24" spans="1:21">
      <c r="A24" s="957"/>
      <c r="B24" s="957"/>
      <c r="C24" s="957" t="s">
        <v>1190</v>
      </c>
      <c r="D24" s="983"/>
      <c r="E24" s="979">
        <f>+E16+E22</f>
        <v>1193933105</v>
      </c>
      <c r="F24" s="983"/>
      <c r="G24" s="979">
        <f>+G16+G22</f>
        <v>1043610103</v>
      </c>
      <c r="H24" s="983"/>
      <c r="I24" s="979">
        <f>+E24-G24</f>
        <v>150323002</v>
      </c>
      <c r="J24" s="983"/>
      <c r="K24" s="976">
        <f>+I24/G24</f>
        <v>0.14404134414555395</v>
      </c>
      <c r="L24" s="983"/>
      <c r="M24" s="981">
        <f>E24/E55</f>
        <v>1.3348450808942882</v>
      </c>
      <c r="N24" s="982"/>
      <c r="O24" s="981">
        <f>G24/G55</f>
        <v>1.199035791306178</v>
      </c>
    </row>
    <row r="25" spans="1:21" ht="8.25" customHeight="1">
      <c r="A25" s="957"/>
      <c r="B25" s="957"/>
      <c r="C25" s="957"/>
      <c r="D25" s="978"/>
      <c r="E25" s="987"/>
      <c r="F25" s="978"/>
      <c r="G25" s="987"/>
      <c r="H25" s="978"/>
      <c r="I25" s="987"/>
      <c r="J25" s="978"/>
      <c r="K25" s="973"/>
      <c r="L25" s="978"/>
      <c r="M25" s="957"/>
      <c r="N25" s="978"/>
      <c r="O25" s="964"/>
    </row>
    <row r="26" spans="1:21">
      <c r="A26" s="957"/>
      <c r="B26" s="988" t="s">
        <v>1191</v>
      </c>
      <c r="C26" s="957"/>
      <c r="D26" s="978"/>
      <c r="E26" s="987"/>
      <c r="F26" s="978"/>
      <c r="G26" s="987"/>
      <c r="H26" s="978"/>
      <c r="I26" s="987"/>
      <c r="J26" s="978"/>
      <c r="K26" s="973"/>
      <c r="L26" s="978"/>
      <c r="M26" s="957"/>
      <c r="N26" s="978"/>
      <c r="O26" s="964"/>
    </row>
    <row r="27" spans="1:21">
      <c r="A27" s="957"/>
      <c r="B27" s="957"/>
      <c r="C27" s="957" t="s">
        <v>1192</v>
      </c>
      <c r="D27" s="978"/>
      <c r="E27" s="979">
        <v>3029885</v>
      </c>
      <c r="F27" s="978"/>
      <c r="G27" s="980">
        <v>2988724</v>
      </c>
      <c r="H27" s="978"/>
      <c r="I27" s="980">
        <f>+E27-G27</f>
        <v>41161</v>
      </c>
      <c r="J27" s="978"/>
      <c r="K27" s="976">
        <f>+I27/G27</f>
        <v>1.3772098059238659E-2</v>
      </c>
      <c r="L27" s="978"/>
      <c r="M27" s="981">
        <f>E27/E58</f>
        <v>7.6291478046873099E-2</v>
      </c>
      <c r="N27" s="982"/>
      <c r="O27" s="981">
        <f>G27/G58</f>
        <v>7.704379603157134E-2</v>
      </c>
    </row>
    <row r="28" spans="1:21">
      <c r="A28" s="957"/>
      <c r="B28" s="957"/>
      <c r="C28" s="957" t="s">
        <v>1193</v>
      </c>
      <c r="D28" s="983"/>
      <c r="E28" s="979">
        <v>10409743</v>
      </c>
      <c r="F28" s="983"/>
      <c r="G28" s="980">
        <v>10326321</v>
      </c>
      <c r="H28" s="983"/>
      <c r="I28" s="980">
        <f>+E28-G28</f>
        <v>83422</v>
      </c>
      <c r="J28" s="983"/>
      <c r="K28" s="984">
        <f>+I28/G28</f>
        <v>8.0785790021441328E-3</v>
      </c>
      <c r="L28" s="983"/>
      <c r="M28" s="981">
        <f>E28/E59</f>
        <v>6.0781167878075172E-2</v>
      </c>
      <c r="N28" s="982"/>
      <c r="O28" s="981">
        <f>G28/G59</f>
        <v>6.2405316579140682E-2</v>
      </c>
    </row>
    <row r="29" spans="1:21" ht="8.25" customHeight="1">
      <c r="A29" s="957"/>
      <c r="B29" s="957"/>
      <c r="C29" s="957"/>
      <c r="D29" s="978"/>
      <c r="E29" s="985"/>
      <c r="F29" s="978"/>
      <c r="G29" s="985"/>
      <c r="H29" s="978"/>
      <c r="I29" s="985"/>
      <c r="J29" s="978"/>
      <c r="K29" s="989"/>
      <c r="L29" s="978"/>
      <c r="M29" s="986"/>
      <c r="N29" s="978"/>
      <c r="O29" s="986"/>
    </row>
    <row r="30" spans="1:21">
      <c r="A30" s="957"/>
      <c r="B30" s="957"/>
      <c r="C30" s="957" t="s">
        <v>1212</v>
      </c>
      <c r="D30" s="978"/>
      <c r="E30" s="987">
        <f>SUM(E27:E29)</f>
        <v>13439628</v>
      </c>
      <c r="F30" s="978"/>
      <c r="G30" s="987">
        <f>SUM(G27:G29)</f>
        <v>13315045</v>
      </c>
      <c r="H30" s="978"/>
      <c r="I30" s="987">
        <f>+E30-G30</f>
        <v>124583</v>
      </c>
      <c r="J30" s="978"/>
      <c r="K30" s="976">
        <f>+I30/G30</f>
        <v>9.3565586898129143E-3</v>
      </c>
      <c r="L30" s="978"/>
      <c r="M30" s="981">
        <f>E30/E61</f>
        <v>6.3700800736014876E-2</v>
      </c>
      <c r="N30" s="978"/>
      <c r="O30" s="981">
        <f>G30/G61</f>
        <v>6.5185359708489113E-2</v>
      </c>
    </row>
    <row r="31" spans="1:21" ht="8.25" customHeight="1">
      <c r="A31" s="957"/>
      <c r="B31" s="957"/>
      <c r="C31" s="957"/>
      <c r="D31" s="978"/>
      <c r="E31" s="985"/>
      <c r="F31" s="978"/>
      <c r="G31" s="991"/>
      <c r="H31" s="978"/>
      <c r="I31" s="991"/>
      <c r="J31" s="978"/>
      <c r="K31" s="992"/>
      <c r="L31" s="978"/>
      <c r="M31" s="993"/>
      <c r="N31" s="978"/>
      <c r="O31" s="993"/>
      <c r="P31" s="978"/>
      <c r="Q31" s="983"/>
      <c r="R31" s="983"/>
      <c r="S31" s="983"/>
      <c r="T31" s="983"/>
      <c r="U31" s="983"/>
    </row>
    <row r="32" spans="1:21">
      <c r="A32" s="957"/>
      <c r="B32" s="957"/>
      <c r="C32" s="957" t="s">
        <v>1195</v>
      </c>
      <c r="D32" s="978"/>
      <c r="E32" s="987">
        <f>+E24+E30</f>
        <v>1207372733</v>
      </c>
      <c r="F32" s="978"/>
      <c r="G32" s="987">
        <f>+G24+G30</f>
        <v>1056925148</v>
      </c>
      <c r="H32" s="978"/>
      <c r="I32" s="987">
        <f>+E32-G32</f>
        <v>150447585</v>
      </c>
      <c r="J32" s="978"/>
      <c r="K32" s="976">
        <f>+I32/G32</f>
        <v>0.14234459770844624</v>
      </c>
      <c r="L32" s="978"/>
      <c r="M32" s="977">
        <f>E32/E63</f>
        <v>1.0922335890406647</v>
      </c>
      <c r="N32" s="994"/>
      <c r="O32" s="977">
        <f>G32/G63</f>
        <v>0.98351665859192239</v>
      </c>
    </row>
    <row r="33" spans="1:15" ht="8.25" customHeight="1">
      <c r="A33" s="957"/>
      <c r="B33" s="957"/>
      <c r="C33" s="957"/>
      <c r="D33" s="978"/>
      <c r="E33" s="987"/>
      <c r="F33" s="978"/>
      <c r="G33" s="987"/>
      <c r="H33" s="978"/>
      <c r="I33" s="987"/>
      <c r="J33" s="978"/>
      <c r="K33" s="989"/>
      <c r="L33" s="978"/>
      <c r="M33" s="957"/>
      <c r="N33" s="978"/>
      <c r="O33" s="964"/>
    </row>
    <row r="34" spans="1:15">
      <c r="A34" s="957"/>
      <c r="B34" s="988" t="s">
        <v>1196</v>
      </c>
      <c r="C34" s="957"/>
      <c r="D34" s="983"/>
      <c r="E34" s="1038">
        <v>17471949</v>
      </c>
      <c r="F34" s="983"/>
      <c r="G34" s="990">
        <v>16516411</v>
      </c>
      <c r="H34" s="983"/>
      <c r="I34" s="990">
        <f>+E34-G34</f>
        <v>955538</v>
      </c>
      <c r="J34" s="983"/>
      <c r="K34" s="984">
        <f>+I34/G34</f>
        <v>5.7853852147418706E-2</v>
      </c>
      <c r="L34" s="983"/>
      <c r="M34" s="995"/>
      <c r="N34" s="983"/>
      <c r="O34" s="964"/>
    </row>
    <row r="35" spans="1:15" ht="8.25" customHeight="1">
      <c r="A35" s="957"/>
      <c r="B35" s="957"/>
      <c r="C35" s="957"/>
      <c r="D35" s="957"/>
      <c r="E35" s="996"/>
      <c r="F35" s="957"/>
      <c r="G35" s="996"/>
      <c r="H35" s="957"/>
      <c r="I35" s="996"/>
      <c r="J35" s="957"/>
      <c r="K35" s="989"/>
      <c r="L35" s="957"/>
      <c r="M35" s="957"/>
      <c r="N35" s="957"/>
      <c r="O35" s="964"/>
    </row>
    <row r="36" spans="1:15" ht="15.75" thickBot="1">
      <c r="A36" s="957"/>
      <c r="B36" s="957"/>
      <c r="C36" s="957" t="s">
        <v>1197</v>
      </c>
      <c r="D36" s="997"/>
      <c r="E36" s="1035">
        <f>+E32+E34</f>
        <v>1224844682</v>
      </c>
      <c r="F36" s="997"/>
      <c r="G36" s="998">
        <f>+G32+G34</f>
        <v>1073441559</v>
      </c>
      <c r="H36" s="997"/>
      <c r="I36" s="998">
        <f>+E36-G36</f>
        <v>151403123</v>
      </c>
      <c r="J36" s="997"/>
      <c r="K36" s="999">
        <f>+I36/G36</f>
        <v>0.14104458852985399</v>
      </c>
      <c r="L36" s="997"/>
      <c r="M36" s="995"/>
      <c r="N36" s="997"/>
      <c r="O36" s="964"/>
    </row>
    <row r="37" spans="1:15" ht="6.75" customHeight="1" thickTop="1">
      <c r="A37" s="957"/>
      <c r="B37" s="957"/>
      <c r="C37" s="957"/>
      <c r="D37" s="997"/>
      <c r="E37" s="1000"/>
      <c r="F37" s="997"/>
      <c r="G37" s="1000"/>
      <c r="H37" s="997"/>
      <c r="I37" s="974"/>
      <c r="J37" s="997"/>
      <c r="K37" s="995"/>
      <c r="L37" s="997"/>
      <c r="M37" s="995"/>
      <c r="N37" s="997"/>
      <c r="O37" s="964"/>
    </row>
    <row r="38" spans="1:15">
      <c r="A38" s="957"/>
      <c r="B38" s="957"/>
      <c r="C38" s="957" t="s">
        <v>1198</v>
      </c>
      <c r="D38" s="997"/>
      <c r="E38" s="975">
        <v>4889794.54</v>
      </c>
      <c r="F38" s="997"/>
      <c r="G38" s="975">
        <v>3872322</v>
      </c>
      <c r="H38" s="997"/>
      <c r="I38" s="1031"/>
      <c r="J38" s="997"/>
      <c r="K38" s="1001"/>
      <c r="L38" s="997"/>
      <c r="M38" s="995"/>
      <c r="N38" s="997"/>
      <c r="O38" s="964"/>
    </row>
    <row r="39" spans="1:15">
      <c r="A39" s="957"/>
      <c r="B39" s="957"/>
      <c r="C39" s="957" t="s">
        <v>1199</v>
      </c>
      <c r="D39" s="997"/>
      <c r="E39" s="979">
        <v>3455137.61</v>
      </c>
      <c r="F39" s="997"/>
      <c r="G39" s="979">
        <v>2882764</v>
      </c>
      <c r="H39" s="997"/>
      <c r="I39" s="1031"/>
      <c r="J39" s="997"/>
      <c r="K39" s="1001"/>
      <c r="L39" s="957"/>
      <c r="M39" s="1002"/>
      <c r="N39" s="997"/>
      <c r="O39" s="964"/>
    </row>
    <row r="40" spans="1:15">
      <c r="A40" s="972"/>
      <c r="B40" s="972"/>
      <c r="C40" s="972"/>
      <c r="D40" s="957"/>
      <c r="E40" s="1003"/>
      <c r="F40" s="957"/>
      <c r="G40" s="957"/>
      <c r="H40" s="957"/>
      <c r="I40" s="1004"/>
      <c r="J40" s="957"/>
      <c r="K40" s="957"/>
      <c r="L40" s="957"/>
      <c r="M40" s="957"/>
      <c r="N40" s="957"/>
      <c r="O40" s="964"/>
    </row>
    <row r="41" spans="1:15">
      <c r="A41" s="972" t="s">
        <v>1201</v>
      </c>
      <c r="B41" s="972"/>
      <c r="C41" s="957"/>
      <c r="D41" s="957"/>
      <c r="E41" s="1003"/>
      <c r="F41" s="957"/>
      <c r="G41" s="957"/>
      <c r="H41" s="957"/>
      <c r="I41" s="1004"/>
      <c r="J41" s="957"/>
      <c r="K41" s="957"/>
      <c r="L41" s="957"/>
      <c r="M41" s="957"/>
      <c r="N41" s="957"/>
      <c r="O41" s="964"/>
    </row>
    <row r="42" spans="1:15">
      <c r="A42" s="957"/>
      <c r="B42" s="988" t="s">
        <v>1202</v>
      </c>
      <c r="C42" s="957"/>
      <c r="D42" s="957"/>
      <c r="E42" s="1003"/>
      <c r="F42" s="957"/>
      <c r="G42" s="1005"/>
      <c r="H42" s="957"/>
      <c r="I42" s="987"/>
      <c r="J42" s="957"/>
      <c r="K42" s="1006"/>
      <c r="L42" s="957"/>
      <c r="M42" s="957"/>
      <c r="N42" s="957"/>
      <c r="O42" s="964"/>
    </row>
    <row r="43" spans="1:15">
      <c r="A43" s="957"/>
      <c r="B43" s="957"/>
      <c r="C43" s="957" t="str">
        <f>+C12</f>
        <v>Residential firm</v>
      </c>
      <c r="D43" s="957"/>
      <c r="E43" s="1007">
        <v>545397656</v>
      </c>
      <c r="F43" s="1008"/>
      <c r="G43" s="1007">
        <v>527772020</v>
      </c>
      <c r="H43" s="957"/>
      <c r="I43" s="987">
        <f>+E43-G43</f>
        <v>17625636</v>
      </c>
      <c r="J43" s="957"/>
      <c r="K43" s="976">
        <f>+I43/G43</f>
        <v>3.3396306230860817E-2</v>
      </c>
      <c r="L43" s="957"/>
      <c r="M43" s="1001"/>
      <c r="N43" s="957"/>
      <c r="O43" s="964"/>
    </row>
    <row r="44" spans="1:15">
      <c r="A44" s="957"/>
      <c r="B44" s="957"/>
      <c r="C44" s="957" t="str">
        <f>+C13</f>
        <v>Commercial firm</v>
      </c>
      <c r="D44" s="957"/>
      <c r="E44" s="1007">
        <v>243800827</v>
      </c>
      <c r="F44" s="1008"/>
      <c r="G44" s="1007">
        <v>234501085</v>
      </c>
      <c r="H44" s="957"/>
      <c r="I44" s="979">
        <f>+E44-G44</f>
        <v>9299742</v>
      </c>
      <c r="J44" s="957"/>
      <c r="K44" s="1009">
        <f>+I44/G44</f>
        <v>3.965756491062717E-2</v>
      </c>
      <c r="L44" s="957"/>
      <c r="M44" s="1001"/>
      <c r="N44" s="957"/>
      <c r="O44" s="964"/>
    </row>
    <row r="45" spans="1:15">
      <c r="A45" s="957"/>
      <c r="B45" s="957"/>
      <c r="C45" s="957" t="str">
        <f>+C14</f>
        <v>Industrial firm</v>
      </c>
      <c r="D45" s="957"/>
      <c r="E45" s="1007">
        <v>40911926</v>
      </c>
      <c r="F45" s="1008"/>
      <c r="G45" s="1007">
        <v>41791346</v>
      </c>
      <c r="H45" s="957"/>
      <c r="I45" s="990">
        <f>+E45-G45</f>
        <v>-879420</v>
      </c>
      <c r="J45" s="957"/>
      <c r="K45" s="984">
        <f>+I45/G45</f>
        <v>-2.1043112609964752E-2</v>
      </c>
      <c r="L45" s="957"/>
      <c r="M45" s="995"/>
      <c r="N45" s="957"/>
      <c r="O45" s="964"/>
    </row>
    <row r="46" spans="1:15" ht="8.25" customHeight="1">
      <c r="A46" s="957"/>
      <c r="B46" s="957"/>
      <c r="C46" s="957"/>
      <c r="D46" s="957"/>
      <c r="E46" s="1010"/>
      <c r="F46" s="1008"/>
      <c r="G46" s="1010"/>
      <c r="H46" s="957"/>
      <c r="I46" s="987"/>
      <c r="J46" s="957"/>
      <c r="K46" s="976"/>
      <c r="L46" s="957"/>
      <c r="M46" s="957"/>
      <c r="N46" s="957"/>
      <c r="O46" s="964"/>
    </row>
    <row r="47" spans="1:15" ht="12" customHeight="1">
      <c r="A47" s="957"/>
      <c r="B47" s="957"/>
      <c r="C47" s="957" t="str">
        <f>+C16</f>
        <v xml:space="preserve">  Total firm</v>
      </c>
      <c r="D47" s="957"/>
      <c r="E47" s="1007">
        <f>SUM(E43:E46)</f>
        <v>830110409</v>
      </c>
      <c r="F47" s="1008"/>
      <c r="G47" s="1007">
        <f>SUM(G43:G46)</f>
        <v>804064451</v>
      </c>
      <c r="H47" s="957"/>
      <c r="I47" s="987">
        <f>+E47-G47</f>
        <v>26045958</v>
      </c>
      <c r="J47" s="957"/>
      <c r="K47" s="976">
        <f>+I47/G47</f>
        <v>3.2392873441435106E-2</v>
      </c>
      <c r="L47" s="957"/>
      <c r="M47" s="1001"/>
      <c r="N47" s="957"/>
      <c r="O47" s="964"/>
    </row>
    <row r="48" spans="1:15" ht="8.25" customHeight="1">
      <c r="A48" s="957"/>
      <c r="B48" s="988"/>
      <c r="C48" s="957"/>
      <c r="D48" s="957"/>
      <c r="E48" s="1005"/>
      <c r="F48" s="1008"/>
      <c r="G48" s="1005"/>
      <c r="H48" s="957"/>
      <c r="I48" s="987"/>
      <c r="J48" s="957"/>
      <c r="K48" s="976"/>
      <c r="L48" s="957"/>
      <c r="M48" s="957"/>
      <c r="N48" s="957"/>
      <c r="O48" s="964"/>
    </row>
    <row r="49" spans="1:16">
      <c r="A49" s="957"/>
      <c r="B49" s="988" t="s">
        <v>1203</v>
      </c>
      <c r="C49" s="957"/>
      <c r="D49" s="957"/>
      <c r="E49" s="1005"/>
      <c r="F49" s="1008"/>
      <c r="G49" s="1005"/>
      <c r="H49" s="957"/>
      <c r="I49" s="987"/>
      <c r="J49" s="957"/>
      <c r="K49" s="976"/>
      <c r="L49" s="957"/>
      <c r="M49" s="957"/>
      <c r="N49" s="957"/>
      <c r="O49" s="964"/>
    </row>
    <row r="50" spans="1:16">
      <c r="A50" s="957"/>
      <c r="B50" s="957"/>
      <c r="C50" s="957" t="str">
        <f>+C19</f>
        <v>Commercial interruptible</v>
      </c>
      <c r="D50" s="957"/>
      <c r="E50" s="1007">
        <v>54034284</v>
      </c>
      <c r="F50" s="1008"/>
      <c r="G50" s="1007">
        <v>54894230</v>
      </c>
      <c r="H50" s="957"/>
      <c r="I50" s="979">
        <f>+E50-G50</f>
        <v>-859946</v>
      </c>
      <c r="J50" s="957"/>
      <c r="K50" s="1009">
        <f>+I50/G50</f>
        <v>-1.5665508014230275E-2</v>
      </c>
      <c r="L50" s="957"/>
      <c r="M50" s="1001"/>
      <c r="N50" s="957"/>
      <c r="O50" s="964"/>
    </row>
    <row r="51" spans="1:16">
      <c r="A51" s="957"/>
      <c r="B51" s="957"/>
      <c r="C51" s="957" t="str">
        <f>+C20</f>
        <v>Industrial interruptible</v>
      </c>
      <c r="D51" s="957"/>
      <c r="E51" s="1007">
        <v>10291015</v>
      </c>
      <c r="F51" s="1008"/>
      <c r="G51" s="1007">
        <v>11415757</v>
      </c>
      <c r="H51" s="957"/>
      <c r="I51" s="990">
        <f>+E51-G51</f>
        <v>-1124742</v>
      </c>
      <c r="J51" s="957"/>
      <c r="K51" s="984">
        <f>+I51/G51</f>
        <v>-9.8525397833888723E-2</v>
      </c>
      <c r="L51" s="957"/>
      <c r="M51" s="995"/>
      <c r="N51" s="957"/>
      <c r="O51" s="964"/>
    </row>
    <row r="52" spans="1:16" ht="8.25" customHeight="1">
      <c r="A52" s="957"/>
      <c r="B52" s="957"/>
      <c r="C52" s="957"/>
      <c r="D52" s="957"/>
      <c r="E52" s="1010"/>
      <c r="F52" s="1008"/>
      <c r="G52" s="1010"/>
      <c r="H52" s="957"/>
      <c r="I52" s="979"/>
      <c r="J52" s="957"/>
      <c r="K52" s="1009"/>
      <c r="L52" s="957"/>
      <c r="M52" s="957"/>
      <c r="N52" s="957"/>
      <c r="O52" s="964"/>
    </row>
    <row r="53" spans="1:16">
      <c r="A53" s="957"/>
      <c r="B53" s="957"/>
      <c r="C53" s="957" t="str">
        <f>+C22</f>
        <v xml:space="preserve">  Total interruptible</v>
      </c>
      <c r="D53" s="957"/>
      <c r="E53" s="1007">
        <f>SUM(E50:E51)</f>
        <v>64325299</v>
      </c>
      <c r="F53" s="1008"/>
      <c r="G53" s="1007">
        <f>SUM(G50:G51)</f>
        <v>66309987</v>
      </c>
      <c r="H53" s="957"/>
      <c r="I53" s="990">
        <f>+E53-G53</f>
        <v>-1984688</v>
      </c>
      <c r="J53" s="957"/>
      <c r="K53" s="984">
        <f>+I53/G53</f>
        <v>-2.9930453764076291E-2</v>
      </c>
      <c r="L53" s="957"/>
      <c r="M53" s="995"/>
      <c r="N53" s="957"/>
      <c r="O53" s="964"/>
    </row>
    <row r="54" spans="1:16" ht="8.25" customHeight="1">
      <c r="A54" s="957"/>
      <c r="B54" s="957"/>
      <c r="C54" s="957"/>
      <c r="D54" s="957"/>
      <c r="E54" s="1010"/>
      <c r="F54" s="1008"/>
      <c r="G54" s="1010"/>
      <c r="H54" s="957"/>
      <c r="I54" s="987"/>
      <c r="J54" s="957"/>
      <c r="K54" s="976"/>
      <c r="L54" s="957"/>
      <c r="M54" s="957"/>
      <c r="N54" s="957"/>
      <c r="O54" s="964"/>
    </row>
    <row r="55" spans="1:16" ht="12.75" customHeight="1">
      <c r="A55" s="957"/>
      <c r="B55" s="957"/>
      <c r="C55" s="957" t="s">
        <v>1204</v>
      </c>
      <c r="D55" s="957"/>
      <c r="E55" s="1007">
        <f>+E47+E53</f>
        <v>894435708</v>
      </c>
      <c r="F55" s="1008"/>
      <c r="G55" s="1007">
        <f>+G47+G53</f>
        <v>870374438</v>
      </c>
      <c r="H55" s="957"/>
      <c r="I55" s="987">
        <f>+E55-G55</f>
        <v>24061270</v>
      </c>
      <c r="J55" s="957"/>
      <c r="K55" s="976">
        <f>+I55/G55</f>
        <v>2.7644734208060462E-2</v>
      </c>
      <c r="L55" s="957"/>
      <c r="M55" s="1001"/>
      <c r="N55" s="957"/>
      <c r="O55" s="964"/>
    </row>
    <row r="56" spans="1:16" ht="8.25" customHeight="1">
      <c r="A56" s="957"/>
      <c r="B56" s="988"/>
      <c r="C56" s="957"/>
      <c r="D56" s="957"/>
      <c r="E56" s="1005"/>
      <c r="F56" s="1008"/>
      <c r="G56" s="1005"/>
      <c r="H56" s="957"/>
      <c r="I56" s="987"/>
      <c r="J56" s="957"/>
      <c r="K56" s="976"/>
      <c r="L56" s="957"/>
      <c r="M56" s="957"/>
      <c r="N56" s="957"/>
      <c r="O56" s="964"/>
    </row>
    <row r="57" spans="1:16">
      <c r="A57" s="957"/>
      <c r="B57" s="988" t="s">
        <v>1205</v>
      </c>
      <c r="C57" s="957"/>
      <c r="D57" s="957"/>
      <c r="E57" s="1005"/>
      <c r="F57" s="1008"/>
      <c r="G57" s="1005"/>
      <c r="H57" s="957"/>
      <c r="I57" s="987"/>
      <c r="J57" s="957"/>
      <c r="K57" s="976"/>
      <c r="L57" s="957"/>
      <c r="M57" s="957"/>
      <c r="N57" s="957"/>
      <c r="O57" s="964"/>
    </row>
    <row r="58" spans="1:16">
      <c r="A58" s="957"/>
      <c r="B58" s="957"/>
      <c r="C58" s="957" t="str">
        <f>+C27</f>
        <v>Commercial transportation</v>
      </c>
      <c r="D58" s="957"/>
      <c r="E58" s="1007">
        <v>39714593</v>
      </c>
      <c r="F58" s="1008"/>
      <c r="G58" s="1007">
        <v>38792533</v>
      </c>
      <c r="H58" s="957"/>
      <c r="I58" s="979">
        <f>+E58-G58</f>
        <v>922060</v>
      </c>
      <c r="J58" s="957"/>
      <c r="K58" s="1009">
        <f>+I58/G58</f>
        <v>2.37690072983891E-2</v>
      </c>
      <c r="L58" s="957"/>
      <c r="M58" s="1001"/>
      <c r="N58" s="957"/>
      <c r="O58" s="964"/>
    </row>
    <row r="59" spans="1:16">
      <c r="A59" s="957"/>
      <c r="B59" s="957"/>
      <c r="C59" s="957" t="str">
        <f>+C28</f>
        <v>Industrial transportation</v>
      </c>
      <c r="D59" s="957"/>
      <c r="E59" s="1007">
        <v>171265926</v>
      </c>
      <c r="F59" s="1008"/>
      <c r="G59" s="1007">
        <v>165471815</v>
      </c>
      <c r="H59" s="957"/>
      <c r="I59" s="990">
        <f>+E59-G59</f>
        <v>5794111</v>
      </c>
      <c r="J59" s="957"/>
      <c r="K59" s="984">
        <f>+I59/G59</f>
        <v>3.501569738628902E-2</v>
      </c>
      <c r="L59" s="957"/>
      <c r="M59" s="995"/>
      <c r="N59" s="957"/>
      <c r="O59" s="964"/>
    </row>
    <row r="60" spans="1:16" ht="8.25" customHeight="1">
      <c r="A60" s="957"/>
      <c r="B60" s="957"/>
      <c r="C60" s="957"/>
      <c r="D60" s="957"/>
      <c r="E60" s="1010"/>
      <c r="F60" s="957"/>
      <c r="G60" s="1010"/>
      <c r="H60" s="957"/>
      <c r="I60" s="987"/>
      <c r="J60" s="957"/>
      <c r="K60" s="976"/>
      <c r="L60" s="957"/>
      <c r="M60" s="957"/>
      <c r="N60" s="957"/>
      <c r="O60" s="964"/>
    </row>
    <row r="61" spans="1:16">
      <c r="A61" s="957"/>
      <c r="B61" s="957"/>
      <c r="C61" s="957" t="str">
        <f>+C30</f>
        <v xml:space="preserve">  Total transportation </v>
      </c>
      <c r="D61" s="957"/>
      <c r="E61" s="1011">
        <f>SUM(E58:E60)</f>
        <v>210980519</v>
      </c>
      <c r="F61" s="957"/>
      <c r="G61" s="1011">
        <f>SUM(G58:G60)</f>
        <v>204264348</v>
      </c>
      <c r="H61" s="957"/>
      <c r="I61" s="990">
        <f>+E61-G61</f>
        <v>6716171</v>
      </c>
      <c r="J61" s="957"/>
      <c r="K61" s="984">
        <f>+I61/G61</f>
        <v>3.2879800443687802E-2</v>
      </c>
      <c r="L61" s="957"/>
      <c r="M61" s="1001"/>
      <c r="N61" s="957"/>
      <c r="O61" s="964"/>
    </row>
    <row r="62" spans="1:16" s="1013" customFormat="1" ht="8.25" customHeight="1">
      <c r="A62" s="1012"/>
      <c r="B62" s="1012"/>
      <c r="C62" s="1012"/>
      <c r="D62" s="957"/>
      <c r="E62" s="1005"/>
      <c r="F62" s="957"/>
      <c r="G62" s="1005"/>
      <c r="H62" s="957"/>
      <c r="I62" s="979"/>
      <c r="J62" s="957"/>
      <c r="K62" s="976"/>
      <c r="L62" s="957"/>
      <c r="M62" s="957"/>
      <c r="N62" s="957"/>
      <c r="O62" s="964"/>
    </row>
    <row r="63" spans="1:16" s="1016" customFormat="1" ht="13.5" thickBot="1">
      <c r="A63" s="957"/>
      <c r="B63" s="957"/>
      <c r="C63" s="957" t="s">
        <v>1206</v>
      </c>
      <c r="D63" s="957"/>
      <c r="E63" s="1014">
        <f>+E55+E61</f>
        <v>1105416227</v>
      </c>
      <c r="F63" s="957"/>
      <c r="G63" s="1014">
        <f>+G55+G61</f>
        <v>1074638786</v>
      </c>
      <c r="H63" s="957"/>
      <c r="I63" s="1015">
        <f>+E63-G63</f>
        <v>30777441</v>
      </c>
      <c r="J63" s="957"/>
      <c r="K63" s="999">
        <f>+I63/G63</f>
        <v>2.8639801020544964E-2</v>
      </c>
      <c r="L63" s="957"/>
      <c r="M63" s="995"/>
      <c r="N63" s="957"/>
      <c r="O63" s="964"/>
    </row>
    <row r="64" spans="1:16" ht="15.75" thickTop="1">
      <c r="A64" s="1017"/>
      <c r="B64" s="1017"/>
      <c r="C64" s="1017"/>
      <c r="D64" s="945"/>
      <c r="E64" s="1018"/>
      <c r="F64" s="945"/>
      <c r="G64" s="1019"/>
      <c r="H64" s="945"/>
      <c r="I64" s="1017"/>
      <c r="J64" s="945"/>
      <c r="K64" s="1001"/>
      <c r="L64" s="945"/>
      <c r="M64" s="945"/>
      <c r="N64" s="945"/>
      <c r="O64" s="964"/>
      <c r="P64" s="1013"/>
    </row>
    <row r="65" spans="1:16" ht="15.75">
      <c r="A65" s="1020"/>
      <c r="B65" s="1020"/>
      <c r="C65" s="1020"/>
      <c r="D65" s="1017"/>
      <c r="E65" s="1019"/>
      <c r="F65" s="1017"/>
      <c r="G65" s="1021"/>
      <c r="H65" s="1017"/>
      <c r="I65" s="1017"/>
      <c r="J65" s="1017"/>
      <c r="K65" s="1001"/>
      <c r="L65" s="1017"/>
      <c r="M65" s="1017"/>
      <c r="N65" s="1017"/>
      <c r="O65" s="964"/>
      <c r="P65" s="1013"/>
    </row>
    <row r="66" spans="1:16" ht="15.75">
      <c r="A66" s="1022"/>
      <c r="B66" s="1023"/>
      <c r="C66" s="1022"/>
      <c r="D66" s="1013"/>
      <c r="E66" s="1024"/>
      <c r="F66" s="1013"/>
      <c r="G66" s="1024"/>
      <c r="H66" s="1013"/>
      <c r="I66" s="1013"/>
      <c r="J66" s="1013"/>
      <c r="K66" s="1025"/>
      <c r="L66" s="1013"/>
      <c r="M66" s="1013"/>
      <c r="N66" s="1013"/>
      <c r="O66" s="1026"/>
      <c r="P66" s="1013"/>
    </row>
    <row r="67" spans="1:16">
      <c r="A67" s="1013"/>
      <c r="B67" s="1013"/>
      <c r="C67" s="1013"/>
      <c r="D67" s="1013"/>
      <c r="E67" s="1027"/>
      <c r="F67" s="1013"/>
      <c r="G67" s="1028"/>
      <c r="H67" s="1013"/>
      <c r="I67" s="1013"/>
      <c r="J67" s="1013"/>
      <c r="K67" s="1025"/>
      <c r="L67" s="1013"/>
      <c r="M67" s="1013"/>
      <c r="N67" s="1013"/>
      <c r="O67" s="1026"/>
      <c r="P67" s="1013"/>
    </row>
    <row r="68" spans="1:16">
      <c r="A68" s="1013"/>
      <c r="B68" s="1013"/>
      <c r="C68" s="1013"/>
      <c r="D68" s="1013"/>
      <c r="E68" s="1027"/>
      <c r="F68" s="1013"/>
      <c r="G68" s="1027"/>
      <c r="H68" s="1013"/>
      <c r="I68" s="1013"/>
      <c r="J68" s="1013"/>
      <c r="K68" s="1025"/>
      <c r="L68" s="1013"/>
      <c r="M68" s="1013"/>
      <c r="N68" s="1013"/>
      <c r="O68" s="1026"/>
      <c r="P68" s="1013"/>
    </row>
    <row r="69" spans="1:16">
      <c r="A69" s="1013"/>
      <c r="B69" s="1013"/>
      <c r="C69" s="1013"/>
      <c r="D69" s="1013"/>
      <c r="E69" s="1027"/>
      <c r="F69" s="1013"/>
      <c r="G69" s="1027"/>
      <c r="H69" s="1013"/>
      <c r="I69" s="1013"/>
      <c r="J69" s="1013"/>
      <c r="K69" s="1025"/>
      <c r="L69" s="1013"/>
      <c r="M69" s="1013"/>
      <c r="N69" s="1013"/>
      <c r="O69" s="1026"/>
      <c r="P69" s="1013"/>
    </row>
    <row r="70" spans="1:16">
      <c r="A70" s="1013"/>
      <c r="B70" s="1013"/>
      <c r="C70" s="1013"/>
      <c r="D70" s="1013"/>
      <c r="E70" s="1027"/>
      <c r="F70" s="1013"/>
      <c r="G70" s="1027"/>
      <c r="H70" s="1013"/>
      <c r="I70" s="1013"/>
      <c r="J70" s="1013"/>
      <c r="K70" s="1025"/>
      <c r="L70" s="1013"/>
      <c r="M70" s="1013"/>
      <c r="N70" s="1013"/>
      <c r="O70" s="1026"/>
      <c r="P70" s="1013"/>
    </row>
    <row r="71" spans="1:16">
      <c r="A71" s="1013"/>
      <c r="B71" s="1013"/>
      <c r="C71" s="1013"/>
      <c r="D71" s="1013"/>
      <c r="E71" s="1027"/>
      <c r="F71" s="1013"/>
      <c r="G71" s="1027"/>
      <c r="H71" s="1013"/>
      <c r="I71" s="1013"/>
      <c r="J71" s="1013"/>
      <c r="K71" s="1025"/>
      <c r="L71" s="1013"/>
      <c r="M71" s="1013"/>
      <c r="N71" s="1013"/>
      <c r="O71" s="1026"/>
      <c r="P71" s="1013"/>
    </row>
    <row r="72" spans="1:16">
      <c r="A72" s="1013"/>
      <c r="B72" s="1013"/>
      <c r="C72" s="1013"/>
      <c r="D72" s="1013"/>
      <c r="E72" s="1013"/>
      <c r="F72" s="1013"/>
      <c r="G72" s="1027"/>
      <c r="H72" s="1013"/>
      <c r="I72" s="1013"/>
      <c r="J72" s="1013"/>
      <c r="K72" s="1025"/>
      <c r="L72" s="1013"/>
      <c r="M72" s="1013"/>
      <c r="N72" s="1013"/>
      <c r="O72" s="1026"/>
      <c r="P72" s="1013"/>
    </row>
    <row r="73" spans="1:16">
      <c r="A73" s="1013"/>
      <c r="B73" s="1013"/>
      <c r="C73" s="1013"/>
      <c r="D73" s="1013"/>
      <c r="E73" s="1013"/>
      <c r="F73" s="1013"/>
      <c r="G73" s="1027"/>
      <c r="H73" s="1013"/>
      <c r="I73" s="1013"/>
      <c r="J73" s="1013"/>
      <c r="K73" s="1025"/>
      <c r="L73" s="1013"/>
      <c r="M73" s="1013"/>
      <c r="N73" s="1013"/>
      <c r="O73" s="1026"/>
      <c r="P73" s="1013"/>
    </row>
    <row r="74" spans="1:16">
      <c r="A74" s="1013"/>
      <c r="B74" s="1013"/>
      <c r="C74" s="1013"/>
      <c r="D74" s="1013"/>
      <c r="E74" s="1013"/>
      <c r="F74" s="1013"/>
      <c r="G74" s="1027"/>
      <c r="H74" s="1013"/>
      <c r="I74" s="1013"/>
      <c r="J74" s="1013"/>
      <c r="K74" s="1025"/>
      <c r="L74" s="1013"/>
      <c r="M74" s="1013"/>
      <c r="N74" s="1013"/>
      <c r="O74" s="1026"/>
      <c r="P74" s="1013"/>
    </row>
    <row r="75" spans="1:16">
      <c r="A75" s="1013"/>
      <c r="B75" s="1013"/>
      <c r="C75" s="1013"/>
      <c r="D75" s="1013"/>
      <c r="E75" s="1013"/>
      <c r="F75" s="1013"/>
      <c r="G75" s="1027"/>
      <c r="H75" s="1013"/>
      <c r="I75" s="1013"/>
      <c r="J75" s="1013"/>
      <c r="K75" s="1025"/>
      <c r="L75" s="1013"/>
      <c r="M75" s="1013"/>
      <c r="N75" s="1013"/>
      <c r="O75" s="1026"/>
      <c r="P75" s="1013"/>
    </row>
    <row r="76" spans="1:16">
      <c r="A76" s="1013"/>
      <c r="B76" s="1013"/>
      <c r="C76" s="1013"/>
      <c r="D76" s="1013"/>
      <c r="E76" s="1013"/>
      <c r="F76" s="1013"/>
      <c r="G76" s="1027"/>
      <c r="H76" s="1013"/>
      <c r="I76" s="1013"/>
      <c r="J76" s="1013"/>
      <c r="K76" s="1025"/>
      <c r="L76" s="1013"/>
      <c r="M76" s="1013"/>
      <c r="N76" s="1013"/>
      <c r="O76" s="1026"/>
      <c r="P76" s="1013"/>
    </row>
    <row r="77" spans="1:16">
      <c r="A77" s="1013"/>
      <c r="B77" s="1013"/>
      <c r="C77" s="1013"/>
      <c r="D77" s="1013"/>
      <c r="E77" s="1013"/>
      <c r="F77" s="1013"/>
      <c r="G77" s="1027"/>
      <c r="H77" s="1013"/>
      <c r="I77" s="1013"/>
      <c r="J77" s="1013"/>
      <c r="K77" s="1025"/>
      <c r="L77" s="1013"/>
      <c r="M77" s="1013"/>
      <c r="N77" s="1013"/>
      <c r="O77" s="1026"/>
      <c r="P77" s="1013"/>
    </row>
    <row r="78" spans="1:16">
      <c r="A78" s="1013"/>
      <c r="B78" s="1013"/>
      <c r="C78" s="1013"/>
      <c r="D78" s="1013"/>
      <c r="E78" s="1013"/>
      <c r="F78" s="1013"/>
      <c r="G78" s="1027"/>
      <c r="H78" s="1013"/>
      <c r="I78" s="1013"/>
      <c r="J78" s="1013"/>
      <c r="K78" s="1025"/>
      <c r="L78" s="1013"/>
      <c r="M78" s="1013"/>
      <c r="N78" s="1013"/>
      <c r="O78" s="1026"/>
      <c r="P78" s="1013"/>
    </row>
    <row r="79" spans="1:16">
      <c r="A79" s="1013"/>
      <c r="B79" s="1013"/>
      <c r="C79" s="1013"/>
      <c r="D79" s="1013"/>
      <c r="E79" s="1013"/>
      <c r="F79" s="1013"/>
      <c r="G79" s="1027"/>
      <c r="H79" s="1013"/>
      <c r="I79" s="1013"/>
      <c r="J79" s="1013"/>
      <c r="K79" s="1025"/>
      <c r="L79" s="1013"/>
      <c r="M79" s="1013"/>
      <c r="N79" s="1013"/>
      <c r="O79" s="1026"/>
      <c r="P79" s="1013"/>
    </row>
    <row r="80" spans="1:16">
      <c r="A80" s="1013"/>
      <c r="B80" s="1013"/>
      <c r="C80" s="1013"/>
      <c r="D80" s="1013"/>
      <c r="E80" s="1013"/>
      <c r="F80" s="1013"/>
      <c r="G80" s="1027"/>
      <c r="H80" s="1013"/>
      <c r="I80" s="1013"/>
      <c r="J80" s="1013"/>
      <c r="K80" s="1025"/>
      <c r="L80" s="1013"/>
      <c r="M80" s="1013"/>
      <c r="N80" s="1013"/>
      <c r="O80" s="1026"/>
      <c r="P80" s="1013"/>
    </row>
    <row r="81" spans="1:16">
      <c r="A81" s="1013"/>
      <c r="B81" s="1013"/>
      <c r="C81" s="1013"/>
      <c r="D81" s="1013"/>
      <c r="E81" s="1013"/>
      <c r="F81" s="1013"/>
      <c r="G81" s="1027"/>
      <c r="H81" s="1013"/>
      <c r="I81" s="1013"/>
      <c r="J81" s="1013"/>
      <c r="K81" s="1025"/>
      <c r="L81" s="1013"/>
      <c r="M81" s="1013"/>
      <c r="N81" s="1013"/>
      <c r="O81" s="1026"/>
      <c r="P81" s="1013"/>
    </row>
    <row r="82" spans="1:16">
      <c r="A82" s="1013"/>
      <c r="B82" s="1013"/>
      <c r="C82" s="1013"/>
      <c r="D82" s="1013"/>
      <c r="E82" s="1013"/>
      <c r="F82" s="1013"/>
      <c r="G82" s="1027"/>
      <c r="H82" s="1013"/>
      <c r="I82" s="1013"/>
      <c r="J82" s="1013"/>
      <c r="K82" s="1025"/>
      <c r="L82" s="1013"/>
      <c r="M82" s="1013"/>
      <c r="N82" s="1013"/>
      <c r="O82" s="1026"/>
      <c r="P82" s="1013"/>
    </row>
    <row r="83" spans="1:16">
      <c r="A83" s="1013"/>
      <c r="B83" s="1013"/>
      <c r="C83" s="1013"/>
      <c r="D83" s="1013"/>
      <c r="E83" s="1013"/>
      <c r="F83" s="1013"/>
      <c r="G83" s="1027"/>
      <c r="H83" s="1013"/>
      <c r="I83" s="1013"/>
      <c r="J83" s="1013"/>
      <c r="K83" s="1025"/>
      <c r="L83" s="1013"/>
      <c r="M83" s="1013"/>
      <c r="N83" s="1013"/>
      <c r="O83" s="1026"/>
      <c r="P83" s="1013"/>
    </row>
    <row r="84" spans="1:16">
      <c r="A84" s="1013"/>
      <c r="B84" s="1013"/>
      <c r="C84" s="1013"/>
      <c r="D84" s="1013"/>
      <c r="E84" s="1013"/>
      <c r="F84" s="1013"/>
      <c r="G84" s="1027"/>
      <c r="H84" s="1013"/>
      <c r="I84" s="1013"/>
      <c r="J84" s="1013"/>
      <c r="K84" s="1025"/>
      <c r="L84" s="1013"/>
      <c r="M84" s="1013"/>
      <c r="N84" s="1013"/>
      <c r="O84" s="1026"/>
      <c r="P84" s="1013"/>
    </row>
    <row r="85" spans="1:16">
      <c r="A85" s="1013"/>
      <c r="B85" s="1013"/>
      <c r="C85" s="1013"/>
      <c r="D85" s="1013"/>
      <c r="E85" s="1013"/>
      <c r="F85" s="1013"/>
      <c r="G85" s="1013"/>
      <c r="H85" s="1013"/>
      <c r="I85" s="1013"/>
      <c r="J85" s="1013"/>
      <c r="K85" s="1025"/>
      <c r="L85" s="1013"/>
      <c r="M85" s="1013"/>
      <c r="N85" s="1013"/>
      <c r="O85" s="1026"/>
      <c r="P85" s="1013"/>
    </row>
    <row r="86" spans="1:16">
      <c r="A86" s="1013"/>
      <c r="B86" s="1013"/>
      <c r="C86" s="1013"/>
      <c r="D86" s="1013"/>
      <c r="E86" s="1013"/>
      <c r="F86" s="1013"/>
      <c r="G86" s="1013"/>
      <c r="H86" s="1013"/>
      <c r="I86" s="1013"/>
      <c r="J86" s="1013"/>
      <c r="K86" s="1025"/>
      <c r="L86" s="1013"/>
      <c r="M86" s="1013"/>
      <c r="N86" s="1013"/>
      <c r="O86" s="1013"/>
      <c r="P86" s="1013"/>
    </row>
    <row r="87" spans="1:16">
      <c r="A87" s="1013"/>
      <c r="B87" s="1013"/>
      <c r="C87" s="1013"/>
      <c r="D87" s="1013"/>
      <c r="E87" s="1013"/>
      <c r="F87" s="1013"/>
      <c r="G87" s="1013"/>
      <c r="H87" s="1013"/>
      <c r="I87" s="1013"/>
      <c r="J87" s="1013"/>
      <c r="K87" s="1025"/>
      <c r="L87" s="1013"/>
      <c r="M87" s="1013"/>
      <c r="N87" s="1013"/>
      <c r="O87" s="1013"/>
      <c r="P87" s="1013"/>
    </row>
    <row r="88" spans="1:16">
      <c r="A88" s="1013"/>
      <c r="B88" s="1013"/>
      <c r="C88" s="1013"/>
      <c r="D88" s="1013"/>
      <c r="E88" s="1013"/>
      <c r="F88" s="1013"/>
      <c r="G88" s="1013"/>
      <c r="H88" s="1013"/>
      <c r="I88" s="1013"/>
      <c r="J88" s="1013"/>
      <c r="K88" s="1025"/>
      <c r="L88" s="1013"/>
      <c r="M88" s="1013"/>
      <c r="N88" s="1013"/>
      <c r="O88" s="1013"/>
      <c r="P88" s="1013"/>
    </row>
    <row r="89" spans="1:16">
      <c r="A89" s="1013"/>
      <c r="B89" s="1013"/>
      <c r="C89" s="1013"/>
      <c r="D89" s="1013"/>
      <c r="E89" s="1013"/>
      <c r="F89" s="1013"/>
      <c r="G89" s="1013"/>
      <c r="H89" s="1013"/>
      <c r="I89" s="1013"/>
      <c r="J89" s="1013"/>
      <c r="K89" s="1025"/>
      <c r="L89" s="1013"/>
      <c r="M89" s="1013"/>
      <c r="N89" s="1013"/>
      <c r="O89" s="1013"/>
      <c r="P89" s="1013"/>
    </row>
    <row r="90" spans="1:16">
      <c r="A90" s="1013"/>
      <c r="B90" s="1013"/>
      <c r="C90" s="1013"/>
      <c r="D90" s="1013"/>
      <c r="E90" s="1013"/>
      <c r="F90" s="1013"/>
      <c r="G90" s="1013"/>
      <c r="H90" s="1013"/>
      <c r="I90" s="1013"/>
      <c r="J90" s="1013"/>
      <c r="K90" s="1029"/>
      <c r="L90" s="1013"/>
      <c r="M90" s="1013"/>
      <c r="N90" s="1013"/>
      <c r="O90" s="1013"/>
      <c r="P90" s="1013"/>
    </row>
    <row r="91" spans="1:16">
      <c r="A91" s="1013"/>
      <c r="B91" s="1013"/>
      <c r="C91" s="1013"/>
      <c r="D91" s="1013"/>
      <c r="E91" s="1013"/>
      <c r="F91" s="1013"/>
      <c r="G91" s="1013"/>
      <c r="H91" s="1013"/>
      <c r="I91" s="1013"/>
      <c r="J91" s="1013"/>
      <c r="K91" s="1029"/>
      <c r="L91" s="1013"/>
      <c r="M91" s="1013"/>
      <c r="N91" s="1013"/>
      <c r="O91" s="1013"/>
      <c r="P91" s="1013"/>
    </row>
    <row r="92" spans="1:16">
      <c r="A92" s="1013"/>
      <c r="B92" s="1013"/>
      <c r="C92" s="1013"/>
      <c r="D92" s="1013"/>
      <c r="E92" s="1013"/>
      <c r="F92" s="1013"/>
      <c r="G92" s="1013"/>
      <c r="H92" s="1013"/>
      <c r="I92" s="1013"/>
      <c r="J92" s="1013"/>
      <c r="K92" s="1029"/>
      <c r="L92" s="1013"/>
      <c r="M92" s="1013"/>
      <c r="N92" s="1013"/>
      <c r="O92" s="1013"/>
      <c r="P92" s="1013"/>
    </row>
    <row r="93" spans="1:16">
      <c r="A93" s="1013"/>
      <c r="B93" s="1013"/>
      <c r="C93" s="1013"/>
      <c r="D93" s="1013"/>
      <c r="E93" s="1013"/>
      <c r="F93" s="1013"/>
      <c r="G93" s="1013"/>
      <c r="H93" s="1013"/>
      <c r="I93" s="1013"/>
      <c r="J93" s="1013"/>
      <c r="K93" s="1029"/>
      <c r="L93" s="1013"/>
      <c r="M93" s="1013"/>
      <c r="N93" s="1013"/>
      <c r="O93" s="1013"/>
      <c r="P93" s="1013"/>
    </row>
    <row r="94" spans="1:16">
      <c r="A94" s="1013"/>
      <c r="B94" s="1013"/>
      <c r="C94" s="1013"/>
      <c r="D94" s="1013"/>
      <c r="E94" s="1013"/>
      <c r="F94" s="1013"/>
      <c r="G94" s="1013"/>
      <c r="H94" s="1013"/>
      <c r="I94" s="1013"/>
      <c r="J94" s="1013"/>
      <c r="K94" s="1029"/>
      <c r="L94" s="1013"/>
      <c r="M94" s="1013"/>
      <c r="N94" s="1013"/>
      <c r="O94" s="1013"/>
      <c r="P94" s="1013"/>
    </row>
    <row r="95" spans="1:16">
      <c r="A95" s="1013"/>
      <c r="B95" s="1013"/>
      <c r="C95" s="1013"/>
      <c r="D95" s="1013"/>
      <c r="E95" s="1013"/>
      <c r="F95" s="1013"/>
      <c r="G95" s="1013"/>
      <c r="H95" s="1013"/>
      <c r="I95" s="1013"/>
      <c r="J95" s="1013"/>
      <c r="K95" s="1029"/>
      <c r="L95" s="1013"/>
      <c r="M95" s="1013"/>
      <c r="N95" s="1013"/>
      <c r="O95" s="1013"/>
      <c r="P95" s="1013"/>
    </row>
    <row r="96" spans="1:16">
      <c r="A96" s="1013"/>
      <c r="B96" s="1013"/>
      <c r="C96" s="1013"/>
      <c r="D96" s="1013"/>
      <c r="E96" s="1013"/>
      <c r="F96" s="1013"/>
      <c r="G96" s="1013"/>
      <c r="H96" s="1013"/>
      <c r="I96" s="1013"/>
      <c r="J96" s="1013"/>
      <c r="K96" s="1029"/>
      <c r="L96" s="1013"/>
      <c r="M96" s="1013"/>
      <c r="N96" s="1013"/>
      <c r="O96" s="1013"/>
      <c r="P96" s="1013"/>
    </row>
    <row r="97" spans="1:16">
      <c r="A97" s="1013"/>
      <c r="B97" s="1013"/>
      <c r="C97" s="1013"/>
      <c r="D97" s="1013"/>
      <c r="E97" s="1013"/>
      <c r="F97" s="1013"/>
      <c r="G97" s="1013"/>
      <c r="H97" s="1013"/>
      <c r="I97" s="1013"/>
      <c r="J97" s="1013"/>
      <c r="K97" s="1029"/>
      <c r="L97" s="1013"/>
      <c r="M97" s="1013"/>
      <c r="N97" s="1013"/>
      <c r="O97" s="1013"/>
      <c r="P97" s="1013"/>
    </row>
    <row r="98" spans="1:16">
      <c r="A98" s="1013"/>
      <c r="B98" s="1013"/>
      <c r="C98" s="1013"/>
      <c r="D98" s="1013"/>
      <c r="E98" s="1013"/>
      <c r="F98" s="1013"/>
      <c r="G98" s="1013"/>
      <c r="H98" s="1013"/>
      <c r="I98" s="1013"/>
      <c r="J98" s="1013"/>
      <c r="K98" s="1029"/>
      <c r="L98" s="1013"/>
      <c r="M98" s="1013"/>
      <c r="N98" s="1013"/>
      <c r="O98" s="1013"/>
      <c r="P98" s="1013"/>
    </row>
    <row r="99" spans="1:16">
      <c r="A99" s="1013"/>
      <c r="B99" s="1013"/>
      <c r="C99" s="1013"/>
      <c r="D99" s="1013"/>
      <c r="E99" s="1013"/>
      <c r="F99" s="1013"/>
      <c r="G99" s="1013"/>
      <c r="H99" s="1013"/>
      <c r="I99" s="1013"/>
      <c r="J99" s="1013"/>
      <c r="K99" s="1029"/>
      <c r="L99" s="1013"/>
      <c r="M99" s="1013"/>
      <c r="N99" s="1013"/>
      <c r="O99" s="1013"/>
      <c r="P99" s="1013"/>
    </row>
    <row r="100" spans="1:16">
      <c r="A100" s="1013"/>
      <c r="B100" s="1013"/>
      <c r="C100" s="1013"/>
      <c r="D100" s="1013"/>
      <c r="E100" s="1013"/>
      <c r="F100" s="1013"/>
      <c r="G100" s="1013"/>
      <c r="H100" s="1013"/>
      <c r="I100" s="1013"/>
      <c r="J100" s="1013"/>
      <c r="K100" s="1029"/>
      <c r="L100" s="1013"/>
      <c r="M100" s="1013"/>
      <c r="N100" s="1013"/>
      <c r="O100" s="1013"/>
      <c r="P100" s="1013"/>
    </row>
    <row r="101" spans="1:16">
      <c r="A101" s="1013"/>
      <c r="B101" s="1013"/>
      <c r="C101" s="1013"/>
      <c r="E101" s="1013"/>
      <c r="G101" s="1013"/>
      <c r="I101" s="1013"/>
      <c r="K101" s="1029"/>
      <c r="P101" s="1013"/>
    </row>
    <row r="102" spans="1:16">
      <c r="A102" s="1013"/>
      <c r="B102" s="1013"/>
      <c r="C102" s="1013"/>
      <c r="E102" s="1013"/>
      <c r="G102" s="1013"/>
      <c r="I102" s="1013"/>
      <c r="K102" s="1029"/>
      <c r="P102" s="1013"/>
    </row>
  </sheetData>
  <printOptions horizontalCentered="1"/>
  <pageMargins left="0.2" right="0.2" top="0.4" bottom="0.4" header="0.5" footer="0.2"/>
  <pageSetup scale="68" orientation="landscape" r:id="rId1"/>
  <headerFooter alignWithMargins="0">
    <oddFooter>&amp;C&amp;12  5c</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BS46"/>
  <sheetViews>
    <sheetView workbookViewId="0">
      <selection activeCell="E24" sqref="E24"/>
    </sheetView>
  </sheetViews>
  <sheetFormatPr defaultColWidth="10.33203125" defaultRowHeight="12.75"/>
  <cols>
    <col min="1" max="1" width="10.33203125" style="229" customWidth="1"/>
    <col min="2" max="2" width="12.6640625" style="229" customWidth="1"/>
    <col min="3" max="3" width="52.1640625" style="229" bestFit="1" customWidth="1"/>
    <col min="4" max="4" width="60.5" style="229" bestFit="1" customWidth="1"/>
    <col min="5" max="5" width="12" style="229" bestFit="1" customWidth="1"/>
    <col min="6" max="6" width="16.6640625" style="229" bestFit="1" customWidth="1"/>
    <col min="7" max="256" width="10.33203125" style="229"/>
    <col min="257" max="257" width="10.33203125" style="229" customWidth="1"/>
    <col min="258" max="258" width="12.6640625" style="229" customWidth="1"/>
    <col min="259" max="259" width="51.83203125" style="229" bestFit="1" customWidth="1"/>
    <col min="260" max="260" width="60.1640625" style="229" bestFit="1" customWidth="1"/>
    <col min="261" max="261" width="12" style="229" bestFit="1" customWidth="1"/>
    <col min="262" max="262" width="16.6640625" style="229" bestFit="1" customWidth="1"/>
    <col min="263" max="512" width="10.33203125" style="229"/>
    <col min="513" max="513" width="10.33203125" style="229" customWidth="1"/>
    <col min="514" max="514" width="12.6640625" style="229" customWidth="1"/>
    <col min="515" max="515" width="51.83203125" style="229" bestFit="1" customWidth="1"/>
    <col min="516" max="516" width="60.1640625" style="229" bestFit="1" customWidth="1"/>
    <col min="517" max="517" width="12" style="229" bestFit="1" customWidth="1"/>
    <col min="518" max="518" width="16.6640625" style="229" bestFit="1" customWidth="1"/>
    <col min="519" max="768" width="10.33203125" style="229"/>
    <col min="769" max="769" width="10.33203125" style="229" customWidth="1"/>
    <col min="770" max="770" width="12.6640625" style="229" customWidth="1"/>
    <col min="771" max="771" width="51.83203125" style="229" bestFit="1" customWidth="1"/>
    <col min="772" max="772" width="60.1640625" style="229" bestFit="1" customWidth="1"/>
    <col min="773" max="773" width="12" style="229" bestFit="1" customWidth="1"/>
    <col min="774" max="774" width="16.6640625" style="229" bestFit="1" customWidth="1"/>
    <col min="775" max="1024" width="10.33203125" style="229"/>
    <col min="1025" max="1025" width="10.33203125" style="229" customWidth="1"/>
    <col min="1026" max="1026" width="12.6640625" style="229" customWidth="1"/>
    <col min="1027" max="1027" width="51.83203125" style="229" bestFit="1" customWidth="1"/>
    <col min="1028" max="1028" width="60.1640625" style="229" bestFit="1" customWidth="1"/>
    <col min="1029" max="1029" width="12" style="229" bestFit="1" customWidth="1"/>
    <col min="1030" max="1030" width="16.6640625" style="229" bestFit="1" customWidth="1"/>
    <col min="1031" max="1280" width="10.33203125" style="229"/>
    <col min="1281" max="1281" width="10.33203125" style="229" customWidth="1"/>
    <col min="1282" max="1282" width="12.6640625" style="229" customWidth="1"/>
    <col min="1283" max="1283" width="51.83203125" style="229" bestFit="1" customWidth="1"/>
    <col min="1284" max="1284" width="60.1640625" style="229" bestFit="1" customWidth="1"/>
    <col min="1285" max="1285" width="12" style="229" bestFit="1" customWidth="1"/>
    <col min="1286" max="1286" width="16.6640625" style="229" bestFit="1" customWidth="1"/>
    <col min="1287" max="1536" width="10.33203125" style="229"/>
    <col min="1537" max="1537" width="10.33203125" style="229" customWidth="1"/>
    <col min="1538" max="1538" width="12.6640625" style="229" customWidth="1"/>
    <col min="1539" max="1539" width="51.83203125" style="229" bestFit="1" customWidth="1"/>
    <col min="1540" max="1540" width="60.1640625" style="229" bestFit="1" customWidth="1"/>
    <col min="1541" max="1541" width="12" style="229" bestFit="1" customWidth="1"/>
    <col min="1542" max="1542" width="16.6640625" style="229" bestFit="1" customWidth="1"/>
    <col min="1543" max="1792" width="10.33203125" style="229"/>
    <col min="1793" max="1793" width="10.33203125" style="229" customWidth="1"/>
    <col min="1794" max="1794" width="12.6640625" style="229" customWidth="1"/>
    <col min="1795" max="1795" width="51.83203125" style="229" bestFit="1" customWidth="1"/>
    <col min="1796" max="1796" width="60.1640625" style="229" bestFit="1" customWidth="1"/>
    <col min="1797" max="1797" width="12" style="229" bestFit="1" customWidth="1"/>
    <col min="1798" max="1798" width="16.6640625" style="229" bestFit="1" customWidth="1"/>
    <col min="1799" max="2048" width="10.33203125" style="229"/>
    <col min="2049" max="2049" width="10.33203125" style="229" customWidth="1"/>
    <col min="2050" max="2050" width="12.6640625" style="229" customWidth="1"/>
    <col min="2051" max="2051" width="51.83203125" style="229" bestFit="1" customWidth="1"/>
    <col min="2052" max="2052" width="60.1640625" style="229" bestFit="1" customWidth="1"/>
    <col min="2053" max="2053" width="12" style="229" bestFit="1" customWidth="1"/>
    <col min="2054" max="2054" width="16.6640625" style="229" bestFit="1" customWidth="1"/>
    <col min="2055" max="2304" width="10.33203125" style="229"/>
    <col min="2305" max="2305" width="10.33203125" style="229" customWidth="1"/>
    <col min="2306" max="2306" width="12.6640625" style="229" customWidth="1"/>
    <col min="2307" max="2307" width="51.83203125" style="229" bestFit="1" customWidth="1"/>
    <col min="2308" max="2308" width="60.1640625" style="229" bestFit="1" customWidth="1"/>
    <col min="2309" max="2309" width="12" style="229" bestFit="1" customWidth="1"/>
    <col min="2310" max="2310" width="16.6640625" style="229" bestFit="1" customWidth="1"/>
    <col min="2311" max="2560" width="10.33203125" style="229"/>
    <col min="2561" max="2561" width="10.33203125" style="229" customWidth="1"/>
    <col min="2562" max="2562" width="12.6640625" style="229" customWidth="1"/>
    <col min="2563" max="2563" width="51.83203125" style="229" bestFit="1" customWidth="1"/>
    <col min="2564" max="2564" width="60.1640625" style="229" bestFit="1" customWidth="1"/>
    <col min="2565" max="2565" width="12" style="229" bestFit="1" customWidth="1"/>
    <col min="2566" max="2566" width="16.6640625" style="229" bestFit="1" customWidth="1"/>
    <col min="2567" max="2816" width="10.33203125" style="229"/>
    <col min="2817" max="2817" width="10.33203125" style="229" customWidth="1"/>
    <col min="2818" max="2818" width="12.6640625" style="229" customWidth="1"/>
    <col min="2819" max="2819" width="51.83203125" style="229" bestFit="1" customWidth="1"/>
    <col min="2820" max="2820" width="60.1640625" style="229" bestFit="1" customWidth="1"/>
    <col min="2821" max="2821" width="12" style="229" bestFit="1" customWidth="1"/>
    <col min="2822" max="2822" width="16.6640625" style="229" bestFit="1" customWidth="1"/>
    <col min="2823" max="3072" width="10.33203125" style="229"/>
    <col min="3073" max="3073" width="10.33203125" style="229" customWidth="1"/>
    <col min="3074" max="3074" width="12.6640625" style="229" customWidth="1"/>
    <col min="3075" max="3075" width="51.83203125" style="229" bestFit="1" customWidth="1"/>
    <col min="3076" max="3076" width="60.1640625" style="229" bestFit="1" customWidth="1"/>
    <col min="3077" max="3077" width="12" style="229" bestFit="1" customWidth="1"/>
    <col min="3078" max="3078" width="16.6640625" style="229" bestFit="1" customWidth="1"/>
    <col min="3079" max="3328" width="10.33203125" style="229"/>
    <col min="3329" max="3329" width="10.33203125" style="229" customWidth="1"/>
    <col min="3330" max="3330" width="12.6640625" style="229" customWidth="1"/>
    <col min="3331" max="3331" width="51.83203125" style="229" bestFit="1" customWidth="1"/>
    <col min="3332" max="3332" width="60.1640625" style="229" bestFit="1" customWidth="1"/>
    <col min="3333" max="3333" width="12" style="229" bestFit="1" customWidth="1"/>
    <col min="3334" max="3334" width="16.6640625" style="229" bestFit="1" customWidth="1"/>
    <col min="3335" max="3584" width="10.33203125" style="229"/>
    <col min="3585" max="3585" width="10.33203125" style="229" customWidth="1"/>
    <col min="3586" max="3586" width="12.6640625" style="229" customWidth="1"/>
    <col min="3587" max="3587" width="51.83203125" style="229" bestFit="1" customWidth="1"/>
    <col min="3588" max="3588" width="60.1640625" style="229" bestFit="1" customWidth="1"/>
    <col min="3589" max="3589" width="12" style="229" bestFit="1" customWidth="1"/>
    <col min="3590" max="3590" width="16.6640625" style="229" bestFit="1" customWidth="1"/>
    <col min="3591" max="3840" width="10.33203125" style="229"/>
    <col min="3841" max="3841" width="10.33203125" style="229" customWidth="1"/>
    <col min="3842" max="3842" width="12.6640625" style="229" customWidth="1"/>
    <col min="3843" max="3843" width="51.83203125" style="229" bestFit="1" customWidth="1"/>
    <col min="3844" max="3844" width="60.1640625" style="229" bestFit="1" customWidth="1"/>
    <col min="3845" max="3845" width="12" style="229" bestFit="1" customWidth="1"/>
    <col min="3846" max="3846" width="16.6640625" style="229" bestFit="1" customWidth="1"/>
    <col min="3847" max="4096" width="10.33203125" style="229"/>
    <col min="4097" max="4097" width="10.33203125" style="229" customWidth="1"/>
    <col min="4098" max="4098" width="12.6640625" style="229" customWidth="1"/>
    <col min="4099" max="4099" width="51.83203125" style="229" bestFit="1" customWidth="1"/>
    <col min="4100" max="4100" width="60.1640625" style="229" bestFit="1" customWidth="1"/>
    <col min="4101" max="4101" width="12" style="229" bestFit="1" customWidth="1"/>
    <col min="4102" max="4102" width="16.6640625" style="229" bestFit="1" customWidth="1"/>
    <col min="4103" max="4352" width="10.33203125" style="229"/>
    <col min="4353" max="4353" width="10.33203125" style="229" customWidth="1"/>
    <col min="4354" max="4354" width="12.6640625" style="229" customWidth="1"/>
    <col min="4355" max="4355" width="51.83203125" style="229" bestFit="1" customWidth="1"/>
    <col min="4356" max="4356" width="60.1640625" style="229" bestFit="1" customWidth="1"/>
    <col min="4357" max="4357" width="12" style="229" bestFit="1" customWidth="1"/>
    <col min="4358" max="4358" width="16.6640625" style="229" bestFit="1" customWidth="1"/>
    <col min="4359" max="4608" width="10.33203125" style="229"/>
    <col min="4609" max="4609" width="10.33203125" style="229" customWidth="1"/>
    <col min="4610" max="4610" width="12.6640625" style="229" customWidth="1"/>
    <col min="4611" max="4611" width="51.83203125" style="229" bestFit="1" customWidth="1"/>
    <col min="4612" max="4612" width="60.1640625" style="229" bestFit="1" customWidth="1"/>
    <col min="4613" max="4613" width="12" style="229" bestFit="1" customWidth="1"/>
    <col min="4614" max="4614" width="16.6640625" style="229" bestFit="1" customWidth="1"/>
    <col min="4615" max="4864" width="10.33203125" style="229"/>
    <col min="4865" max="4865" width="10.33203125" style="229" customWidth="1"/>
    <col min="4866" max="4866" width="12.6640625" style="229" customWidth="1"/>
    <col min="4867" max="4867" width="51.83203125" style="229" bestFit="1" customWidth="1"/>
    <col min="4868" max="4868" width="60.1640625" style="229" bestFit="1" customWidth="1"/>
    <col min="4869" max="4869" width="12" style="229" bestFit="1" customWidth="1"/>
    <col min="4870" max="4870" width="16.6640625" style="229" bestFit="1" customWidth="1"/>
    <col min="4871" max="5120" width="10.33203125" style="229"/>
    <col min="5121" max="5121" width="10.33203125" style="229" customWidth="1"/>
    <col min="5122" max="5122" width="12.6640625" style="229" customWidth="1"/>
    <col min="5123" max="5123" width="51.83203125" style="229" bestFit="1" customWidth="1"/>
    <col min="5124" max="5124" width="60.1640625" style="229" bestFit="1" customWidth="1"/>
    <col min="5125" max="5125" width="12" style="229" bestFit="1" customWidth="1"/>
    <col min="5126" max="5126" width="16.6640625" style="229" bestFit="1" customWidth="1"/>
    <col min="5127" max="5376" width="10.33203125" style="229"/>
    <col min="5377" max="5377" width="10.33203125" style="229" customWidth="1"/>
    <col min="5378" max="5378" width="12.6640625" style="229" customWidth="1"/>
    <col min="5379" max="5379" width="51.83203125" style="229" bestFit="1" customWidth="1"/>
    <col min="5380" max="5380" width="60.1640625" style="229" bestFit="1" customWidth="1"/>
    <col min="5381" max="5381" width="12" style="229" bestFit="1" customWidth="1"/>
    <col min="5382" max="5382" width="16.6640625" style="229" bestFit="1" customWidth="1"/>
    <col min="5383" max="5632" width="10.33203125" style="229"/>
    <col min="5633" max="5633" width="10.33203125" style="229" customWidth="1"/>
    <col min="5634" max="5634" width="12.6640625" style="229" customWidth="1"/>
    <col min="5635" max="5635" width="51.83203125" style="229" bestFit="1" customWidth="1"/>
    <col min="5636" max="5636" width="60.1640625" style="229" bestFit="1" customWidth="1"/>
    <col min="5637" max="5637" width="12" style="229" bestFit="1" customWidth="1"/>
    <col min="5638" max="5638" width="16.6640625" style="229" bestFit="1" customWidth="1"/>
    <col min="5639" max="5888" width="10.33203125" style="229"/>
    <col min="5889" max="5889" width="10.33203125" style="229" customWidth="1"/>
    <col min="5890" max="5890" width="12.6640625" style="229" customWidth="1"/>
    <col min="5891" max="5891" width="51.83203125" style="229" bestFit="1" customWidth="1"/>
    <col min="5892" max="5892" width="60.1640625" style="229" bestFit="1" customWidth="1"/>
    <col min="5893" max="5893" width="12" style="229" bestFit="1" customWidth="1"/>
    <col min="5894" max="5894" width="16.6640625" style="229" bestFit="1" customWidth="1"/>
    <col min="5895" max="6144" width="10.33203125" style="229"/>
    <col min="6145" max="6145" width="10.33203125" style="229" customWidth="1"/>
    <col min="6146" max="6146" width="12.6640625" style="229" customWidth="1"/>
    <col min="6147" max="6147" width="51.83203125" style="229" bestFit="1" customWidth="1"/>
    <col min="6148" max="6148" width="60.1640625" style="229" bestFit="1" customWidth="1"/>
    <col min="6149" max="6149" width="12" style="229" bestFit="1" customWidth="1"/>
    <col min="6150" max="6150" width="16.6640625" style="229" bestFit="1" customWidth="1"/>
    <col min="6151" max="6400" width="10.33203125" style="229"/>
    <col min="6401" max="6401" width="10.33203125" style="229" customWidth="1"/>
    <col min="6402" max="6402" width="12.6640625" style="229" customWidth="1"/>
    <col min="6403" max="6403" width="51.83203125" style="229" bestFit="1" customWidth="1"/>
    <col min="6404" max="6404" width="60.1640625" style="229" bestFit="1" customWidth="1"/>
    <col min="6405" max="6405" width="12" style="229" bestFit="1" customWidth="1"/>
    <col min="6406" max="6406" width="16.6640625" style="229" bestFit="1" customWidth="1"/>
    <col min="6407" max="6656" width="10.33203125" style="229"/>
    <col min="6657" max="6657" width="10.33203125" style="229" customWidth="1"/>
    <col min="6658" max="6658" width="12.6640625" style="229" customWidth="1"/>
    <col min="6659" max="6659" width="51.83203125" style="229" bestFit="1" customWidth="1"/>
    <col min="6660" max="6660" width="60.1640625" style="229" bestFit="1" customWidth="1"/>
    <col min="6661" max="6661" width="12" style="229" bestFit="1" customWidth="1"/>
    <col min="6662" max="6662" width="16.6640625" style="229" bestFit="1" customWidth="1"/>
    <col min="6663" max="6912" width="10.33203125" style="229"/>
    <col min="6913" max="6913" width="10.33203125" style="229" customWidth="1"/>
    <col min="6914" max="6914" width="12.6640625" style="229" customWidth="1"/>
    <col min="6915" max="6915" width="51.83203125" style="229" bestFit="1" customWidth="1"/>
    <col min="6916" max="6916" width="60.1640625" style="229" bestFit="1" customWidth="1"/>
    <col min="6917" max="6917" width="12" style="229" bestFit="1" customWidth="1"/>
    <col min="6918" max="6918" width="16.6640625" style="229" bestFit="1" customWidth="1"/>
    <col min="6919" max="7168" width="10.33203125" style="229"/>
    <col min="7169" max="7169" width="10.33203125" style="229" customWidth="1"/>
    <col min="7170" max="7170" width="12.6640625" style="229" customWidth="1"/>
    <col min="7171" max="7171" width="51.83203125" style="229" bestFit="1" customWidth="1"/>
    <col min="7172" max="7172" width="60.1640625" style="229" bestFit="1" customWidth="1"/>
    <col min="7173" max="7173" width="12" style="229" bestFit="1" customWidth="1"/>
    <col min="7174" max="7174" width="16.6640625" style="229" bestFit="1" customWidth="1"/>
    <col min="7175" max="7424" width="10.33203125" style="229"/>
    <col min="7425" max="7425" width="10.33203125" style="229" customWidth="1"/>
    <col min="7426" max="7426" width="12.6640625" style="229" customWidth="1"/>
    <col min="7427" max="7427" width="51.83203125" style="229" bestFit="1" customWidth="1"/>
    <col min="7428" max="7428" width="60.1640625" style="229" bestFit="1" customWidth="1"/>
    <col min="7429" max="7429" width="12" style="229" bestFit="1" customWidth="1"/>
    <col min="7430" max="7430" width="16.6640625" style="229" bestFit="1" customWidth="1"/>
    <col min="7431" max="7680" width="10.33203125" style="229"/>
    <col min="7681" max="7681" width="10.33203125" style="229" customWidth="1"/>
    <col min="7682" max="7682" width="12.6640625" style="229" customWidth="1"/>
    <col min="7683" max="7683" width="51.83203125" style="229" bestFit="1" customWidth="1"/>
    <col min="7684" max="7684" width="60.1640625" style="229" bestFit="1" customWidth="1"/>
    <col min="7685" max="7685" width="12" style="229" bestFit="1" customWidth="1"/>
    <col min="7686" max="7686" width="16.6640625" style="229" bestFit="1" customWidth="1"/>
    <col min="7687" max="7936" width="10.33203125" style="229"/>
    <col min="7937" max="7937" width="10.33203125" style="229" customWidth="1"/>
    <col min="7938" max="7938" width="12.6640625" style="229" customWidth="1"/>
    <col min="7939" max="7939" width="51.83203125" style="229" bestFit="1" customWidth="1"/>
    <col min="7940" max="7940" width="60.1640625" style="229" bestFit="1" customWidth="1"/>
    <col min="7941" max="7941" width="12" style="229" bestFit="1" customWidth="1"/>
    <col min="7942" max="7942" width="16.6640625" style="229" bestFit="1" customWidth="1"/>
    <col min="7943" max="8192" width="10.33203125" style="229"/>
    <col min="8193" max="8193" width="10.33203125" style="229" customWidth="1"/>
    <col min="8194" max="8194" width="12.6640625" style="229" customWidth="1"/>
    <col min="8195" max="8195" width="51.83203125" style="229" bestFit="1" customWidth="1"/>
    <col min="8196" max="8196" width="60.1640625" style="229" bestFit="1" customWidth="1"/>
    <col min="8197" max="8197" width="12" style="229" bestFit="1" customWidth="1"/>
    <col min="8198" max="8198" width="16.6640625" style="229" bestFit="1" customWidth="1"/>
    <col min="8199" max="8448" width="10.33203125" style="229"/>
    <col min="8449" max="8449" width="10.33203125" style="229" customWidth="1"/>
    <col min="8450" max="8450" width="12.6640625" style="229" customWidth="1"/>
    <col min="8451" max="8451" width="51.83203125" style="229" bestFit="1" customWidth="1"/>
    <col min="8452" max="8452" width="60.1640625" style="229" bestFit="1" customWidth="1"/>
    <col min="8453" max="8453" width="12" style="229" bestFit="1" customWidth="1"/>
    <col min="8454" max="8454" width="16.6640625" style="229" bestFit="1" customWidth="1"/>
    <col min="8455" max="8704" width="10.33203125" style="229"/>
    <col min="8705" max="8705" width="10.33203125" style="229" customWidth="1"/>
    <col min="8706" max="8706" width="12.6640625" style="229" customWidth="1"/>
    <col min="8707" max="8707" width="51.83203125" style="229" bestFit="1" customWidth="1"/>
    <col min="8708" max="8708" width="60.1640625" style="229" bestFit="1" customWidth="1"/>
    <col min="8709" max="8709" width="12" style="229" bestFit="1" customWidth="1"/>
    <col min="8710" max="8710" width="16.6640625" style="229" bestFit="1" customWidth="1"/>
    <col min="8711" max="8960" width="10.33203125" style="229"/>
    <col min="8961" max="8961" width="10.33203125" style="229" customWidth="1"/>
    <col min="8962" max="8962" width="12.6640625" style="229" customWidth="1"/>
    <col min="8963" max="8963" width="51.83203125" style="229" bestFit="1" customWidth="1"/>
    <col min="8964" max="8964" width="60.1640625" style="229" bestFit="1" customWidth="1"/>
    <col min="8965" max="8965" width="12" style="229" bestFit="1" customWidth="1"/>
    <col min="8966" max="8966" width="16.6640625" style="229" bestFit="1" customWidth="1"/>
    <col min="8967" max="9216" width="10.33203125" style="229"/>
    <col min="9217" max="9217" width="10.33203125" style="229" customWidth="1"/>
    <col min="9218" max="9218" width="12.6640625" style="229" customWidth="1"/>
    <col min="9219" max="9219" width="51.83203125" style="229" bestFit="1" customWidth="1"/>
    <col min="9220" max="9220" width="60.1640625" style="229" bestFit="1" customWidth="1"/>
    <col min="9221" max="9221" width="12" style="229" bestFit="1" customWidth="1"/>
    <col min="9222" max="9222" width="16.6640625" style="229" bestFit="1" customWidth="1"/>
    <col min="9223" max="9472" width="10.33203125" style="229"/>
    <col min="9473" max="9473" width="10.33203125" style="229" customWidth="1"/>
    <col min="9474" max="9474" width="12.6640625" style="229" customWidth="1"/>
    <col min="9475" max="9475" width="51.83203125" style="229" bestFit="1" customWidth="1"/>
    <col min="9476" max="9476" width="60.1640625" style="229" bestFit="1" customWidth="1"/>
    <col min="9477" max="9477" width="12" style="229" bestFit="1" customWidth="1"/>
    <col min="9478" max="9478" width="16.6640625" style="229" bestFit="1" customWidth="1"/>
    <col min="9479" max="9728" width="10.33203125" style="229"/>
    <col min="9729" max="9729" width="10.33203125" style="229" customWidth="1"/>
    <col min="9730" max="9730" width="12.6640625" style="229" customWidth="1"/>
    <col min="9731" max="9731" width="51.83203125" style="229" bestFit="1" customWidth="1"/>
    <col min="9732" max="9732" width="60.1640625" style="229" bestFit="1" customWidth="1"/>
    <col min="9733" max="9733" width="12" style="229" bestFit="1" customWidth="1"/>
    <col min="9734" max="9734" width="16.6640625" style="229" bestFit="1" customWidth="1"/>
    <col min="9735" max="9984" width="10.33203125" style="229"/>
    <col min="9985" max="9985" width="10.33203125" style="229" customWidth="1"/>
    <col min="9986" max="9986" width="12.6640625" style="229" customWidth="1"/>
    <col min="9987" max="9987" width="51.83203125" style="229" bestFit="1" customWidth="1"/>
    <col min="9988" max="9988" width="60.1640625" style="229" bestFit="1" customWidth="1"/>
    <col min="9989" max="9989" width="12" style="229" bestFit="1" customWidth="1"/>
    <col min="9990" max="9990" width="16.6640625" style="229" bestFit="1" customWidth="1"/>
    <col min="9991" max="10240" width="10.33203125" style="229"/>
    <col min="10241" max="10241" width="10.33203125" style="229" customWidth="1"/>
    <col min="10242" max="10242" width="12.6640625" style="229" customWidth="1"/>
    <col min="10243" max="10243" width="51.83203125" style="229" bestFit="1" customWidth="1"/>
    <col min="10244" max="10244" width="60.1640625" style="229" bestFit="1" customWidth="1"/>
    <col min="10245" max="10245" width="12" style="229" bestFit="1" customWidth="1"/>
    <col min="10246" max="10246" width="16.6640625" style="229" bestFit="1" customWidth="1"/>
    <col min="10247" max="10496" width="10.33203125" style="229"/>
    <col min="10497" max="10497" width="10.33203125" style="229" customWidth="1"/>
    <col min="10498" max="10498" width="12.6640625" style="229" customWidth="1"/>
    <col min="10499" max="10499" width="51.83203125" style="229" bestFit="1" customWidth="1"/>
    <col min="10500" max="10500" width="60.1640625" style="229" bestFit="1" customWidth="1"/>
    <col min="10501" max="10501" width="12" style="229" bestFit="1" customWidth="1"/>
    <col min="10502" max="10502" width="16.6640625" style="229" bestFit="1" customWidth="1"/>
    <col min="10503" max="10752" width="10.33203125" style="229"/>
    <col min="10753" max="10753" width="10.33203125" style="229" customWidth="1"/>
    <col min="10754" max="10754" width="12.6640625" style="229" customWidth="1"/>
    <col min="10755" max="10755" width="51.83203125" style="229" bestFit="1" customWidth="1"/>
    <col min="10756" max="10756" width="60.1640625" style="229" bestFit="1" customWidth="1"/>
    <col min="10757" max="10757" width="12" style="229" bestFit="1" customWidth="1"/>
    <col min="10758" max="10758" width="16.6640625" style="229" bestFit="1" customWidth="1"/>
    <col min="10759" max="11008" width="10.33203125" style="229"/>
    <col min="11009" max="11009" width="10.33203125" style="229" customWidth="1"/>
    <col min="11010" max="11010" width="12.6640625" style="229" customWidth="1"/>
    <col min="11011" max="11011" width="51.83203125" style="229" bestFit="1" customWidth="1"/>
    <col min="11012" max="11012" width="60.1640625" style="229" bestFit="1" customWidth="1"/>
    <col min="11013" max="11013" width="12" style="229" bestFit="1" customWidth="1"/>
    <col min="11014" max="11014" width="16.6640625" style="229" bestFit="1" customWidth="1"/>
    <col min="11015" max="11264" width="10.33203125" style="229"/>
    <col min="11265" max="11265" width="10.33203125" style="229" customWidth="1"/>
    <col min="11266" max="11266" width="12.6640625" style="229" customWidth="1"/>
    <col min="11267" max="11267" width="51.83203125" style="229" bestFit="1" customWidth="1"/>
    <col min="11268" max="11268" width="60.1640625" style="229" bestFit="1" customWidth="1"/>
    <col min="11269" max="11269" width="12" style="229" bestFit="1" customWidth="1"/>
    <col min="11270" max="11270" width="16.6640625" style="229" bestFit="1" customWidth="1"/>
    <col min="11271" max="11520" width="10.33203125" style="229"/>
    <col min="11521" max="11521" width="10.33203125" style="229" customWidth="1"/>
    <col min="11522" max="11522" width="12.6640625" style="229" customWidth="1"/>
    <col min="11523" max="11523" width="51.83203125" style="229" bestFit="1" customWidth="1"/>
    <col min="11524" max="11524" width="60.1640625" style="229" bestFit="1" customWidth="1"/>
    <col min="11525" max="11525" width="12" style="229" bestFit="1" customWidth="1"/>
    <col min="11526" max="11526" width="16.6640625" style="229" bestFit="1" customWidth="1"/>
    <col min="11527" max="11776" width="10.33203125" style="229"/>
    <col min="11777" max="11777" width="10.33203125" style="229" customWidth="1"/>
    <col min="11778" max="11778" width="12.6640625" style="229" customWidth="1"/>
    <col min="11779" max="11779" width="51.83203125" style="229" bestFit="1" customWidth="1"/>
    <col min="11780" max="11780" width="60.1640625" style="229" bestFit="1" customWidth="1"/>
    <col min="11781" max="11781" width="12" style="229" bestFit="1" customWidth="1"/>
    <col min="11782" max="11782" width="16.6640625" style="229" bestFit="1" customWidth="1"/>
    <col min="11783" max="12032" width="10.33203125" style="229"/>
    <col min="12033" max="12033" width="10.33203125" style="229" customWidth="1"/>
    <col min="12034" max="12034" width="12.6640625" style="229" customWidth="1"/>
    <col min="12035" max="12035" width="51.83203125" style="229" bestFit="1" customWidth="1"/>
    <col min="12036" max="12036" width="60.1640625" style="229" bestFit="1" customWidth="1"/>
    <col min="12037" max="12037" width="12" style="229" bestFit="1" customWidth="1"/>
    <col min="12038" max="12038" width="16.6640625" style="229" bestFit="1" customWidth="1"/>
    <col min="12039" max="12288" width="10.33203125" style="229"/>
    <col min="12289" max="12289" width="10.33203125" style="229" customWidth="1"/>
    <col min="12290" max="12290" width="12.6640625" style="229" customWidth="1"/>
    <col min="12291" max="12291" width="51.83203125" style="229" bestFit="1" customWidth="1"/>
    <col min="12292" max="12292" width="60.1640625" style="229" bestFit="1" customWidth="1"/>
    <col min="12293" max="12293" width="12" style="229" bestFit="1" customWidth="1"/>
    <col min="12294" max="12294" width="16.6640625" style="229" bestFit="1" customWidth="1"/>
    <col min="12295" max="12544" width="10.33203125" style="229"/>
    <col min="12545" max="12545" width="10.33203125" style="229" customWidth="1"/>
    <col min="12546" max="12546" width="12.6640625" style="229" customWidth="1"/>
    <col min="12547" max="12547" width="51.83203125" style="229" bestFit="1" customWidth="1"/>
    <col min="12548" max="12548" width="60.1640625" style="229" bestFit="1" customWidth="1"/>
    <col min="12549" max="12549" width="12" style="229" bestFit="1" customWidth="1"/>
    <col min="12550" max="12550" width="16.6640625" style="229" bestFit="1" customWidth="1"/>
    <col min="12551" max="12800" width="10.33203125" style="229"/>
    <col min="12801" max="12801" width="10.33203125" style="229" customWidth="1"/>
    <col min="12802" max="12802" width="12.6640625" style="229" customWidth="1"/>
    <col min="12803" max="12803" width="51.83203125" style="229" bestFit="1" customWidth="1"/>
    <col min="12804" max="12804" width="60.1640625" style="229" bestFit="1" customWidth="1"/>
    <col min="12805" max="12805" width="12" style="229" bestFit="1" customWidth="1"/>
    <col min="12806" max="12806" width="16.6640625" style="229" bestFit="1" customWidth="1"/>
    <col min="12807" max="13056" width="10.33203125" style="229"/>
    <col min="13057" max="13057" width="10.33203125" style="229" customWidth="1"/>
    <col min="13058" max="13058" width="12.6640625" style="229" customWidth="1"/>
    <col min="13059" max="13059" width="51.83203125" style="229" bestFit="1" customWidth="1"/>
    <col min="13060" max="13060" width="60.1640625" style="229" bestFit="1" customWidth="1"/>
    <col min="13061" max="13061" width="12" style="229" bestFit="1" customWidth="1"/>
    <col min="13062" max="13062" width="16.6640625" style="229" bestFit="1" customWidth="1"/>
    <col min="13063" max="13312" width="10.33203125" style="229"/>
    <col min="13313" max="13313" width="10.33203125" style="229" customWidth="1"/>
    <col min="13314" max="13314" width="12.6640625" style="229" customWidth="1"/>
    <col min="13315" max="13315" width="51.83203125" style="229" bestFit="1" customWidth="1"/>
    <col min="13316" max="13316" width="60.1640625" style="229" bestFit="1" customWidth="1"/>
    <col min="13317" max="13317" width="12" style="229" bestFit="1" customWidth="1"/>
    <col min="13318" max="13318" width="16.6640625" style="229" bestFit="1" customWidth="1"/>
    <col min="13319" max="13568" width="10.33203125" style="229"/>
    <col min="13569" max="13569" width="10.33203125" style="229" customWidth="1"/>
    <col min="13570" max="13570" width="12.6640625" style="229" customWidth="1"/>
    <col min="13571" max="13571" width="51.83203125" style="229" bestFit="1" customWidth="1"/>
    <col min="13572" max="13572" width="60.1640625" style="229" bestFit="1" customWidth="1"/>
    <col min="13573" max="13573" width="12" style="229" bestFit="1" customWidth="1"/>
    <col min="13574" max="13574" width="16.6640625" style="229" bestFit="1" customWidth="1"/>
    <col min="13575" max="13824" width="10.33203125" style="229"/>
    <col min="13825" max="13825" width="10.33203125" style="229" customWidth="1"/>
    <col min="13826" max="13826" width="12.6640625" style="229" customWidth="1"/>
    <col min="13827" max="13827" width="51.83203125" style="229" bestFit="1" customWidth="1"/>
    <col min="13828" max="13828" width="60.1640625" style="229" bestFit="1" customWidth="1"/>
    <col min="13829" max="13829" width="12" style="229" bestFit="1" customWidth="1"/>
    <col min="13830" max="13830" width="16.6640625" style="229" bestFit="1" customWidth="1"/>
    <col min="13831" max="14080" width="10.33203125" style="229"/>
    <col min="14081" max="14081" width="10.33203125" style="229" customWidth="1"/>
    <col min="14082" max="14082" width="12.6640625" style="229" customWidth="1"/>
    <col min="14083" max="14083" width="51.83203125" style="229" bestFit="1" customWidth="1"/>
    <col min="14084" max="14084" width="60.1640625" style="229" bestFit="1" customWidth="1"/>
    <col min="14085" max="14085" width="12" style="229" bestFit="1" customWidth="1"/>
    <col min="14086" max="14086" width="16.6640625" style="229" bestFit="1" customWidth="1"/>
    <col min="14087" max="14336" width="10.33203125" style="229"/>
    <col min="14337" max="14337" width="10.33203125" style="229" customWidth="1"/>
    <col min="14338" max="14338" width="12.6640625" style="229" customWidth="1"/>
    <col min="14339" max="14339" width="51.83203125" style="229" bestFit="1" customWidth="1"/>
    <col min="14340" max="14340" width="60.1640625" style="229" bestFit="1" customWidth="1"/>
    <col min="14341" max="14341" width="12" style="229" bestFit="1" customWidth="1"/>
    <col min="14342" max="14342" width="16.6640625" style="229" bestFit="1" customWidth="1"/>
    <col min="14343" max="14592" width="10.33203125" style="229"/>
    <col min="14593" max="14593" width="10.33203125" style="229" customWidth="1"/>
    <col min="14594" max="14594" width="12.6640625" style="229" customWidth="1"/>
    <col min="14595" max="14595" width="51.83203125" style="229" bestFit="1" customWidth="1"/>
    <col min="14596" max="14596" width="60.1640625" style="229" bestFit="1" customWidth="1"/>
    <col min="14597" max="14597" width="12" style="229" bestFit="1" customWidth="1"/>
    <col min="14598" max="14598" width="16.6640625" style="229" bestFit="1" customWidth="1"/>
    <col min="14599" max="14848" width="10.33203125" style="229"/>
    <col min="14849" max="14849" width="10.33203125" style="229" customWidth="1"/>
    <col min="14850" max="14850" width="12.6640625" style="229" customWidth="1"/>
    <col min="14851" max="14851" width="51.83203125" style="229" bestFit="1" customWidth="1"/>
    <col min="14852" max="14852" width="60.1640625" style="229" bestFit="1" customWidth="1"/>
    <col min="14853" max="14853" width="12" style="229" bestFit="1" customWidth="1"/>
    <col min="14854" max="14854" width="16.6640625" style="229" bestFit="1" customWidth="1"/>
    <col min="14855" max="15104" width="10.33203125" style="229"/>
    <col min="15105" max="15105" width="10.33203125" style="229" customWidth="1"/>
    <col min="15106" max="15106" width="12.6640625" style="229" customWidth="1"/>
    <col min="15107" max="15107" width="51.83203125" style="229" bestFit="1" customWidth="1"/>
    <col min="15108" max="15108" width="60.1640625" style="229" bestFit="1" customWidth="1"/>
    <col min="15109" max="15109" width="12" style="229" bestFit="1" customWidth="1"/>
    <col min="15110" max="15110" width="16.6640625" style="229" bestFit="1" customWidth="1"/>
    <col min="15111" max="15360" width="10.33203125" style="229"/>
    <col min="15361" max="15361" width="10.33203125" style="229" customWidth="1"/>
    <col min="15362" max="15362" width="12.6640625" style="229" customWidth="1"/>
    <col min="15363" max="15363" width="51.83203125" style="229" bestFit="1" customWidth="1"/>
    <col min="15364" max="15364" width="60.1640625" style="229" bestFit="1" customWidth="1"/>
    <col min="15365" max="15365" width="12" style="229" bestFit="1" customWidth="1"/>
    <col min="15366" max="15366" width="16.6640625" style="229" bestFit="1" customWidth="1"/>
    <col min="15367" max="15616" width="10.33203125" style="229"/>
    <col min="15617" max="15617" width="10.33203125" style="229" customWidth="1"/>
    <col min="15618" max="15618" width="12.6640625" style="229" customWidth="1"/>
    <col min="15619" max="15619" width="51.83203125" style="229" bestFit="1" customWidth="1"/>
    <col min="15620" max="15620" width="60.1640625" style="229" bestFit="1" customWidth="1"/>
    <col min="15621" max="15621" width="12" style="229" bestFit="1" customWidth="1"/>
    <col min="15622" max="15622" width="16.6640625" style="229" bestFit="1" customWidth="1"/>
    <col min="15623" max="15872" width="10.33203125" style="229"/>
    <col min="15873" max="15873" width="10.33203125" style="229" customWidth="1"/>
    <col min="15874" max="15874" width="12.6640625" style="229" customWidth="1"/>
    <col min="15875" max="15875" width="51.83203125" style="229" bestFit="1" customWidth="1"/>
    <col min="15876" max="15876" width="60.1640625" style="229" bestFit="1" customWidth="1"/>
    <col min="15877" max="15877" width="12" style="229" bestFit="1" customWidth="1"/>
    <col min="15878" max="15878" width="16.6640625" style="229" bestFit="1" customWidth="1"/>
    <col min="15879" max="16128" width="10.33203125" style="229"/>
    <col min="16129" max="16129" width="10.33203125" style="229" customWidth="1"/>
    <col min="16130" max="16130" width="12.6640625" style="229" customWidth="1"/>
    <col min="16131" max="16131" width="51.83203125" style="229" bestFit="1" customWidth="1"/>
    <col min="16132" max="16132" width="60.1640625" style="229" bestFit="1" customWidth="1"/>
    <col min="16133" max="16133" width="12" style="229" bestFit="1" customWidth="1"/>
    <col min="16134" max="16134" width="16.6640625" style="229" bestFit="1" customWidth="1"/>
    <col min="16135" max="16384" width="10.33203125" style="229"/>
  </cols>
  <sheetData>
    <row r="1" spans="1:71" s="225" customFormat="1" ht="15.75">
      <c r="A1" s="225" t="s">
        <v>520</v>
      </c>
    </row>
    <row r="2" spans="1:71">
      <c r="G2" s="229" t="s">
        <v>980</v>
      </c>
    </row>
    <row r="3" spans="1:71" s="228" customFormat="1">
      <c r="A3" s="226" t="s">
        <v>521</v>
      </c>
      <c r="B3" s="227" t="s">
        <v>522</v>
      </c>
      <c r="C3" s="226" t="s">
        <v>523</v>
      </c>
      <c r="D3" s="226" t="s">
        <v>524</v>
      </c>
      <c r="E3" s="226" t="s">
        <v>525</v>
      </c>
      <c r="F3" s="226" t="s">
        <v>526</v>
      </c>
    </row>
    <row r="4" spans="1:71">
      <c r="A4" s="229" t="s">
        <v>527</v>
      </c>
      <c r="B4" s="230">
        <v>3.01</v>
      </c>
      <c r="C4" s="229" t="s">
        <v>528</v>
      </c>
      <c r="D4" s="229" t="s">
        <v>529</v>
      </c>
    </row>
    <row r="5" spans="1:71">
      <c r="B5" s="230">
        <v>3.07</v>
      </c>
      <c r="C5" s="229" t="s">
        <v>530</v>
      </c>
      <c r="D5" s="229" t="s">
        <v>531</v>
      </c>
    </row>
    <row r="6" spans="1:71">
      <c r="B6" s="230">
        <v>3.03</v>
      </c>
      <c r="C6" s="229" t="s">
        <v>532</v>
      </c>
      <c r="D6" s="229" t="s">
        <v>533</v>
      </c>
    </row>
    <row r="7" spans="1:71">
      <c r="B7" s="230">
        <v>3.04</v>
      </c>
      <c r="C7" s="229" t="s">
        <v>534</v>
      </c>
      <c r="D7" s="229" t="s">
        <v>535</v>
      </c>
    </row>
    <row r="8" spans="1:71">
      <c r="B8" s="230">
        <v>3.05</v>
      </c>
      <c r="C8" s="229" t="s">
        <v>536</v>
      </c>
      <c r="D8" s="229" t="s">
        <v>537</v>
      </c>
      <c r="E8" s="231"/>
      <c r="BS8" s="229" t="s">
        <v>978</v>
      </c>
    </row>
    <row r="9" spans="1:71">
      <c r="B9" s="230">
        <v>3.06</v>
      </c>
      <c r="C9" s="229" t="s">
        <v>538</v>
      </c>
      <c r="D9" s="229" t="s">
        <v>539</v>
      </c>
      <c r="E9" s="231"/>
    </row>
    <row r="10" spans="1:71">
      <c r="B10" s="230">
        <v>3.07</v>
      </c>
      <c r="C10" s="229" t="s">
        <v>540</v>
      </c>
      <c r="D10" s="229" t="s">
        <v>541</v>
      </c>
      <c r="E10" s="231"/>
    </row>
    <row r="11" spans="1:71">
      <c r="B11" s="230">
        <v>3.08</v>
      </c>
      <c r="C11" s="229" t="s">
        <v>542</v>
      </c>
      <c r="D11" s="229" t="s">
        <v>543</v>
      </c>
      <c r="E11" s="231"/>
    </row>
    <row r="12" spans="1:71">
      <c r="B12" s="230">
        <v>3.09</v>
      </c>
      <c r="C12" s="229" t="s">
        <v>544</v>
      </c>
      <c r="D12" s="229" t="s">
        <v>545</v>
      </c>
      <c r="E12" s="231"/>
    </row>
    <row r="13" spans="1:71">
      <c r="A13" s="229" t="s">
        <v>546</v>
      </c>
      <c r="B13" s="230">
        <v>4.01</v>
      </c>
      <c r="C13" s="229" t="s">
        <v>547</v>
      </c>
      <c r="D13" s="229" t="s">
        <v>548</v>
      </c>
      <c r="F13" s="229" t="s">
        <v>549</v>
      </c>
    </row>
    <row r="14" spans="1:71">
      <c r="B14" s="230">
        <v>4.0199999999999996</v>
      </c>
      <c r="C14" s="229" t="s">
        <v>550</v>
      </c>
      <c r="D14" s="229" t="s">
        <v>548</v>
      </c>
      <c r="F14" s="229" t="s">
        <v>551</v>
      </c>
    </row>
    <row r="15" spans="1:71">
      <c r="B15" s="230">
        <v>4.03</v>
      </c>
      <c r="C15" s="229" t="s">
        <v>550</v>
      </c>
      <c r="D15" s="229" t="s">
        <v>548</v>
      </c>
      <c r="F15" s="229" t="s">
        <v>552</v>
      </c>
    </row>
    <row r="16" spans="1:71">
      <c r="B16" s="230">
        <v>4.04</v>
      </c>
      <c r="C16" s="229" t="s">
        <v>550</v>
      </c>
      <c r="D16" s="229" t="s">
        <v>548</v>
      </c>
      <c r="F16" s="229" t="s">
        <v>553</v>
      </c>
    </row>
    <row r="17" spans="1:6">
      <c r="B17" s="230">
        <v>4.05</v>
      </c>
      <c r="C17" s="229" t="s">
        <v>550</v>
      </c>
      <c r="D17" s="229" t="s">
        <v>548</v>
      </c>
      <c r="F17" s="229" t="s">
        <v>554</v>
      </c>
    </row>
    <row r="18" spans="1:6">
      <c r="A18" s="229" t="s">
        <v>555</v>
      </c>
      <c r="B18" s="230">
        <v>5.01</v>
      </c>
      <c r="C18" s="229" t="s">
        <v>556</v>
      </c>
      <c r="D18" s="229" t="s">
        <v>557</v>
      </c>
    </row>
    <row r="19" spans="1:6">
      <c r="B19" s="230">
        <v>5.0199999999999996</v>
      </c>
      <c r="C19" s="229" t="s">
        <v>558</v>
      </c>
      <c r="D19" s="229" t="s">
        <v>559</v>
      </c>
    </row>
    <row r="20" spans="1:6">
      <c r="B20" s="331">
        <v>5.03</v>
      </c>
      <c r="C20" s="332" t="s">
        <v>560</v>
      </c>
      <c r="D20" s="332" t="s">
        <v>561</v>
      </c>
    </row>
    <row r="21" spans="1:6">
      <c r="B21" s="230">
        <v>6.01</v>
      </c>
      <c r="C21" s="229" t="s">
        <v>562</v>
      </c>
      <c r="D21" s="229" t="s">
        <v>563</v>
      </c>
    </row>
    <row r="22" spans="1:6">
      <c r="B22" s="230">
        <v>6.02</v>
      </c>
      <c r="C22" s="229" t="s">
        <v>564</v>
      </c>
      <c r="D22" s="229" t="s">
        <v>565</v>
      </c>
    </row>
    <row r="23" spans="1:6">
      <c r="B23" s="331">
        <v>6.03</v>
      </c>
      <c r="C23" s="332" t="s">
        <v>566</v>
      </c>
      <c r="D23" s="333" t="s">
        <v>567</v>
      </c>
      <c r="E23" s="232"/>
    </row>
    <row r="24" spans="1:6">
      <c r="B24" s="230">
        <v>6.04</v>
      </c>
      <c r="C24" s="229" t="s">
        <v>568</v>
      </c>
      <c r="D24" s="229" t="s">
        <v>569</v>
      </c>
    </row>
    <row r="25" spans="1:6">
      <c r="B25" s="230">
        <v>6.05</v>
      </c>
      <c r="C25" s="229" t="s">
        <v>570</v>
      </c>
      <c r="D25" s="229" t="s">
        <v>571</v>
      </c>
    </row>
    <row r="26" spans="1:6">
      <c r="B26" s="230">
        <v>6.06</v>
      </c>
      <c r="C26" s="229" t="s">
        <v>572</v>
      </c>
      <c r="D26" s="229" t="s">
        <v>573</v>
      </c>
    </row>
    <row r="27" spans="1:6">
      <c r="B27" s="230">
        <v>6.07</v>
      </c>
      <c r="C27" s="229" t="s">
        <v>574</v>
      </c>
      <c r="D27" s="229" t="s">
        <v>575</v>
      </c>
    </row>
    <row r="28" spans="1:6">
      <c r="B28" s="230">
        <v>6.08</v>
      </c>
      <c r="C28" s="229" t="s">
        <v>576</v>
      </c>
      <c r="D28" s="229" t="s">
        <v>577</v>
      </c>
    </row>
    <row r="29" spans="1:6">
      <c r="B29" s="331">
        <v>6.09</v>
      </c>
      <c r="C29" s="332" t="s">
        <v>578</v>
      </c>
      <c r="D29" s="332" t="s">
        <v>579</v>
      </c>
    </row>
    <row r="30" spans="1:6">
      <c r="B30" s="230">
        <v>6.1</v>
      </c>
      <c r="C30" s="229" t="s">
        <v>580</v>
      </c>
      <c r="D30" s="229" t="s">
        <v>581</v>
      </c>
    </row>
    <row r="31" spans="1:6">
      <c r="B31" s="230">
        <v>6.11</v>
      </c>
      <c r="C31" s="229" t="s">
        <v>582</v>
      </c>
      <c r="D31" s="229" t="s">
        <v>583</v>
      </c>
    </row>
    <row r="32" spans="1:6">
      <c r="B32" s="331">
        <v>6.12</v>
      </c>
      <c r="C32" s="332" t="s">
        <v>584</v>
      </c>
      <c r="D32" s="332" t="s">
        <v>585</v>
      </c>
    </row>
    <row r="33" spans="1:6">
      <c r="B33" s="230">
        <v>6.13</v>
      </c>
      <c r="C33" s="229" t="s">
        <v>586</v>
      </c>
      <c r="D33" s="229" t="s">
        <v>587</v>
      </c>
    </row>
    <row r="34" spans="1:6">
      <c r="B34" s="331">
        <v>6.14</v>
      </c>
      <c r="C34" s="332" t="s">
        <v>588</v>
      </c>
      <c r="D34" s="332" t="s">
        <v>589</v>
      </c>
    </row>
    <row r="35" spans="1:6">
      <c r="B35" s="230">
        <v>6.15</v>
      </c>
      <c r="C35" s="229" t="s">
        <v>590</v>
      </c>
      <c r="D35" s="229" t="s">
        <v>591</v>
      </c>
    </row>
    <row r="36" spans="1:6">
      <c r="B36" s="230">
        <v>6.16</v>
      </c>
      <c r="C36" s="229" t="s">
        <v>592</v>
      </c>
      <c r="D36" s="229" t="s">
        <v>593</v>
      </c>
    </row>
    <row r="37" spans="1:6">
      <c r="B37" s="230">
        <v>6.17</v>
      </c>
      <c r="C37" s="229" t="s">
        <v>594</v>
      </c>
      <c r="D37" s="229" t="s">
        <v>595</v>
      </c>
    </row>
    <row r="38" spans="1:6">
      <c r="B38" s="230">
        <v>6.18</v>
      </c>
      <c r="C38" s="229" t="s">
        <v>596</v>
      </c>
      <c r="D38" s="229" t="s">
        <v>597</v>
      </c>
    </row>
    <row r="39" spans="1:6">
      <c r="B39" s="230">
        <v>6.19</v>
      </c>
      <c r="C39" s="229" t="s">
        <v>598</v>
      </c>
      <c r="D39" s="229" t="s">
        <v>599</v>
      </c>
    </row>
    <row r="40" spans="1:6">
      <c r="B40" s="230">
        <v>6.2</v>
      </c>
      <c r="C40" s="229" t="s">
        <v>600</v>
      </c>
      <c r="D40" s="229" t="s">
        <v>601</v>
      </c>
    </row>
    <row r="41" spans="1:6">
      <c r="B41" s="230">
        <v>6.21</v>
      </c>
      <c r="C41" s="229" t="s">
        <v>602</v>
      </c>
      <c r="D41" s="229" t="s">
        <v>603</v>
      </c>
    </row>
    <row r="42" spans="1:6">
      <c r="A42" s="229" t="s">
        <v>604</v>
      </c>
      <c r="B42" s="230">
        <v>7.01</v>
      </c>
      <c r="C42" s="229" t="s">
        <v>605</v>
      </c>
      <c r="D42" s="229" t="s">
        <v>548</v>
      </c>
      <c r="E42" s="229" t="s">
        <v>604</v>
      </c>
      <c r="F42" s="229" t="s">
        <v>606</v>
      </c>
    </row>
    <row r="43" spans="1:6">
      <c r="B43" s="230">
        <v>7.02</v>
      </c>
      <c r="C43" s="229" t="s">
        <v>607</v>
      </c>
      <c r="D43" s="229" t="s">
        <v>548</v>
      </c>
      <c r="F43" s="229" t="s">
        <v>608</v>
      </c>
    </row>
    <row r="44" spans="1:6">
      <c r="B44" s="230">
        <v>7.03</v>
      </c>
      <c r="C44" s="229" t="s">
        <v>609</v>
      </c>
      <c r="D44" s="229" t="s">
        <v>548</v>
      </c>
      <c r="F44" s="229" t="s">
        <v>610</v>
      </c>
    </row>
    <row r="45" spans="1:6">
      <c r="A45" s="229" t="s">
        <v>611</v>
      </c>
      <c r="B45" s="230" t="s">
        <v>612</v>
      </c>
      <c r="C45" s="229" t="s">
        <v>613</v>
      </c>
      <c r="D45" s="229" t="s">
        <v>548</v>
      </c>
      <c r="E45" s="229" t="s">
        <v>611</v>
      </c>
    </row>
    <row r="46" spans="1:6">
      <c r="A46" s="229" t="s">
        <v>614</v>
      </c>
      <c r="B46" s="230">
        <v>9.01</v>
      </c>
      <c r="C46" s="229" t="s">
        <v>615</v>
      </c>
      <c r="D46" s="229" t="s">
        <v>616</v>
      </c>
    </row>
  </sheetData>
  <printOptions horizontalCentered="1"/>
  <pageMargins left="0.25" right="0.25" top="0.5" bottom="0.5" header="0.5" footer="0.5"/>
  <pageSetup scale="94"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U102"/>
  <sheetViews>
    <sheetView zoomScale="75" workbookViewId="0">
      <selection activeCell="O36" sqref="O36"/>
    </sheetView>
  </sheetViews>
  <sheetFormatPr defaultRowHeight="15"/>
  <cols>
    <col min="1" max="2" width="3.1640625" style="947" customWidth="1"/>
    <col min="3" max="3" width="48.83203125" style="947" customWidth="1"/>
    <col min="4" max="4" width="1.83203125" style="947" customWidth="1"/>
    <col min="5" max="5" width="21.1640625" style="947" customWidth="1"/>
    <col min="6" max="6" width="1.83203125" style="947" customWidth="1"/>
    <col min="7" max="7" width="21.1640625" style="947" customWidth="1"/>
    <col min="8" max="8" width="1.83203125" style="947" customWidth="1"/>
    <col min="9" max="9" width="21.1640625" style="947" customWidth="1"/>
    <col min="10" max="10" width="1.83203125" style="947" customWidth="1"/>
    <col min="11" max="11" width="17.33203125" style="1030" customWidth="1"/>
    <col min="12" max="12" width="1.83203125" style="947" customWidth="1"/>
    <col min="13" max="13" width="13" style="947" customWidth="1"/>
    <col min="14" max="14" width="1.83203125" style="947" customWidth="1"/>
    <col min="15" max="15" width="13.83203125" style="947" customWidth="1"/>
    <col min="16" max="256" width="9.33203125" style="947"/>
    <col min="257" max="258" width="3.1640625" style="947" customWidth="1"/>
    <col min="259" max="259" width="48.83203125" style="947" customWidth="1"/>
    <col min="260" max="260" width="1.83203125" style="947" customWidth="1"/>
    <col min="261" max="261" width="21.1640625" style="947" customWidth="1"/>
    <col min="262" max="262" width="1.83203125" style="947" customWidth="1"/>
    <col min="263" max="263" width="21.1640625" style="947" customWidth="1"/>
    <col min="264" max="264" width="1.83203125" style="947" customWidth="1"/>
    <col min="265" max="265" width="21.1640625" style="947" customWidth="1"/>
    <col min="266" max="266" width="1.83203125" style="947" customWidth="1"/>
    <col min="267" max="267" width="17.33203125" style="947" customWidth="1"/>
    <col min="268" max="268" width="1.83203125" style="947" customWidth="1"/>
    <col min="269" max="269" width="13" style="947" customWidth="1"/>
    <col min="270" max="270" width="1.83203125" style="947" customWidth="1"/>
    <col min="271" max="271" width="13.83203125" style="947" customWidth="1"/>
    <col min="272" max="512" width="9.33203125" style="947"/>
    <col min="513" max="514" width="3.1640625" style="947" customWidth="1"/>
    <col min="515" max="515" width="48.83203125" style="947" customWidth="1"/>
    <col min="516" max="516" width="1.83203125" style="947" customWidth="1"/>
    <col min="517" max="517" width="21.1640625" style="947" customWidth="1"/>
    <col min="518" max="518" width="1.83203125" style="947" customWidth="1"/>
    <col min="519" max="519" width="21.1640625" style="947" customWidth="1"/>
    <col min="520" max="520" width="1.83203125" style="947" customWidth="1"/>
    <col min="521" max="521" width="21.1640625" style="947" customWidth="1"/>
    <col min="522" max="522" width="1.83203125" style="947" customWidth="1"/>
    <col min="523" max="523" width="17.33203125" style="947" customWidth="1"/>
    <col min="524" max="524" width="1.83203125" style="947" customWidth="1"/>
    <col min="525" max="525" width="13" style="947" customWidth="1"/>
    <col min="526" max="526" width="1.83203125" style="947" customWidth="1"/>
    <col min="527" max="527" width="13.83203125" style="947" customWidth="1"/>
    <col min="528" max="768" width="9.33203125" style="947"/>
    <col min="769" max="770" width="3.1640625" style="947" customWidth="1"/>
    <col min="771" max="771" width="48.83203125" style="947" customWidth="1"/>
    <col min="772" max="772" width="1.83203125" style="947" customWidth="1"/>
    <col min="773" max="773" width="21.1640625" style="947" customWidth="1"/>
    <col min="774" max="774" width="1.83203125" style="947" customWidth="1"/>
    <col min="775" max="775" width="21.1640625" style="947" customWidth="1"/>
    <col min="776" max="776" width="1.83203125" style="947" customWidth="1"/>
    <col min="777" max="777" width="21.1640625" style="947" customWidth="1"/>
    <col min="778" max="778" width="1.83203125" style="947" customWidth="1"/>
    <col min="779" max="779" width="17.33203125" style="947" customWidth="1"/>
    <col min="780" max="780" width="1.83203125" style="947" customWidth="1"/>
    <col min="781" max="781" width="13" style="947" customWidth="1"/>
    <col min="782" max="782" width="1.83203125" style="947" customWidth="1"/>
    <col min="783" max="783" width="13.83203125" style="947" customWidth="1"/>
    <col min="784" max="1024" width="9.33203125" style="947"/>
    <col min="1025" max="1026" width="3.1640625" style="947" customWidth="1"/>
    <col min="1027" max="1027" width="48.83203125" style="947" customWidth="1"/>
    <col min="1028" max="1028" width="1.83203125" style="947" customWidth="1"/>
    <col min="1029" max="1029" width="21.1640625" style="947" customWidth="1"/>
    <col min="1030" max="1030" width="1.83203125" style="947" customWidth="1"/>
    <col min="1031" max="1031" width="21.1640625" style="947" customWidth="1"/>
    <col min="1032" max="1032" width="1.83203125" style="947" customWidth="1"/>
    <col min="1033" max="1033" width="21.1640625" style="947" customWidth="1"/>
    <col min="1034" max="1034" width="1.83203125" style="947" customWidth="1"/>
    <col min="1035" max="1035" width="17.33203125" style="947" customWidth="1"/>
    <col min="1036" max="1036" width="1.83203125" style="947" customWidth="1"/>
    <col min="1037" max="1037" width="13" style="947" customWidth="1"/>
    <col min="1038" max="1038" width="1.83203125" style="947" customWidth="1"/>
    <col min="1039" max="1039" width="13.83203125" style="947" customWidth="1"/>
    <col min="1040" max="1280" width="9.33203125" style="947"/>
    <col min="1281" max="1282" width="3.1640625" style="947" customWidth="1"/>
    <col min="1283" max="1283" width="48.83203125" style="947" customWidth="1"/>
    <col min="1284" max="1284" width="1.83203125" style="947" customWidth="1"/>
    <col min="1285" max="1285" width="21.1640625" style="947" customWidth="1"/>
    <col min="1286" max="1286" width="1.83203125" style="947" customWidth="1"/>
    <col min="1287" max="1287" width="21.1640625" style="947" customWidth="1"/>
    <col min="1288" max="1288" width="1.83203125" style="947" customWidth="1"/>
    <col min="1289" max="1289" width="21.1640625" style="947" customWidth="1"/>
    <col min="1290" max="1290" width="1.83203125" style="947" customWidth="1"/>
    <col min="1291" max="1291" width="17.33203125" style="947" customWidth="1"/>
    <col min="1292" max="1292" width="1.83203125" style="947" customWidth="1"/>
    <col min="1293" max="1293" width="13" style="947" customWidth="1"/>
    <col min="1294" max="1294" width="1.83203125" style="947" customWidth="1"/>
    <col min="1295" max="1295" width="13.83203125" style="947" customWidth="1"/>
    <col min="1296" max="1536" width="9.33203125" style="947"/>
    <col min="1537" max="1538" width="3.1640625" style="947" customWidth="1"/>
    <col min="1539" max="1539" width="48.83203125" style="947" customWidth="1"/>
    <col min="1540" max="1540" width="1.83203125" style="947" customWidth="1"/>
    <col min="1541" max="1541" width="21.1640625" style="947" customWidth="1"/>
    <col min="1542" max="1542" width="1.83203125" style="947" customWidth="1"/>
    <col min="1543" max="1543" width="21.1640625" style="947" customWidth="1"/>
    <col min="1544" max="1544" width="1.83203125" style="947" customWidth="1"/>
    <col min="1545" max="1545" width="21.1640625" style="947" customWidth="1"/>
    <col min="1546" max="1546" width="1.83203125" style="947" customWidth="1"/>
    <col min="1547" max="1547" width="17.33203125" style="947" customWidth="1"/>
    <col min="1548" max="1548" width="1.83203125" style="947" customWidth="1"/>
    <col min="1549" max="1549" width="13" style="947" customWidth="1"/>
    <col min="1550" max="1550" width="1.83203125" style="947" customWidth="1"/>
    <col min="1551" max="1551" width="13.83203125" style="947" customWidth="1"/>
    <col min="1552" max="1792" width="9.33203125" style="947"/>
    <col min="1793" max="1794" width="3.1640625" style="947" customWidth="1"/>
    <col min="1795" max="1795" width="48.83203125" style="947" customWidth="1"/>
    <col min="1796" max="1796" width="1.83203125" style="947" customWidth="1"/>
    <col min="1797" max="1797" width="21.1640625" style="947" customWidth="1"/>
    <col min="1798" max="1798" width="1.83203125" style="947" customWidth="1"/>
    <col min="1799" max="1799" width="21.1640625" style="947" customWidth="1"/>
    <col min="1800" max="1800" width="1.83203125" style="947" customWidth="1"/>
    <col min="1801" max="1801" width="21.1640625" style="947" customWidth="1"/>
    <col min="1802" max="1802" width="1.83203125" style="947" customWidth="1"/>
    <col min="1803" max="1803" width="17.33203125" style="947" customWidth="1"/>
    <col min="1804" max="1804" width="1.83203125" style="947" customWidth="1"/>
    <col min="1805" max="1805" width="13" style="947" customWidth="1"/>
    <col min="1806" max="1806" width="1.83203125" style="947" customWidth="1"/>
    <col min="1807" max="1807" width="13.83203125" style="947" customWidth="1"/>
    <col min="1808" max="2048" width="9.33203125" style="947"/>
    <col min="2049" max="2050" width="3.1640625" style="947" customWidth="1"/>
    <col min="2051" max="2051" width="48.83203125" style="947" customWidth="1"/>
    <col min="2052" max="2052" width="1.83203125" style="947" customWidth="1"/>
    <col min="2053" max="2053" width="21.1640625" style="947" customWidth="1"/>
    <col min="2054" max="2054" width="1.83203125" style="947" customWidth="1"/>
    <col min="2055" max="2055" width="21.1640625" style="947" customWidth="1"/>
    <col min="2056" max="2056" width="1.83203125" style="947" customWidth="1"/>
    <col min="2057" max="2057" width="21.1640625" style="947" customWidth="1"/>
    <col min="2058" max="2058" width="1.83203125" style="947" customWidth="1"/>
    <col min="2059" max="2059" width="17.33203125" style="947" customWidth="1"/>
    <col min="2060" max="2060" width="1.83203125" style="947" customWidth="1"/>
    <col min="2061" max="2061" width="13" style="947" customWidth="1"/>
    <col min="2062" max="2062" width="1.83203125" style="947" customWidth="1"/>
    <col min="2063" max="2063" width="13.83203125" style="947" customWidth="1"/>
    <col min="2064" max="2304" width="9.33203125" style="947"/>
    <col min="2305" max="2306" width="3.1640625" style="947" customWidth="1"/>
    <col min="2307" max="2307" width="48.83203125" style="947" customWidth="1"/>
    <col min="2308" max="2308" width="1.83203125" style="947" customWidth="1"/>
    <col min="2309" max="2309" width="21.1640625" style="947" customWidth="1"/>
    <col min="2310" max="2310" width="1.83203125" style="947" customWidth="1"/>
    <col min="2311" max="2311" width="21.1640625" style="947" customWidth="1"/>
    <col min="2312" max="2312" width="1.83203125" style="947" customWidth="1"/>
    <col min="2313" max="2313" width="21.1640625" style="947" customWidth="1"/>
    <col min="2314" max="2314" width="1.83203125" style="947" customWidth="1"/>
    <col min="2315" max="2315" width="17.33203125" style="947" customWidth="1"/>
    <col min="2316" max="2316" width="1.83203125" style="947" customWidth="1"/>
    <col min="2317" max="2317" width="13" style="947" customWidth="1"/>
    <col min="2318" max="2318" width="1.83203125" style="947" customWidth="1"/>
    <col min="2319" max="2319" width="13.83203125" style="947" customWidth="1"/>
    <col min="2320" max="2560" width="9.33203125" style="947"/>
    <col min="2561" max="2562" width="3.1640625" style="947" customWidth="1"/>
    <col min="2563" max="2563" width="48.83203125" style="947" customWidth="1"/>
    <col min="2564" max="2564" width="1.83203125" style="947" customWidth="1"/>
    <col min="2565" max="2565" width="21.1640625" style="947" customWidth="1"/>
    <col min="2566" max="2566" width="1.83203125" style="947" customWidth="1"/>
    <col min="2567" max="2567" width="21.1640625" style="947" customWidth="1"/>
    <col min="2568" max="2568" width="1.83203125" style="947" customWidth="1"/>
    <col min="2569" max="2569" width="21.1640625" style="947" customWidth="1"/>
    <col min="2570" max="2570" width="1.83203125" style="947" customWidth="1"/>
    <col min="2571" max="2571" width="17.33203125" style="947" customWidth="1"/>
    <col min="2572" max="2572" width="1.83203125" style="947" customWidth="1"/>
    <col min="2573" max="2573" width="13" style="947" customWidth="1"/>
    <col min="2574" max="2574" width="1.83203125" style="947" customWidth="1"/>
    <col min="2575" max="2575" width="13.83203125" style="947" customWidth="1"/>
    <col min="2576" max="2816" width="9.33203125" style="947"/>
    <col min="2817" max="2818" width="3.1640625" style="947" customWidth="1"/>
    <col min="2819" max="2819" width="48.83203125" style="947" customWidth="1"/>
    <col min="2820" max="2820" width="1.83203125" style="947" customWidth="1"/>
    <col min="2821" max="2821" width="21.1640625" style="947" customWidth="1"/>
    <col min="2822" max="2822" width="1.83203125" style="947" customWidth="1"/>
    <col min="2823" max="2823" width="21.1640625" style="947" customWidth="1"/>
    <col min="2824" max="2824" width="1.83203125" style="947" customWidth="1"/>
    <col min="2825" max="2825" width="21.1640625" style="947" customWidth="1"/>
    <col min="2826" max="2826" width="1.83203125" style="947" customWidth="1"/>
    <col min="2827" max="2827" width="17.33203125" style="947" customWidth="1"/>
    <col min="2828" max="2828" width="1.83203125" style="947" customWidth="1"/>
    <col min="2829" max="2829" width="13" style="947" customWidth="1"/>
    <col min="2830" max="2830" width="1.83203125" style="947" customWidth="1"/>
    <col min="2831" max="2831" width="13.83203125" style="947" customWidth="1"/>
    <col min="2832" max="3072" width="9.33203125" style="947"/>
    <col min="3073" max="3074" width="3.1640625" style="947" customWidth="1"/>
    <col min="3075" max="3075" width="48.83203125" style="947" customWidth="1"/>
    <col min="3076" max="3076" width="1.83203125" style="947" customWidth="1"/>
    <col min="3077" max="3077" width="21.1640625" style="947" customWidth="1"/>
    <col min="3078" max="3078" width="1.83203125" style="947" customWidth="1"/>
    <col min="3079" max="3079" width="21.1640625" style="947" customWidth="1"/>
    <col min="3080" max="3080" width="1.83203125" style="947" customWidth="1"/>
    <col min="3081" max="3081" width="21.1640625" style="947" customWidth="1"/>
    <col min="3082" max="3082" width="1.83203125" style="947" customWidth="1"/>
    <col min="3083" max="3083" width="17.33203125" style="947" customWidth="1"/>
    <col min="3084" max="3084" width="1.83203125" style="947" customWidth="1"/>
    <col min="3085" max="3085" width="13" style="947" customWidth="1"/>
    <col min="3086" max="3086" width="1.83203125" style="947" customWidth="1"/>
    <col min="3087" max="3087" width="13.83203125" style="947" customWidth="1"/>
    <col min="3088" max="3328" width="9.33203125" style="947"/>
    <col min="3329" max="3330" width="3.1640625" style="947" customWidth="1"/>
    <col min="3331" max="3331" width="48.83203125" style="947" customWidth="1"/>
    <col min="3332" max="3332" width="1.83203125" style="947" customWidth="1"/>
    <col min="3333" max="3333" width="21.1640625" style="947" customWidth="1"/>
    <col min="3334" max="3334" width="1.83203125" style="947" customWidth="1"/>
    <col min="3335" max="3335" width="21.1640625" style="947" customWidth="1"/>
    <col min="3336" max="3336" width="1.83203125" style="947" customWidth="1"/>
    <col min="3337" max="3337" width="21.1640625" style="947" customWidth="1"/>
    <col min="3338" max="3338" width="1.83203125" style="947" customWidth="1"/>
    <col min="3339" max="3339" width="17.33203125" style="947" customWidth="1"/>
    <col min="3340" max="3340" width="1.83203125" style="947" customWidth="1"/>
    <col min="3341" max="3341" width="13" style="947" customWidth="1"/>
    <col min="3342" max="3342" width="1.83203125" style="947" customWidth="1"/>
    <col min="3343" max="3343" width="13.83203125" style="947" customWidth="1"/>
    <col min="3344" max="3584" width="9.33203125" style="947"/>
    <col min="3585" max="3586" width="3.1640625" style="947" customWidth="1"/>
    <col min="3587" max="3587" width="48.83203125" style="947" customWidth="1"/>
    <col min="3588" max="3588" width="1.83203125" style="947" customWidth="1"/>
    <col min="3589" max="3589" width="21.1640625" style="947" customWidth="1"/>
    <col min="3590" max="3590" width="1.83203125" style="947" customWidth="1"/>
    <col min="3591" max="3591" width="21.1640625" style="947" customWidth="1"/>
    <col min="3592" max="3592" width="1.83203125" style="947" customWidth="1"/>
    <col min="3593" max="3593" width="21.1640625" style="947" customWidth="1"/>
    <col min="3594" max="3594" width="1.83203125" style="947" customWidth="1"/>
    <col min="3595" max="3595" width="17.33203125" style="947" customWidth="1"/>
    <col min="3596" max="3596" width="1.83203125" style="947" customWidth="1"/>
    <col min="3597" max="3597" width="13" style="947" customWidth="1"/>
    <col min="3598" max="3598" width="1.83203125" style="947" customWidth="1"/>
    <col min="3599" max="3599" width="13.83203125" style="947" customWidth="1"/>
    <col min="3600" max="3840" width="9.33203125" style="947"/>
    <col min="3841" max="3842" width="3.1640625" style="947" customWidth="1"/>
    <col min="3843" max="3843" width="48.83203125" style="947" customWidth="1"/>
    <col min="3844" max="3844" width="1.83203125" style="947" customWidth="1"/>
    <col min="3845" max="3845" width="21.1640625" style="947" customWidth="1"/>
    <col min="3846" max="3846" width="1.83203125" style="947" customWidth="1"/>
    <col min="3847" max="3847" width="21.1640625" style="947" customWidth="1"/>
    <col min="3848" max="3848" width="1.83203125" style="947" customWidth="1"/>
    <col min="3849" max="3849" width="21.1640625" style="947" customWidth="1"/>
    <col min="3850" max="3850" width="1.83203125" style="947" customWidth="1"/>
    <col min="3851" max="3851" width="17.33203125" style="947" customWidth="1"/>
    <col min="3852" max="3852" width="1.83203125" style="947" customWidth="1"/>
    <col min="3853" max="3853" width="13" style="947" customWidth="1"/>
    <col min="3854" max="3854" width="1.83203125" style="947" customWidth="1"/>
    <col min="3855" max="3855" width="13.83203125" style="947" customWidth="1"/>
    <col min="3856" max="4096" width="9.33203125" style="947"/>
    <col min="4097" max="4098" width="3.1640625" style="947" customWidth="1"/>
    <col min="4099" max="4099" width="48.83203125" style="947" customWidth="1"/>
    <col min="4100" max="4100" width="1.83203125" style="947" customWidth="1"/>
    <col min="4101" max="4101" width="21.1640625" style="947" customWidth="1"/>
    <col min="4102" max="4102" width="1.83203125" style="947" customWidth="1"/>
    <col min="4103" max="4103" width="21.1640625" style="947" customWidth="1"/>
    <col min="4104" max="4104" width="1.83203125" style="947" customWidth="1"/>
    <col min="4105" max="4105" width="21.1640625" style="947" customWidth="1"/>
    <col min="4106" max="4106" width="1.83203125" style="947" customWidth="1"/>
    <col min="4107" max="4107" width="17.33203125" style="947" customWidth="1"/>
    <col min="4108" max="4108" width="1.83203125" style="947" customWidth="1"/>
    <col min="4109" max="4109" width="13" style="947" customWidth="1"/>
    <col min="4110" max="4110" width="1.83203125" style="947" customWidth="1"/>
    <col min="4111" max="4111" width="13.83203125" style="947" customWidth="1"/>
    <col min="4112" max="4352" width="9.33203125" style="947"/>
    <col min="4353" max="4354" width="3.1640625" style="947" customWidth="1"/>
    <col min="4355" max="4355" width="48.83203125" style="947" customWidth="1"/>
    <col min="4356" max="4356" width="1.83203125" style="947" customWidth="1"/>
    <col min="4357" max="4357" width="21.1640625" style="947" customWidth="1"/>
    <col min="4358" max="4358" width="1.83203125" style="947" customWidth="1"/>
    <col min="4359" max="4359" width="21.1640625" style="947" customWidth="1"/>
    <col min="4360" max="4360" width="1.83203125" style="947" customWidth="1"/>
    <col min="4361" max="4361" width="21.1640625" style="947" customWidth="1"/>
    <col min="4362" max="4362" width="1.83203125" style="947" customWidth="1"/>
    <col min="4363" max="4363" width="17.33203125" style="947" customWidth="1"/>
    <col min="4364" max="4364" width="1.83203125" style="947" customWidth="1"/>
    <col min="4365" max="4365" width="13" style="947" customWidth="1"/>
    <col min="4366" max="4366" width="1.83203125" style="947" customWidth="1"/>
    <col min="4367" max="4367" width="13.83203125" style="947" customWidth="1"/>
    <col min="4368" max="4608" width="9.33203125" style="947"/>
    <col min="4609" max="4610" width="3.1640625" style="947" customWidth="1"/>
    <col min="4611" max="4611" width="48.83203125" style="947" customWidth="1"/>
    <col min="4612" max="4612" width="1.83203125" style="947" customWidth="1"/>
    <col min="4613" max="4613" width="21.1640625" style="947" customWidth="1"/>
    <col min="4614" max="4614" width="1.83203125" style="947" customWidth="1"/>
    <col min="4615" max="4615" width="21.1640625" style="947" customWidth="1"/>
    <col min="4616" max="4616" width="1.83203125" style="947" customWidth="1"/>
    <col min="4617" max="4617" width="21.1640625" style="947" customWidth="1"/>
    <col min="4618" max="4618" width="1.83203125" style="947" customWidth="1"/>
    <col min="4619" max="4619" width="17.33203125" style="947" customWidth="1"/>
    <col min="4620" max="4620" width="1.83203125" style="947" customWidth="1"/>
    <col min="4621" max="4621" width="13" style="947" customWidth="1"/>
    <col min="4622" max="4622" width="1.83203125" style="947" customWidth="1"/>
    <col min="4623" max="4623" width="13.83203125" style="947" customWidth="1"/>
    <col min="4624" max="4864" width="9.33203125" style="947"/>
    <col min="4865" max="4866" width="3.1640625" style="947" customWidth="1"/>
    <col min="4867" max="4867" width="48.83203125" style="947" customWidth="1"/>
    <col min="4868" max="4868" width="1.83203125" style="947" customWidth="1"/>
    <col min="4869" max="4869" width="21.1640625" style="947" customWidth="1"/>
    <col min="4870" max="4870" width="1.83203125" style="947" customWidth="1"/>
    <col min="4871" max="4871" width="21.1640625" style="947" customWidth="1"/>
    <col min="4872" max="4872" width="1.83203125" style="947" customWidth="1"/>
    <col min="4873" max="4873" width="21.1640625" style="947" customWidth="1"/>
    <col min="4874" max="4874" width="1.83203125" style="947" customWidth="1"/>
    <col min="4875" max="4875" width="17.33203125" style="947" customWidth="1"/>
    <col min="4876" max="4876" width="1.83203125" style="947" customWidth="1"/>
    <col min="4877" max="4877" width="13" style="947" customWidth="1"/>
    <col min="4878" max="4878" width="1.83203125" style="947" customWidth="1"/>
    <col min="4879" max="4879" width="13.83203125" style="947" customWidth="1"/>
    <col min="4880" max="5120" width="9.33203125" style="947"/>
    <col min="5121" max="5122" width="3.1640625" style="947" customWidth="1"/>
    <col min="5123" max="5123" width="48.83203125" style="947" customWidth="1"/>
    <col min="5124" max="5124" width="1.83203125" style="947" customWidth="1"/>
    <col min="5125" max="5125" width="21.1640625" style="947" customWidth="1"/>
    <col min="5126" max="5126" width="1.83203125" style="947" customWidth="1"/>
    <col min="5127" max="5127" width="21.1640625" style="947" customWidth="1"/>
    <col min="5128" max="5128" width="1.83203125" style="947" customWidth="1"/>
    <col min="5129" max="5129" width="21.1640625" style="947" customWidth="1"/>
    <col min="5130" max="5130" width="1.83203125" style="947" customWidth="1"/>
    <col min="5131" max="5131" width="17.33203125" style="947" customWidth="1"/>
    <col min="5132" max="5132" width="1.83203125" style="947" customWidth="1"/>
    <col min="5133" max="5133" width="13" style="947" customWidth="1"/>
    <col min="5134" max="5134" width="1.83203125" style="947" customWidth="1"/>
    <col min="5135" max="5135" width="13.83203125" style="947" customWidth="1"/>
    <col min="5136" max="5376" width="9.33203125" style="947"/>
    <col min="5377" max="5378" width="3.1640625" style="947" customWidth="1"/>
    <col min="5379" max="5379" width="48.83203125" style="947" customWidth="1"/>
    <col min="5380" max="5380" width="1.83203125" style="947" customWidth="1"/>
    <col min="5381" max="5381" width="21.1640625" style="947" customWidth="1"/>
    <col min="5382" max="5382" width="1.83203125" style="947" customWidth="1"/>
    <col min="5383" max="5383" width="21.1640625" style="947" customWidth="1"/>
    <col min="5384" max="5384" width="1.83203125" style="947" customWidth="1"/>
    <col min="5385" max="5385" width="21.1640625" style="947" customWidth="1"/>
    <col min="5386" max="5386" width="1.83203125" style="947" customWidth="1"/>
    <col min="5387" max="5387" width="17.33203125" style="947" customWidth="1"/>
    <col min="5388" max="5388" width="1.83203125" style="947" customWidth="1"/>
    <col min="5389" max="5389" width="13" style="947" customWidth="1"/>
    <col min="5390" max="5390" width="1.83203125" style="947" customWidth="1"/>
    <col min="5391" max="5391" width="13.83203125" style="947" customWidth="1"/>
    <col min="5392" max="5632" width="9.33203125" style="947"/>
    <col min="5633" max="5634" width="3.1640625" style="947" customWidth="1"/>
    <col min="5635" max="5635" width="48.83203125" style="947" customWidth="1"/>
    <col min="5636" max="5636" width="1.83203125" style="947" customWidth="1"/>
    <col min="5637" max="5637" width="21.1640625" style="947" customWidth="1"/>
    <col min="5638" max="5638" width="1.83203125" style="947" customWidth="1"/>
    <col min="5639" max="5639" width="21.1640625" style="947" customWidth="1"/>
    <col min="5640" max="5640" width="1.83203125" style="947" customWidth="1"/>
    <col min="5641" max="5641" width="21.1640625" style="947" customWidth="1"/>
    <col min="5642" max="5642" width="1.83203125" style="947" customWidth="1"/>
    <col min="5643" max="5643" width="17.33203125" style="947" customWidth="1"/>
    <col min="5644" max="5644" width="1.83203125" style="947" customWidth="1"/>
    <col min="5645" max="5645" width="13" style="947" customWidth="1"/>
    <col min="5646" max="5646" width="1.83203125" style="947" customWidth="1"/>
    <col min="5647" max="5647" width="13.83203125" style="947" customWidth="1"/>
    <col min="5648" max="5888" width="9.33203125" style="947"/>
    <col min="5889" max="5890" width="3.1640625" style="947" customWidth="1"/>
    <col min="5891" max="5891" width="48.83203125" style="947" customWidth="1"/>
    <col min="5892" max="5892" width="1.83203125" style="947" customWidth="1"/>
    <col min="5893" max="5893" width="21.1640625" style="947" customWidth="1"/>
    <col min="5894" max="5894" width="1.83203125" style="947" customWidth="1"/>
    <col min="5895" max="5895" width="21.1640625" style="947" customWidth="1"/>
    <col min="5896" max="5896" width="1.83203125" style="947" customWidth="1"/>
    <col min="5897" max="5897" width="21.1640625" style="947" customWidth="1"/>
    <col min="5898" max="5898" width="1.83203125" style="947" customWidth="1"/>
    <col min="5899" max="5899" width="17.33203125" style="947" customWidth="1"/>
    <col min="5900" max="5900" width="1.83203125" style="947" customWidth="1"/>
    <col min="5901" max="5901" width="13" style="947" customWidth="1"/>
    <col min="5902" max="5902" width="1.83203125" style="947" customWidth="1"/>
    <col min="5903" max="5903" width="13.83203125" style="947" customWidth="1"/>
    <col min="5904" max="6144" width="9.33203125" style="947"/>
    <col min="6145" max="6146" width="3.1640625" style="947" customWidth="1"/>
    <col min="6147" max="6147" width="48.83203125" style="947" customWidth="1"/>
    <col min="6148" max="6148" width="1.83203125" style="947" customWidth="1"/>
    <col min="6149" max="6149" width="21.1640625" style="947" customWidth="1"/>
    <col min="6150" max="6150" width="1.83203125" style="947" customWidth="1"/>
    <col min="6151" max="6151" width="21.1640625" style="947" customWidth="1"/>
    <col min="6152" max="6152" width="1.83203125" style="947" customWidth="1"/>
    <col min="6153" max="6153" width="21.1640625" style="947" customWidth="1"/>
    <col min="6154" max="6154" width="1.83203125" style="947" customWidth="1"/>
    <col min="6155" max="6155" width="17.33203125" style="947" customWidth="1"/>
    <col min="6156" max="6156" width="1.83203125" style="947" customWidth="1"/>
    <col min="6157" max="6157" width="13" style="947" customWidth="1"/>
    <col min="6158" max="6158" width="1.83203125" style="947" customWidth="1"/>
    <col min="6159" max="6159" width="13.83203125" style="947" customWidth="1"/>
    <col min="6160" max="6400" width="9.33203125" style="947"/>
    <col min="6401" max="6402" width="3.1640625" style="947" customWidth="1"/>
    <col min="6403" max="6403" width="48.83203125" style="947" customWidth="1"/>
    <col min="6404" max="6404" width="1.83203125" style="947" customWidth="1"/>
    <col min="6405" max="6405" width="21.1640625" style="947" customWidth="1"/>
    <col min="6406" max="6406" width="1.83203125" style="947" customWidth="1"/>
    <col min="6407" max="6407" width="21.1640625" style="947" customWidth="1"/>
    <col min="6408" max="6408" width="1.83203125" style="947" customWidth="1"/>
    <col min="6409" max="6409" width="21.1640625" style="947" customWidth="1"/>
    <col min="6410" max="6410" width="1.83203125" style="947" customWidth="1"/>
    <col min="6411" max="6411" width="17.33203125" style="947" customWidth="1"/>
    <col min="6412" max="6412" width="1.83203125" style="947" customWidth="1"/>
    <col min="6413" max="6413" width="13" style="947" customWidth="1"/>
    <col min="6414" max="6414" width="1.83203125" style="947" customWidth="1"/>
    <col min="6415" max="6415" width="13.83203125" style="947" customWidth="1"/>
    <col min="6416" max="6656" width="9.33203125" style="947"/>
    <col min="6657" max="6658" width="3.1640625" style="947" customWidth="1"/>
    <col min="6659" max="6659" width="48.83203125" style="947" customWidth="1"/>
    <col min="6660" max="6660" width="1.83203125" style="947" customWidth="1"/>
    <col min="6661" max="6661" width="21.1640625" style="947" customWidth="1"/>
    <col min="6662" max="6662" width="1.83203125" style="947" customWidth="1"/>
    <col min="6663" max="6663" width="21.1640625" style="947" customWidth="1"/>
    <col min="6664" max="6664" width="1.83203125" style="947" customWidth="1"/>
    <col min="6665" max="6665" width="21.1640625" style="947" customWidth="1"/>
    <col min="6666" max="6666" width="1.83203125" style="947" customWidth="1"/>
    <col min="6667" max="6667" width="17.33203125" style="947" customWidth="1"/>
    <col min="6668" max="6668" width="1.83203125" style="947" customWidth="1"/>
    <col min="6669" max="6669" width="13" style="947" customWidth="1"/>
    <col min="6670" max="6670" width="1.83203125" style="947" customWidth="1"/>
    <col min="6671" max="6671" width="13.83203125" style="947" customWidth="1"/>
    <col min="6672" max="6912" width="9.33203125" style="947"/>
    <col min="6913" max="6914" width="3.1640625" style="947" customWidth="1"/>
    <col min="6915" max="6915" width="48.83203125" style="947" customWidth="1"/>
    <col min="6916" max="6916" width="1.83203125" style="947" customWidth="1"/>
    <col min="6917" max="6917" width="21.1640625" style="947" customWidth="1"/>
    <col min="6918" max="6918" width="1.83203125" style="947" customWidth="1"/>
    <col min="6919" max="6919" width="21.1640625" style="947" customWidth="1"/>
    <col min="6920" max="6920" width="1.83203125" style="947" customWidth="1"/>
    <col min="6921" max="6921" width="21.1640625" style="947" customWidth="1"/>
    <col min="6922" max="6922" width="1.83203125" style="947" customWidth="1"/>
    <col min="6923" max="6923" width="17.33203125" style="947" customWidth="1"/>
    <col min="6924" max="6924" width="1.83203125" style="947" customWidth="1"/>
    <col min="6925" max="6925" width="13" style="947" customWidth="1"/>
    <col min="6926" max="6926" width="1.83203125" style="947" customWidth="1"/>
    <col min="6927" max="6927" width="13.83203125" style="947" customWidth="1"/>
    <col min="6928" max="7168" width="9.33203125" style="947"/>
    <col min="7169" max="7170" width="3.1640625" style="947" customWidth="1"/>
    <col min="7171" max="7171" width="48.83203125" style="947" customWidth="1"/>
    <col min="7172" max="7172" width="1.83203125" style="947" customWidth="1"/>
    <col min="7173" max="7173" width="21.1640625" style="947" customWidth="1"/>
    <col min="7174" max="7174" width="1.83203125" style="947" customWidth="1"/>
    <col min="7175" max="7175" width="21.1640625" style="947" customWidth="1"/>
    <col min="7176" max="7176" width="1.83203125" style="947" customWidth="1"/>
    <col min="7177" max="7177" width="21.1640625" style="947" customWidth="1"/>
    <col min="7178" max="7178" width="1.83203125" style="947" customWidth="1"/>
    <col min="7179" max="7179" width="17.33203125" style="947" customWidth="1"/>
    <col min="7180" max="7180" width="1.83203125" style="947" customWidth="1"/>
    <col min="7181" max="7181" width="13" style="947" customWidth="1"/>
    <col min="7182" max="7182" width="1.83203125" style="947" customWidth="1"/>
    <col min="7183" max="7183" width="13.83203125" style="947" customWidth="1"/>
    <col min="7184" max="7424" width="9.33203125" style="947"/>
    <col min="7425" max="7426" width="3.1640625" style="947" customWidth="1"/>
    <col min="7427" max="7427" width="48.83203125" style="947" customWidth="1"/>
    <col min="7428" max="7428" width="1.83203125" style="947" customWidth="1"/>
    <col min="7429" max="7429" width="21.1640625" style="947" customWidth="1"/>
    <col min="7430" max="7430" width="1.83203125" style="947" customWidth="1"/>
    <col min="7431" max="7431" width="21.1640625" style="947" customWidth="1"/>
    <col min="7432" max="7432" width="1.83203125" style="947" customWidth="1"/>
    <col min="7433" max="7433" width="21.1640625" style="947" customWidth="1"/>
    <col min="7434" max="7434" width="1.83203125" style="947" customWidth="1"/>
    <col min="7435" max="7435" width="17.33203125" style="947" customWidth="1"/>
    <col min="7436" max="7436" width="1.83203125" style="947" customWidth="1"/>
    <col min="7437" max="7437" width="13" style="947" customWidth="1"/>
    <col min="7438" max="7438" width="1.83203125" style="947" customWidth="1"/>
    <col min="7439" max="7439" width="13.83203125" style="947" customWidth="1"/>
    <col min="7440" max="7680" width="9.33203125" style="947"/>
    <col min="7681" max="7682" width="3.1640625" style="947" customWidth="1"/>
    <col min="7683" max="7683" width="48.83203125" style="947" customWidth="1"/>
    <col min="7684" max="7684" width="1.83203125" style="947" customWidth="1"/>
    <col min="7685" max="7685" width="21.1640625" style="947" customWidth="1"/>
    <col min="7686" max="7686" width="1.83203125" style="947" customWidth="1"/>
    <col min="7687" max="7687" width="21.1640625" style="947" customWidth="1"/>
    <col min="7688" max="7688" width="1.83203125" style="947" customWidth="1"/>
    <col min="7689" max="7689" width="21.1640625" style="947" customWidth="1"/>
    <col min="7690" max="7690" width="1.83203125" style="947" customWidth="1"/>
    <col min="7691" max="7691" width="17.33203125" style="947" customWidth="1"/>
    <col min="7692" max="7692" width="1.83203125" style="947" customWidth="1"/>
    <col min="7693" max="7693" width="13" style="947" customWidth="1"/>
    <col min="7694" max="7694" width="1.83203125" style="947" customWidth="1"/>
    <col min="7695" max="7695" width="13.83203125" style="947" customWidth="1"/>
    <col min="7696" max="7936" width="9.33203125" style="947"/>
    <col min="7937" max="7938" width="3.1640625" style="947" customWidth="1"/>
    <col min="7939" max="7939" width="48.83203125" style="947" customWidth="1"/>
    <col min="7940" max="7940" width="1.83203125" style="947" customWidth="1"/>
    <col min="7941" max="7941" width="21.1640625" style="947" customWidth="1"/>
    <col min="7942" max="7942" width="1.83203125" style="947" customWidth="1"/>
    <col min="7943" max="7943" width="21.1640625" style="947" customWidth="1"/>
    <col min="7944" max="7944" width="1.83203125" style="947" customWidth="1"/>
    <col min="7945" max="7945" width="21.1640625" style="947" customWidth="1"/>
    <col min="7946" max="7946" width="1.83203125" style="947" customWidth="1"/>
    <col min="7947" max="7947" width="17.33203125" style="947" customWidth="1"/>
    <col min="7948" max="7948" width="1.83203125" style="947" customWidth="1"/>
    <col min="7949" max="7949" width="13" style="947" customWidth="1"/>
    <col min="7950" max="7950" width="1.83203125" style="947" customWidth="1"/>
    <col min="7951" max="7951" width="13.83203125" style="947" customWidth="1"/>
    <col min="7952" max="8192" width="9.33203125" style="947"/>
    <col min="8193" max="8194" width="3.1640625" style="947" customWidth="1"/>
    <col min="8195" max="8195" width="48.83203125" style="947" customWidth="1"/>
    <col min="8196" max="8196" width="1.83203125" style="947" customWidth="1"/>
    <col min="8197" max="8197" width="21.1640625" style="947" customWidth="1"/>
    <col min="8198" max="8198" width="1.83203125" style="947" customWidth="1"/>
    <col min="8199" max="8199" width="21.1640625" style="947" customWidth="1"/>
    <col min="8200" max="8200" width="1.83203125" style="947" customWidth="1"/>
    <col min="8201" max="8201" width="21.1640625" style="947" customWidth="1"/>
    <col min="8202" max="8202" width="1.83203125" style="947" customWidth="1"/>
    <col min="8203" max="8203" width="17.33203125" style="947" customWidth="1"/>
    <col min="8204" max="8204" width="1.83203125" style="947" customWidth="1"/>
    <col min="8205" max="8205" width="13" style="947" customWidth="1"/>
    <col min="8206" max="8206" width="1.83203125" style="947" customWidth="1"/>
    <col min="8207" max="8207" width="13.83203125" style="947" customWidth="1"/>
    <col min="8208" max="8448" width="9.33203125" style="947"/>
    <col min="8449" max="8450" width="3.1640625" style="947" customWidth="1"/>
    <col min="8451" max="8451" width="48.83203125" style="947" customWidth="1"/>
    <col min="8452" max="8452" width="1.83203125" style="947" customWidth="1"/>
    <col min="8453" max="8453" width="21.1640625" style="947" customWidth="1"/>
    <col min="8454" max="8454" width="1.83203125" style="947" customWidth="1"/>
    <col min="8455" max="8455" width="21.1640625" style="947" customWidth="1"/>
    <col min="8456" max="8456" width="1.83203125" style="947" customWidth="1"/>
    <col min="8457" max="8457" width="21.1640625" style="947" customWidth="1"/>
    <col min="8458" max="8458" width="1.83203125" style="947" customWidth="1"/>
    <col min="8459" max="8459" width="17.33203125" style="947" customWidth="1"/>
    <col min="8460" max="8460" width="1.83203125" style="947" customWidth="1"/>
    <col min="8461" max="8461" width="13" style="947" customWidth="1"/>
    <col min="8462" max="8462" width="1.83203125" style="947" customWidth="1"/>
    <col min="8463" max="8463" width="13.83203125" style="947" customWidth="1"/>
    <col min="8464" max="8704" width="9.33203125" style="947"/>
    <col min="8705" max="8706" width="3.1640625" style="947" customWidth="1"/>
    <col min="8707" max="8707" width="48.83203125" style="947" customWidth="1"/>
    <col min="8708" max="8708" width="1.83203125" style="947" customWidth="1"/>
    <col min="8709" max="8709" width="21.1640625" style="947" customWidth="1"/>
    <col min="8710" max="8710" width="1.83203125" style="947" customWidth="1"/>
    <col min="8711" max="8711" width="21.1640625" style="947" customWidth="1"/>
    <col min="8712" max="8712" width="1.83203125" style="947" customWidth="1"/>
    <col min="8713" max="8713" width="21.1640625" style="947" customWidth="1"/>
    <col min="8714" max="8714" width="1.83203125" style="947" customWidth="1"/>
    <col min="8715" max="8715" width="17.33203125" style="947" customWidth="1"/>
    <col min="8716" max="8716" width="1.83203125" style="947" customWidth="1"/>
    <col min="8717" max="8717" width="13" style="947" customWidth="1"/>
    <col min="8718" max="8718" width="1.83203125" style="947" customWidth="1"/>
    <col min="8719" max="8719" width="13.83203125" style="947" customWidth="1"/>
    <col min="8720" max="8960" width="9.33203125" style="947"/>
    <col min="8961" max="8962" width="3.1640625" style="947" customWidth="1"/>
    <col min="8963" max="8963" width="48.83203125" style="947" customWidth="1"/>
    <col min="8964" max="8964" width="1.83203125" style="947" customWidth="1"/>
    <col min="8965" max="8965" width="21.1640625" style="947" customWidth="1"/>
    <col min="8966" max="8966" width="1.83203125" style="947" customWidth="1"/>
    <col min="8967" max="8967" width="21.1640625" style="947" customWidth="1"/>
    <col min="8968" max="8968" width="1.83203125" style="947" customWidth="1"/>
    <col min="8969" max="8969" width="21.1640625" style="947" customWidth="1"/>
    <col min="8970" max="8970" width="1.83203125" style="947" customWidth="1"/>
    <col min="8971" max="8971" width="17.33203125" style="947" customWidth="1"/>
    <col min="8972" max="8972" width="1.83203125" style="947" customWidth="1"/>
    <col min="8973" max="8973" width="13" style="947" customWidth="1"/>
    <col min="8974" max="8974" width="1.83203125" style="947" customWidth="1"/>
    <col min="8975" max="8975" width="13.83203125" style="947" customWidth="1"/>
    <col min="8976" max="9216" width="9.33203125" style="947"/>
    <col min="9217" max="9218" width="3.1640625" style="947" customWidth="1"/>
    <col min="9219" max="9219" width="48.83203125" style="947" customWidth="1"/>
    <col min="9220" max="9220" width="1.83203125" style="947" customWidth="1"/>
    <col min="9221" max="9221" width="21.1640625" style="947" customWidth="1"/>
    <col min="9222" max="9222" width="1.83203125" style="947" customWidth="1"/>
    <col min="9223" max="9223" width="21.1640625" style="947" customWidth="1"/>
    <col min="9224" max="9224" width="1.83203125" style="947" customWidth="1"/>
    <col min="9225" max="9225" width="21.1640625" style="947" customWidth="1"/>
    <col min="9226" max="9226" width="1.83203125" style="947" customWidth="1"/>
    <col min="9227" max="9227" width="17.33203125" style="947" customWidth="1"/>
    <col min="9228" max="9228" width="1.83203125" style="947" customWidth="1"/>
    <col min="9229" max="9229" width="13" style="947" customWidth="1"/>
    <col min="9230" max="9230" width="1.83203125" style="947" customWidth="1"/>
    <col min="9231" max="9231" width="13.83203125" style="947" customWidth="1"/>
    <col min="9232" max="9472" width="9.33203125" style="947"/>
    <col min="9473" max="9474" width="3.1640625" style="947" customWidth="1"/>
    <col min="9475" max="9475" width="48.83203125" style="947" customWidth="1"/>
    <col min="9476" max="9476" width="1.83203125" style="947" customWidth="1"/>
    <col min="9477" max="9477" width="21.1640625" style="947" customWidth="1"/>
    <col min="9478" max="9478" width="1.83203125" style="947" customWidth="1"/>
    <col min="9479" max="9479" width="21.1640625" style="947" customWidth="1"/>
    <col min="9480" max="9480" width="1.83203125" style="947" customWidth="1"/>
    <col min="9481" max="9481" width="21.1640625" style="947" customWidth="1"/>
    <col min="9482" max="9482" width="1.83203125" style="947" customWidth="1"/>
    <col min="9483" max="9483" width="17.33203125" style="947" customWidth="1"/>
    <col min="9484" max="9484" width="1.83203125" style="947" customWidth="1"/>
    <col min="9485" max="9485" width="13" style="947" customWidth="1"/>
    <col min="9486" max="9486" width="1.83203125" style="947" customWidth="1"/>
    <col min="9487" max="9487" width="13.83203125" style="947" customWidth="1"/>
    <col min="9488" max="9728" width="9.33203125" style="947"/>
    <col min="9729" max="9730" width="3.1640625" style="947" customWidth="1"/>
    <col min="9731" max="9731" width="48.83203125" style="947" customWidth="1"/>
    <col min="9732" max="9732" width="1.83203125" style="947" customWidth="1"/>
    <col min="9733" max="9733" width="21.1640625" style="947" customWidth="1"/>
    <col min="9734" max="9734" width="1.83203125" style="947" customWidth="1"/>
    <col min="9735" max="9735" width="21.1640625" style="947" customWidth="1"/>
    <col min="9736" max="9736" width="1.83203125" style="947" customWidth="1"/>
    <col min="9737" max="9737" width="21.1640625" style="947" customWidth="1"/>
    <col min="9738" max="9738" width="1.83203125" style="947" customWidth="1"/>
    <col min="9739" max="9739" width="17.33203125" style="947" customWidth="1"/>
    <col min="9740" max="9740" width="1.83203125" style="947" customWidth="1"/>
    <col min="9741" max="9741" width="13" style="947" customWidth="1"/>
    <col min="9742" max="9742" width="1.83203125" style="947" customWidth="1"/>
    <col min="9743" max="9743" width="13.83203125" style="947" customWidth="1"/>
    <col min="9744" max="9984" width="9.33203125" style="947"/>
    <col min="9985" max="9986" width="3.1640625" style="947" customWidth="1"/>
    <col min="9987" max="9987" width="48.83203125" style="947" customWidth="1"/>
    <col min="9988" max="9988" width="1.83203125" style="947" customWidth="1"/>
    <col min="9989" max="9989" width="21.1640625" style="947" customWidth="1"/>
    <col min="9990" max="9990" width="1.83203125" style="947" customWidth="1"/>
    <col min="9991" max="9991" width="21.1640625" style="947" customWidth="1"/>
    <col min="9992" max="9992" width="1.83203125" style="947" customWidth="1"/>
    <col min="9993" max="9993" width="21.1640625" style="947" customWidth="1"/>
    <col min="9994" max="9994" width="1.83203125" style="947" customWidth="1"/>
    <col min="9995" max="9995" width="17.33203125" style="947" customWidth="1"/>
    <col min="9996" max="9996" width="1.83203125" style="947" customWidth="1"/>
    <col min="9997" max="9997" width="13" style="947" customWidth="1"/>
    <col min="9998" max="9998" width="1.83203125" style="947" customWidth="1"/>
    <col min="9999" max="9999" width="13.83203125" style="947" customWidth="1"/>
    <col min="10000" max="10240" width="9.33203125" style="947"/>
    <col min="10241" max="10242" width="3.1640625" style="947" customWidth="1"/>
    <col min="10243" max="10243" width="48.83203125" style="947" customWidth="1"/>
    <col min="10244" max="10244" width="1.83203125" style="947" customWidth="1"/>
    <col min="10245" max="10245" width="21.1640625" style="947" customWidth="1"/>
    <col min="10246" max="10246" width="1.83203125" style="947" customWidth="1"/>
    <col min="10247" max="10247" width="21.1640625" style="947" customWidth="1"/>
    <col min="10248" max="10248" width="1.83203125" style="947" customWidth="1"/>
    <col min="10249" max="10249" width="21.1640625" style="947" customWidth="1"/>
    <col min="10250" max="10250" width="1.83203125" style="947" customWidth="1"/>
    <col min="10251" max="10251" width="17.33203125" style="947" customWidth="1"/>
    <col min="10252" max="10252" width="1.83203125" style="947" customWidth="1"/>
    <col min="10253" max="10253" width="13" style="947" customWidth="1"/>
    <col min="10254" max="10254" width="1.83203125" style="947" customWidth="1"/>
    <col min="10255" max="10255" width="13.83203125" style="947" customWidth="1"/>
    <col min="10256" max="10496" width="9.33203125" style="947"/>
    <col min="10497" max="10498" width="3.1640625" style="947" customWidth="1"/>
    <col min="10499" max="10499" width="48.83203125" style="947" customWidth="1"/>
    <col min="10500" max="10500" width="1.83203125" style="947" customWidth="1"/>
    <col min="10501" max="10501" width="21.1640625" style="947" customWidth="1"/>
    <col min="10502" max="10502" width="1.83203125" style="947" customWidth="1"/>
    <col min="10503" max="10503" width="21.1640625" style="947" customWidth="1"/>
    <col min="10504" max="10504" width="1.83203125" style="947" customWidth="1"/>
    <col min="10505" max="10505" width="21.1640625" style="947" customWidth="1"/>
    <col min="10506" max="10506" width="1.83203125" style="947" customWidth="1"/>
    <col min="10507" max="10507" width="17.33203125" style="947" customWidth="1"/>
    <col min="10508" max="10508" width="1.83203125" style="947" customWidth="1"/>
    <col min="10509" max="10509" width="13" style="947" customWidth="1"/>
    <col min="10510" max="10510" width="1.83203125" style="947" customWidth="1"/>
    <col min="10511" max="10511" width="13.83203125" style="947" customWidth="1"/>
    <col min="10512" max="10752" width="9.33203125" style="947"/>
    <col min="10753" max="10754" width="3.1640625" style="947" customWidth="1"/>
    <col min="10755" max="10755" width="48.83203125" style="947" customWidth="1"/>
    <col min="10756" max="10756" width="1.83203125" style="947" customWidth="1"/>
    <col min="10757" max="10757" width="21.1640625" style="947" customWidth="1"/>
    <col min="10758" max="10758" width="1.83203125" style="947" customWidth="1"/>
    <col min="10759" max="10759" width="21.1640625" style="947" customWidth="1"/>
    <col min="10760" max="10760" width="1.83203125" style="947" customWidth="1"/>
    <col min="10761" max="10761" width="21.1640625" style="947" customWidth="1"/>
    <col min="10762" max="10762" width="1.83203125" style="947" customWidth="1"/>
    <col min="10763" max="10763" width="17.33203125" style="947" customWidth="1"/>
    <col min="10764" max="10764" width="1.83203125" style="947" customWidth="1"/>
    <col min="10765" max="10765" width="13" style="947" customWidth="1"/>
    <col min="10766" max="10766" width="1.83203125" style="947" customWidth="1"/>
    <col min="10767" max="10767" width="13.83203125" style="947" customWidth="1"/>
    <col min="10768" max="11008" width="9.33203125" style="947"/>
    <col min="11009" max="11010" width="3.1640625" style="947" customWidth="1"/>
    <col min="11011" max="11011" width="48.83203125" style="947" customWidth="1"/>
    <col min="11012" max="11012" width="1.83203125" style="947" customWidth="1"/>
    <col min="11013" max="11013" width="21.1640625" style="947" customWidth="1"/>
    <col min="11014" max="11014" width="1.83203125" style="947" customWidth="1"/>
    <col min="11015" max="11015" width="21.1640625" style="947" customWidth="1"/>
    <col min="11016" max="11016" width="1.83203125" style="947" customWidth="1"/>
    <col min="11017" max="11017" width="21.1640625" style="947" customWidth="1"/>
    <col min="11018" max="11018" width="1.83203125" style="947" customWidth="1"/>
    <col min="11019" max="11019" width="17.33203125" style="947" customWidth="1"/>
    <col min="11020" max="11020" width="1.83203125" style="947" customWidth="1"/>
    <col min="11021" max="11021" width="13" style="947" customWidth="1"/>
    <col min="11022" max="11022" width="1.83203125" style="947" customWidth="1"/>
    <col min="11023" max="11023" width="13.83203125" style="947" customWidth="1"/>
    <col min="11024" max="11264" width="9.33203125" style="947"/>
    <col min="11265" max="11266" width="3.1640625" style="947" customWidth="1"/>
    <col min="11267" max="11267" width="48.83203125" style="947" customWidth="1"/>
    <col min="11268" max="11268" width="1.83203125" style="947" customWidth="1"/>
    <col min="11269" max="11269" width="21.1640625" style="947" customWidth="1"/>
    <col min="11270" max="11270" width="1.83203125" style="947" customWidth="1"/>
    <col min="11271" max="11271" width="21.1640625" style="947" customWidth="1"/>
    <col min="11272" max="11272" width="1.83203125" style="947" customWidth="1"/>
    <col min="11273" max="11273" width="21.1640625" style="947" customWidth="1"/>
    <col min="11274" max="11274" width="1.83203125" style="947" customWidth="1"/>
    <col min="11275" max="11275" width="17.33203125" style="947" customWidth="1"/>
    <col min="11276" max="11276" width="1.83203125" style="947" customWidth="1"/>
    <col min="11277" max="11277" width="13" style="947" customWidth="1"/>
    <col min="11278" max="11278" width="1.83203125" style="947" customWidth="1"/>
    <col min="11279" max="11279" width="13.83203125" style="947" customWidth="1"/>
    <col min="11280" max="11520" width="9.33203125" style="947"/>
    <col min="11521" max="11522" width="3.1640625" style="947" customWidth="1"/>
    <col min="11523" max="11523" width="48.83203125" style="947" customWidth="1"/>
    <col min="11524" max="11524" width="1.83203125" style="947" customWidth="1"/>
    <col min="11525" max="11525" width="21.1640625" style="947" customWidth="1"/>
    <col min="11526" max="11526" width="1.83203125" style="947" customWidth="1"/>
    <col min="11527" max="11527" width="21.1640625" style="947" customWidth="1"/>
    <col min="11528" max="11528" width="1.83203125" style="947" customWidth="1"/>
    <col min="11529" max="11529" width="21.1640625" style="947" customWidth="1"/>
    <col min="11530" max="11530" width="1.83203125" style="947" customWidth="1"/>
    <col min="11531" max="11531" width="17.33203125" style="947" customWidth="1"/>
    <col min="11532" max="11532" width="1.83203125" style="947" customWidth="1"/>
    <col min="11533" max="11533" width="13" style="947" customWidth="1"/>
    <col min="11534" max="11534" width="1.83203125" style="947" customWidth="1"/>
    <col min="11535" max="11535" width="13.83203125" style="947" customWidth="1"/>
    <col min="11536" max="11776" width="9.33203125" style="947"/>
    <col min="11777" max="11778" width="3.1640625" style="947" customWidth="1"/>
    <col min="11779" max="11779" width="48.83203125" style="947" customWidth="1"/>
    <col min="11780" max="11780" width="1.83203125" style="947" customWidth="1"/>
    <col min="11781" max="11781" width="21.1640625" style="947" customWidth="1"/>
    <col min="11782" max="11782" width="1.83203125" style="947" customWidth="1"/>
    <col min="11783" max="11783" width="21.1640625" style="947" customWidth="1"/>
    <col min="11784" max="11784" width="1.83203125" style="947" customWidth="1"/>
    <col min="11785" max="11785" width="21.1640625" style="947" customWidth="1"/>
    <col min="11786" max="11786" width="1.83203125" style="947" customWidth="1"/>
    <col min="11787" max="11787" width="17.33203125" style="947" customWidth="1"/>
    <col min="11788" max="11788" width="1.83203125" style="947" customWidth="1"/>
    <col min="11789" max="11789" width="13" style="947" customWidth="1"/>
    <col min="11790" max="11790" width="1.83203125" style="947" customWidth="1"/>
    <col min="11791" max="11791" width="13.83203125" style="947" customWidth="1"/>
    <col min="11792" max="12032" width="9.33203125" style="947"/>
    <col min="12033" max="12034" width="3.1640625" style="947" customWidth="1"/>
    <col min="12035" max="12035" width="48.83203125" style="947" customWidth="1"/>
    <col min="12036" max="12036" width="1.83203125" style="947" customWidth="1"/>
    <col min="12037" max="12037" width="21.1640625" style="947" customWidth="1"/>
    <col min="12038" max="12038" width="1.83203125" style="947" customWidth="1"/>
    <col min="12039" max="12039" width="21.1640625" style="947" customWidth="1"/>
    <col min="12040" max="12040" width="1.83203125" style="947" customWidth="1"/>
    <col min="12041" max="12041" width="21.1640625" style="947" customWidth="1"/>
    <col min="12042" max="12042" width="1.83203125" style="947" customWidth="1"/>
    <col min="12043" max="12043" width="17.33203125" style="947" customWidth="1"/>
    <col min="12044" max="12044" width="1.83203125" style="947" customWidth="1"/>
    <col min="12045" max="12045" width="13" style="947" customWidth="1"/>
    <col min="12046" max="12046" width="1.83203125" style="947" customWidth="1"/>
    <col min="12047" max="12047" width="13.83203125" style="947" customWidth="1"/>
    <col min="12048" max="12288" width="9.33203125" style="947"/>
    <col min="12289" max="12290" width="3.1640625" style="947" customWidth="1"/>
    <col min="12291" max="12291" width="48.83203125" style="947" customWidth="1"/>
    <col min="12292" max="12292" width="1.83203125" style="947" customWidth="1"/>
    <col min="12293" max="12293" width="21.1640625" style="947" customWidth="1"/>
    <col min="12294" max="12294" width="1.83203125" style="947" customWidth="1"/>
    <col min="12295" max="12295" width="21.1640625" style="947" customWidth="1"/>
    <col min="12296" max="12296" width="1.83203125" style="947" customWidth="1"/>
    <col min="12297" max="12297" width="21.1640625" style="947" customWidth="1"/>
    <col min="12298" max="12298" width="1.83203125" style="947" customWidth="1"/>
    <col min="12299" max="12299" width="17.33203125" style="947" customWidth="1"/>
    <col min="12300" max="12300" width="1.83203125" style="947" customWidth="1"/>
    <col min="12301" max="12301" width="13" style="947" customWidth="1"/>
    <col min="12302" max="12302" width="1.83203125" style="947" customWidth="1"/>
    <col min="12303" max="12303" width="13.83203125" style="947" customWidth="1"/>
    <col min="12304" max="12544" width="9.33203125" style="947"/>
    <col min="12545" max="12546" width="3.1640625" style="947" customWidth="1"/>
    <col min="12547" max="12547" width="48.83203125" style="947" customWidth="1"/>
    <col min="12548" max="12548" width="1.83203125" style="947" customWidth="1"/>
    <col min="12549" max="12549" width="21.1640625" style="947" customWidth="1"/>
    <col min="12550" max="12550" width="1.83203125" style="947" customWidth="1"/>
    <col min="12551" max="12551" width="21.1640625" style="947" customWidth="1"/>
    <col min="12552" max="12552" width="1.83203125" style="947" customWidth="1"/>
    <col min="12553" max="12553" width="21.1640625" style="947" customWidth="1"/>
    <col min="12554" max="12554" width="1.83203125" style="947" customWidth="1"/>
    <col min="12555" max="12555" width="17.33203125" style="947" customWidth="1"/>
    <col min="12556" max="12556" width="1.83203125" style="947" customWidth="1"/>
    <col min="12557" max="12557" width="13" style="947" customWidth="1"/>
    <col min="12558" max="12558" width="1.83203125" style="947" customWidth="1"/>
    <col min="12559" max="12559" width="13.83203125" style="947" customWidth="1"/>
    <col min="12560" max="12800" width="9.33203125" style="947"/>
    <col min="12801" max="12802" width="3.1640625" style="947" customWidth="1"/>
    <col min="12803" max="12803" width="48.83203125" style="947" customWidth="1"/>
    <col min="12804" max="12804" width="1.83203125" style="947" customWidth="1"/>
    <col min="12805" max="12805" width="21.1640625" style="947" customWidth="1"/>
    <col min="12806" max="12806" width="1.83203125" style="947" customWidth="1"/>
    <col min="12807" max="12807" width="21.1640625" style="947" customWidth="1"/>
    <col min="12808" max="12808" width="1.83203125" style="947" customWidth="1"/>
    <col min="12809" max="12809" width="21.1640625" style="947" customWidth="1"/>
    <col min="12810" max="12810" width="1.83203125" style="947" customWidth="1"/>
    <col min="12811" max="12811" width="17.33203125" style="947" customWidth="1"/>
    <col min="12812" max="12812" width="1.83203125" style="947" customWidth="1"/>
    <col min="12813" max="12813" width="13" style="947" customWidth="1"/>
    <col min="12814" max="12814" width="1.83203125" style="947" customWidth="1"/>
    <col min="12815" max="12815" width="13.83203125" style="947" customWidth="1"/>
    <col min="12816" max="13056" width="9.33203125" style="947"/>
    <col min="13057" max="13058" width="3.1640625" style="947" customWidth="1"/>
    <col min="13059" max="13059" width="48.83203125" style="947" customWidth="1"/>
    <col min="13060" max="13060" width="1.83203125" style="947" customWidth="1"/>
    <col min="13061" max="13061" width="21.1640625" style="947" customWidth="1"/>
    <col min="13062" max="13062" width="1.83203125" style="947" customWidth="1"/>
    <col min="13063" max="13063" width="21.1640625" style="947" customWidth="1"/>
    <col min="13064" max="13064" width="1.83203125" style="947" customWidth="1"/>
    <col min="13065" max="13065" width="21.1640625" style="947" customWidth="1"/>
    <col min="13066" max="13066" width="1.83203125" style="947" customWidth="1"/>
    <col min="13067" max="13067" width="17.33203125" style="947" customWidth="1"/>
    <col min="13068" max="13068" width="1.83203125" style="947" customWidth="1"/>
    <col min="13069" max="13069" width="13" style="947" customWidth="1"/>
    <col min="13070" max="13070" width="1.83203125" style="947" customWidth="1"/>
    <col min="13071" max="13071" width="13.83203125" style="947" customWidth="1"/>
    <col min="13072" max="13312" width="9.33203125" style="947"/>
    <col min="13313" max="13314" width="3.1640625" style="947" customWidth="1"/>
    <col min="13315" max="13315" width="48.83203125" style="947" customWidth="1"/>
    <col min="13316" max="13316" width="1.83203125" style="947" customWidth="1"/>
    <col min="13317" max="13317" width="21.1640625" style="947" customWidth="1"/>
    <col min="13318" max="13318" width="1.83203125" style="947" customWidth="1"/>
    <col min="13319" max="13319" width="21.1640625" style="947" customWidth="1"/>
    <col min="13320" max="13320" width="1.83203125" style="947" customWidth="1"/>
    <col min="13321" max="13321" width="21.1640625" style="947" customWidth="1"/>
    <col min="13322" max="13322" width="1.83203125" style="947" customWidth="1"/>
    <col min="13323" max="13323" width="17.33203125" style="947" customWidth="1"/>
    <col min="13324" max="13324" width="1.83203125" style="947" customWidth="1"/>
    <col min="13325" max="13325" width="13" style="947" customWidth="1"/>
    <col min="13326" max="13326" width="1.83203125" style="947" customWidth="1"/>
    <col min="13327" max="13327" width="13.83203125" style="947" customWidth="1"/>
    <col min="13328" max="13568" width="9.33203125" style="947"/>
    <col min="13569" max="13570" width="3.1640625" style="947" customWidth="1"/>
    <col min="13571" max="13571" width="48.83203125" style="947" customWidth="1"/>
    <col min="13572" max="13572" width="1.83203125" style="947" customWidth="1"/>
    <col min="13573" max="13573" width="21.1640625" style="947" customWidth="1"/>
    <col min="13574" max="13574" width="1.83203125" style="947" customWidth="1"/>
    <col min="13575" max="13575" width="21.1640625" style="947" customWidth="1"/>
    <col min="13576" max="13576" width="1.83203125" style="947" customWidth="1"/>
    <col min="13577" max="13577" width="21.1640625" style="947" customWidth="1"/>
    <col min="13578" max="13578" width="1.83203125" style="947" customWidth="1"/>
    <col min="13579" max="13579" width="17.33203125" style="947" customWidth="1"/>
    <col min="13580" max="13580" width="1.83203125" style="947" customWidth="1"/>
    <col min="13581" max="13581" width="13" style="947" customWidth="1"/>
    <col min="13582" max="13582" width="1.83203125" style="947" customWidth="1"/>
    <col min="13583" max="13583" width="13.83203125" style="947" customWidth="1"/>
    <col min="13584" max="13824" width="9.33203125" style="947"/>
    <col min="13825" max="13826" width="3.1640625" style="947" customWidth="1"/>
    <col min="13827" max="13827" width="48.83203125" style="947" customWidth="1"/>
    <col min="13828" max="13828" width="1.83203125" style="947" customWidth="1"/>
    <col min="13829" max="13829" width="21.1640625" style="947" customWidth="1"/>
    <col min="13830" max="13830" width="1.83203125" style="947" customWidth="1"/>
    <col min="13831" max="13831" width="21.1640625" style="947" customWidth="1"/>
    <col min="13832" max="13832" width="1.83203125" style="947" customWidth="1"/>
    <col min="13833" max="13833" width="21.1640625" style="947" customWidth="1"/>
    <col min="13834" max="13834" width="1.83203125" style="947" customWidth="1"/>
    <col min="13835" max="13835" width="17.33203125" style="947" customWidth="1"/>
    <col min="13836" max="13836" width="1.83203125" style="947" customWidth="1"/>
    <col min="13837" max="13837" width="13" style="947" customWidth="1"/>
    <col min="13838" max="13838" width="1.83203125" style="947" customWidth="1"/>
    <col min="13839" max="13839" width="13.83203125" style="947" customWidth="1"/>
    <col min="13840" max="14080" width="9.33203125" style="947"/>
    <col min="14081" max="14082" width="3.1640625" style="947" customWidth="1"/>
    <col min="14083" max="14083" width="48.83203125" style="947" customWidth="1"/>
    <col min="14084" max="14084" width="1.83203125" style="947" customWidth="1"/>
    <col min="14085" max="14085" width="21.1640625" style="947" customWidth="1"/>
    <col min="14086" max="14086" width="1.83203125" style="947" customWidth="1"/>
    <col min="14087" max="14087" width="21.1640625" style="947" customWidth="1"/>
    <col min="14088" max="14088" width="1.83203125" style="947" customWidth="1"/>
    <col min="14089" max="14089" width="21.1640625" style="947" customWidth="1"/>
    <col min="14090" max="14090" width="1.83203125" style="947" customWidth="1"/>
    <col min="14091" max="14091" width="17.33203125" style="947" customWidth="1"/>
    <col min="14092" max="14092" width="1.83203125" style="947" customWidth="1"/>
    <col min="14093" max="14093" width="13" style="947" customWidth="1"/>
    <col min="14094" max="14094" width="1.83203125" style="947" customWidth="1"/>
    <col min="14095" max="14095" width="13.83203125" style="947" customWidth="1"/>
    <col min="14096" max="14336" width="9.33203125" style="947"/>
    <col min="14337" max="14338" width="3.1640625" style="947" customWidth="1"/>
    <col min="14339" max="14339" width="48.83203125" style="947" customWidth="1"/>
    <col min="14340" max="14340" width="1.83203125" style="947" customWidth="1"/>
    <col min="14341" max="14341" width="21.1640625" style="947" customWidth="1"/>
    <col min="14342" max="14342" width="1.83203125" style="947" customWidth="1"/>
    <col min="14343" max="14343" width="21.1640625" style="947" customWidth="1"/>
    <col min="14344" max="14344" width="1.83203125" style="947" customWidth="1"/>
    <col min="14345" max="14345" width="21.1640625" style="947" customWidth="1"/>
    <col min="14346" max="14346" width="1.83203125" style="947" customWidth="1"/>
    <col min="14347" max="14347" width="17.33203125" style="947" customWidth="1"/>
    <col min="14348" max="14348" width="1.83203125" style="947" customWidth="1"/>
    <col min="14349" max="14349" width="13" style="947" customWidth="1"/>
    <col min="14350" max="14350" width="1.83203125" style="947" customWidth="1"/>
    <col min="14351" max="14351" width="13.83203125" style="947" customWidth="1"/>
    <col min="14352" max="14592" width="9.33203125" style="947"/>
    <col min="14593" max="14594" width="3.1640625" style="947" customWidth="1"/>
    <col min="14595" max="14595" width="48.83203125" style="947" customWidth="1"/>
    <col min="14596" max="14596" width="1.83203125" style="947" customWidth="1"/>
    <col min="14597" max="14597" width="21.1640625" style="947" customWidth="1"/>
    <col min="14598" max="14598" width="1.83203125" style="947" customWidth="1"/>
    <col min="14599" max="14599" width="21.1640625" style="947" customWidth="1"/>
    <col min="14600" max="14600" width="1.83203125" style="947" customWidth="1"/>
    <col min="14601" max="14601" width="21.1640625" style="947" customWidth="1"/>
    <col min="14602" max="14602" width="1.83203125" style="947" customWidth="1"/>
    <col min="14603" max="14603" width="17.33203125" style="947" customWidth="1"/>
    <col min="14604" max="14604" width="1.83203125" style="947" customWidth="1"/>
    <col min="14605" max="14605" width="13" style="947" customWidth="1"/>
    <col min="14606" max="14606" width="1.83203125" style="947" customWidth="1"/>
    <col min="14607" max="14607" width="13.83203125" style="947" customWidth="1"/>
    <col min="14608" max="14848" width="9.33203125" style="947"/>
    <col min="14849" max="14850" width="3.1640625" style="947" customWidth="1"/>
    <col min="14851" max="14851" width="48.83203125" style="947" customWidth="1"/>
    <col min="14852" max="14852" width="1.83203125" style="947" customWidth="1"/>
    <col min="14853" max="14853" width="21.1640625" style="947" customWidth="1"/>
    <col min="14854" max="14854" width="1.83203125" style="947" customWidth="1"/>
    <col min="14855" max="14855" width="21.1640625" style="947" customWidth="1"/>
    <col min="14856" max="14856" width="1.83203125" style="947" customWidth="1"/>
    <col min="14857" max="14857" width="21.1640625" style="947" customWidth="1"/>
    <col min="14858" max="14858" width="1.83203125" style="947" customWidth="1"/>
    <col min="14859" max="14859" width="17.33203125" style="947" customWidth="1"/>
    <col min="14860" max="14860" width="1.83203125" style="947" customWidth="1"/>
    <col min="14861" max="14861" width="13" style="947" customWidth="1"/>
    <col min="14862" max="14862" width="1.83203125" style="947" customWidth="1"/>
    <col min="14863" max="14863" width="13.83203125" style="947" customWidth="1"/>
    <col min="14864" max="15104" width="9.33203125" style="947"/>
    <col min="15105" max="15106" width="3.1640625" style="947" customWidth="1"/>
    <col min="15107" max="15107" width="48.83203125" style="947" customWidth="1"/>
    <col min="15108" max="15108" width="1.83203125" style="947" customWidth="1"/>
    <col min="15109" max="15109" width="21.1640625" style="947" customWidth="1"/>
    <col min="15110" max="15110" width="1.83203125" style="947" customWidth="1"/>
    <col min="15111" max="15111" width="21.1640625" style="947" customWidth="1"/>
    <col min="15112" max="15112" width="1.83203125" style="947" customWidth="1"/>
    <col min="15113" max="15113" width="21.1640625" style="947" customWidth="1"/>
    <col min="15114" max="15114" width="1.83203125" style="947" customWidth="1"/>
    <col min="15115" max="15115" width="17.33203125" style="947" customWidth="1"/>
    <col min="15116" max="15116" width="1.83203125" style="947" customWidth="1"/>
    <col min="15117" max="15117" width="13" style="947" customWidth="1"/>
    <col min="15118" max="15118" width="1.83203125" style="947" customWidth="1"/>
    <col min="15119" max="15119" width="13.83203125" style="947" customWidth="1"/>
    <col min="15120" max="15360" width="9.33203125" style="947"/>
    <col min="15361" max="15362" width="3.1640625" style="947" customWidth="1"/>
    <col min="15363" max="15363" width="48.83203125" style="947" customWidth="1"/>
    <col min="15364" max="15364" width="1.83203125" style="947" customWidth="1"/>
    <col min="15365" max="15365" width="21.1640625" style="947" customWidth="1"/>
    <col min="15366" max="15366" width="1.83203125" style="947" customWidth="1"/>
    <col min="15367" max="15367" width="21.1640625" style="947" customWidth="1"/>
    <col min="15368" max="15368" width="1.83203125" style="947" customWidth="1"/>
    <col min="15369" max="15369" width="21.1640625" style="947" customWidth="1"/>
    <col min="15370" max="15370" width="1.83203125" style="947" customWidth="1"/>
    <col min="15371" max="15371" width="17.33203125" style="947" customWidth="1"/>
    <col min="15372" max="15372" width="1.83203125" style="947" customWidth="1"/>
    <col min="15373" max="15373" width="13" style="947" customWidth="1"/>
    <col min="15374" max="15374" width="1.83203125" style="947" customWidth="1"/>
    <col min="15375" max="15375" width="13.83203125" style="947" customWidth="1"/>
    <col min="15376" max="15616" width="9.33203125" style="947"/>
    <col min="15617" max="15618" width="3.1640625" style="947" customWidth="1"/>
    <col min="15619" max="15619" width="48.83203125" style="947" customWidth="1"/>
    <col min="15620" max="15620" width="1.83203125" style="947" customWidth="1"/>
    <col min="15621" max="15621" width="21.1640625" style="947" customWidth="1"/>
    <col min="15622" max="15622" width="1.83203125" style="947" customWidth="1"/>
    <col min="15623" max="15623" width="21.1640625" style="947" customWidth="1"/>
    <col min="15624" max="15624" width="1.83203125" style="947" customWidth="1"/>
    <col min="15625" max="15625" width="21.1640625" style="947" customWidth="1"/>
    <col min="15626" max="15626" width="1.83203125" style="947" customWidth="1"/>
    <col min="15627" max="15627" width="17.33203125" style="947" customWidth="1"/>
    <col min="15628" max="15628" width="1.83203125" style="947" customWidth="1"/>
    <col min="15629" max="15629" width="13" style="947" customWidth="1"/>
    <col min="15630" max="15630" width="1.83203125" style="947" customWidth="1"/>
    <col min="15631" max="15631" width="13.83203125" style="947" customWidth="1"/>
    <col min="15632" max="15872" width="9.33203125" style="947"/>
    <col min="15873" max="15874" width="3.1640625" style="947" customWidth="1"/>
    <col min="15875" max="15875" width="48.83203125" style="947" customWidth="1"/>
    <col min="15876" max="15876" width="1.83203125" style="947" customWidth="1"/>
    <col min="15877" max="15877" width="21.1640625" style="947" customWidth="1"/>
    <col min="15878" max="15878" width="1.83203125" style="947" customWidth="1"/>
    <col min="15879" max="15879" width="21.1640625" style="947" customWidth="1"/>
    <col min="15880" max="15880" width="1.83203125" style="947" customWidth="1"/>
    <col min="15881" max="15881" width="21.1640625" style="947" customWidth="1"/>
    <col min="15882" max="15882" width="1.83203125" style="947" customWidth="1"/>
    <col min="15883" max="15883" width="17.33203125" style="947" customWidth="1"/>
    <col min="15884" max="15884" width="1.83203125" style="947" customWidth="1"/>
    <col min="15885" max="15885" width="13" style="947" customWidth="1"/>
    <col min="15886" max="15886" width="1.83203125" style="947" customWidth="1"/>
    <col min="15887" max="15887" width="13.83203125" style="947" customWidth="1"/>
    <col min="15888" max="16128" width="9.33203125" style="947"/>
    <col min="16129" max="16130" width="3.1640625" style="947" customWidth="1"/>
    <col min="16131" max="16131" width="48.83203125" style="947" customWidth="1"/>
    <col min="16132" max="16132" width="1.83203125" style="947" customWidth="1"/>
    <col min="16133" max="16133" width="21.1640625" style="947" customWidth="1"/>
    <col min="16134" max="16134" width="1.83203125" style="947" customWidth="1"/>
    <col min="16135" max="16135" width="21.1640625" style="947" customWidth="1"/>
    <col min="16136" max="16136" width="1.83203125" style="947" customWidth="1"/>
    <col min="16137" max="16137" width="21.1640625" style="947" customWidth="1"/>
    <col min="16138" max="16138" width="1.83203125" style="947" customWidth="1"/>
    <col min="16139" max="16139" width="17.33203125" style="947" customWidth="1"/>
    <col min="16140" max="16140" width="1.83203125" style="947" customWidth="1"/>
    <col min="16141" max="16141" width="13" style="947" customWidth="1"/>
    <col min="16142" max="16142" width="1.83203125" style="947" customWidth="1"/>
    <col min="16143" max="16143" width="13.83203125" style="947" customWidth="1"/>
    <col min="16144" max="16384" width="9.33203125" style="947"/>
  </cols>
  <sheetData>
    <row r="1" spans="1:15">
      <c r="A1" s="945"/>
      <c r="B1" s="945"/>
      <c r="C1" s="945"/>
      <c r="D1" s="945"/>
      <c r="E1" s="945"/>
      <c r="F1" s="945"/>
      <c r="G1" s="945"/>
      <c r="H1" s="945"/>
      <c r="I1" s="945"/>
      <c r="J1" s="945"/>
      <c r="K1" s="946"/>
      <c r="L1" s="945"/>
      <c r="M1" s="945"/>
      <c r="N1" s="945"/>
      <c r="O1" s="945"/>
    </row>
    <row r="2" spans="1:15" ht="15.75">
      <c r="A2" s="948" t="s">
        <v>1063</v>
      </c>
      <c r="B2" s="949"/>
      <c r="C2" s="949"/>
      <c r="D2" s="949"/>
      <c r="E2" s="949"/>
      <c r="F2" s="949"/>
      <c r="G2" s="949"/>
      <c r="H2" s="949"/>
      <c r="I2" s="949"/>
      <c r="J2" s="949"/>
      <c r="K2" s="950"/>
      <c r="L2" s="949"/>
      <c r="M2" s="949"/>
      <c r="N2" s="949"/>
      <c r="O2" s="951"/>
    </row>
    <row r="3" spans="1:15" ht="15.75">
      <c r="A3" s="948" t="s">
        <v>1172</v>
      </c>
      <c r="B3" s="949"/>
      <c r="C3" s="949"/>
      <c r="D3" s="949"/>
      <c r="E3" s="949"/>
      <c r="F3" s="949"/>
      <c r="G3" s="949"/>
      <c r="H3" s="949"/>
      <c r="I3" s="949"/>
      <c r="J3" s="949"/>
      <c r="K3" s="950"/>
      <c r="L3" s="949"/>
      <c r="M3" s="949"/>
      <c r="N3" s="949"/>
      <c r="O3" s="951"/>
    </row>
    <row r="4" spans="1:15" ht="15.75">
      <c r="A4" s="952" t="s">
        <v>1215</v>
      </c>
      <c r="B4" s="949"/>
      <c r="C4" s="949"/>
      <c r="D4" s="948"/>
      <c r="E4" s="949"/>
      <c r="F4" s="948"/>
      <c r="G4" s="949"/>
      <c r="H4" s="948"/>
      <c r="I4" s="949"/>
      <c r="J4" s="948"/>
      <c r="K4" s="950"/>
      <c r="L4" s="948"/>
      <c r="M4" s="949"/>
      <c r="N4" s="948"/>
      <c r="O4" s="951"/>
    </row>
    <row r="5" spans="1:15" ht="15.75">
      <c r="A5" s="953" t="s">
        <v>1174</v>
      </c>
      <c r="B5" s="949"/>
      <c r="C5" s="949"/>
      <c r="D5" s="953"/>
      <c r="E5" s="949"/>
      <c r="F5" s="953"/>
      <c r="G5" s="949"/>
      <c r="H5" s="953"/>
      <c r="I5" s="949"/>
      <c r="J5" s="953"/>
      <c r="K5" s="950"/>
      <c r="L5" s="953"/>
      <c r="M5" s="954"/>
      <c r="N5" s="953"/>
      <c r="O5" s="956"/>
    </row>
    <row r="6" spans="1:15" ht="9" customHeight="1">
      <c r="A6" s="958"/>
      <c r="B6" s="958"/>
      <c r="C6" s="958"/>
      <c r="D6" s="958"/>
      <c r="E6" s="958"/>
      <c r="F6" s="958"/>
      <c r="G6" s="958"/>
      <c r="H6" s="958"/>
      <c r="I6" s="958"/>
      <c r="J6" s="958"/>
      <c r="K6" s="959"/>
      <c r="L6" s="958"/>
      <c r="M6" s="958"/>
      <c r="N6" s="958"/>
      <c r="O6" s="960"/>
    </row>
    <row r="7" spans="1:15">
      <c r="A7" s="957"/>
      <c r="B7" s="957"/>
      <c r="C7" s="957"/>
      <c r="D7" s="957"/>
      <c r="E7" s="957"/>
      <c r="F7" s="957"/>
      <c r="G7" s="957"/>
      <c r="H7" s="957"/>
      <c r="I7" s="961" t="s">
        <v>1216</v>
      </c>
      <c r="J7" s="962"/>
      <c r="K7" s="963"/>
      <c r="L7" s="964"/>
      <c r="M7" s="965" t="s">
        <v>1177</v>
      </c>
      <c r="N7" s="962"/>
      <c r="O7" s="951"/>
    </row>
    <row r="8" spans="1:15">
      <c r="A8" s="957"/>
      <c r="B8" s="957"/>
      <c r="C8" s="957"/>
      <c r="D8" s="957"/>
      <c r="E8" s="966" t="s">
        <v>36</v>
      </c>
      <c r="F8" s="957"/>
      <c r="G8" s="966" t="s">
        <v>36</v>
      </c>
      <c r="H8" s="957"/>
      <c r="I8" s="957"/>
      <c r="J8" s="957"/>
      <c r="K8" s="957"/>
      <c r="L8" s="957"/>
      <c r="M8" s="956"/>
      <c r="N8" s="956"/>
      <c r="O8" s="962"/>
    </row>
    <row r="9" spans="1:15">
      <c r="A9" s="957"/>
      <c r="B9" s="957"/>
      <c r="C9" s="957"/>
      <c r="D9" s="957"/>
      <c r="E9" s="967">
        <v>2006</v>
      </c>
      <c r="F9" s="957"/>
      <c r="G9" s="967">
        <v>2005</v>
      </c>
      <c r="H9" s="957"/>
      <c r="I9" s="968" t="s">
        <v>41</v>
      </c>
      <c r="J9" s="957"/>
      <c r="K9" s="969" t="s">
        <v>1179</v>
      </c>
      <c r="L9" s="957"/>
      <c r="M9" s="970">
        <v>2006</v>
      </c>
      <c r="N9" s="957"/>
      <c r="O9" s="971">
        <v>2005</v>
      </c>
    </row>
    <row r="10" spans="1:15">
      <c r="A10" s="972" t="s">
        <v>1180</v>
      </c>
      <c r="B10" s="972"/>
      <c r="C10" s="972"/>
      <c r="D10" s="957"/>
      <c r="E10" s="957"/>
      <c r="F10" s="957"/>
      <c r="G10" s="966"/>
      <c r="H10" s="957"/>
      <c r="I10" s="957"/>
      <c r="J10" s="957"/>
      <c r="K10" s="973"/>
      <c r="L10" s="957"/>
      <c r="M10" s="957"/>
      <c r="N10" s="957"/>
      <c r="O10" s="964"/>
    </row>
    <row r="11" spans="1:15">
      <c r="A11" s="972"/>
      <c r="B11" s="972" t="s">
        <v>1181</v>
      </c>
      <c r="C11" s="957"/>
      <c r="D11" s="957"/>
      <c r="E11" s="957"/>
      <c r="F11" s="957"/>
      <c r="G11" s="957"/>
      <c r="H11" s="957"/>
      <c r="I11" s="957"/>
      <c r="J11" s="957"/>
      <c r="K11" s="973"/>
      <c r="L11" s="957"/>
      <c r="M11" s="957"/>
      <c r="N11" s="957"/>
      <c r="O11" s="964"/>
    </row>
    <row r="12" spans="1:15">
      <c r="A12" s="957"/>
      <c r="B12" s="957"/>
      <c r="C12" s="957" t="s">
        <v>1182</v>
      </c>
      <c r="D12" s="974"/>
      <c r="E12" s="975">
        <v>666103091</v>
      </c>
      <c r="F12" s="974"/>
      <c r="G12" s="975">
        <v>541007397</v>
      </c>
      <c r="H12" s="974"/>
      <c r="I12" s="975">
        <f>+E12-G12</f>
        <v>125095694</v>
      </c>
      <c r="J12" s="974"/>
      <c r="K12" s="976">
        <f>+I12/G12</f>
        <v>0.23122732645372684</v>
      </c>
      <c r="L12" s="974"/>
      <c r="M12" s="977">
        <f>E12/E43</f>
        <v>1.2621038360464809</v>
      </c>
      <c r="N12" s="974"/>
      <c r="O12" s="977">
        <f>G12/G43</f>
        <v>1.0876807295797193</v>
      </c>
    </row>
    <row r="13" spans="1:15">
      <c r="A13" s="957"/>
      <c r="B13" s="957"/>
      <c r="C13" s="957" t="s">
        <v>1183</v>
      </c>
      <c r="D13" s="978"/>
      <c r="E13" s="979">
        <v>267284088</v>
      </c>
      <c r="F13" s="978"/>
      <c r="G13" s="980">
        <v>214513348</v>
      </c>
      <c r="H13" s="978"/>
      <c r="I13" s="980">
        <f>+E13-G13</f>
        <v>52770740</v>
      </c>
      <c r="J13" s="978"/>
      <c r="K13" s="976">
        <f>+I13/G13</f>
        <v>0.2460021275692364</v>
      </c>
      <c r="L13" s="978"/>
      <c r="M13" s="981">
        <f>E13/E44</f>
        <v>1.1397989395230304</v>
      </c>
      <c r="N13" s="982"/>
      <c r="O13" s="981">
        <f>G13/G44</f>
        <v>0.97245063731786241</v>
      </c>
    </row>
    <row r="14" spans="1:15">
      <c r="A14" s="957"/>
      <c r="B14" s="957"/>
      <c r="C14" s="957" t="s">
        <v>1184</v>
      </c>
      <c r="D14" s="983"/>
      <c r="E14" s="979">
        <v>43412019</v>
      </c>
      <c r="F14" s="983"/>
      <c r="G14" s="980">
        <v>34623873</v>
      </c>
      <c r="H14" s="983"/>
      <c r="I14" s="980">
        <f>+E14-G14</f>
        <v>8788146</v>
      </c>
      <c r="J14" s="983"/>
      <c r="K14" s="984">
        <f>+I14/G14</f>
        <v>0.25381753219808773</v>
      </c>
      <c r="L14" s="983"/>
      <c r="M14" s="981">
        <f>E14/E45</f>
        <v>1.0387801101213634</v>
      </c>
      <c r="N14" s="982"/>
      <c r="O14" s="981">
        <f>G14/G45</f>
        <v>0.94260132021294851</v>
      </c>
    </row>
    <row r="15" spans="1:15" ht="8.25" customHeight="1">
      <c r="A15" s="957"/>
      <c r="B15" s="957"/>
      <c r="C15" s="957"/>
      <c r="D15" s="978"/>
      <c r="E15" s="985"/>
      <c r="F15" s="978"/>
      <c r="G15" s="985"/>
      <c r="H15" s="978"/>
      <c r="I15" s="985"/>
      <c r="J15" s="978"/>
      <c r="K15" s="973"/>
      <c r="L15" s="978"/>
      <c r="M15" s="986"/>
      <c r="N15" s="978"/>
      <c r="O15" s="986"/>
    </row>
    <row r="16" spans="1:15">
      <c r="A16" s="957"/>
      <c r="B16" s="957"/>
      <c r="C16" s="957" t="s">
        <v>1185</v>
      </c>
      <c r="D16" s="978"/>
      <c r="E16" s="987">
        <f>SUM(E12:E15)</f>
        <v>976799198</v>
      </c>
      <c r="F16" s="978"/>
      <c r="G16" s="987">
        <f>SUM(G12:G15)</f>
        <v>790144618</v>
      </c>
      <c r="H16" s="978"/>
      <c r="I16" s="987">
        <f>+E16-G16</f>
        <v>186654580</v>
      </c>
      <c r="J16" s="978"/>
      <c r="K16" s="976">
        <f>+I16/G16</f>
        <v>0.23622837610722042</v>
      </c>
      <c r="L16" s="978"/>
      <c r="M16" s="981">
        <f>E16/E47</f>
        <v>1.2148269915243399</v>
      </c>
      <c r="N16" s="982"/>
      <c r="O16" s="981">
        <f>G16/G47</f>
        <v>1.0469400168223864</v>
      </c>
    </row>
    <row r="17" spans="1:21" ht="8.25" customHeight="1">
      <c r="A17" s="957"/>
      <c r="B17" s="957"/>
      <c r="C17" s="957"/>
      <c r="D17" s="978"/>
      <c r="E17" s="987"/>
      <c r="F17" s="978"/>
      <c r="G17" s="987"/>
      <c r="H17" s="978"/>
      <c r="I17" s="987"/>
      <c r="J17" s="978"/>
      <c r="K17" s="973"/>
      <c r="L17" s="978"/>
      <c r="M17" s="957"/>
      <c r="N17" s="978"/>
      <c r="O17" s="964"/>
    </row>
    <row r="18" spans="1:21">
      <c r="A18" s="957"/>
      <c r="B18" s="988" t="s">
        <v>1186</v>
      </c>
      <c r="C18" s="957"/>
      <c r="D18" s="978"/>
      <c r="E18" s="987"/>
      <c r="F18" s="978"/>
      <c r="G18" s="987"/>
      <c r="H18" s="978"/>
      <c r="I18" s="987"/>
      <c r="J18" s="978"/>
      <c r="K18" s="973"/>
      <c r="L18" s="978"/>
      <c r="M18" s="957"/>
      <c r="N18" s="978"/>
      <c r="O18" s="964"/>
    </row>
    <row r="19" spans="1:21">
      <c r="A19" s="957"/>
      <c r="B19" s="957"/>
      <c r="C19" s="957" t="s">
        <v>1187</v>
      </c>
      <c r="D19" s="978"/>
      <c r="E19" s="979">
        <v>54153638</v>
      </c>
      <c r="F19" s="978"/>
      <c r="G19" s="980">
        <v>44024276</v>
      </c>
      <c r="H19" s="978"/>
      <c r="I19" s="980">
        <f>+E19-G19</f>
        <v>10129362</v>
      </c>
      <c r="J19" s="978"/>
      <c r="K19" s="976">
        <f>+I19/G19</f>
        <v>0.23008582810084147</v>
      </c>
      <c r="L19" s="978"/>
      <c r="M19" s="981">
        <f>E19/E50</f>
        <v>0.98650874600117355</v>
      </c>
      <c r="N19" s="982"/>
      <c r="O19" s="981">
        <f>G19/G50</f>
        <v>0.87210556230448366</v>
      </c>
    </row>
    <row r="20" spans="1:21">
      <c r="A20" s="957"/>
      <c r="B20" s="957"/>
      <c r="C20" s="957" t="s">
        <v>1188</v>
      </c>
      <c r="D20" s="983"/>
      <c r="E20" s="979">
        <v>12657267</v>
      </c>
      <c r="F20" s="983"/>
      <c r="G20" s="980">
        <v>9278700</v>
      </c>
      <c r="H20" s="983"/>
      <c r="I20" s="980">
        <f>+E20-G20</f>
        <v>3378567</v>
      </c>
      <c r="J20" s="983"/>
      <c r="K20" s="984">
        <f>+I20/G20</f>
        <v>0.36412072811924084</v>
      </c>
      <c r="L20" s="983"/>
      <c r="M20" s="981">
        <f>E20/E51</f>
        <v>1.1087540668568892</v>
      </c>
      <c r="N20" s="982"/>
      <c r="O20" s="981">
        <f>G20/G51</f>
        <v>0.78559238451126467</v>
      </c>
    </row>
    <row r="21" spans="1:21" ht="8.25" customHeight="1">
      <c r="A21" s="957"/>
      <c r="B21" s="957"/>
      <c r="C21" s="957"/>
      <c r="D21" s="978"/>
      <c r="E21" s="985"/>
      <c r="F21" s="978"/>
      <c r="G21" s="985"/>
      <c r="H21" s="978"/>
      <c r="I21" s="985"/>
      <c r="J21" s="978"/>
      <c r="K21" s="989"/>
      <c r="L21" s="978"/>
      <c r="M21" s="986"/>
      <c r="N21" s="978"/>
      <c r="O21" s="986"/>
    </row>
    <row r="22" spans="1:21">
      <c r="A22" s="957"/>
      <c r="B22" s="957"/>
      <c r="C22" s="957" t="s">
        <v>1189</v>
      </c>
      <c r="D22" s="983"/>
      <c r="E22" s="990">
        <f>SUM(E19:E21)</f>
        <v>66810905</v>
      </c>
      <c r="F22" s="983"/>
      <c r="G22" s="990">
        <f>SUM(G19:G21)</f>
        <v>53302976</v>
      </c>
      <c r="H22" s="983"/>
      <c r="I22" s="990">
        <f>+E22-G22</f>
        <v>13507929</v>
      </c>
      <c r="J22" s="983"/>
      <c r="K22" s="984">
        <f>+I22/G22</f>
        <v>0.2534179142267779</v>
      </c>
      <c r="L22" s="983"/>
      <c r="M22" s="981">
        <f>E22/E53</f>
        <v>1.0075541863701467</v>
      </c>
      <c r="N22" s="982"/>
      <c r="O22" s="981">
        <f>G22/G53</f>
        <v>0.85570181281946656</v>
      </c>
    </row>
    <row r="23" spans="1:21" ht="8.25" customHeight="1">
      <c r="A23" s="957"/>
      <c r="B23" s="957"/>
      <c r="C23" s="957"/>
      <c r="D23" s="983"/>
      <c r="E23" s="979"/>
      <c r="F23" s="983"/>
      <c r="G23" s="979"/>
      <c r="H23" s="983"/>
      <c r="I23" s="979"/>
      <c r="J23" s="983"/>
      <c r="K23" s="989"/>
      <c r="L23" s="983"/>
      <c r="M23" s="986"/>
      <c r="N23" s="983"/>
      <c r="O23" s="986"/>
    </row>
    <row r="24" spans="1:21">
      <c r="A24" s="957"/>
      <c r="B24" s="957"/>
      <c r="C24" s="957" t="s">
        <v>1190</v>
      </c>
      <c r="D24" s="983"/>
      <c r="E24" s="979">
        <f>+E16+E22</f>
        <v>1043610103</v>
      </c>
      <c r="F24" s="983"/>
      <c r="G24" s="979">
        <f>+G16+G22</f>
        <v>843447594</v>
      </c>
      <c r="H24" s="983"/>
      <c r="I24" s="979">
        <f>+E24-G24</f>
        <v>200162509</v>
      </c>
      <c r="J24" s="983"/>
      <c r="K24" s="976">
        <f>+I24/G24</f>
        <v>0.23731469557076001</v>
      </c>
      <c r="L24" s="983"/>
      <c r="M24" s="981">
        <f>E24/E55</f>
        <v>1.199035791306178</v>
      </c>
      <c r="N24" s="982"/>
      <c r="O24" s="981">
        <f>G24/G55</f>
        <v>1.0323593808835556</v>
      </c>
    </row>
    <row r="25" spans="1:21" ht="8.25" customHeight="1">
      <c r="A25" s="957"/>
      <c r="B25" s="957"/>
      <c r="C25" s="957"/>
      <c r="D25" s="978"/>
      <c r="E25" s="987"/>
      <c r="F25" s="978"/>
      <c r="G25" s="987"/>
      <c r="H25" s="978"/>
      <c r="I25" s="987"/>
      <c r="J25" s="978"/>
      <c r="K25" s="973"/>
      <c r="L25" s="978"/>
      <c r="M25" s="957"/>
      <c r="N25" s="978"/>
      <c r="O25" s="964"/>
    </row>
    <row r="26" spans="1:21">
      <c r="A26" s="957"/>
      <c r="B26" s="988" t="s">
        <v>1191</v>
      </c>
      <c r="C26" s="957"/>
      <c r="D26" s="978"/>
      <c r="E26" s="987"/>
      <c r="F26" s="978"/>
      <c r="G26" s="987"/>
      <c r="H26" s="978"/>
      <c r="I26" s="987"/>
      <c r="J26" s="978"/>
      <c r="K26" s="973"/>
      <c r="L26" s="978"/>
      <c r="M26" s="957"/>
      <c r="N26" s="978"/>
      <c r="O26" s="964"/>
    </row>
    <row r="27" spans="1:21">
      <c r="A27" s="957"/>
      <c r="B27" s="957"/>
      <c r="C27" s="957" t="s">
        <v>1192</v>
      </c>
      <c r="D27" s="978"/>
      <c r="E27" s="979">
        <v>2988724</v>
      </c>
      <c r="F27" s="978"/>
      <c r="G27" s="980">
        <v>2939910</v>
      </c>
      <c r="H27" s="978"/>
      <c r="I27" s="980">
        <f>+E27-G27</f>
        <v>48814</v>
      </c>
      <c r="J27" s="978"/>
      <c r="K27" s="976">
        <f>+I27/G27</f>
        <v>1.6603909643492488E-2</v>
      </c>
      <c r="L27" s="978"/>
      <c r="M27" s="981">
        <f>E27/E58</f>
        <v>7.704379603157134E-2</v>
      </c>
      <c r="N27" s="982"/>
      <c r="O27" s="981">
        <f>G27/G58</f>
        <v>7.6001878906687262E-2</v>
      </c>
    </row>
    <row r="28" spans="1:21">
      <c r="A28" s="957"/>
      <c r="B28" s="957"/>
      <c r="C28" s="957" t="s">
        <v>1193</v>
      </c>
      <c r="D28" s="983"/>
      <c r="E28" s="979">
        <v>10326321</v>
      </c>
      <c r="F28" s="983"/>
      <c r="G28" s="980">
        <v>10194343</v>
      </c>
      <c r="H28" s="983"/>
      <c r="I28" s="980">
        <f>+E28-G28</f>
        <v>131978</v>
      </c>
      <c r="J28" s="983"/>
      <c r="K28" s="984">
        <f>+I28/G28</f>
        <v>1.2946199671719893E-2</v>
      </c>
      <c r="L28" s="983"/>
      <c r="M28" s="981">
        <f>E28/E59</f>
        <v>6.2405316579140682E-2</v>
      </c>
      <c r="N28" s="982"/>
      <c r="O28" s="981">
        <f>G28/G59</f>
        <v>6.3331692049453811E-2</v>
      </c>
    </row>
    <row r="29" spans="1:21" ht="8.25" customHeight="1">
      <c r="A29" s="957"/>
      <c r="B29" s="957"/>
      <c r="C29" s="957"/>
      <c r="D29" s="978"/>
      <c r="E29" s="985"/>
      <c r="F29" s="978"/>
      <c r="G29" s="985"/>
      <c r="H29" s="978"/>
      <c r="I29" s="985"/>
      <c r="J29" s="978"/>
      <c r="K29" s="989"/>
      <c r="L29" s="978"/>
      <c r="M29" s="986"/>
      <c r="N29" s="978"/>
      <c r="O29" s="986"/>
    </row>
    <row r="30" spans="1:21">
      <c r="A30" s="957"/>
      <c r="B30" s="957"/>
      <c r="C30" s="957" t="s">
        <v>1212</v>
      </c>
      <c r="D30" s="978"/>
      <c r="E30" s="987">
        <f>SUM(E27:E29)</f>
        <v>13315045</v>
      </c>
      <c r="F30" s="978"/>
      <c r="G30" s="987">
        <f>SUM(G27:G29)</f>
        <v>13134253</v>
      </c>
      <c r="H30" s="978"/>
      <c r="I30" s="987">
        <f>+E30-G30</f>
        <v>180792</v>
      </c>
      <c r="J30" s="978"/>
      <c r="K30" s="976">
        <f>+I30/G30</f>
        <v>1.3764924430799377E-2</v>
      </c>
      <c r="L30" s="978"/>
      <c r="M30" s="981">
        <f>E30/E61</f>
        <v>6.5185359708489113E-2</v>
      </c>
      <c r="N30" s="978"/>
      <c r="O30" s="981">
        <f>G30/G61</f>
        <v>6.578653880475524E-2</v>
      </c>
    </row>
    <row r="31" spans="1:21" ht="8.25" customHeight="1">
      <c r="A31" s="957"/>
      <c r="B31" s="957"/>
      <c r="C31" s="957"/>
      <c r="D31" s="978"/>
      <c r="E31" s="985"/>
      <c r="F31" s="978"/>
      <c r="G31" s="991"/>
      <c r="H31" s="978"/>
      <c r="I31" s="991"/>
      <c r="J31" s="978"/>
      <c r="K31" s="992"/>
      <c r="L31" s="978"/>
      <c r="M31" s="993"/>
      <c r="N31" s="978"/>
      <c r="O31" s="993"/>
      <c r="P31" s="978"/>
      <c r="Q31" s="983"/>
      <c r="R31" s="983"/>
      <c r="S31" s="983"/>
      <c r="T31" s="983"/>
      <c r="U31" s="983"/>
    </row>
    <row r="32" spans="1:21">
      <c r="A32" s="957"/>
      <c r="B32" s="957"/>
      <c r="C32" s="957" t="s">
        <v>1195</v>
      </c>
      <c r="D32" s="978"/>
      <c r="E32" s="987">
        <f>+E24+E30</f>
        <v>1056925148</v>
      </c>
      <c r="F32" s="978"/>
      <c r="G32" s="987">
        <f>+G24+G30</f>
        <v>856581847</v>
      </c>
      <c r="H32" s="978"/>
      <c r="I32" s="987">
        <f>+E32-G32</f>
        <v>200343301</v>
      </c>
      <c r="J32" s="978"/>
      <c r="K32" s="976">
        <f>+I32/G32</f>
        <v>0.23388693293193266</v>
      </c>
      <c r="L32" s="978"/>
      <c r="M32" s="977">
        <f>E32/E63</f>
        <v>0.98351665859192239</v>
      </c>
      <c r="N32" s="994"/>
      <c r="O32" s="977">
        <f>G32/G63</f>
        <v>0.84254569376997901</v>
      </c>
    </row>
    <row r="33" spans="1:15" ht="8.25" customHeight="1">
      <c r="A33" s="957"/>
      <c r="B33" s="957"/>
      <c r="C33" s="957"/>
      <c r="D33" s="978"/>
      <c r="E33" s="987"/>
      <c r="F33" s="978"/>
      <c r="G33" s="987"/>
      <c r="H33" s="978"/>
      <c r="I33" s="987"/>
      <c r="J33" s="978"/>
      <c r="K33" s="989"/>
      <c r="L33" s="978"/>
      <c r="M33" s="957"/>
      <c r="N33" s="978"/>
      <c r="O33" s="964"/>
    </row>
    <row r="34" spans="1:15">
      <c r="A34" s="957"/>
      <c r="B34" s="988" t="s">
        <v>1196</v>
      </c>
      <c r="C34" s="957"/>
      <c r="D34" s="983"/>
      <c r="E34" s="1038">
        <v>16516411</v>
      </c>
      <c r="F34" s="983"/>
      <c r="G34" s="990">
        <v>15976075</v>
      </c>
      <c r="H34" s="983"/>
      <c r="I34" s="990">
        <f>+E34-G34</f>
        <v>540336</v>
      </c>
      <c r="J34" s="983"/>
      <c r="K34" s="984">
        <f>+I34/G34</f>
        <v>3.382157382210587E-2</v>
      </c>
      <c r="L34" s="983"/>
      <c r="M34" s="995"/>
      <c r="N34" s="983"/>
      <c r="O34" s="964"/>
    </row>
    <row r="35" spans="1:15" ht="8.25" customHeight="1">
      <c r="A35" s="957"/>
      <c r="B35" s="957"/>
      <c r="C35" s="957"/>
      <c r="D35" s="957"/>
      <c r="E35" s="996"/>
      <c r="F35" s="957"/>
      <c r="G35" s="996"/>
      <c r="H35" s="957"/>
      <c r="I35" s="996"/>
      <c r="J35" s="957"/>
      <c r="K35" s="989"/>
      <c r="L35" s="957"/>
      <c r="M35" s="957"/>
      <c r="N35" s="957"/>
      <c r="O35" s="964"/>
    </row>
    <row r="36" spans="1:15" ht="15.75" thickBot="1">
      <c r="A36" s="957"/>
      <c r="B36" s="957"/>
      <c r="C36" s="957" t="s">
        <v>1197</v>
      </c>
      <c r="D36" s="997"/>
      <c r="E36" s="1035">
        <f>+E32+E34</f>
        <v>1073441559</v>
      </c>
      <c r="F36" s="997"/>
      <c r="G36" s="998">
        <f>+G32+G34</f>
        <v>872557922</v>
      </c>
      <c r="H36" s="997"/>
      <c r="I36" s="998">
        <f>+E36-G36</f>
        <v>200883637</v>
      </c>
      <c r="J36" s="997"/>
      <c r="K36" s="999">
        <f>+I36/G36</f>
        <v>0.23022384180473923</v>
      </c>
      <c r="L36" s="997"/>
      <c r="M36" s="995"/>
      <c r="N36" s="997"/>
      <c r="O36" s="964"/>
    </row>
    <row r="37" spans="1:15" ht="6.75" customHeight="1" thickTop="1">
      <c r="A37" s="957"/>
      <c r="B37" s="957"/>
      <c r="C37" s="957"/>
      <c r="D37" s="997"/>
      <c r="E37" s="1000"/>
      <c r="F37" s="997"/>
      <c r="G37" s="1000"/>
      <c r="H37" s="997"/>
      <c r="I37" s="974"/>
      <c r="J37" s="997"/>
      <c r="K37" s="995"/>
      <c r="L37" s="997"/>
      <c r="M37" s="995"/>
      <c r="N37" s="997"/>
      <c r="O37" s="964"/>
    </row>
    <row r="38" spans="1:15">
      <c r="A38" s="957"/>
      <c r="B38" s="957"/>
      <c r="C38" s="957" t="s">
        <v>1198</v>
      </c>
      <c r="D38" s="997"/>
      <c r="E38" s="975">
        <v>3872322</v>
      </c>
      <c r="F38" s="997"/>
      <c r="G38" s="975">
        <v>2809283</v>
      </c>
      <c r="H38" s="997"/>
      <c r="I38" s="1031"/>
      <c r="J38" s="997"/>
      <c r="K38" s="1001"/>
      <c r="L38" s="997"/>
      <c r="M38" s="995"/>
      <c r="N38" s="997"/>
      <c r="O38" s="964"/>
    </row>
    <row r="39" spans="1:15">
      <c r="A39" s="957"/>
      <c r="B39" s="957"/>
      <c r="C39" s="957" t="s">
        <v>1199</v>
      </c>
      <c r="D39" s="997"/>
      <c r="E39" s="979">
        <v>2882764</v>
      </c>
      <c r="F39" s="997"/>
      <c r="G39" s="979">
        <v>2210697</v>
      </c>
      <c r="H39" s="997"/>
      <c r="I39" s="1031"/>
      <c r="J39" s="997"/>
      <c r="K39" s="1001"/>
      <c r="L39" s="957"/>
      <c r="M39" s="1002"/>
      <c r="N39" s="997"/>
      <c r="O39" s="964"/>
    </row>
    <row r="40" spans="1:15">
      <c r="A40" s="972"/>
      <c r="B40" s="972"/>
      <c r="C40" s="972"/>
      <c r="D40" s="957"/>
      <c r="E40" s="1003"/>
      <c r="F40" s="957"/>
      <c r="G40" s="957"/>
      <c r="H40" s="957"/>
      <c r="I40" s="1004"/>
      <c r="J40" s="957"/>
      <c r="K40" s="957"/>
      <c r="L40" s="957"/>
      <c r="M40" s="957"/>
      <c r="N40" s="957"/>
      <c r="O40" s="964"/>
    </row>
    <row r="41" spans="1:15">
      <c r="A41" s="972" t="s">
        <v>1201</v>
      </c>
      <c r="B41" s="972"/>
      <c r="C41" s="957"/>
      <c r="D41" s="957"/>
      <c r="E41" s="1003"/>
      <c r="F41" s="957"/>
      <c r="G41" s="957"/>
      <c r="H41" s="957"/>
      <c r="I41" s="1004"/>
      <c r="J41" s="957"/>
      <c r="K41" s="957"/>
      <c r="L41" s="957"/>
      <c r="M41" s="957"/>
      <c r="N41" s="957"/>
      <c r="O41" s="964"/>
    </row>
    <row r="42" spans="1:15">
      <c r="A42" s="957"/>
      <c r="B42" s="988" t="s">
        <v>1202</v>
      </c>
      <c r="C42" s="957"/>
      <c r="D42" s="957"/>
      <c r="E42" s="1003"/>
      <c r="F42" s="957"/>
      <c r="G42" s="1005"/>
      <c r="H42" s="957"/>
      <c r="I42" s="987"/>
      <c r="J42" s="957"/>
      <c r="K42" s="1006"/>
      <c r="L42" s="957"/>
      <c r="M42" s="957"/>
      <c r="N42" s="957"/>
      <c r="O42" s="964"/>
    </row>
    <row r="43" spans="1:15">
      <c r="A43" s="957"/>
      <c r="B43" s="957"/>
      <c r="C43" s="957" t="str">
        <f>+C12</f>
        <v>Residential firm</v>
      </c>
      <c r="D43" s="957"/>
      <c r="E43" s="1007">
        <v>527772020</v>
      </c>
      <c r="F43" s="1008"/>
      <c r="G43" s="1007">
        <v>497395405</v>
      </c>
      <c r="H43" s="957"/>
      <c r="I43" s="987">
        <f>+E43-G43</f>
        <v>30376615</v>
      </c>
      <c r="J43" s="957"/>
      <c r="K43" s="976">
        <f>+I43/G43</f>
        <v>6.1071362329935479E-2</v>
      </c>
      <c r="L43" s="957"/>
      <c r="M43" s="1001"/>
      <c r="N43" s="957"/>
      <c r="O43" s="964"/>
    </row>
    <row r="44" spans="1:15">
      <c r="A44" s="957"/>
      <c r="B44" s="957"/>
      <c r="C44" s="957" t="str">
        <f>+C13</f>
        <v>Commercial firm</v>
      </c>
      <c r="D44" s="957"/>
      <c r="E44" s="1007">
        <v>234501085</v>
      </c>
      <c r="F44" s="1008"/>
      <c r="G44" s="1007">
        <v>220590475</v>
      </c>
      <c r="H44" s="957"/>
      <c r="I44" s="979">
        <f>+E44-G44</f>
        <v>13910610</v>
      </c>
      <c r="J44" s="957"/>
      <c r="K44" s="1009">
        <f>+I44/G44</f>
        <v>6.306079172276137E-2</v>
      </c>
      <c r="L44" s="957"/>
      <c r="M44" s="1001"/>
      <c r="N44" s="957"/>
      <c r="O44" s="964"/>
    </row>
    <row r="45" spans="1:15">
      <c r="A45" s="957"/>
      <c r="B45" s="957"/>
      <c r="C45" s="957" t="str">
        <f>+C14</f>
        <v>Industrial firm</v>
      </c>
      <c r="D45" s="957"/>
      <c r="E45" s="1007">
        <v>41791346</v>
      </c>
      <c r="F45" s="1008"/>
      <c r="G45" s="1007">
        <v>36732256</v>
      </c>
      <c r="H45" s="957"/>
      <c r="I45" s="990">
        <f>+E45-G45</f>
        <v>5059090</v>
      </c>
      <c r="J45" s="957"/>
      <c r="K45" s="984">
        <f>+I45/G45</f>
        <v>0.13772881251834901</v>
      </c>
      <c r="L45" s="957"/>
      <c r="M45" s="995"/>
      <c r="N45" s="957"/>
      <c r="O45" s="964"/>
    </row>
    <row r="46" spans="1:15" ht="8.25" customHeight="1">
      <c r="A46" s="957"/>
      <c r="B46" s="957"/>
      <c r="C46" s="957"/>
      <c r="D46" s="957"/>
      <c r="E46" s="1010"/>
      <c r="F46" s="1008"/>
      <c r="G46" s="1010"/>
      <c r="H46" s="957"/>
      <c r="I46" s="987"/>
      <c r="J46" s="957"/>
      <c r="K46" s="976"/>
      <c r="L46" s="957"/>
      <c r="M46" s="957"/>
      <c r="N46" s="957"/>
      <c r="O46" s="964"/>
    </row>
    <row r="47" spans="1:15" ht="12" customHeight="1">
      <c r="A47" s="957"/>
      <c r="B47" s="957"/>
      <c r="C47" s="957" t="str">
        <f>+C16</f>
        <v xml:space="preserve">  Total firm</v>
      </c>
      <c r="D47" s="957"/>
      <c r="E47" s="1007">
        <f>SUM(E43:E46)</f>
        <v>804064451</v>
      </c>
      <c r="F47" s="1008"/>
      <c r="G47" s="1007">
        <f>SUM(G43:G46)</f>
        <v>754718136</v>
      </c>
      <c r="H47" s="957"/>
      <c r="I47" s="987">
        <f>+E47-G47</f>
        <v>49346315</v>
      </c>
      <c r="J47" s="957"/>
      <c r="K47" s="976">
        <f>+I47/G47</f>
        <v>6.5383767324759243E-2</v>
      </c>
      <c r="L47" s="957"/>
      <c r="M47" s="1001"/>
      <c r="N47" s="957"/>
      <c r="O47" s="964"/>
    </row>
    <row r="48" spans="1:15" ht="8.25" customHeight="1">
      <c r="A48" s="957"/>
      <c r="B48" s="988"/>
      <c r="C48" s="957"/>
      <c r="D48" s="957"/>
      <c r="E48" s="1005"/>
      <c r="F48" s="1008"/>
      <c r="G48" s="1005"/>
      <c r="H48" s="957"/>
      <c r="I48" s="987"/>
      <c r="J48" s="957"/>
      <c r="K48" s="976"/>
      <c r="L48" s="957"/>
      <c r="M48" s="957"/>
      <c r="N48" s="957"/>
      <c r="O48" s="964"/>
    </row>
    <row r="49" spans="1:16">
      <c r="A49" s="957"/>
      <c r="B49" s="988" t="s">
        <v>1203</v>
      </c>
      <c r="C49" s="957"/>
      <c r="D49" s="957"/>
      <c r="E49" s="1005"/>
      <c r="F49" s="1008"/>
      <c r="G49" s="1005"/>
      <c r="H49" s="957"/>
      <c r="I49" s="987"/>
      <c r="J49" s="957"/>
      <c r="K49" s="976"/>
      <c r="L49" s="957"/>
      <c r="M49" s="957"/>
      <c r="N49" s="957"/>
      <c r="O49" s="964"/>
    </row>
    <row r="50" spans="1:16">
      <c r="A50" s="957"/>
      <c r="B50" s="957"/>
      <c r="C50" s="957" t="str">
        <f>+C19</f>
        <v>Commercial interruptible</v>
      </c>
      <c r="D50" s="957"/>
      <c r="E50" s="1007">
        <v>54894230</v>
      </c>
      <c r="F50" s="1008"/>
      <c r="G50" s="1007">
        <v>50480444</v>
      </c>
      <c r="H50" s="957"/>
      <c r="I50" s="979">
        <f>+E50-G50</f>
        <v>4413786</v>
      </c>
      <c r="J50" s="957"/>
      <c r="K50" s="1009">
        <f>+I50/G50</f>
        <v>8.7435562175324763E-2</v>
      </c>
      <c r="L50" s="957"/>
      <c r="M50" s="1001"/>
      <c r="N50" s="957"/>
      <c r="O50" s="964"/>
    </row>
    <row r="51" spans="1:16">
      <c r="A51" s="957"/>
      <c r="B51" s="957"/>
      <c r="C51" s="957" t="str">
        <f>+C20</f>
        <v>Industrial interruptible</v>
      </c>
      <c r="D51" s="957"/>
      <c r="E51" s="1007">
        <v>11415757</v>
      </c>
      <c r="F51" s="1008"/>
      <c r="G51" s="1007">
        <v>11811087</v>
      </c>
      <c r="H51" s="957"/>
      <c r="I51" s="990">
        <f>+E51-G51</f>
        <v>-395330</v>
      </c>
      <c r="J51" s="957"/>
      <c r="K51" s="984">
        <f>+I51/G51</f>
        <v>-3.347109372744439E-2</v>
      </c>
      <c r="L51" s="957"/>
      <c r="M51" s="995"/>
      <c r="N51" s="957"/>
      <c r="O51" s="964"/>
    </row>
    <row r="52" spans="1:16" ht="8.25" customHeight="1">
      <c r="A52" s="957"/>
      <c r="B52" s="957"/>
      <c r="C52" s="957"/>
      <c r="D52" s="957"/>
      <c r="E52" s="1010"/>
      <c r="F52" s="1008"/>
      <c r="G52" s="1010"/>
      <c r="H52" s="957"/>
      <c r="I52" s="979"/>
      <c r="J52" s="957"/>
      <c r="K52" s="1009"/>
      <c r="L52" s="957"/>
      <c r="M52" s="957"/>
      <c r="N52" s="957"/>
      <c r="O52" s="964"/>
    </row>
    <row r="53" spans="1:16">
      <c r="A53" s="957"/>
      <c r="B53" s="957"/>
      <c r="C53" s="957" t="str">
        <f>+C22</f>
        <v xml:space="preserve">  Total interruptible</v>
      </c>
      <c r="D53" s="957"/>
      <c r="E53" s="1007">
        <f>SUM(E50:E51)</f>
        <v>66309987</v>
      </c>
      <c r="F53" s="1008"/>
      <c r="G53" s="1007">
        <f>SUM(G50:G51)</f>
        <v>62291531</v>
      </c>
      <c r="H53" s="957"/>
      <c r="I53" s="990">
        <f>+E53-G53</f>
        <v>4018456</v>
      </c>
      <c r="J53" s="957"/>
      <c r="K53" s="984">
        <f>+I53/G53</f>
        <v>6.4510470933841713E-2</v>
      </c>
      <c r="L53" s="957"/>
      <c r="M53" s="995"/>
      <c r="N53" s="957"/>
      <c r="O53" s="964"/>
    </row>
    <row r="54" spans="1:16" ht="8.25" customHeight="1">
      <c r="A54" s="957"/>
      <c r="B54" s="957"/>
      <c r="C54" s="957"/>
      <c r="D54" s="957"/>
      <c r="E54" s="1010"/>
      <c r="F54" s="1008"/>
      <c r="G54" s="1010"/>
      <c r="H54" s="957"/>
      <c r="I54" s="987"/>
      <c r="J54" s="957"/>
      <c r="K54" s="976"/>
      <c r="L54" s="957"/>
      <c r="M54" s="957"/>
      <c r="N54" s="957"/>
      <c r="O54" s="964"/>
    </row>
    <row r="55" spans="1:16" ht="12.75" customHeight="1">
      <c r="A55" s="957"/>
      <c r="B55" s="957"/>
      <c r="C55" s="957" t="s">
        <v>1204</v>
      </c>
      <c r="D55" s="957"/>
      <c r="E55" s="1007">
        <f>+E47+E53</f>
        <v>870374438</v>
      </c>
      <c r="F55" s="1008"/>
      <c r="G55" s="1007">
        <f>+G47+G53</f>
        <v>817009667</v>
      </c>
      <c r="H55" s="957"/>
      <c r="I55" s="987">
        <f>+E55-G55</f>
        <v>53364771</v>
      </c>
      <c r="J55" s="957"/>
      <c r="K55" s="976">
        <f>+I55/G55</f>
        <v>6.5317184306951409E-2</v>
      </c>
      <c r="L55" s="957"/>
      <c r="M55" s="1001"/>
      <c r="N55" s="957"/>
      <c r="O55" s="964"/>
    </row>
    <row r="56" spans="1:16" ht="8.25" customHeight="1">
      <c r="A56" s="957"/>
      <c r="B56" s="988"/>
      <c r="C56" s="957"/>
      <c r="D56" s="957"/>
      <c r="E56" s="1005"/>
      <c r="F56" s="1008"/>
      <c r="G56" s="1005"/>
      <c r="H56" s="957"/>
      <c r="I56" s="987"/>
      <c r="J56" s="957"/>
      <c r="K56" s="976"/>
      <c r="L56" s="957"/>
      <c r="M56" s="957"/>
      <c r="N56" s="957"/>
      <c r="O56" s="964"/>
    </row>
    <row r="57" spans="1:16">
      <c r="A57" s="957"/>
      <c r="B57" s="988" t="s">
        <v>1205</v>
      </c>
      <c r="C57" s="957"/>
      <c r="D57" s="957"/>
      <c r="E57" s="1005"/>
      <c r="F57" s="1008"/>
      <c r="G57" s="1005"/>
      <c r="H57" s="957"/>
      <c r="I57" s="987"/>
      <c r="J57" s="957"/>
      <c r="K57" s="976"/>
      <c r="L57" s="957"/>
      <c r="M57" s="957"/>
      <c r="N57" s="957"/>
      <c r="O57" s="964"/>
    </row>
    <row r="58" spans="1:16">
      <c r="A58" s="957"/>
      <c r="B58" s="957"/>
      <c r="C58" s="957" t="str">
        <f>+C27</f>
        <v>Commercial transportation</v>
      </c>
      <c r="D58" s="957"/>
      <c r="E58" s="1007">
        <v>38792533</v>
      </c>
      <c r="F58" s="1008"/>
      <c r="G58" s="1007">
        <v>38682070</v>
      </c>
      <c r="H58" s="957"/>
      <c r="I58" s="979">
        <f>+E58-G58</f>
        <v>110463</v>
      </c>
      <c r="J58" s="957"/>
      <c r="K58" s="1009">
        <f>+I58/G58</f>
        <v>2.8556641358644975E-3</v>
      </c>
      <c r="L58" s="957"/>
      <c r="M58" s="1001"/>
      <c r="N58" s="957"/>
      <c r="O58" s="964"/>
    </row>
    <row r="59" spans="1:16">
      <c r="A59" s="957"/>
      <c r="B59" s="957"/>
      <c r="C59" s="957" t="str">
        <f>+C28</f>
        <v>Industrial transportation</v>
      </c>
      <c r="D59" s="957"/>
      <c r="E59" s="1007">
        <v>165471815</v>
      </c>
      <c r="F59" s="1008"/>
      <c r="G59" s="1007">
        <v>160967482</v>
      </c>
      <c r="H59" s="957"/>
      <c r="I59" s="990">
        <f>+E59-G59</f>
        <v>4504333</v>
      </c>
      <c r="J59" s="957"/>
      <c r="K59" s="984">
        <f>+I59/G59</f>
        <v>2.7982875448098268E-2</v>
      </c>
      <c r="L59" s="957"/>
      <c r="M59" s="995"/>
      <c r="N59" s="957"/>
      <c r="O59" s="964"/>
    </row>
    <row r="60" spans="1:16" ht="8.25" customHeight="1">
      <c r="A60" s="957"/>
      <c r="B60" s="957"/>
      <c r="C60" s="957"/>
      <c r="D60" s="957"/>
      <c r="E60" s="1010"/>
      <c r="F60" s="957"/>
      <c r="G60" s="1010"/>
      <c r="H60" s="957"/>
      <c r="I60" s="987"/>
      <c r="J60" s="957"/>
      <c r="K60" s="976"/>
      <c r="L60" s="957"/>
      <c r="M60" s="957"/>
      <c r="N60" s="957"/>
      <c r="O60" s="964"/>
    </row>
    <row r="61" spans="1:16">
      <c r="A61" s="957"/>
      <c r="B61" s="957"/>
      <c r="C61" s="957" t="str">
        <f>+C30</f>
        <v xml:space="preserve">  Total transportation </v>
      </c>
      <c r="D61" s="957"/>
      <c r="E61" s="1011">
        <f>SUM(E58:E60)</f>
        <v>204264348</v>
      </c>
      <c r="F61" s="957"/>
      <c r="G61" s="1011">
        <f>SUM(G58:G60)</f>
        <v>199649552</v>
      </c>
      <c r="H61" s="957"/>
      <c r="I61" s="990">
        <f>+E61-G61</f>
        <v>4614796</v>
      </c>
      <c r="J61" s="957"/>
      <c r="K61" s="984">
        <f>+I61/G61</f>
        <v>2.3114482120150211E-2</v>
      </c>
      <c r="L61" s="957"/>
      <c r="M61" s="1001"/>
      <c r="N61" s="957"/>
      <c r="O61" s="964"/>
    </row>
    <row r="62" spans="1:16" s="1013" customFormat="1" ht="8.25" customHeight="1">
      <c r="A62" s="1012"/>
      <c r="B62" s="1012"/>
      <c r="C62" s="1012"/>
      <c r="D62" s="957"/>
      <c r="E62" s="1005"/>
      <c r="F62" s="957"/>
      <c r="G62" s="1005"/>
      <c r="H62" s="957"/>
      <c r="I62" s="979"/>
      <c r="J62" s="957"/>
      <c r="K62" s="976"/>
      <c r="L62" s="957"/>
      <c r="M62" s="957"/>
      <c r="N62" s="957"/>
      <c r="O62" s="964"/>
    </row>
    <row r="63" spans="1:16" s="1016" customFormat="1" ht="13.5" thickBot="1">
      <c r="A63" s="957"/>
      <c r="B63" s="957"/>
      <c r="C63" s="957" t="s">
        <v>1206</v>
      </c>
      <c r="D63" s="957"/>
      <c r="E63" s="1014">
        <f>+E55+E61</f>
        <v>1074638786</v>
      </c>
      <c r="F63" s="957"/>
      <c r="G63" s="1014">
        <f>+G55+G61</f>
        <v>1016659219</v>
      </c>
      <c r="H63" s="957"/>
      <c r="I63" s="1015">
        <f>+E63-G63</f>
        <v>57979567</v>
      </c>
      <c r="J63" s="957"/>
      <c r="K63" s="999">
        <f>+I63/G63</f>
        <v>5.7029500068891813E-2</v>
      </c>
      <c r="L63" s="957"/>
      <c r="M63" s="995"/>
      <c r="N63" s="957"/>
      <c r="O63" s="964"/>
    </row>
    <row r="64" spans="1:16" ht="15.75" thickTop="1">
      <c r="A64" s="1017"/>
      <c r="B64" s="1017"/>
      <c r="C64" s="1017"/>
      <c r="D64" s="945"/>
      <c r="E64" s="1018"/>
      <c r="F64" s="945"/>
      <c r="G64" s="1019"/>
      <c r="H64" s="945"/>
      <c r="I64" s="1017"/>
      <c r="J64" s="945"/>
      <c r="K64" s="1001"/>
      <c r="L64" s="945"/>
      <c r="M64" s="945"/>
      <c r="N64" s="945"/>
      <c r="O64" s="964"/>
      <c r="P64" s="1013"/>
    </row>
    <row r="65" spans="1:16" ht="15.75">
      <c r="A65" s="1020"/>
      <c r="B65" s="1020"/>
      <c r="C65" s="1020"/>
      <c r="D65" s="1017"/>
      <c r="E65" s="1019"/>
      <c r="F65" s="1017"/>
      <c r="G65" s="1021"/>
      <c r="H65" s="1017"/>
      <c r="I65" s="1017"/>
      <c r="J65" s="1017"/>
      <c r="K65" s="1001"/>
      <c r="L65" s="1017"/>
      <c r="M65" s="1017"/>
      <c r="N65" s="1017"/>
      <c r="O65" s="964"/>
      <c r="P65" s="1013"/>
    </row>
    <row r="66" spans="1:16" ht="15.75">
      <c r="A66" s="1022"/>
      <c r="B66" s="1023"/>
      <c r="C66" s="1022"/>
      <c r="D66" s="1013"/>
      <c r="E66" s="1024"/>
      <c r="F66" s="1013"/>
      <c r="G66" s="1024"/>
      <c r="H66" s="1013"/>
      <c r="I66" s="1013"/>
      <c r="J66" s="1013"/>
      <c r="K66" s="1025"/>
      <c r="L66" s="1013"/>
      <c r="M66" s="1013"/>
      <c r="N66" s="1013"/>
      <c r="O66" s="1026"/>
      <c r="P66" s="1013"/>
    </row>
    <row r="67" spans="1:16">
      <c r="A67" s="1013"/>
      <c r="B67" s="1013"/>
      <c r="C67" s="1013"/>
      <c r="D67" s="1013"/>
      <c r="E67" s="1027"/>
      <c r="F67" s="1013"/>
      <c r="G67" s="1028"/>
      <c r="H67" s="1013"/>
      <c r="I67" s="1013"/>
      <c r="J67" s="1013"/>
      <c r="K67" s="1025"/>
      <c r="L67" s="1013"/>
      <c r="M67" s="1013"/>
      <c r="N67" s="1013"/>
      <c r="O67" s="1026"/>
      <c r="P67" s="1013"/>
    </row>
    <row r="68" spans="1:16">
      <c r="A68" s="1013"/>
      <c r="B68" s="1013"/>
      <c r="C68" s="1013"/>
      <c r="D68" s="1013"/>
      <c r="E68" s="1027"/>
      <c r="F68" s="1013"/>
      <c r="G68" s="1027"/>
      <c r="H68" s="1013"/>
      <c r="I68" s="1013"/>
      <c r="J68" s="1013"/>
      <c r="K68" s="1025"/>
      <c r="L68" s="1013"/>
      <c r="M68" s="1013"/>
      <c r="N68" s="1013"/>
      <c r="O68" s="1026"/>
      <c r="P68" s="1013"/>
    </row>
    <row r="69" spans="1:16">
      <c r="A69" s="1013"/>
      <c r="B69" s="1013"/>
      <c r="C69" s="1013"/>
      <c r="D69" s="1013"/>
      <c r="E69" s="1027"/>
      <c r="F69" s="1013"/>
      <c r="G69" s="1027"/>
      <c r="H69" s="1013"/>
      <c r="I69" s="1013"/>
      <c r="J69" s="1013"/>
      <c r="K69" s="1025"/>
      <c r="L69" s="1013"/>
      <c r="M69" s="1013"/>
      <c r="N69" s="1013"/>
      <c r="O69" s="1026"/>
      <c r="P69" s="1013"/>
    </row>
    <row r="70" spans="1:16">
      <c r="A70" s="1013"/>
      <c r="B70" s="1013"/>
      <c r="C70" s="1013"/>
      <c r="D70" s="1013"/>
      <c r="E70" s="1027"/>
      <c r="F70" s="1013"/>
      <c r="G70" s="1027"/>
      <c r="H70" s="1013"/>
      <c r="I70" s="1013"/>
      <c r="J70" s="1013"/>
      <c r="K70" s="1025"/>
      <c r="L70" s="1013"/>
      <c r="M70" s="1013"/>
      <c r="N70" s="1013"/>
      <c r="O70" s="1026"/>
      <c r="P70" s="1013"/>
    </row>
    <row r="71" spans="1:16">
      <c r="A71" s="1013"/>
      <c r="B71" s="1013"/>
      <c r="C71" s="1013"/>
      <c r="D71" s="1013"/>
      <c r="E71" s="1027"/>
      <c r="F71" s="1013"/>
      <c r="G71" s="1027"/>
      <c r="H71" s="1013"/>
      <c r="I71" s="1013"/>
      <c r="J71" s="1013"/>
      <c r="K71" s="1025"/>
      <c r="L71" s="1013"/>
      <c r="M71" s="1013"/>
      <c r="N71" s="1013"/>
      <c r="O71" s="1026"/>
      <c r="P71" s="1013"/>
    </row>
    <row r="72" spans="1:16">
      <c r="A72" s="1013"/>
      <c r="B72" s="1013"/>
      <c r="C72" s="1013"/>
      <c r="D72" s="1013"/>
      <c r="E72" s="1013"/>
      <c r="F72" s="1013"/>
      <c r="G72" s="1027"/>
      <c r="H72" s="1013"/>
      <c r="I72" s="1013"/>
      <c r="J72" s="1013"/>
      <c r="K72" s="1025"/>
      <c r="L72" s="1013"/>
      <c r="M72" s="1013"/>
      <c r="N72" s="1013"/>
      <c r="O72" s="1026"/>
      <c r="P72" s="1013"/>
    </row>
    <row r="73" spans="1:16">
      <c r="A73" s="1013"/>
      <c r="B73" s="1013"/>
      <c r="C73" s="1013"/>
      <c r="D73" s="1013"/>
      <c r="E73" s="1013"/>
      <c r="F73" s="1013"/>
      <c r="G73" s="1027"/>
      <c r="H73" s="1013"/>
      <c r="I73" s="1013"/>
      <c r="J73" s="1013"/>
      <c r="K73" s="1025"/>
      <c r="L73" s="1013"/>
      <c r="M73" s="1013"/>
      <c r="N73" s="1013"/>
      <c r="O73" s="1026"/>
      <c r="P73" s="1013"/>
    </row>
    <row r="74" spans="1:16">
      <c r="A74" s="1013"/>
      <c r="B74" s="1013"/>
      <c r="C74" s="1013"/>
      <c r="D74" s="1013"/>
      <c r="E74" s="1013"/>
      <c r="F74" s="1013"/>
      <c r="G74" s="1027"/>
      <c r="H74" s="1013"/>
      <c r="I74" s="1013"/>
      <c r="J74" s="1013"/>
      <c r="K74" s="1025"/>
      <c r="L74" s="1013"/>
      <c r="M74" s="1013"/>
      <c r="N74" s="1013"/>
      <c r="O74" s="1026"/>
      <c r="P74" s="1013"/>
    </row>
    <row r="75" spans="1:16">
      <c r="A75" s="1013"/>
      <c r="B75" s="1013"/>
      <c r="C75" s="1013"/>
      <c r="D75" s="1013"/>
      <c r="E75" s="1013"/>
      <c r="F75" s="1013"/>
      <c r="G75" s="1027"/>
      <c r="H75" s="1013"/>
      <c r="I75" s="1013"/>
      <c r="J75" s="1013"/>
      <c r="K75" s="1025"/>
      <c r="L75" s="1013"/>
      <c r="M75" s="1013"/>
      <c r="N75" s="1013"/>
      <c r="O75" s="1026"/>
      <c r="P75" s="1013"/>
    </row>
    <row r="76" spans="1:16">
      <c r="A76" s="1013"/>
      <c r="B76" s="1013"/>
      <c r="C76" s="1013"/>
      <c r="D76" s="1013"/>
      <c r="E76" s="1013"/>
      <c r="F76" s="1013"/>
      <c r="G76" s="1027"/>
      <c r="H76" s="1013"/>
      <c r="I76" s="1013"/>
      <c r="J76" s="1013"/>
      <c r="K76" s="1025"/>
      <c r="L76" s="1013"/>
      <c r="M76" s="1013"/>
      <c r="N76" s="1013"/>
      <c r="O76" s="1026"/>
      <c r="P76" s="1013"/>
    </row>
    <row r="77" spans="1:16">
      <c r="A77" s="1013"/>
      <c r="B77" s="1013"/>
      <c r="C77" s="1013"/>
      <c r="D77" s="1013"/>
      <c r="E77" s="1013"/>
      <c r="F77" s="1013"/>
      <c r="G77" s="1027"/>
      <c r="H77" s="1013"/>
      <c r="I77" s="1013"/>
      <c r="J77" s="1013"/>
      <c r="K77" s="1025"/>
      <c r="L77" s="1013"/>
      <c r="M77" s="1013"/>
      <c r="N77" s="1013"/>
      <c r="O77" s="1026"/>
      <c r="P77" s="1013"/>
    </row>
    <row r="78" spans="1:16">
      <c r="A78" s="1013"/>
      <c r="B78" s="1013"/>
      <c r="C78" s="1013"/>
      <c r="D78" s="1013"/>
      <c r="E78" s="1013"/>
      <c r="F78" s="1013"/>
      <c r="G78" s="1027"/>
      <c r="H78" s="1013"/>
      <c r="I78" s="1013"/>
      <c r="J78" s="1013"/>
      <c r="K78" s="1025"/>
      <c r="L78" s="1013"/>
      <c r="M78" s="1013"/>
      <c r="N78" s="1013"/>
      <c r="O78" s="1026"/>
      <c r="P78" s="1013"/>
    </row>
    <row r="79" spans="1:16">
      <c r="A79" s="1013"/>
      <c r="B79" s="1013"/>
      <c r="C79" s="1013"/>
      <c r="D79" s="1013"/>
      <c r="E79" s="1013"/>
      <c r="F79" s="1013"/>
      <c r="G79" s="1027"/>
      <c r="H79" s="1013"/>
      <c r="I79" s="1013"/>
      <c r="J79" s="1013"/>
      <c r="K79" s="1025"/>
      <c r="L79" s="1013"/>
      <c r="M79" s="1013"/>
      <c r="N79" s="1013"/>
      <c r="O79" s="1026"/>
      <c r="P79" s="1013"/>
    </row>
    <row r="80" spans="1:16">
      <c r="A80" s="1013"/>
      <c r="B80" s="1013"/>
      <c r="C80" s="1013"/>
      <c r="D80" s="1013"/>
      <c r="E80" s="1013"/>
      <c r="F80" s="1013"/>
      <c r="G80" s="1027"/>
      <c r="H80" s="1013"/>
      <c r="I80" s="1013"/>
      <c r="J80" s="1013"/>
      <c r="K80" s="1025"/>
      <c r="L80" s="1013"/>
      <c r="M80" s="1013"/>
      <c r="N80" s="1013"/>
      <c r="O80" s="1026"/>
      <c r="P80" s="1013"/>
    </row>
    <row r="81" spans="1:16">
      <c r="A81" s="1013"/>
      <c r="B81" s="1013"/>
      <c r="C81" s="1013"/>
      <c r="D81" s="1013"/>
      <c r="E81" s="1013"/>
      <c r="F81" s="1013"/>
      <c r="G81" s="1027"/>
      <c r="H81" s="1013"/>
      <c r="I81" s="1013"/>
      <c r="J81" s="1013"/>
      <c r="K81" s="1025"/>
      <c r="L81" s="1013"/>
      <c r="M81" s="1013"/>
      <c r="N81" s="1013"/>
      <c r="O81" s="1026"/>
      <c r="P81" s="1013"/>
    </row>
    <row r="82" spans="1:16">
      <c r="A82" s="1013"/>
      <c r="B82" s="1013"/>
      <c r="C82" s="1013"/>
      <c r="D82" s="1013"/>
      <c r="E82" s="1013"/>
      <c r="F82" s="1013"/>
      <c r="G82" s="1027"/>
      <c r="H82" s="1013"/>
      <c r="I82" s="1013"/>
      <c r="J82" s="1013"/>
      <c r="K82" s="1025"/>
      <c r="L82" s="1013"/>
      <c r="M82" s="1013"/>
      <c r="N82" s="1013"/>
      <c r="O82" s="1026"/>
      <c r="P82" s="1013"/>
    </row>
    <row r="83" spans="1:16">
      <c r="A83" s="1013"/>
      <c r="B83" s="1013"/>
      <c r="C83" s="1013"/>
      <c r="D83" s="1013"/>
      <c r="E83" s="1013"/>
      <c r="F83" s="1013"/>
      <c r="G83" s="1027"/>
      <c r="H83" s="1013"/>
      <c r="I83" s="1013"/>
      <c r="J83" s="1013"/>
      <c r="K83" s="1025"/>
      <c r="L83" s="1013"/>
      <c r="M83" s="1013"/>
      <c r="N83" s="1013"/>
      <c r="O83" s="1026"/>
      <c r="P83" s="1013"/>
    </row>
    <row r="84" spans="1:16">
      <c r="A84" s="1013"/>
      <c r="B84" s="1013"/>
      <c r="C84" s="1013"/>
      <c r="D84" s="1013"/>
      <c r="E84" s="1013"/>
      <c r="F84" s="1013"/>
      <c r="G84" s="1027"/>
      <c r="H84" s="1013"/>
      <c r="I84" s="1013"/>
      <c r="J84" s="1013"/>
      <c r="K84" s="1025"/>
      <c r="L84" s="1013"/>
      <c r="M84" s="1013"/>
      <c r="N84" s="1013"/>
      <c r="O84" s="1026"/>
      <c r="P84" s="1013"/>
    </row>
    <row r="85" spans="1:16">
      <c r="A85" s="1013"/>
      <c r="B85" s="1013"/>
      <c r="C85" s="1013"/>
      <c r="D85" s="1013"/>
      <c r="E85" s="1013"/>
      <c r="F85" s="1013"/>
      <c r="G85" s="1013"/>
      <c r="H85" s="1013"/>
      <c r="I85" s="1013"/>
      <c r="J85" s="1013"/>
      <c r="K85" s="1025"/>
      <c r="L85" s="1013"/>
      <c r="M85" s="1013"/>
      <c r="N85" s="1013"/>
      <c r="O85" s="1026"/>
      <c r="P85" s="1013"/>
    </row>
    <row r="86" spans="1:16">
      <c r="A86" s="1013"/>
      <c r="B86" s="1013"/>
      <c r="C86" s="1013"/>
      <c r="D86" s="1013"/>
      <c r="E86" s="1013"/>
      <c r="F86" s="1013"/>
      <c r="G86" s="1013"/>
      <c r="H86" s="1013"/>
      <c r="I86" s="1013"/>
      <c r="J86" s="1013"/>
      <c r="K86" s="1025"/>
      <c r="L86" s="1013"/>
      <c r="M86" s="1013"/>
      <c r="N86" s="1013"/>
      <c r="O86" s="1013"/>
      <c r="P86" s="1013"/>
    </row>
    <row r="87" spans="1:16">
      <c r="A87" s="1013"/>
      <c r="B87" s="1013"/>
      <c r="C87" s="1013"/>
      <c r="D87" s="1013"/>
      <c r="E87" s="1013"/>
      <c r="F87" s="1013"/>
      <c r="G87" s="1013"/>
      <c r="H87" s="1013"/>
      <c r="I87" s="1013"/>
      <c r="J87" s="1013"/>
      <c r="K87" s="1025"/>
      <c r="L87" s="1013"/>
      <c r="M87" s="1013"/>
      <c r="N87" s="1013"/>
      <c r="O87" s="1013"/>
      <c r="P87" s="1013"/>
    </row>
    <row r="88" spans="1:16">
      <c r="A88" s="1013"/>
      <c r="B88" s="1013"/>
      <c r="C88" s="1013"/>
      <c r="D88" s="1013"/>
      <c r="E88" s="1013"/>
      <c r="F88" s="1013"/>
      <c r="G88" s="1013"/>
      <c r="H88" s="1013"/>
      <c r="I88" s="1013"/>
      <c r="J88" s="1013"/>
      <c r="K88" s="1025"/>
      <c r="L88" s="1013"/>
      <c r="M88" s="1013"/>
      <c r="N88" s="1013"/>
      <c r="O88" s="1013"/>
      <c r="P88" s="1013"/>
    </row>
    <row r="89" spans="1:16">
      <c r="A89" s="1013"/>
      <c r="B89" s="1013"/>
      <c r="C89" s="1013"/>
      <c r="D89" s="1013"/>
      <c r="E89" s="1013"/>
      <c r="F89" s="1013"/>
      <c r="G89" s="1013"/>
      <c r="H89" s="1013"/>
      <c r="I89" s="1013"/>
      <c r="J89" s="1013"/>
      <c r="K89" s="1025"/>
      <c r="L89" s="1013"/>
      <c r="M89" s="1013"/>
      <c r="N89" s="1013"/>
      <c r="O89" s="1013"/>
      <c r="P89" s="1013"/>
    </row>
    <row r="90" spans="1:16">
      <c r="A90" s="1013"/>
      <c r="B90" s="1013"/>
      <c r="C90" s="1013"/>
      <c r="D90" s="1013"/>
      <c r="E90" s="1013"/>
      <c r="F90" s="1013"/>
      <c r="G90" s="1013"/>
      <c r="H90" s="1013"/>
      <c r="I90" s="1013"/>
      <c r="J90" s="1013"/>
      <c r="K90" s="1029"/>
      <c r="L90" s="1013"/>
      <c r="M90" s="1013"/>
      <c r="N90" s="1013"/>
      <c r="O90" s="1013"/>
      <c r="P90" s="1013"/>
    </row>
    <row r="91" spans="1:16">
      <c r="A91" s="1013"/>
      <c r="B91" s="1013"/>
      <c r="C91" s="1013"/>
      <c r="D91" s="1013"/>
      <c r="E91" s="1013"/>
      <c r="F91" s="1013"/>
      <c r="G91" s="1013"/>
      <c r="H91" s="1013"/>
      <c r="I91" s="1013"/>
      <c r="J91" s="1013"/>
      <c r="K91" s="1029"/>
      <c r="L91" s="1013"/>
      <c r="M91" s="1013"/>
      <c r="N91" s="1013"/>
      <c r="O91" s="1013"/>
      <c r="P91" s="1013"/>
    </row>
    <row r="92" spans="1:16">
      <c r="A92" s="1013"/>
      <c r="B92" s="1013"/>
      <c r="C92" s="1013"/>
      <c r="D92" s="1013"/>
      <c r="E92" s="1013"/>
      <c r="F92" s="1013"/>
      <c r="G92" s="1013"/>
      <c r="H92" s="1013"/>
      <c r="I92" s="1013"/>
      <c r="J92" s="1013"/>
      <c r="K92" s="1029"/>
      <c r="L92" s="1013"/>
      <c r="M92" s="1013"/>
      <c r="N92" s="1013"/>
      <c r="O92" s="1013"/>
      <c r="P92" s="1013"/>
    </row>
    <row r="93" spans="1:16">
      <c r="A93" s="1013"/>
      <c r="B93" s="1013"/>
      <c r="C93" s="1013"/>
      <c r="D93" s="1013"/>
      <c r="E93" s="1013"/>
      <c r="F93" s="1013"/>
      <c r="G93" s="1013"/>
      <c r="H93" s="1013"/>
      <c r="I93" s="1013"/>
      <c r="J93" s="1013"/>
      <c r="K93" s="1029"/>
      <c r="L93" s="1013"/>
      <c r="M93" s="1013"/>
      <c r="N93" s="1013"/>
      <c r="O93" s="1013"/>
      <c r="P93" s="1013"/>
    </row>
    <row r="94" spans="1:16">
      <c r="A94" s="1013"/>
      <c r="B94" s="1013"/>
      <c r="C94" s="1013"/>
      <c r="D94" s="1013"/>
      <c r="E94" s="1013"/>
      <c r="F94" s="1013"/>
      <c r="G94" s="1013"/>
      <c r="H94" s="1013"/>
      <c r="I94" s="1013"/>
      <c r="J94" s="1013"/>
      <c r="K94" s="1029"/>
      <c r="L94" s="1013"/>
      <c r="M94" s="1013"/>
      <c r="N94" s="1013"/>
      <c r="O94" s="1013"/>
      <c r="P94" s="1013"/>
    </row>
    <row r="95" spans="1:16">
      <c r="A95" s="1013"/>
      <c r="B95" s="1013"/>
      <c r="C95" s="1013"/>
      <c r="D95" s="1013"/>
      <c r="E95" s="1013"/>
      <c r="F95" s="1013"/>
      <c r="G95" s="1013"/>
      <c r="H95" s="1013"/>
      <c r="I95" s="1013"/>
      <c r="J95" s="1013"/>
      <c r="K95" s="1029"/>
      <c r="L95" s="1013"/>
      <c r="M95" s="1013"/>
      <c r="N95" s="1013"/>
      <c r="O95" s="1013"/>
      <c r="P95" s="1013"/>
    </row>
    <row r="96" spans="1:16">
      <c r="A96" s="1013"/>
      <c r="B96" s="1013"/>
      <c r="C96" s="1013"/>
      <c r="D96" s="1013"/>
      <c r="E96" s="1013"/>
      <c r="F96" s="1013"/>
      <c r="G96" s="1013"/>
      <c r="H96" s="1013"/>
      <c r="I96" s="1013"/>
      <c r="J96" s="1013"/>
      <c r="K96" s="1029"/>
      <c r="L96" s="1013"/>
      <c r="M96" s="1013"/>
      <c r="N96" s="1013"/>
      <c r="O96" s="1013"/>
      <c r="P96" s="1013"/>
    </row>
    <row r="97" spans="1:16">
      <c r="A97" s="1013"/>
      <c r="B97" s="1013"/>
      <c r="C97" s="1013"/>
      <c r="D97" s="1013"/>
      <c r="E97" s="1013"/>
      <c r="F97" s="1013"/>
      <c r="G97" s="1013"/>
      <c r="H97" s="1013"/>
      <c r="I97" s="1013"/>
      <c r="J97" s="1013"/>
      <c r="K97" s="1029"/>
      <c r="L97" s="1013"/>
      <c r="M97" s="1013"/>
      <c r="N97" s="1013"/>
      <c r="O97" s="1013"/>
      <c r="P97" s="1013"/>
    </row>
    <row r="98" spans="1:16">
      <c r="A98" s="1013"/>
      <c r="B98" s="1013"/>
      <c r="C98" s="1013"/>
      <c r="D98" s="1013"/>
      <c r="E98" s="1013"/>
      <c r="F98" s="1013"/>
      <c r="G98" s="1013"/>
      <c r="H98" s="1013"/>
      <c r="I98" s="1013"/>
      <c r="J98" s="1013"/>
      <c r="K98" s="1029"/>
      <c r="L98" s="1013"/>
      <c r="M98" s="1013"/>
      <c r="N98" s="1013"/>
      <c r="O98" s="1013"/>
      <c r="P98" s="1013"/>
    </row>
    <row r="99" spans="1:16">
      <c r="A99" s="1013"/>
      <c r="B99" s="1013"/>
      <c r="C99" s="1013"/>
      <c r="D99" s="1013"/>
      <c r="E99" s="1013"/>
      <c r="F99" s="1013"/>
      <c r="G99" s="1013"/>
      <c r="H99" s="1013"/>
      <c r="I99" s="1013"/>
      <c r="J99" s="1013"/>
      <c r="K99" s="1029"/>
      <c r="L99" s="1013"/>
      <c r="M99" s="1013"/>
      <c r="N99" s="1013"/>
      <c r="O99" s="1013"/>
      <c r="P99" s="1013"/>
    </row>
    <row r="100" spans="1:16">
      <c r="A100" s="1013"/>
      <c r="B100" s="1013"/>
      <c r="C100" s="1013"/>
      <c r="D100" s="1013"/>
      <c r="E100" s="1013"/>
      <c r="F100" s="1013"/>
      <c r="G100" s="1013"/>
      <c r="H100" s="1013"/>
      <c r="I100" s="1013"/>
      <c r="J100" s="1013"/>
      <c r="K100" s="1029"/>
      <c r="L100" s="1013"/>
      <c r="M100" s="1013"/>
      <c r="N100" s="1013"/>
      <c r="O100" s="1013"/>
      <c r="P100" s="1013"/>
    </row>
    <row r="101" spans="1:16">
      <c r="A101" s="1013"/>
      <c r="B101" s="1013"/>
      <c r="C101" s="1013"/>
      <c r="E101" s="1013"/>
      <c r="G101" s="1013"/>
      <c r="I101" s="1013"/>
      <c r="K101" s="1029"/>
      <c r="P101" s="1013"/>
    </row>
    <row r="102" spans="1:16">
      <c r="A102" s="1013"/>
      <c r="B102" s="1013"/>
      <c r="C102" s="1013"/>
      <c r="E102" s="1013"/>
      <c r="G102" s="1013"/>
      <c r="I102" s="1013"/>
      <c r="K102" s="1029"/>
      <c r="P102" s="1013"/>
    </row>
  </sheetData>
  <printOptions horizontalCentered="1"/>
  <pageMargins left="0.2" right="0.2" top="0.4" bottom="0.4" header="0.5" footer="0.2"/>
  <pageSetup scale="68" orientation="landscape" r:id="rId1"/>
  <headerFooter alignWithMargins="0">
    <oddFooter>&amp;C&amp;12  5c</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7" tint="0.39997558519241921"/>
    <pageSetUpPr fitToPage="1"/>
  </sheetPr>
  <dimension ref="A1:G94"/>
  <sheetViews>
    <sheetView zoomScaleNormal="100" workbookViewId="0">
      <selection activeCell="F33" sqref="F33"/>
    </sheetView>
  </sheetViews>
  <sheetFormatPr defaultRowHeight="12.75"/>
  <cols>
    <col min="1" max="1" width="25.1640625" style="722" customWidth="1"/>
    <col min="2" max="3" width="15.6640625" style="722" customWidth="1"/>
    <col min="4" max="4" width="16.1640625" style="722" customWidth="1"/>
    <col min="5" max="5" width="17.6640625" style="722" customWidth="1"/>
    <col min="6" max="6" width="16.33203125" style="722" customWidth="1"/>
    <col min="7" max="256" width="9.33203125" style="722"/>
    <col min="257" max="257" width="25.1640625" style="722" customWidth="1"/>
    <col min="258" max="259" width="15.6640625" style="722" customWidth="1"/>
    <col min="260" max="260" width="16.1640625" style="722" customWidth="1"/>
    <col min="261" max="261" width="17.6640625" style="722" customWidth="1"/>
    <col min="262" max="262" width="16.33203125" style="722" customWidth="1"/>
    <col min="263" max="512" width="9.33203125" style="722"/>
    <col min="513" max="513" width="25.1640625" style="722" customWidth="1"/>
    <col min="514" max="515" width="15.6640625" style="722" customWidth="1"/>
    <col min="516" max="516" width="16.1640625" style="722" customWidth="1"/>
    <col min="517" max="517" width="17.6640625" style="722" customWidth="1"/>
    <col min="518" max="518" width="16.33203125" style="722" customWidth="1"/>
    <col min="519" max="768" width="9.33203125" style="722"/>
    <col min="769" max="769" width="25.1640625" style="722" customWidth="1"/>
    <col min="770" max="771" width="15.6640625" style="722" customWidth="1"/>
    <col min="772" max="772" width="16.1640625" style="722" customWidth="1"/>
    <col min="773" max="773" width="17.6640625" style="722" customWidth="1"/>
    <col min="774" max="774" width="16.33203125" style="722" customWidth="1"/>
    <col min="775" max="1024" width="9.33203125" style="722"/>
    <col min="1025" max="1025" width="25.1640625" style="722" customWidth="1"/>
    <col min="1026" max="1027" width="15.6640625" style="722" customWidth="1"/>
    <col min="1028" max="1028" width="16.1640625" style="722" customWidth="1"/>
    <col min="1029" max="1029" width="17.6640625" style="722" customWidth="1"/>
    <col min="1030" max="1030" width="16.33203125" style="722" customWidth="1"/>
    <col min="1031" max="1280" width="9.33203125" style="722"/>
    <col min="1281" max="1281" width="25.1640625" style="722" customWidth="1"/>
    <col min="1282" max="1283" width="15.6640625" style="722" customWidth="1"/>
    <col min="1284" max="1284" width="16.1640625" style="722" customWidth="1"/>
    <col min="1285" max="1285" width="17.6640625" style="722" customWidth="1"/>
    <col min="1286" max="1286" width="16.33203125" style="722" customWidth="1"/>
    <col min="1287" max="1536" width="9.33203125" style="722"/>
    <col min="1537" max="1537" width="25.1640625" style="722" customWidth="1"/>
    <col min="1538" max="1539" width="15.6640625" style="722" customWidth="1"/>
    <col min="1540" max="1540" width="16.1640625" style="722" customWidth="1"/>
    <col min="1541" max="1541" width="17.6640625" style="722" customWidth="1"/>
    <col min="1542" max="1542" width="16.33203125" style="722" customWidth="1"/>
    <col min="1543" max="1792" width="9.33203125" style="722"/>
    <col min="1793" max="1793" width="25.1640625" style="722" customWidth="1"/>
    <col min="1794" max="1795" width="15.6640625" style="722" customWidth="1"/>
    <col min="1796" max="1796" width="16.1640625" style="722" customWidth="1"/>
    <col min="1797" max="1797" width="17.6640625" style="722" customWidth="1"/>
    <col min="1798" max="1798" width="16.33203125" style="722" customWidth="1"/>
    <col min="1799" max="2048" width="9.33203125" style="722"/>
    <col min="2049" max="2049" width="25.1640625" style="722" customWidth="1"/>
    <col min="2050" max="2051" width="15.6640625" style="722" customWidth="1"/>
    <col min="2052" max="2052" width="16.1640625" style="722" customWidth="1"/>
    <col min="2053" max="2053" width="17.6640625" style="722" customWidth="1"/>
    <col min="2054" max="2054" width="16.33203125" style="722" customWidth="1"/>
    <col min="2055" max="2304" width="9.33203125" style="722"/>
    <col min="2305" max="2305" width="25.1640625" style="722" customWidth="1"/>
    <col min="2306" max="2307" width="15.6640625" style="722" customWidth="1"/>
    <col min="2308" max="2308" width="16.1640625" style="722" customWidth="1"/>
    <col min="2309" max="2309" width="17.6640625" style="722" customWidth="1"/>
    <col min="2310" max="2310" width="16.33203125" style="722" customWidth="1"/>
    <col min="2311" max="2560" width="9.33203125" style="722"/>
    <col min="2561" max="2561" width="25.1640625" style="722" customWidth="1"/>
    <col min="2562" max="2563" width="15.6640625" style="722" customWidth="1"/>
    <col min="2564" max="2564" width="16.1640625" style="722" customWidth="1"/>
    <col min="2565" max="2565" width="17.6640625" style="722" customWidth="1"/>
    <col min="2566" max="2566" width="16.33203125" style="722" customWidth="1"/>
    <col min="2567" max="2816" width="9.33203125" style="722"/>
    <col min="2817" max="2817" width="25.1640625" style="722" customWidth="1"/>
    <col min="2818" max="2819" width="15.6640625" style="722" customWidth="1"/>
    <col min="2820" max="2820" width="16.1640625" style="722" customWidth="1"/>
    <col min="2821" max="2821" width="17.6640625" style="722" customWidth="1"/>
    <col min="2822" max="2822" width="16.33203125" style="722" customWidth="1"/>
    <col min="2823" max="3072" width="9.33203125" style="722"/>
    <col min="3073" max="3073" width="25.1640625" style="722" customWidth="1"/>
    <col min="3074" max="3075" width="15.6640625" style="722" customWidth="1"/>
    <col min="3076" max="3076" width="16.1640625" style="722" customWidth="1"/>
    <col min="3077" max="3077" width="17.6640625" style="722" customWidth="1"/>
    <col min="3078" max="3078" width="16.33203125" style="722" customWidth="1"/>
    <col min="3079" max="3328" width="9.33203125" style="722"/>
    <col min="3329" max="3329" width="25.1640625" style="722" customWidth="1"/>
    <col min="3330" max="3331" width="15.6640625" style="722" customWidth="1"/>
    <col min="3332" max="3332" width="16.1640625" style="722" customWidth="1"/>
    <col min="3333" max="3333" width="17.6640625" style="722" customWidth="1"/>
    <col min="3334" max="3334" width="16.33203125" style="722" customWidth="1"/>
    <col min="3335" max="3584" width="9.33203125" style="722"/>
    <col min="3585" max="3585" width="25.1640625" style="722" customWidth="1"/>
    <col min="3586" max="3587" width="15.6640625" style="722" customWidth="1"/>
    <col min="3588" max="3588" width="16.1640625" style="722" customWidth="1"/>
    <col min="3589" max="3589" width="17.6640625" style="722" customWidth="1"/>
    <col min="3590" max="3590" width="16.33203125" style="722" customWidth="1"/>
    <col min="3591" max="3840" width="9.33203125" style="722"/>
    <col min="3841" max="3841" width="25.1640625" style="722" customWidth="1"/>
    <col min="3842" max="3843" width="15.6640625" style="722" customWidth="1"/>
    <col min="3844" max="3844" width="16.1640625" style="722" customWidth="1"/>
    <col min="3845" max="3845" width="17.6640625" style="722" customWidth="1"/>
    <col min="3846" max="3846" width="16.33203125" style="722" customWidth="1"/>
    <col min="3847" max="4096" width="9.33203125" style="722"/>
    <col min="4097" max="4097" width="25.1640625" style="722" customWidth="1"/>
    <col min="4098" max="4099" width="15.6640625" style="722" customWidth="1"/>
    <col min="4100" max="4100" width="16.1640625" style="722" customWidth="1"/>
    <col min="4101" max="4101" width="17.6640625" style="722" customWidth="1"/>
    <col min="4102" max="4102" width="16.33203125" style="722" customWidth="1"/>
    <col min="4103" max="4352" width="9.33203125" style="722"/>
    <col min="4353" max="4353" width="25.1640625" style="722" customWidth="1"/>
    <col min="4354" max="4355" width="15.6640625" style="722" customWidth="1"/>
    <col min="4356" max="4356" width="16.1640625" style="722" customWidth="1"/>
    <col min="4357" max="4357" width="17.6640625" style="722" customWidth="1"/>
    <col min="4358" max="4358" width="16.33203125" style="722" customWidth="1"/>
    <col min="4359" max="4608" width="9.33203125" style="722"/>
    <col min="4609" max="4609" width="25.1640625" style="722" customWidth="1"/>
    <col min="4610" max="4611" width="15.6640625" style="722" customWidth="1"/>
    <col min="4612" max="4612" width="16.1640625" style="722" customWidth="1"/>
    <col min="4613" max="4613" width="17.6640625" style="722" customWidth="1"/>
    <col min="4614" max="4614" width="16.33203125" style="722" customWidth="1"/>
    <col min="4615" max="4864" width="9.33203125" style="722"/>
    <col min="4865" max="4865" width="25.1640625" style="722" customWidth="1"/>
    <col min="4866" max="4867" width="15.6640625" style="722" customWidth="1"/>
    <col min="4868" max="4868" width="16.1640625" style="722" customWidth="1"/>
    <col min="4869" max="4869" width="17.6640625" style="722" customWidth="1"/>
    <col min="4870" max="4870" width="16.33203125" style="722" customWidth="1"/>
    <col min="4871" max="5120" width="9.33203125" style="722"/>
    <col min="5121" max="5121" width="25.1640625" style="722" customWidth="1"/>
    <col min="5122" max="5123" width="15.6640625" style="722" customWidth="1"/>
    <col min="5124" max="5124" width="16.1640625" style="722" customWidth="1"/>
    <col min="5125" max="5125" width="17.6640625" style="722" customWidth="1"/>
    <col min="5126" max="5126" width="16.33203125" style="722" customWidth="1"/>
    <col min="5127" max="5376" width="9.33203125" style="722"/>
    <col min="5377" max="5377" width="25.1640625" style="722" customWidth="1"/>
    <col min="5378" max="5379" width="15.6640625" style="722" customWidth="1"/>
    <col min="5380" max="5380" width="16.1640625" style="722" customWidth="1"/>
    <col min="5381" max="5381" width="17.6640625" style="722" customWidth="1"/>
    <col min="5382" max="5382" width="16.33203125" style="722" customWidth="1"/>
    <col min="5383" max="5632" width="9.33203125" style="722"/>
    <col min="5633" max="5633" width="25.1640625" style="722" customWidth="1"/>
    <col min="5634" max="5635" width="15.6640625" style="722" customWidth="1"/>
    <col min="5636" max="5636" width="16.1640625" style="722" customWidth="1"/>
    <col min="5637" max="5637" width="17.6640625" style="722" customWidth="1"/>
    <col min="5638" max="5638" width="16.33203125" style="722" customWidth="1"/>
    <col min="5639" max="5888" width="9.33203125" style="722"/>
    <col min="5889" max="5889" width="25.1640625" style="722" customWidth="1"/>
    <col min="5890" max="5891" width="15.6640625" style="722" customWidth="1"/>
    <col min="5892" max="5892" width="16.1640625" style="722" customWidth="1"/>
    <col min="5893" max="5893" width="17.6640625" style="722" customWidth="1"/>
    <col min="5894" max="5894" width="16.33203125" style="722" customWidth="1"/>
    <col min="5895" max="6144" width="9.33203125" style="722"/>
    <col min="6145" max="6145" width="25.1640625" style="722" customWidth="1"/>
    <col min="6146" max="6147" width="15.6640625" style="722" customWidth="1"/>
    <col min="6148" max="6148" width="16.1640625" style="722" customWidth="1"/>
    <col min="6149" max="6149" width="17.6640625" style="722" customWidth="1"/>
    <col min="6150" max="6150" width="16.33203125" style="722" customWidth="1"/>
    <col min="6151" max="6400" width="9.33203125" style="722"/>
    <col min="6401" max="6401" width="25.1640625" style="722" customWidth="1"/>
    <col min="6402" max="6403" width="15.6640625" style="722" customWidth="1"/>
    <col min="6404" max="6404" width="16.1640625" style="722" customWidth="1"/>
    <col min="6405" max="6405" width="17.6640625" style="722" customWidth="1"/>
    <col min="6406" max="6406" width="16.33203125" style="722" customWidth="1"/>
    <col min="6407" max="6656" width="9.33203125" style="722"/>
    <col min="6657" max="6657" width="25.1640625" style="722" customWidth="1"/>
    <col min="6658" max="6659" width="15.6640625" style="722" customWidth="1"/>
    <col min="6660" max="6660" width="16.1640625" style="722" customWidth="1"/>
    <col min="6661" max="6661" width="17.6640625" style="722" customWidth="1"/>
    <col min="6662" max="6662" width="16.33203125" style="722" customWidth="1"/>
    <col min="6663" max="6912" width="9.33203125" style="722"/>
    <col min="6913" max="6913" width="25.1640625" style="722" customWidth="1"/>
    <col min="6914" max="6915" width="15.6640625" style="722" customWidth="1"/>
    <col min="6916" max="6916" width="16.1640625" style="722" customWidth="1"/>
    <col min="6917" max="6917" width="17.6640625" style="722" customWidth="1"/>
    <col min="6918" max="6918" width="16.33203125" style="722" customWidth="1"/>
    <col min="6919" max="7168" width="9.33203125" style="722"/>
    <col min="7169" max="7169" width="25.1640625" style="722" customWidth="1"/>
    <col min="7170" max="7171" width="15.6640625" style="722" customWidth="1"/>
    <col min="7172" max="7172" width="16.1640625" style="722" customWidth="1"/>
    <col min="7173" max="7173" width="17.6640625" style="722" customWidth="1"/>
    <col min="7174" max="7174" width="16.33203125" style="722" customWidth="1"/>
    <col min="7175" max="7424" width="9.33203125" style="722"/>
    <col min="7425" max="7425" width="25.1640625" style="722" customWidth="1"/>
    <col min="7426" max="7427" width="15.6640625" style="722" customWidth="1"/>
    <col min="7428" max="7428" width="16.1640625" style="722" customWidth="1"/>
    <col min="7429" max="7429" width="17.6640625" style="722" customWidth="1"/>
    <col min="7430" max="7430" width="16.33203125" style="722" customWidth="1"/>
    <col min="7431" max="7680" width="9.33203125" style="722"/>
    <col min="7681" max="7681" width="25.1640625" style="722" customWidth="1"/>
    <col min="7682" max="7683" width="15.6640625" style="722" customWidth="1"/>
    <col min="7684" max="7684" width="16.1640625" style="722" customWidth="1"/>
    <col min="7685" max="7685" width="17.6640625" style="722" customWidth="1"/>
    <col min="7686" max="7686" width="16.33203125" style="722" customWidth="1"/>
    <col min="7687" max="7936" width="9.33203125" style="722"/>
    <col min="7937" max="7937" width="25.1640625" style="722" customWidth="1"/>
    <col min="7938" max="7939" width="15.6640625" style="722" customWidth="1"/>
    <col min="7940" max="7940" width="16.1640625" style="722" customWidth="1"/>
    <col min="7941" max="7941" width="17.6640625" style="722" customWidth="1"/>
    <col min="7942" max="7942" width="16.33203125" style="722" customWidth="1"/>
    <col min="7943" max="8192" width="9.33203125" style="722"/>
    <col min="8193" max="8193" width="25.1640625" style="722" customWidth="1"/>
    <col min="8194" max="8195" width="15.6640625" style="722" customWidth="1"/>
    <col min="8196" max="8196" width="16.1640625" style="722" customWidth="1"/>
    <col min="8197" max="8197" width="17.6640625" style="722" customWidth="1"/>
    <col min="8198" max="8198" width="16.33203125" style="722" customWidth="1"/>
    <col min="8199" max="8448" width="9.33203125" style="722"/>
    <col min="8449" max="8449" width="25.1640625" style="722" customWidth="1"/>
    <col min="8450" max="8451" width="15.6640625" style="722" customWidth="1"/>
    <col min="8452" max="8452" width="16.1640625" style="722" customWidth="1"/>
    <col min="8453" max="8453" width="17.6640625" style="722" customWidth="1"/>
    <col min="8454" max="8454" width="16.33203125" style="722" customWidth="1"/>
    <col min="8455" max="8704" width="9.33203125" style="722"/>
    <col min="8705" max="8705" width="25.1640625" style="722" customWidth="1"/>
    <col min="8706" max="8707" width="15.6640625" style="722" customWidth="1"/>
    <col min="8708" max="8708" width="16.1640625" style="722" customWidth="1"/>
    <col min="8709" max="8709" width="17.6640625" style="722" customWidth="1"/>
    <col min="8710" max="8710" width="16.33203125" style="722" customWidth="1"/>
    <col min="8711" max="8960" width="9.33203125" style="722"/>
    <col min="8961" max="8961" width="25.1640625" style="722" customWidth="1"/>
    <col min="8962" max="8963" width="15.6640625" style="722" customWidth="1"/>
    <col min="8964" max="8964" width="16.1640625" style="722" customWidth="1"/>
    <col min="8965" max="8965" width="17.6640625" style="722" customWidth="1"/>
    <col min="8966" max="8966" width="16.33203125" style="722" customWidth="1"/>
    <col min="8967" max="9216" width="9.33203125" style="722"/>
    <col min="9217" max="9217" width="25.1640625" style="722" customWidth="1"/>
    <col min="9218" max="9219" width="15.6640625" style="722" customWidth="1"/>
    <col min="9220" max="9220" width="16.1640625" style="722" customWidth="1"/>
    <col min="9221" max="9221" width="17.6640625" style="722" customWidth="1"/>
    <col min="9222" max="9222" width="16.33203125" style="722" customWidth="1"/>
    <col min="9223" max="9472" width="9.33203125" style="722"/>
    <col min="9473" max="9473" width="25.1640625" style="722" customWidth="1"/>
    <col min="9474" max="9475" width="15.6640625" style="722" customWidth="1"/>
    <col min="9476" max="9476" width="16.1640625" style="722" customWidth="1"/>
    <col min="9477" max="9477" width="17.6640625" style="722" customWidth="1"/>
    <col min="9478" max="9478" width="16.33203125" style="722" customWidth="1"/>
    <col min="9479" max="9728" width="9.33203125" style="722"/>
    <col min="9729" max="9729" width="25.1640625" style="722" customWidth="1"/>
    <col min="9730" max="9731" width="15.6640625" style="722" customWidth="1"/>
    <col min="9732" max="9732" width="16.1640625" style="722" customWidth="1"/>
    <col min="9733" max="9733" width="17.6640625" style="722" customWidth="1"/>
    <col min="9734" max="9734" width="16.33203125" style="722" customWidth="1"/>
    <col min="9735" max="9984" width="9.33203125" style="722"/>
    <col min="9985" max="9985" width="25.1640625" style="722" customWidth="1"/>
    <col min="9986" max="9987" width="15.6640625" style="722" customWidth="1"/>
    <col min="9988" max="9988" width="16.1640625" style="722" customWidth="1"/>
    <col min="9989" max="9989" width="17.6640625" style="722" customWidth="1"/>
    <col min="9990" max="9990" width="16.33203125" style="722" customWidth="1"/>
    <col min="9991" max="10240" width="9.33203125" style="722"/>
    <col min="10241" max="10241" width="25.1640625" style="722" customWidth="1"/>
    <col min="10242" max="10243" width="15.6640625" style="722" customWidth="1"/>
    <col min="10244" max="10244" width="16.1640625" style="722" customWidth="1"/>
    <col min="10245" max="10245" width="17.6640625" style="722" customWidth="1"/>
    <col min="10246" max="10246" width="16.33203125" style="722" customWidth="1"/>
    <col min="10247" max="10496" width="9.33203125" style="722"/>
    <col min="10497" max="10497" width="25.1640625" style="722" customWidth="1"/>
    <col min="10498" max="10499" width="15.6640625" style="722" customWidth="1"/>
    <col min="10500" max="10500" width="16.1640625" style="722" customWidth="1"/>
    <col min="10501" max="10501" width="17.6640625" style="722" customWidth="1"/>
    <col min="10502" max="10502" width="16.33203125" style="722" customWidth="1"/>
    <col min="10503" max="10752" width="9.33203125" style="722"/>
    <col min="10753" max="10753" width="25.1640625" style="722" customWidth="1"/>
    <col min="10754" max="10755" width="15.6640625" style="722" customWidth="1"/>
    <col min="10756" max="10756" width="16.1640625" style="722" customWidth="1"/>
    <col min="10757" max="10757" width="17.6640625" style="722" customWidth="1"/>
    <col min="10758" max="10758" width="16.33203125" style="722" customWidth="1"/>
    <col min="10759" max="11008" width="9.33203125" style="722"/>
    <col min="11009" max="11009" width="25.1640625" style="722" customWidth="1"/>
    <col min="11010" max="11011" width="15.6640625" style="722" customWidth="1"/>
    <col min="11012" max="11012" width="16.1640625" style="722" customWidth="1"/>
    <col min="11013" max="11013" width="17.6640625" style="722" customWidth="1"/>
    <col min="11014" max="11014" width="16.33203125" style="722" customWidth="1"/>
    <col min="11015" max="11264" width="9.33203125" style="722"/>
    <col min="11265" max="11265" width="25.1640625" style="722" customWidth="1"/>
    <col min="11266" max="11267" width="15.6640625" style="722" customWidth="1"/>
    <col min="11268" max="11268" width="16.1640625" style="722" customWidth="1"/>
    <col min="11269" max="11269" width="17.6640625" style="722" customWidth="1"/>
    <col min="11270" max="11270" width="16.33203125" style="722" customWidth="1"/>
    <col min="11271" max="11520" width="9.33203125" style="722"/>
    <col min="11521" max="11521" width="25.1640625" style="722" customWidth="1"/>
    <col min="11522" max="11523" width="15.6640625" style="722" customWidth="1"/>
    <col min="11524" max="11524" width="16.1640625" style="722" customWidth="1"/>
    <col min="11525" max="11525" width="17.6640625" style="722" customWidth="1"/>
    <col min="11526" max="11526" width="16.33203125" style="722" customWidth="1"/>
    <col min="11527" max="11776" width="9.33203125" style="722"/>
    <col min="11777" max="11777" width="25.1640625" style="722" customWidth="1"/>
    <col min="11778" max="11779" width="15.6640625" style="722" customWidth="1"/>
    <col min="11780" max="11780" width="16.1640625" style="722" customWidth="1"/>
    <col min="11781" max="11781" width="17.6640625" style="722" customWidth="1"/>
    <col min="11782" max="11782" width="16.33203125" style="722" customWidth="1"/>
    <col min="11783" max="12032" width="9.33203125" style="722"/>
    <col min="12033" max="12033" width="25.1640625" style="722" customWidth="1"/>
    <col min="12034" max="12035" width="15.6640625" style="722" customWidth="1"/>
    <col min="12036" max="12036" width="16.1640625" style="722" customWidth="1"/>
    <col min="12037" max="12037" width="17.6640625" style="722" customWidth="1"/>
    <col min="12038" max="12038" width="16.33203125" style="722" customWidth="1"/>
    <col min="12039" max="12288" width="9.33203125" style="722"/>
    <col min="12289" max="12289" width="25.1640625" style="722" customWidth="1"/>
    <col min="12290" max="12291" width="15.6640625" style="722" customWidth="1"/>
    <col min="12292" max="12292" width="16.1640625" style="722" customWidth="1"/>
    <col min="12293" max="12293" width="17.6640625" style="722" customWidth="1"/>
    <col min="12294" max="12294" width="16.33203125" style="722" customWidth="1"/>
    <col min="12295" max="12544" width="9.33203125" style="722"/>
    <col min="12545" max="12545" width="25.1640625" style="722" customWidth="1"/>
    <col min="12546" max="12547" width="15.6640625" style="722" customWidth="1"/>
    <col min="12548" max="12548" width="16.1640625" style="722" customWidth="1"/>
    <col min="12549" max="12549" width="17.6640625" style="722" customWidth="1"/>
    <col min="12550" max="12550" width="16.33203125" style="722" customWidth="1"/>
    <col min="12551" max="12800" width="9.33203125" style="722"/>
    <col min="12801" max="12801" width="25.1640625" style="722" customWidth="1"/>
    <col min="12802" max="12803" width="15.6640625" style="722" customWidth="1"/>
    <col min="12804" max="12804" width="16.1640625" style="722" customWidth="1"/>
    <col min="12805" max="12805" width="17.6640625" style="722" customWidth="1"/>
    <col min="12806" max="12806" width="16.33203125" style="722" customWidth="1"/>
    <col min="12807" max="13056" width="9.33203125" style="722"/>
    <col min="13057" max="13057" width="25.1640625" style="722" customWidth="1"/>
    <col min="13058" max="13059" width="15.6640625" style="722" customWidth="1"/>
    <col min="13060" max="13060" width="16.1640625" style="722" customWidth="1"/>
    <col min="13061" max="13061" width="17.6640625" style="722" customWidth="1"/>
    <col min="13062" max="13062" width="16.33203125" style="722" customWidth="1"/>
    <col min="13063" max="13312" width="9.33203125" style="722"/>
    <col min="13313" max="13313" width="25.1640625" style="722" customWidth="1"/>
    <col min="13314" max="13315" width="15.6640625" style="722" customWidth="1"/>
    <col min="13316" max="13316" width="16.1640625" style="722" customWidth="1"/>
    <col min="13317" max="13317" width="17.6640625" style="722" customWidth="1"/>
    <col min="13318" max="13318" width="16.33203125" style="722" customWidth="1"/>
    <col min="13319" max="13568" width="9.33203125" style="722"/>
    <col min="13569" max="13569" width="25.1640625" style="722" customWidth="1"/>
    <col min="13570" max="13571" width="15.6640625" style="722" customWidth="1"/>
    <col min="13572" max="13572" width="16.1640625" style="722" customWidth="1"/>
    <col min="13573" max="13573" width="17.6640625" style="722" customWidth="1"/>
    <col min="13574" max="13574" width="16.33203125" style="722" customWidth="1"/>
    <col min="13575" max="13824" width="9.33203125" style="722"/>
    <col min="13825" max="13825" width="25.1640625" style="722" customWidth="1"/>
    <col min="13826" max="13827" width="15.6640625" style="722" customWidth="1"/>
    <col min="13828" max="13828" width="16.1640625" style="722" customWidth="1"/>
    <col min="13829" max="13829" width="17.6640625" style="722" customWidth="1"/>
    <col min="13830" max="13830" width="16.33203125" style="722" customWidth="1"/>
    <col min="13831" max="14080" width="9.33203125" style="722"/>
    <col min="14081" max="14081" width="25.1640625" style="722" customWidth="1"/>
    <col min="14082" max="14083" width="15.6640625" style="722" customWidth="1"/>
    <col min="14084" max="14084" width="16.1640625" style="722" customWidth="1"/>
    <col min="14085" max="14085" width="17.6640625" style="722" customWidth="1"/>
    <col min="14086" max="14086" width="16.33203125" style="722" customWidth="1"/>
    <col min="14087" max="14336" width="9.33203125" style="722"/>
    <col min="14337" max="14337" width="25.1640625" style="722" customWidth="1"/>
    <col min="14338" max="14339" width="15.6640625" style="722" customWidth="1"/>
    <col min="14340" max="14340" width="16.1640625" style="722" customWidth="1"/>
    <col min="14341" max="14341" width="17.6640625" style="722" customWidth="1"/>
    <col min="14342" max="14342" width="16.33203125" style="722" customWidth="1"/>
    <col min="14343" max="14592" width="9.33203125" style="722"/>
    <col min="14593" max="14593" width="25.1640625" style="722" customWidth="1"/>
    <col min="14594" max="14595" width="15.6640625" style="722" customWidth="1"/>
    <col min="14596" max="14596" width="16.1640625" style="722" customWidth="1"/>
    <col min="14597" max="14597" width="17.6640625" style="722" customWidth="1"/>
    <col min="14598" max="14598" width="16.33203125" style="722" customWidth="1"/>
    <col min="14599" max="14848" width="9.33203125" style="722"/>
    <col min="14849" max="14849" width="25.1640625" style="722" customWidth="1"/>
    <col min="14850" max="14851" width="15.6640625" style="722" customWidth="1"/>
    <col min="14852" max="14852" width="16.1640625" style="722" customWidth="1"/>
    <col min="14853" max="14853" width="17.6640625" style="722" customWidth="1"/>
    <col min="14854" max="14854" width="16.33203125" style="722" customWidth="1"/>
    <col min="14855" max="15104" width="9.33203125" style="722"/>
    <col min="15105" max="15105" width="25.1640625" style="722" customWidth="1"/>
    <col min="15106" max="15107" width="15.6640625" style="722" customWidth="1"/>
    <col min="15108" max="15108" width="16.1640625" style="722" customWidth="1"/>
    <col min="15109" max="15109" width="17.6640625" style="722" customWidth="1"/>
    <col min="15110" max="15110" width="16.33203125" style="722" customWidth="1"/>
    <col min="15111" max="15360" width="9.33203125" style="722"/>
    <col min="15361" max="15361" width="25.1640625" style="722" customWidth="1"/>
    <col min="15362" max="15363" width="15.6640625" style="722" customWidth="1"/>
    <col min="15364" max="15364" width="16.1640625" style="722" customWidth="1"/>
    <col min="15365" max="15365" width="17.6640625" style="722" customWidth="1"/>
    <col min="15366" max="15366" width="16.33203125" style="722" customWidth="1"/>
    <col min="15367" max="15616" width="9.33203125" style="722"/>
    <col min="15617" max="15617" width="25.1640625" style="722" customWidth="1"/>
    <col min="15618" max="15619" width="15.6640625" style="722" customWidth="1"/>
    <col min="15620" max="15620" width="16.1640625" style="722" customWidth="1"/>
    <col min="15621" max="15621" width="17.6640625" style="722" customWidth="1"/>
    <col min="15622" max="15622" width="16.33203125" style="722" customWidth="1"/>
    <col min="15623" max="15872" width="9.33203125" style="722"/>
    <col min="15873" max="15873" width="25.1640625" style="722" customWidth="1"/>
    <col min="15874" max="15875" width="15.6640625" style="722" customWidth="1"/>
    <col min="15876" max="15876" width="16.1640625" style="722" customWidth="1"/>
    <col min="15877" max="15877" width="17.6640625" style="722" customWidth="1"/>
    <col min="15878" max="15878" width="16.33203125" style="722" customWidth="1"/>
    <col min="15879" max="16128" width="9.33203125" style="722"/>
    <col min="16129" max="16129" width="25.1640625" style="722" customWidth="1"/>
    <col min="16130" max="16131" width="15.6640625" style="722" customWidth="1"/>
    <col min="16132" max="16132" width="16.1640625" style="722" customWidth="1"/>
    <col min="16133" max="16133" width="17.6640625" style="722" customWidth="1"/>
    <col min="16134" max="16134" width="16.33203125" style="722" customWidth="1"/>
    <col min="16135" max="16384" width="9.33203125" style="722"/>
  </cols>
  <sheetData>
    <row r="1" spans="1:7" ht="15.75">
      <c r="D1" s="723" t="s">
        <v>1146</v>
      </c>
    </row>
    <row r="3" spans="1:7" ht="6" customHeight="1">
      <c r="A3" s="724"/>
      <c r="B3" s="724"/>
      <c r="C3" s="724"/>
      <c r="D3" s="724"/>
      <c r="E3" s="724"/>
      <c r="F3" s="724"/>
    </row>
    <row r="4" spans="1:7" s="725" customFormat="1" ht="25.5">
      <c r="A4" s="725" t="s">
        <v>1147</v>
      </c>
      <c r="B4" s="726" t="s">
        <v>1148</v>
      </c>
      <c r="C4" s="726" t="s">
        <v>1149</v>
      </c>
      <c r="D4" s="726" t="s">
        <v>1150</v>
      </c>
      <c r="E4" s="726" t="s">
        <v>1151</v>
      </c>
      <c r="F4" s="726" t="s">
        <v>1152</v>
      </c>
    </row>
    <row r="5" spans="1:7">
      <c r="F5" s="727"/>
    </row>
    <row r="6" spans="1:7" ht="15">
      <c r="A6" s="722">
        <v>1</v>
      </c>
      <c r="B6" s="728">
        <v>70953.490000000005</v>
      </c>
      <c r="C6" s="728">
        <v>-104525.55</v>
      </c>
      <c r="D6" s="728">
        <v>-47726.59</v>
      </c>
      <c r="E6" s="728">
        <v>-81017.710000000006</v>
      </c>
      <c r="F6" s="729">
        <v>17550.72</v>
      </c>
    </row>
    <row r="7" spans="1:7" ht="15">
      <c r="A7" s="722">
        <f>A6+1</f>
        <v>2</v>
      </c>
      <c r="B7" s="728">
        <v>95698.48</v>
      </c>
      <c r="C7" s="728">
        <v>8834.0300000000007</v>
      </c>
      <c r="D7" s="728">
        <v>190993.36</v>
      </c>
      <c r="E7" s="728">
        <v>76323.490000000005</v>
      </c>
      <c r="F7" s="729">
        <v>-49558.33</v>
      </c>
      <c r="G7" s="729"/>
    </row>
    <row r="8" spans="1:7" ht="15">
      <c r="A8" s="722">
        <f t="shared" ref="A8:A17" si="0">A7+1</f>
        <v>3</v>
      </c>
      <c r="B8" s="728">
        <v>45103.79</v>
      </c>
      <c r="C8" s="728">
        <v>-6388.9</v>
      </c>
      <c r="D8" s="728">
        <v>15509.79</v>
      </c>
      <c r="E8" s="728">
        <v>118921.82</v>
      </c>
      <c r="F8" s="729">
        <v>102490.26</v>
      </c>
      <c r="G8" s="729"/>
    </row>
    <row r="9" spans="1:7" ht="15">
      <c r="A9" s="722">
        <f t="shared" si="0"/>
        <v>4</v>
      </c>
      <c r="B9" s="728">
        <v>114827.81</v>
      </c>
      <c r="C9" s="728">
        <v>124768.56</v>
      </c>
      <c r="D9" s="728">
        <v>19652.84</v>
      </c>
      <c r="E9" s="728">
        <v>114935.67</v>
      </c>
      <c r="F9" s="729">
        <v>110670.84</v>
      </c>
      <c r="G9" s="729"/>
    </row>
    <row r="10" spans="1:7" ht="15">
      <c r="A10" s="722">
        <f t="shared" si="0"/>
        <v>5</v>
      </c>
      <c r="B10" s="728">
        <v>63555.85</v>
      </c>
      <c r="C10" s="728">
        <v>69459.88</v>
      </c>
      <c r="D10" s="728">
        <v>73191.399999999994</v>
      </c>
      <c r="E10" s="728">
        <v>142418.74</v>
      </c>
      <c r="F10" s="729">
        <v>152107.5</v>
      </c>
    </row>
    <row r="11" spans="1:7" ht="15">
      <c r="A11" s="722">
        <f t="shared" si="0"/>
        <v>6</v>
      </c>
      <c r="B11" s="728">
        <v>90474.84</v>
      </c>
      <c r="C11" s="728">
        <v>114752.29</v>
      </c>
      <c r="D11" s="728">
        <v>57947.44</v>
      </c>
      <c r="E11" s="728">
        <v>96749.2</v>
      </c>
      <c r="F11" s="729">
        <v>92378.37</v>
      </c>
    </row>
    <row r="12" spans="1:7" ht="15">
      <c r="A12" s="722">
        <f t="shared" si="0"/>
        <v>7</v>
      </c>
      <c r="B12" s="728">
        <v>97779</v>
      </c>
      <c r="C12" s="728">
        <v>49389.14</v>
      </c>
      <c r="D12" s="728">
        <v>67239.09</v>
      </c>
      <c r="E12" s="728">
        <v>72252.289999999994</v>
      </c>
      <c r="F12" s="729">
        <v>42952.94</v>
      </c>
    </row>
    <row r="13" spans="1:7" ht="15">
      <c r="A13" s="722">
        <f t="shared" si="0"/>
        <v>8</v>
      </c>
      <c r="B13" s="728">
        <v>25411.78</v>
      </c>
      <c r="C13" s="728">
        <v>-5863.62</v>
      </c>
      <c r="D13" s="728">
        <v>2869.05</v>
      </c>
      <c r="E13" s="728">
        <v>22704.74</v>
      </c>
      <c r="F13" s="729">
        <v>21732.16</v>
      </c>
    </row>
    <row r="14" spans="1:7" ht="15">
      <c r="A14" s="722">
        <f t="shared" si="0"/>
        <v>9</v>
      </c>
      <c r="B14" s="730">
        <v>-20223.39</v>
      </c>
      <c r="C14" s="730">
        <v>11853.94</v>
      </c>
      <c r="D14" s="731">
        <v>-28007.19</v>
      </c>
      <c r="E14" s="731">
        <v>-43076.61</v>
      </c>
      <c r="F14" s="729">
        <v>-21459.99</v>
      </c>
    </row>
    <row r="15" spans="1:7" ht="15">
      <c r="A15" s="722">
        <f t="shared" si="0"/>
        <v>10</v>
      </c>
      <c r="B15" s="730">
        <v>-173719.81</v>
      </c>
      <c r="C15" s="730">
        <v>-99563.71</v>
      </c>
      <c r="D15" s="731">
        <v>-107405.49</v>
      </c>
      <c r="E15" s="731">
        <v>-100120.08</v>
      </c>
      <c r="F15" s="729">
        <v>-139220.79999999999</v>
      </c>
    </row>
    <row r="16" spans="1:7" ht="15">
      <c r="A16" s="722">
        <f t="shared" si="0"/>
        <v>11</v>
      </c>
      <c r="B16" s="730">
        <v>-447490.19</v>
      </c>
      <c r="C16" s="730">
        <v>-163713.24</v>
      </c>
      <c r="D16" s="731">
        <v>-216454.53</v>
      </c>
      <c r="E16" s="731">
        <v>-163217.91</v>
      </c>
      <c r="F16" s="729">
        <v>-230950.97</v>
      </c>
    </row>
    <row r="17" spans="1:6" ht="15">
      <c r="A17" s="722">
        <f t="shared" si="0"/>
        <v>12</v>
      </c>
      <c r="B17" s="732">
        <v>-243657.75</v>
      </c>
      <c r="C17" s="732">
        <v>-477441.96</v>
      </c>
      <c r="D17" s="733">
        <v>-509947.76</v>
      </c>
      <c r="E17" s="733">
        <v>-724234.93</v>
      </c>
      <c r="F17" s="734">
        <v>-203197.88</v>
      </c>
    </row>
    <row r="18" spans="1:6">
      <c r="B18" s="735">
        <f>SUM(B6:B17)</f>
        <v>-281286.09999999998</v>
      </c>
      <c r="C18" s="735">
        <f>SUM(C6:C17)</f>
        <v>-478439.14</v>
      </c>
      <c r="D18" s="735">
        <f>SUM(D6:D17)</f>
        <v>-482138.59000000008</v>
      </c>
      <c r="E18" s="735">
        <f>SUM(E6:E17)</f>
        <v>-467361.29000000004</v>
      </c>
      <c r="F18" s="735">
        <f>SUM(F6:F17)</f>
        <v>-104505.18000000002</v>
      </c>
    </row>
    <row r="19" spans="1:6">
      <c r="E19" s="735"/>
      <c r="F19" s="735"/>
    </row>
    <row r="20" spans="1:6">
      <c r="E20" s="736"/>
      <c r="F20" s="735"/>
    </row>
    <row r="21" spans="1:6">
      <c r="A21" s="672" t="s">
        <v>659</v>
      </c>
      <c r="D21" s="735"/>
      <c r="E21" s="735"/>
      <c r="F21" s="735"/>
    </row>
    <row r="22" spans="1:6">
      <c r="D22" s="735"/>
      <c r="E22" s="735"/>
      <c r="F22" s="735"/>
    </row>
    <row r="23" spans="1:6">
      <c r="D23" s="735"/>
      <c r="E23" s="735"/>
      <c r="F23" s="735"/>
    </row>
    <row r="24" spans="1:6">
      <c r="D24" s="735"/>
      <c r="E24" s="735"/>
      <c r="F24" s="735"/>
    </row>
    <row r="25" spans="1:6">
      <c r="D25" s="735"/>
      <c r="E25" s="735"/>
      <c r="F25" s="735"/>
    </row>
    <row r="26" spans="1:6">
      <c r="D26" s="735"/>
      <c r="E26" s="735"/>
      <c r="F26" s="735"/>
    </row>
    <row r="27" spans="1:6">
      <c r="D27" s="735"/>
      <c r="E27" s="735"/>
      <c r="F27" s="735"/>
    </row>
    <row r="28" spans="1:6">
      <c r="D28" s="735"/>
      <c r="E28" s="735"/>
      <c r="F28" s="735"/>
    </row>
    <row r="29" spans="1:6">
      <c r="D29" s="735"/>
      <c r="E29" s="735"/>
      <c r="F29" s="735"/>
    </row>
    <row r="30" spans="1:6">
      <c r="D30" s="735"/>
      <c r="E30" s="735"/>
      <c r="F30" s="735"/>
    </row>
    <row r="31" spans="1:6">
      <c r="D31" s="735"/>
      <c r="E31" s="735"/>
      <c r="F31" s="735"/>
    </row>
    <row r="32" spans="1:6">
      <c r="D32" s="735"/>
      <c r="E32" s="735"/>
      <c r="F32" s="735"/>
    </row>
    <row r="33" spans="4:6">
      <c r="D33" s="735"/>
      <c r="E33" s="735"/>
      <c r="F33" s="735"/>
    </row>
    <row r="34" spans="4:6">
      <c r="D34" s="735"/>
      <c r="E34" s="735"/>
      <c r="F34" s="735"/>
    </row>
    <row r="35" spans="4:6">
      <c r="D35" s="735"/>
      <c r="E35" s="735"/>
      <c r="F35" s="735"/>
    </row>
    <row r="36" spans="4:6">
      <c r="D36" s="735"/>
      <c r="E36" s="735"/>
      <c r="F36" s="735"/>
    </row>
    <row r="37" spans="4:6">
      <c r="D37" s="735"/>
      <c r="E37" s="735"/>
      <c r="F37" s="735"/>
    </row>
    <row r="38" spans="4:6">
      <c r="D38" s="735"/>
      <c r="E38" s="735"/>
      <c r="F38" s="735"/>
    </row>
    <row r="39" spans="4:6">
      <c r="D39" s="735"/>
      <c r="E39" s="735"/>
      <c r="F39" s="735"/>
    </row>
    <row r="40" spans="4:6">
      <c r="D40" s="735"/>
      <c r="E40" s="735"/>
      <c r="F40" s="735"/>
    </row>
    <row r="41" spans="4:6">
      <c r="D41" s="735"/>
      <c r="E41" s="735"/>
      <c r="F41" s="735"/>
    </row>
    <row r="42" spans="4:6">
      <c r="D42" s="735"/>
      <c r="E42" s="735"/>
      <c r="F42" s="735"/>
    </row>
    <row r="43" spans="4:6">
      <c r="D43" s="735"/>
      <c r="E43" s="735"/>
      <c r="F43" s="735"/>
    </row>
    <row r="44" spans="4:6">
      <c r="D44" s="735"/>
      <c r="E44" s="735"/>
      <c r="F44" s="735"/>
    </row>
    <row r="45" spans="4:6">
      <c r="D45" s="735"/>
      <c r="E45" s="735"/>
      <c r="F45" s="735"/>
    </row>
    <row r="46" spans="4:6">
      <c r="D46" s="735"/>
      <c r="E46" s="735"/>
      <c r="F46" s="735"/>
    </row>
    <row r="47" spans="4:6">
      <c r="D47" s="735"/>
      <c r="E47" s="735"/>
      <c r="F47" s="735"/>
    </row>
    <row r="48" spans="4:6">
      <c r="D48" s="735"/>
      <c r="E48" s="735"/>
      <c r="F48" s="735"/>
    </row>
    <row r="49" spans="4:6">
      <c r="D49" s="735"/>
      <c r="E49" s="735"/>
      <c r="F49" s="735"/>
    </row>
    <row r="50" spans="4:6">
      <c r="D50" s="735"/>
      <c r="E50" s="735"/>
      <c r="F50" s="735"/>
    </row>
    <row r="51" spans="4:6">
      <c r="D51" s="735"/>
      <c r="E51" s="735"/>
      <c r="F51" s="735"/>
    </row>
    <row r="52" spans="4:6">
      <c r="D52" s="735"/>
      <c r="E52" s="735"/>
      <c r="F52" s="735"/>
    </row>
    <row r="53" spans="4:6">
      <c r="D53" s="735"/>
      <c r="E53" s="735"/>
      <c r="F53" s="735"/>
    </row>
    <row r="54" spans="4:6">
      <c r="D54" s="735"/>
      <c r="E54" s="735"/>
      <c r="F54" s="735"/>
    </row>
    <row r="55" spans="4:6">
      <c r="D55" s="735"/>
      <c r="E55" s="735"/>
      <c r="F55" s="735"/>
    </row>
    <row r="56" spans="4:6">
      <c r="D56" s="735"/>
      <c r="E56" s="735"/>
      <c r="F56" s="735"/>
    </row>
    <row r="57" spans="4:6">
      <c r="D57" s="735"/>
      <c r="E57" s="735"/>
      <c r="F57" s="735"/>
    </row>
    <row r="58" spans="4:6">
      <c r="D58" s="735"/>
      <c r="E58" s="735"/>
      <c r="F58" s="735"/>
    </row>
    <row r="59" spans="4:6">
      <c r="D59" s="735"/>
      <c r="E59" s="735"/>
      <c r="F59" s="735"/>
    </row>
    <row r="60" spans="4:6">
      <c r="D60" s="735"/>
      <c r="E60" s="735"/>
      <c r="F60" s="735"/>
    </row>
    <row r="61" spans="4:6">
      <c r="D61" s="735"/>
      <c r="E61" s="735"/>
      <c r="F61" s="735"/>
    </row>
    <row r="62" spans="4:6">
      <c r="D62" s="735"/>
      <c r="E62" s="735"/>
      <c r="F62" s="735"/>
    </row>
    <row r="63" spans="4:6">
      <c r="D63" s="735"/>
      <c r="E63" s="735"/>
      <c r="F63" s="735"/>
    </row>
    <row r="64" spans="4:6">
      <c r="D64" s="735"/>
      <c r="E64" s="735"/>
      <c r="F64" s="735"/>
    </row>
    <row r="65" spans="4:6">
      <c r="D65" s="735"/>
      <c r="E65" s="735"/>
      <c r="F65" s="735"/>
    </row>
    <row r="66" spans="4:6">
      <c r="D66" s="735"/>
      <c r="E66" s="735"/>
      <c r="F66" s="735"/>
    </row>
    <row r="67" spans="4:6">
      <c r="D67" s="735"/>
      <c r="E67" s="735"/>
      <c r="F67" s="735"/>
    </row>
    <row r="68" spans="4:6">
      <c r="D68" s="735"/>
      <c r="E68" s="735"/>
      <c r="F68" s="735"/>
    </row>
    <row r="69" spans="4:6">
      <c r="D69" s="735"/>
      <c r="E69" s="735"/>
      <c r="F69" s="735"/>
    </row>
    <row r="70" spans="4:6">
      <c r="D70" s="735"/>
      <c r="E70" s="735"/>
      <c r="F70" s="735"/>
    </row>
    <row r="71" spans="4:6">
      <c r="D71" s="735"/>
      <c r="E71" s="735"/>
      <c r="F71" s="735"/>
    </row>
    <row r="72" spans="4:6">
      <c r="D72" s="735"/>
      <c r="E72" s="735"/>
      <c r="F72" s="735"/>
    </row>
    <row r="73" spans="4:6">
      <c r="D73" s="735"/>
      <c r="E73" s="735"/>
      <c r="F73" s="735"/>
    </row>
    <row r="74" spans="4:6">
      <c r="D74" s="735"/>
      <c r="E74" s="735"/>
      <c r="F74" s="735"/>
    </row>
    <row r="75" spans="4:6">
      <c r="D75" s="735"/>
      <c r="E75" s="735"/>
      <c r="F75" s="735"/>
    </row>
    <row r="76" spans="4:6">
      <c r="D76" s="735"/>
      <c r="E76" s="735"/>
      <c r="F76" s="735"/>
    </row>
    <row r="77" spans="4:6">
      <c r="D77" s="735"/>
      <c r="E77" s="735"/>
      <c r="F77" s="735"/>
    </row>
    <row r="78" spans="4:6">
      <c r="D78" s="735"/>
      <c r="E78" s="735"/>
      <c r="F78" s="735"/>
    </row>
    <row r="79" spans="4:6">
      <c r="D79" s="735"/>
      <c r="E79" s="735"/>
      <c r="F79" s="735"/>
    </row>
    <row r="80" spans="4:6">
      <c r="D80" s="735"/>
      <c r="E80" s="735"/>
      <c r="F80" s="735"/>
    </row>
    <row r="81" spans="4:6">
      <c r="D81" s="735"/>
      <c r="E81" s="735"/>
      <c r="F81" s="735"/>
    </row>
    <row r="82" spans="4:6">
      <c r="D82" s="735"/>
      <c r="E82" s="735"/>
      <c r="F82" s="735"/>
    </row>
    <row r="83" spans="4:6">
      <c r="D83" s="735"/>
      <c r="E83" s="735"/>
      <c r="F83" s="735"/>
    </row>
    <row r="84" spans="4:6">
      <c r="D84" s="735"/>
      <c r="E84" s="735"/>
      <c r="F84" s="735"/>
    </row>
    <row r="85" spans="4:6">
      <c r="D85" s="735"/>
      <c r="E85" s="735"/>
      <c r="F85" s="735"/>
    </row>
    <row r="86" spans="4:6">
      <c r="D86" s="735"/>
      <c r="E86" s="735"/>
      <c r="F86" s="735"/>
    </row>
    <row r="87" spans="4:6">
      <c r="D87" s="735"/>
      <c r="E87" s="735"/>
      <c r="F87" s="735"/>
    </row>
    <row r="88" spans="4:6">
      <c r="D88" s="735"/>
      <c r="E88" s="735"/>
      <c r="F88" s="735"/>
    </row>
    <row r="89" spans="4:6">
      <c r="D89" s="735"/>
      <c r="E89" s="735"/>
      <c r="F89" s="735"/>
    </row>
    <row r="90" spans="4:6">
      <c r="D90" s="735"/>
      <c r="E90" s="735"/>
      <c r="F90" s="735"/>
    </row>
    <row r="91" spans="4:6">
      <c r="D91" s="735"/>
      <c r="E91" s="735"/>
      <c r="F91" s="735"/>
    </row>
    <row r="92" spans="4:6">
      <c r="D92" s="735"/>
      <c r="E92" s="735"/>
      <c r="F92" s="735"/>
    </row>
    <row r="93" spans="4:6">
      <c r="D93" s="735"/>
      <c r="E93" s="735"/>
      <c r="F93" s="735"/>
    </row>
    <row r="94" spans="4:6">
      <c r="D94" s="735"/>
      <c r="E94" s="735"/>
      <c r="F94" s="735"/>
    </row>
  </sheetData>
  <printOptions horizontalCentered="1"/>
  <pageMargins left="0" right="0" top="1" bottom="1" header="0.5" footer="0.5"/>
  <pageSetup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F23"/>
  <sheetViews>
    <sheetView workbookViewId="0">
      <selection activeCell="F25" sqref="F25"/>
    </sheetView>
  </sheetViews>
  <sheetFormatPr defaultColWidth="13.33203125" defaultRowHeight="12.75"/>
  <cols>
    <col min="1" max="1" width="12" style="787" customWidth="1"/>
    <col min="2" max="2" width="14.33203125" style="787" bestFit="1" customWidth="1"/>
    <col min="3" max="3" width="24.83203125" style="787" customWidth="1"/>
    <col min="4" max="4" width="14.6640625" style="787" bestFit="1" customWidth="1"/>
    <col min="5" max="5" width="19" style="787" bestFit="1" customWidth="1"/>
    <col min="6" max="6" width="13.6640625" style="787" bestFit="1" customWidth="1"/>
    <col min="7" max="256" width="13.33203125" style="787"/>
    <col min="257" max="257" width="12" style="787" customWidth="1"/>
    <col min="258" max="258" width="14.33203125" style="787" bestFit="1" customWidth="1"/>
    <col min="259" max="259" width="24.83203125" style="787" customWidth="1"/>
    <col min="260" max="260" width="14.6640625" style="787" bestFit="1" customWidth="1"/>
    <col min="261" max="261" width="19" style="787" bestFit="1" customWidth="1"/>
    <col min="262" max="262" width="13.6640625" style="787" bestFit="1" customWidth="1"/>
    <col min="263" max="512" width="13.33203125" style="787"/>
    <col min="513" max="513" width="12" style="787" customWidth="1"/>
    <col min="514" max="514" width="14.33203125" style="787" bestFit="1" customWidth="1"/>
    <col min="515" max="515" width="24.83203125" style="787" customWidth="1"/>
    <col min="516" max="516" width="14.6640625" style="787" bestFit="1" customWidth="1"/>
    <col min="517" max="517" width="19" style="787" bestFit="1" customWidth="1"/>
    <col min="518" max="518" width="13.6640625" style="787" bestFit="1" customWidth="1"/>
    <col min="519" max="768" width="13.33203125" style="787"/>
    <col min="769" max="769" width="12" style="787" customWidth="1"/>
    <col min="770" max="770" width="14.33203125" style="787" bestFit="1" customWidth="1"/>
    <col min="771" max="771" width="24.83203125" style="787" customWidth="1"/>
    <col min="772" max="772" width="14.6640625" style="787" bestFit="1" customWidth="1"/>
    <col min="773" max="773" width="19" style="787" bestFit="1" customWidth="1"/>
    <col min="774" max="774" width="13.6640625" style="787" bestFit="1" customWidth="1"/>
    <col min="775" max="1024" width="13.33203125" style="787"/>
    <col min="1025" max="1025" width="12" style="787" customWidth="1"/>
    <col min="1026" max="1026" width="14.33203125" style="787" bestFit="1" customWidth="1"/>
    <col min="1027" max="1027" width="24.83203125" style="787" customWidth="1"/>
    <col min="1028" max="1028" width="14.6640625" style="787" bestFit="1" customWidth="1"/>
    <col min="1029" max="1029" width="19" style="787" bestFit="1" customWidth="1"/>
    <col min="1030" max="1030" width="13.6640625" style="787" bestFit="1" customWidth="1"/>
    <col min="1031" max="1280" width="13.33203125" style="787"/>
    <col min="1281" max="1281" width="12" style="787" customWidth="1"/>
    <col min="1282" max="1282" width="14.33203125" style="787" bestFit="1" customWidth="1"/>
    <col min="1283" max="1283" width="24.83203125" style="787" customWidth="1"/>
    <col min="1284" max="1284" width="14.6640625" style="787" bestFit="1" customWidth="1"/>
    <col min="1285" max="1285" width="19" style="787" bestFit="1" customWidth="1"/>
    <col min="1286" max="1286" width="13.6640625" style="787" bestFit="1" customWidth="1"/>
    <col min="1287" max="1536" width="13.33203125" style="787"/>
    <col min="1537" max="1537" width="12" style="787" customWidth="1"/>
    <col min="1538" max="1538" width="14.33203125" style="787" bestFit="1" customWidth="1"/>
    <col min="1539" max="1539" width="24.83203125" style="787" customWidth="1"/>
    <col min="1540" max="1540" width="14.6640625" style="787" bestFit="1" customWidth="1"/>
    <col min="1541" max="1541" width="19" style="787" bestFit="1" customWidth="1"/>
    <col min="1542" max="1542" width="13.6640625" style="787" bestFit="1" customWidth="1"/>
    <col min="1543" max="1792" width="13.33203125" style="787"/>
    <col min="1793" max="1793" width="12" style="787" customWidth="1"/>
    <col min="1794" max="1794" width="14.33203125" style="787" bestFit="1" customWidth="1"/>
    <col min="1795" max="1795" width="24.83203125" style="787" customWidth="1"/>
    <col min="1796" max="1796" width="14.6640625" style="787" bestFit="1" customWidth="1"/>
    <col min="1797" max="1797" width="19" style="787" bestFit="1" customWidth="1"/>
    <col min="1798" max="1798" width="13.6640625" style="787" bestFit="1" customWidth="1"/>
    <col min="1799" max="2048" width="13.33203125" style="787"/>
    <col min="2049" max="2049" width="12" style="787" customWidth="1"/>
    <col min="2050" max="2050" width="14.33203125" style="787" bestFit="1" customWidth="1"/>
    <col min="2051" max="2051" width="24.83203125" style="787" customWidth="1"/>
    <col min="2052" max="2052" width="14.6640625" style="787" bestFit="1" customWidth="1"/>
    <col min="2053" max="2053" width="19" style="787" bestFit="1" customWidth="1"/>
    <col min="2054" max="2054" width="13.6640625" style="787" bestFit="1" customWidth="1"/>
    <col min="2055" max="2304" width="13.33203125" style="787"/>
    <col min="2305" max="2305" width="12" style="787" customWidth="1"/>
    <col min="2306" max="2306" width="14.33203125" style="787" bestFit="1" customWidth="1"/>
    <col min="2307" max="2307" width="24.83203125" style="787" customWidth="1"/>
    <col min="2308" max="2308" width="14.6640625" style="787" bestFit="1" customWidth="1"/>
    <col min="2309" max="2309" width="19" style="787" bestFit="1" customWidth="1"/>
    <col min="2310" max="2310" width="13.6640625" style="787" bestFit="1" customWidth="1"/>
    <col min="2311" max="2560" width="13.33203125" style="787"/>
    <col min="2561" max="2561" width="12" style="787" customWidth="1"/>
    <col min="2562" max="2562" width="14.33203125" style="787" bestFit="1" customWidth="1"/>
    <col min="2563" max="2563" width="24.83203125" style="787" customWidth="1"/>
    <col min="2564" max="2564" width="14.6640625" style="787" bestFit="1" customWidth="1"/>
    <col min="2565" max="2565" width="19" style="787" bestFit="1" customWidth="1"/>
    <col min="2566" max="2566" width="13.6640625" style="787" bestFit="1" customWidth="1"/>
    <col min="2567" max="2816" width="13.33203125" style="787"/>
    <col min="2817" max="2817" width="12" style="787" customWidth="1"/>
    <col min="2818" max="2818" width="14.33203125" style="787" bestFit="1" customWidth="1"/>
    <col min="2819" max="2819" width="24.83203125" style="787" customWidth="1"/>
    <col min="2820" max="2820" width="14.6640625" style="787" bestFit="1" customWidth="1"/>
    <col min="2821" max="2821" width="19" style="787" bestFit="1" customWidth="1"/>
    <col min="2822" max="2822" width="13.6640625" style="787" bestFit="1" customWidth="1"/>
    <col min="2823" max="3072" width="13.33203125" style="787"/>
    <col min="3073" max="3073" width="12" style="787" customWidth="1"/>
    <col min="3074" max="3074" width="14.33203125" style="787" bestFit="1" customWidth="1"/>
    <col min="3075" max="3075" width="24.83203125" style="787" customWidth="1"/>
    <col min="3076" max="3076" width="14.6640625" style="787" bestFit="1" customWidth="1"/>
    <col min="3077" max="3077" width="19" style="787" bestFit="1" customWidth="1"/>
    <col min="3078" max="3078" width="13.6640625" style="787" bestFit="1" customWidth="1"/>
    <col min="3079" max="3328" width="13.33203125" style="787"/>
    <col min="3329" max="3329" width="12" style="787" customWidth="1"/>
    <col min="3330" max="3330" width="14.33203125" style="787" bestFit="1" customWidth="1"/>
    <col min="3331" max="3331" width="24.83203125" style="787" customWidth="1"/>
    <col min="3332" max="3332" width="14.6640625" style="787" bestFit="1" customWidth="1"/>
    <col min="3333" max="3333" width="19" style="787" bestFit="1" customWidth="1"/>
    <col min="3334" max="3334" width="13.6640625" style="787" bestFit="1" customWidth="1"/>
    <col min="3335" max="3584" width="13.33203125" style="787"/>
    <col min="3585" max="3585" width="12" style="787" customWidth="1"/>
    <col min="3586" max="3586" width="14.33203125" style="787" bestFit="1" customWidth="1"/>
    <col min="3587" max="3587" width="24.83203125" style="787" customWidth="1"/>
    <col min="3588" max="3588" width="14.6640625" style="787" bestFit="1" customWidth="1"/>
    <col min="3589" max="3589" width="19" style="787" bestFit="1" customWidth="1"/>
    <col min="3590" max="3590" width="13.6640625" style="787" bestFit="1" customWidth="1"/>
    <col min="3591" max="3840" width="13.33203125" style="787"/>
    <col min="3841" max="3841" width="12" style="787" customWidth="1"/>
    <col min="3842" max="3842" width="14.33203125" style="787" bestFit="1" customWidth="1"/>
    <col min="3843" max="3843" width="24.83203125" style="787" customWidth="1"/>
    <col min="3844" max="3844" width="14.6640625" style="787" bestFit="1" customWidth="1"/>
    <col min="3845" max="3845" width="19" style="787" bestFit="1" customWidth="1"/>
    <col min="3846" max="3846" width="13.6640625" style="787" bestFit="1" customWidth="1"/>
    <col min="3847" max="4096" width="13.33203125" style="787"/>
    <col min="4097" max="4097" width="12" style="787" customWidth="1"/>
    <col min="4098" max="4098" width="14.33203125" style="787" bestFit="1" customWidth="1"/>
    <col min="4099" max="4099" width="24.83203125" style="787" customWidth="1"/>
    <col min="4100" max="4100" width="14.6640625" style="787" bestFit="1" customWidth="1"/>
    <col min="4101" max="4101" width="19" style="787" bestFit="1" customWidth="1"/>
    <col min="4102" max="4102" width="13.6640625" style="787" bestFit="1" customWidth="1"/>
    <col min="4103" max="4352" width="13.33203125" style="787"/>
    <col min="4353" max="4353" width="12" style="787" customWidth="1"/>
    <col min="4354" max="4354" width="14.33203125" style="787" bestFit="1" customWidth="1"/>
    <col min="4355" max="4355" width="24.83203125" style="787" customWidth="1"/>
    <col min="4356" max="4356" width="14.6640625" style="787" bestFit="1" customWidth="1"/>
    <col min="4357" max="4357" width="19" style="787" bestFit="1" customWidth="1"/>
    <col min="4358" max="4358" width="13.6640625" style="787" bestFit="1" customWidth="1"/>
    <col min="4359" max="4608" width="13.33203125" style="787"/>
    <col min="4609" max="4609" width="12" style="787" customWidth="1"/>
    <col min="4610" max="4610" width="14.33203125" style="787" bestFit="1" customWidth="1"/>
    <col min="4611" max="4611" width="24.83203125" style="787" customWidth="1"/>
    <col min="4612" max="4612" width="14.6640625" style="787" bestFit="1" customWidth="1"/>
    <col min="4613" max="4613" width="19" style="787" bestFit="1" customWidth="1"/>
    <col min="4614" max="4614" width="13.6640625" style="787" bestFit="1" customWidth="1"/>
    <col min="4615" max="4864" width="13.33203125" style="787"/>
    <col min="4865" max="4865" width="12" style="787" customWidth="1"/>
    <col min="4866" max="4866" width="14.33203125" style="787" bestFit="1" customWidth="1"/>
    <col min="4867" max="4867" width="24.83203125" style="787" customWidth="1"/>
    <col min="4868" max="4868" width="14.6640625" style="787" bestFit="1" customWidth="1"/>
    <col min="4869" max="4869" width="19" style="787" bestFit="1" customWidth="1"/>
    <col min="4870" max="4870" width="13.6640625" style="787" bestFit="1" customWidth="1"/>
    <col min="4871" max="5120" width="13.33203125" style="787"/>
    <col min="5121" max="5121" width="12" style="787" customWidth="1"/>
    <col min="5122" max="5122" width="14.33203125" style="787" bestFit="1" customWidth="1"/>
    <col min="5123" max="5123" width="24.83203125" style="787" customWidth="1"/>
    <col min="5124" max="5124" width="14.6640625" style="787" bestFit="1" customWidth="1"/>
    <col min="5125" max="5125" width="19" style="787" bestFit="1" customWidth="1"/>
    <col min="5126" max="5126" width="13.6640625" style="787" bestFit="1" customWidth="1"/>
    <col min="5127" max="5376" width="13.33203125" style="787"/>
    <col min="5377" max="5377" width="12" style="787" customWidth="1"/>
    <col min="5378" max="5378" width="14.33203125" style="787" bestFit="1" customWidth="1"/>
    <col min="5379" max="5379" width="24.83203125" style="787" customWidth="1"/>
    <col min="5380" max="5380" width="14.6640625" style="787" bestFit="1" customWidth="1"/>
    <col min="5381" max="5381" width="19" style="787" bestFit="1" customWidth="1"/>
    <col min="5382" max="5382" width="13.6640625" style="787" bestFit="1" customWidth="1"/>
    <col min="5383" max="5632" width="13.33203125" style="787"/>
    <col min="5633" max="5633" width="12" style="787" customWidth="1"/>
    <col min="5634" max="5634" width="14.33203125" style="787" bestFit="1" customWidth="1"/>
    <col min="5635" max="5635" width="24.83203125" style="787" customWidth="1"/>
    <col min="5636" max="5636" width="14.6640625" style="787" bestFit="1" customWidth="1"/>
    <col min="5637" max="5637" width="19" style="787" bestFit="1" customWidth="1"/>
    <col min="5638" max="5638" width="13.6640625" style="787" bestFit="1" customWidth="1"/>
    <col min="5639" max="5888" width="13.33203125" style="787"/>
    <col min="5889" max="5889" width="12" style="787" customWidth="1"/>
    <col min="5890" max="5890" width="14.33203125" style="787" bestFit="1" customWidth="1"/>
    <col min="5891" max="5891" width="24.83203125" style="787" customWidth="1"/>
    <col min="5892" max="5892" width="14.6640625" style="787" bestFit="1" customWidth="1"/>
    <col min="5893" max="5893" width="19" style="787" bestFit="1" customWidth="1"/>
    <col min="5894" max="5894" width="13.6640625" style="787" bestFit="1" customWidth="1"/>
    <col min="5895" max="6144" width="13.33203125" style="787"/>
    <col min="6145" max="6145" width="12" style="787" customWidth="1"/>
    <col min="6146" max="6146" width="14.33203125" style="787" bestFit="1" customWidth="1"/>
    <col min="6147" max="6147" width="24.83203125" style="787" customWidth="1"/>
    <col min="6148" max="6148" width="14.6640625" style="787" bestFit="1" customWidth="1"/>
    <col min="6149" max="6149" width="19" style="787" bestFit="1" customWidth="1"/>
    <col min="6150" max="6150" width="13.6640625" style="787" bestFit="1" customWidth="1"/>
    <col min="6151" max="6400" width="13.33203125" style="787"/>
    <col min="6401" max="6401" width="12" style="787" customWidth="1"/>
    <col min="6402" max="6402" width="14.33203125" style="787" bestFit="1" customWidth="1"/>
    <col min="6403" max="6403" width="24.83203125" style="787" customWidth="1"/>
    <col min="6404" max="6404" width="14.6640625" style="787" bestFit="1" customWidth="1"/>
    <col min="6405" max="6405" width="19" style="787" bestFit="1" customWidth="1"/>
    <col min="6406" max="6406" width="13.6640625" style="787" bestFit="1" customWidth="1"/>
    <col min="6407" max="6656" width="13.33203125" style="787"/>
    <col min="6657" max="6657" width="12" style="787" customWidth="1"/>
    <col min="6658" max="6658" width="14.33203125" style="787" bestFit="1" customWidth="1"/>
    <col min="6659" max="6659" width="24.83203125" style="787" customWidth="1"/>
    <col min="6660" max="6660" width="14.6640625" style="787" bestFit="1" customWidth="1"/>
    <col min="6661" max="6661" width="19" style="787" bestFit="1" customWidth="1"/>
    <col min="6662" max="6662" width="13.6640625" style="787" bestFit="1" customWidth="1"/>
    <col min="6663" max="6912" width="13.33203125" style="787"/>
    <col min="6913" max="6913" width="12" style="787" customWidth="1"/>
    <col min="6914" max="6914" width="14.33203125" style="787" bestFit="1" customWidth="1"/>
    <col min="6915" max="6915" width="24.83203125" style="787" customWidth="1"/>
    <col min="6916" max="6916" width="14.6640625" style="787" bestFit="1" customWidth="1"/>
    <col min="6917" max="6917" width="19" style="787" bestFit="1" customWidth="1"/>
    <col min="6918" max="6918" width="13.6640625" style="787" bestFit="1" customWidth="1"/>
    <col min="6919" max="7168" width="13.33203125" style="787"/>
    <col min="7169" max="7169" width="12" style="787" customWidth="1"/>
    <col min="7170" max="7170" width="14.33203125" style="787" bestFit="1" customWidth="1"/>
    <col min="7171" max="7171" width="24.83203125" style="787" customWidth="1"/>
    <col min="7172" max="7172" width="14.6640625" style="787" bestFit="1" customWidth="1"/>
    <col min="7173" max="7173" width="19" style="787" bestFit="1" customWidth="1"/>
    <col min="7174" max="7174" width="13.6640625" style="787" bestFit="1" customWidth="1"/>
    <col min="7175" max="7424" width="13.33203125" style="787"/>
    <col min="7425" max="7425" width="12" style="787" customWidth="1"/>
    <col min="7426" max="7426" width="14.33203125" style="787" bestFit="1" customWidth="1"/>
    <col min="7427" max="7427" width="24.83203125" style="787" customWidth="1"/>
    <col min="7428" max="7428" width="14.6640625" style="787" bestFit="1" customWidth="1"/>
    <col min="7429" max="7429" width="19" style="787" bestFit="1" customWidth="1"/>
    <col min="7430" max="7430" width="13.6640625" style="787" bestFit="1" customWidth="1"/>
    <col min="7431" max="7680" width="13.33203125" style="787"/>
    <col min="7681" max="7681" width="12" style="787" customWidth="1"/>
    <col min="7682" max="7682" width="14.33203125" style="787" bestFit="1" customWidth="1"/>
    <col min="7683" max="7683" width="24.83203125" style="787" customWidth="1"/>
    <col min="7684" max="7684" width="14.6640625" style="787" bestFit="1" customWidth="1"/>
    <col min="7685" max="7685" width="19" style="787" bestFit="1" customWidth="1"/>
    <col min="7686" max="7686" width="13.6640625" style="787" bestFit="1" customWidth="1"/>
    <col min="7687" max="7936" width="13.33203125" style="787"/>
    <col min="7937" max="7937" width="12" style="787" customWidth="1"/>
    <col min="7938" max="7938" width="14.33203125" style="787" bestFit="1" customWidth="1"/>
    <col min="7939" max="7939" width="24.83203125" style="787" customWidth="1"/>
    <col min="7940" max="7940" width="14.6640625" style="787" bestFit="1" customWidth="1"/>
    <col min="7941" max="7941" width="19" style="787" bestFit="1" customWidth="1"/>
    <col min="7942" max="7942" width="13.6640625" style="787" bestFit="1" customWidth="1"/>
    <col min="7943" max="8192" width="13.33203125" style="787"/>
    <col min="8193" max="8193" width="12" style="787" customWidth="1"/>
    <col min="8194" max="8194" width="14.33203125" style="787" bestFit="1" customWidth="1"/>
    <col min="8195" max="8195" width="24.83203125" style="787" customWidth="1"/>
    <col min="8196" max="8196" width="14.6640625" style="787" bestFit="1" customWidth="1"/>
    <col min="8197" max="8197" width="19" style="787" bestFit="1" customWidth="1"/>
    <col min="8198" max="8198" width="13.6640625" style="787" bestFit="1" customWidth="1"/>
    <col min="8199" max="8448" width="13.33203125" style="787"/>
    <col min="8449" max="8449" width="12" style="787" customWidth="1"/>
    <col min="8450" max="8450" width="14.33203125" style="787" bestFit="1" customWidth="1"/>
    <col min="8451" max="8451" width="24.83203125" style="787" customWidth="1"/>
    <col min="8452" max="8452" width="14.6640625" style="787" bestFit="1" customWidth="1"/>
    <col min="8453" max="8453" width="19" style="787" bestFit="1" customWidth="1"/>
    <col min="8454" max="8454" width="13.6640625" style="787" bestFit="1" customWidth="1"/>
    <col min="8455" max="8704" width="13.33203125" style="787"/>
    <col min="8705" max="8705" width="12" style="787" customWidth="1"/>
    <col min="8706" max="8706" width="14.33203125" style="787" bestFit="1" customWidth="1"/>
    <col min="8707" max="8707" width="24.83203125" style="787" customWidth="1"/>
    <col min="8708" max="8708" width="14.6640625" style="787" bestFit="1" customWidth="1"/>
    <col min="8709" max="8709" width="19" style="787" bestFit="1" customWidth="1"/>
    <col min="8710" max="8710" width="13.6640625" style="787" bestFit="1" customWidth="1"/>
    <col min="8711" max="8960" width="13.33203125" style="787"/>
    <col min="8961" max="8961" width="12" style="787" customWidth="1"/>
    <col min="8962" max="8962" width="14.33203125" style="787" bestFit="1" customWidth="1"/>
    <col min="8963" max="8963" width="24.83203125" style="787" customWidth="1"/>
    <col min="8964" max="8964" width="14.6640625" style="787" bestFit="1" customWidth="1"/>
    <col min="8965" max="8965" width="19" style="787" bestFit="1" customWidth="1"/>
    <col min="8966" max="8966" width="13.6640625" style="787" bestFit="1" customWidth="1"/>
    <col min="8967" max="9216" width="13.33203125" style="787"/>
    <col min="9217" max="9217" width="12" style="787" customWidth="1"/>
    <col min="9218" max="9218" width="14.33203125" style="787" bestFit="1" customWidth="1"/>
    <col min="9219" max="9219" width="24.83203125" style="787" customWidth="1"/>
    <col min="9220" max="9220" width="14.6640625" style="787" bestFit="1" customWidth="1"/>
    <col min="9221" max="9221" width="19" style="787" bestFit="1" customWidth="1"/>
    <col min="9222" max="9222" width="13.6640625" style="787" bestFit="1" customWidth="1"/>
    <col min="9223" max="9472" width="13.33203125" style="787"/>
    <col min="9473" max="9473" width="12" style="787" customWidth="1"/>
    <col min="9474" max="9474" width="14.33203125" style="787" bestFit="1" customWidth="1"/>
    <col min="9475" max="9475" width="24.83203125" style="787" customWidth="1"/>
    <col min="9476" max="9476" width="14.6640625" style="787" bestFit="1" customWidth="1"/>
    <col min="9477" max="9477" width="19" style="787" bestFit="1" customWidth="1"/>
    <col min="9478" max="9478" width="13.6640625" style="787" bestFit="1" customWidth="1"/>
    <col min="9479" max="9728" width="13.33203125" style="787"/>
    <col min="9729" max="9729" width="12" style="787" customWidth="1"/>
    <col min="9730" max="9730" width="14.33203125" style="787" bestFit="1" customWidth="1"/>
    <col min="9731" max="9731" width="24.83203125" style="787" customWidth="1"/>
    <col min="9732" max="9732" width="14.6640625" style="787" bestFit="1" customWidth="1"/>
    <col min="9733" max="9733" width="19" style="787" bestFit="1" customWidth="1"/>
    <col min="9734" max="9734" width="13.6640625" style="787" bestFit="1" customWidth="1"/>
    <col min="9735" max="9984" width="13.33203125" style="787"/>
    <col min="9985" max="9985" width="12" style="787" customWidth="1"/>
    <col min="9986" max="9986" width="14.33203125" style="787" bestFit="1" customWidth="1"/>
    <col min="9987" max="9987" width="24.83203125" style="787" customWidth="1"/>
    <col min="9988" max="9988" width="14.6640625" style="787" bestFit="1" customWidth="1"/>
    <col min="9989" max="9989" width="19" style="787" bestFit="1" customWidth="1"/>
    <col min="9990" max="9990" width="13.6640625" style="787" bestFit="1" customWidth="1"/>
    <col min="9991" max="10240" width="13.33203125" style="787"/>
    <col min="10241" max="10241" width="12" style="787" customWidth="1"/>
    <col min="10242" max="10242" width="14.33203125" style="787" bestFit="1" customWidth="1"/>
    <col min="10243" max="10243" width="24.83203125" style="787" customWidth="1"/>
    <col min="10244" max="10244" width="14.6640625" style="787" bestFit="1" customWidth="1"/>
    <col min="10245" max="10245" width="19" style="787" bestFit="1" customWidth="1"/>
    <col min="10246" max="10246" width="13.6640625" style="787" bestFit="1" customWidth="1"/>
    <col min="10247" max="10496" width="13.33203125" style="787"/>
    <col min="10497" max="10497" width="12" style="787" customWidth="1"/>
    <col min="10498" max="10498" width="14.33203125" style="787" bestFit="1" customWidth="1"/>
    <col min="10499" max="10499" width="24.83203125" style="787" customWidth="1"/>
    <col min="10500" max="10500" width="14.6640625" style="787" bestFit="1" customWidth="1"/>
    <col min="10501" max="10501" width="19" style="787" bestFit="1" customWidth="1"/>
    <col min="10502" max="10502" width="13.6640625" style="787" bestFit="1" customWidth="1"/>
    <col min="10503" max="10752" width="13.33203125" style="787"/>
    <col min="10753" max="10753" width="12" style="787" customWidth="1"/>
    <col min="10754" max="10754" width="14.33203125" style="787" bestFit="1" customWidth="1"/>
    <col min="10755" max="10755" width="24.83203125" style="787" customWidth="1"/>
    <col min="10756" max="10756" width="14.6640625" style="787" bestFit="1" customWidth="1"/>
    <col min="10757" max="10757" width="19" style="787" bestFit="1" customWidth="1"/>
    <col min="10758" max="10758" width="13.6640625" style="787" bestFit="1" customWidth="1"/>
    <col min="10759" max="11008" width="13.33203125" style="787"/>
    <col min="11009" max="11009" width="12" style="787" customWidth="1"/>
    <col min="11010" max="11010" width="14.33203125" style="787" bestFit="1" customWidth="1"/>
    <col min="11011" max="11011" width="24.83203125" style="787" customWidth="1"/>
    <col min="11012" max="11012" width="14.6640625" style="787" bestFit="1" customWidth="1"/>
    <col min="11013" max="11013" width="19" style="787" bestFit="1" customWidth="1"/>
    <col min="11014" max="11014" width="13.6640625" style="787" bestFit="1" customWidth="1"/>
    <col min="11015" max="11264" width="13.33203125" style="787"/>
    <col min="11265" max="11265" width="12" style="787" customWidth="1"/>
    <col min="11266" max="11266" width="14.33203125" style="787" bestFit="1" customWidth="1"/>
    <col min="11267" max="11267" width="24.83203125" style="787" customWidth="1"/>
    <col min="11268" max="11268" width="14.6640625" style="787" bestFit="1" customWidth="1"/>
    <col min="11269" max="11269" width="19" style="787" bestFit="1" customWidth="1"/>
    <col min="11270" max="11270" width="13.6640625" style="787" bestFit="1" customWidth="1"/>
    <col min="11271" max="11520" width="13.33203125" style="787"/>
    <col min="11521" max="11521" width="12" style="787" customWidth="1"/>
    <col min="11522" max="11522" width="14.33203125" style="787" bestFit="1" customWidth="1"/>
    <col min="11523" max="11523" width="24.83203125" style="787" customWidth="1"/>
    <col min="11524" max="11524" width="14.6640625" style="787" bestFit="1" customWidth="1"/>
    <col min="11525" max="11525" width="19" style="787" bestFit="1" customWidth="1"/>
    <col min="11526" max="11526" width="13.6640625" style="787" bestFit="1" customWidth="1"/>
    <col min="11527" max="11776" width="13.33203125" style="787"/>
    <col min="11777" max="11777" width="12" style="787" customWidth="1"/>
    <col min="11778" max="11778" width="14.33203125" style="787" bestFit="1" customWidth="1"/>
    <col min="11779" max="11779" width="24.83203125" style="787" customWidth="1"/>
    <col min="11780" max="11780" width="14.6640625" style="787" bestFit="1" customWidth="1"/>
    <col min="11781" max="11781" width="19" style="787" bestFit="1" customWidth="1"/>
    <col min="11782" max="11782" width="13.6640625" style="787" bestFit="1" customWidth="1"/>
    <col min="11783" max="12032" width="13.33203125" style="787"/>
    <col min="12033" max="12033" width="12" style="787" customWidth="1"/>
    <col min="12034" max="12034" width="14.33203125" style="787" bestFit="1" customWidth="1"/>
    <col min="12035" max="12035" width="24.83203125" style="787" customWidth="1"/>
    <col min="12036" max="12036" width="14.6640625" style="787" bestFit="1" customWidth="1"/>
    <col min="12037" max="12037" width="19" style="787" bestFit="1" customWidth="1"/>
    <col min="12038" max="12038" width="13.6640625" style="787" bestFit="1" customWidth="1"/>
    <col min="12039" max="12288" width="13.33203125" style="787"/>
    <col min="12289" max="12289" width="12" style="787" customWidth="1"/>
    <col min="12290" max="12290" width="14.33203125" style="787" bestFit="1" customWidth="1"/>
    <col min="12291" max="12291" width="24.83203125" style="787" customWidth="1"/>
    <col min="12292" max="12292" width="14.6640625" style="787" bestFit="1" customWidth="1"/>
    <col min="12293" max="12293" width="19" style="787" bestFit="1" customWidth="1"/>
    <col min="12294" max="12294" width="13.6640625" style="787" bestFit="1" customWidth="1"/>
    <col min="12295" max="12544" width="13.33203125" style="787"/>
    <col min="12545" max="12545" width="12" style="787" customWidth="1"/>
    <col min="12546" max="12546" width="14.33203125" style="787" bestFit="1" customWidth="1"/>
    <col min="12547" max="12547" width="24.83203125" style="787" customWidth="1"/>
    <col min="12548" max="12548" width="14.6640625" style="787" bestFit="1" customWidth="1"/>
    <col min="12549" max="12549" width="19" style="787" bestFit="1" customWidth="1"/>
    <col min="12550" max="12550" width="13.6640625" style="787" bestFit="1" customWidth="1"/>
    <col min="12551" max="12800" width="13.33203125" style="787"/>
    <col min="12801" max="12801" width="12" style="787" customWidth="1"/>
    <col min="12802" max="12802" width="14.33203125" style="787" bestFit="1" customWidth="1"/>
    <col min="12803" max="12803" width="24.83203125" style="787" customWidth="1"/>
    <col min="12804" max="12804" width="14.6640625" style="787" bestFit="1" customWidth="1"/>
    <col min="12805" max="12805" width="19" style="787" bestFit="1" customWidth="1"/>
    <col min="12806" max="12806" width="13.6640625" style="787" bestFit="1" customWidth="1"/>
    <col min="12807" max="13056" width="13.33203125" style="787"/>
    <col min="13057" max="13057" width="12" style="787" customWidth="1"/>
    <col min="13058" max="13058" width="14.33203125" style="787" bestFit="1" customWidth="1"/>
    <col min="13059" max="13059" width="24.83203125" style="787" customWidth="1"/>
    <col min="13060" max="13060" width="14.6640625" style="787" bestFit="1" customWidth="1"/>
    <col min="13061" max="13061" width="19" style="787" bestFit="1" customWidth="1"/>
    <col min="13062" max="13062" width="13.6640625" style="787" bestFit="1" customWidth="1"/>
    <col min="13063" max="13312" width="13.33203125" style="787"/>
    <col min="13313" max="13313" width="12" style="787" customWidth="1"/>
    <col min="13314" max="13314" width="14.33203125" style="787" bestFit="1" customWidth="1"/>
    <col min="13315" max="13315" width="24.83203125" style="787" customWidth="1"/>
    <col min="13316" max="13316" width="14.6640625" style="787" bestFit="1" customWidth="1"/>
    <col min="13317" max="13317" width="19" style="787" bestFit="1" customWidth="1"/>
    <col min="13318" max="13318" width="13.6640625" style="787" bestFit="1" customWidth="1"/>
    <col min="13319" max="13568" width="13.33203125" style="787"/>
    <col min="13569" max="13569" width="12" style="787" customWidth="1"/>
    <col min="13570" max="13570" width="14.33203125" style="787" bestFit="1" customWidth="1"/>
    <col min="13571" max="13571" width="24.83203125" style="787" customWidth="1"/>
    <col min="13572" max="13572" width="14.6640625" style="787" bestFit="1" customWidth="1"/>
    <col min="13573" max="13573" width="19" style="787" bestFit="1" customWidth="1"/>
    <col min="13574" max="13574" width="13.6640625" style="787" bestFit="1" customWidth="1"/>
    <col min="13575" max="13824" width="13.33203125" style="787"/>
    <col min="13825" max="13825" width="12" style="787" customWidth="1"/>
    <col min="13826" max="13826" width="14.33203125" style="787" bestFit="1" customWidth="1"/>
    <col min="13827" max="13827" width="24.83203125" style="787" customWidth="1"/>
    <col min="13828" max="13828" width="14.6640625" style="787" bestFit="1" customWidth="1"/>
    <col min="13829" max="13829" width="19" style="787" bestFit="1" customWidth="1"/>
    <col min="13830" max="13830" width="13.6640625" style="787" bestFit="1" customWidth="1"/>
    <col min="13831" max="14080" width="13.33203125" style="787"/>
    <col min="14081" max="14081" width="12" style="787" customWidth="1"/>
    <col min="14082" max="14082" width="14.33203125" style="787" bestFit="1" customWidth="1"/>
    <col min="14083" max="14083" width="24.83203125" style="787" customWidth="1"/>
    <col min="14084" max="14084" width="14.6640625" style="787" bestFit="1" customWidth="1"/>
    <col min="14085" max="14085" width="19" style="787" bestFit="1" customWidth="1"/>
    <col min="14086" max="14086" width="13.6640625" style="787" bestFit="1" customWidth="1"/>
    <col min="14087" max="14336" width="13.33203125" style="787"/>
    <col min="14337" max="14337" width="12" style="787" customWidth="1"/>
    <col min="14338" max="14338" width="14.33203125" style="787" bestFit="1" customWidth="1"/>
    <col min="14339" max="14339" width="24.83203125" style="787" customWidth="1"/>
    <col min="14340" max="14340" width="14.6640625" style="787" bestFit="1" customWidth="1"/>
    <col min="14341" max="14341" width="19" style="787" bestFit="1" customWidth="1"/>
    <col min="14342" max="14342" width="13.6640625" style="787" bestFit="1" customWidth="1"/>
    <col min="14343" max="14592" width="13.33203125" style="787"/>
    <col min="14593" max="14593" width="12" style="787" customWidth="1"/>
    <col min="14594" max="14594" width="14.33203125" style="787" bestFit="1" customWidth="1"/>
    <col min="14595" max="14595" width="24.83203125" style="787" customWidth="1"/>
    <col min="14596" max="14596" width="14.6640625" style="787" bestFit="1" customWidth="1"/>
    <col min="14597" max="14597" width="19" style="787" bestFit="1" customWidth="1"/>
    <col min="14598" max="14598" width="13.6640625" style="787" bestFit="1" customWidth="1"/>
    <col min="14599" max="14848" width="13.33203125" style="787"/>
    <col min="14849" max="14849" width="12" style="787" customWidth="1"/>
    <col min="14850" max="14850" width="14.33203125" style="787" bestFit="1" customWidth="1"/>
    <col min="14851" max="14851" width="24.83203125" style="787" customWidth="1"/>
    <col min="14852" max="14852" width="14.6640625" style="787" bestFit="1" customWidth="1"/>
    <col min="14853" max="14853" width="19" style="787" bestFit="1" customWidth="1"/>
    <col min="14854" max="14854" width="13.6640625" style="787" bestFit="1" customWidth="1"/>
    <col min="14855" max="15104" width="13.33203125" style="787"/>
    <col min="15105" max="15105" width="12" style="787" customWidth="1"/>
    <col min="15106" max="15106" width="14.33203125" style="787" bestFit="1" customWidth="1"/>
    <col min="15107" max="15107" width="24.83203125" style="787" customWidth="1"/>
    <col min="15108" max="15108" width="14.6640625" style="787" bestFit="1" customWidth="1"/>
    <col min="15109" max="15109" width="19" style="787" bestFit="1" customWidth="1"/>
    <col min="15110" max="15110" width="13.6640625" style="787" bestFit="1" customWidth="1"/>
    <col min="15111" max="15360" width="13.33203125" style="787"/>
    <col min="15361" max="15361" width="12" style="787" customWidth="1"/>
    <col min="15362" max="15362" width="14.33203125" style="787" bestFit="1" customWidth="1"/>
    <col min="15363" max="15363" width="24.83203125" style="787" customWidth="1"/>
    <col min="15364" max="15364" width="14.6640625" style="787" bestFit="1" customWidth="1"/>
    <col min="15365" max="15365" width="19" style="787" bestFit="1" customWidth="1"/>
    <col min="15366" max="15366" width="13.6640625" style="787" bestFit="1" customWidth="1"/>
    <col min="15367" max="15616" width="13.33203125" style="787"/>
    <col min="15617" max="15617" width="12" style="787" customWidth="1"/>
    <col min="15618" max="15618" width="14.33203125" style="787" bestFit="1" customWidth="1"/>
    <col min="15619" max="15619" width="24.83203125" style="787" customWidth="1"/>
    <col min="15620" max="15620" width="14.6640625" style="787" bestFit="1" customWidth="1"/>
    <col min="15621" max="15621" width="19" style="787" bestFit="1" customWidth="1"/>
    <col min="15622" max="15622" width="13.6640625" style="787" bestFit="1" customWidth="1"/>
    <col min="15623" max="15872" width="13.33203125" style="787"/>
    <col min="15873" max="15873" width="12" style="787" customWidth="1"/>
    <col min="15874" max="15874" width="14.33203125" style="787" bestFit="1" customWidth="1"/>
    <col min="15875" max="15875" width="24.83203125" style="787" customWidth="1"/>
    <col min="15876" max="15876" width="14.6640625" style="787" bestFit="1" customWidth="1"/>
    <col min="15877" max="15877" width="19" style="787" bestFit="1" customWidth="1"/>
    <col min="15878" max="15878" width="13.6640625" style="787" bestFit="1" customWidth="1"/>
    <col min="15879" max="16128" width="13.33203125" style="787"/>
    <col min="16129" max="16129" width="12" style="787" customWidth="1"/>
    <col min="16130" max="16130" width="14.33203125" style="787" bestFit="1" customWidth="1"/>
    <col min="16131" max="16131" width="24.83203125" style="787" customWidth="1"/>
    <col min="16132" max="16132" width="14.6640625" style="787" bestFit="1" customWidth="1"/>
    <col min="16133" max="16133" width="19" style="787" bestFit="1" customWidth="1"/>
    <col min="16134" max="16134" width="13.6640625" style="787" bestFit="1" customWidth="1"/>
    <col min="16135" max="16384" width="13.33203125" style="787"/>
  </cols>
  <sheetData>
    <row r="1" spans="1:6">
      <c r="A1" s="786" t="s">
        <v>1162</v>
      </c>
    </row>
    <row r="2" spans="1:6">
      <c r="A2" s="786" t="s">
        <v>1163</v>
      </c>
    </row>
    <row r="3" spans="1:6">
      <c r="A3" s="786" t="s">
        <v>1164</v>
      </c>
    </row>
    <row r="6" spans="1:6">
      <c r="A6" s="788" t="s">
        <v>661</v>
      </c>
      <c r="B6" s="788" t="s">
        <v>662</v>
      </c>
      <c r="C6" s="788" t="s">
        <v>663</v>
      </c>
      <c r="D6" s="788" t="s">
        <v>665</v>
      </c>
      <c r="E6" s="788" t="s">
        <v>667</v>
      </c>
      <c r="F6" s="788" t="s">
        <v>666</v>
      </c>
    </row>
    <row r="7" spans="1:6">
      <c r="A7" s="787" t="s">
        <v>1165</v>
      </c>
      <c r="B7" s="787" t="s">
        <v>1166</v>
      </c>
      <c r="C7" s="787" t="s">
        <v>1167</v>
      </c>
      <c r="D7" s="789">
        <v>-32290.04</v>
      </c>
      <c r="E7" s="790" t="s">
        <v>1168</v>
      </c>
      <c r="F7" s="791">
        <v>40209</v>
      </c>
    </row>
    <row r="8" spans="1:6">
      <c r="A8" s="787" t="s">
        <v>1165</v>
      </c>
      <c r="B8" s="787" t="s">
        <v>1166</v>
      </c>
      <c r="C8" s="787" t="s">
        <v>1167</v>
      </c>
      <c r="D8" s="789">
        <v>-32298.75</v>
      </c>
      <c r="E8" s="790" t="s">
        <v>1168</v>
      </c>
      <c r="F8" s="791">
        <v>40237</v>
      </c>
    </row>
    <row r="9" spans="1:6">
      <c r="A9" s="787" t="s">
        <v>1165</v>
      </c>
      <c r="B9" s="787" t="s">
        <v>1166</v>
      </c>
      <c r="C9" s="787" t="s">
        <v>1167</v>
      </c>
      <c r="D9" s="789">
        <v>-32165.05</v>
      </c>
      <c r="E9" s="790" t="s">
        <v>1168</v>
      </c>
      <c r="F9" s="791">
        <v>40268</v>
      </c>
    </row>
    <row r="10" spans="1:6">
      <c r="A10" s="787" t="s">
        <v>1165</v>
      </c>
      <c r="B10" s="787" t="s">
        <v>1166</v>
      </c>
      <c r="C10" s="787" t="s">
        <v>1167</v>
      </c>
      <c r="D10" s="789">
        <v>-32284.51</v>
      </c>
      <c r="E10" s="790" t="s">
        <v>1168</v>
      </c>
      <c r="F10" s="791">
        <v>40298</v>
      </c>
    </row>
    <row r="11" spans="1:6">
      <c r="A11" s="787" t="s">
        <v>1165</v>
      </c>
      <c r="B11" s="787" t="s">
        <v>1166</v>
      </c>
      <c r="C11" s="787" t="s">
        <v>1167</v>
      </c>
      <c r="D11" s="789">
        <v>-32470.02</v>
      </c>
      <c r="E11" s="790" t="s">
        <v>1169</v>
      </c>
      <c r="F11" s="791">
        <v>40329</v>
      </c>
    </row>
    <row r="12" spans="1:6">
      <c r="A12" s="787" t="s">
        <v>1165</v>
      </c>
      <c r="B12" s="787" t="s">
        <v>1166</v>
      </c>
      <c r="C12" s="787" t="s">
        <v>1167</v>
      </c>
      <c r="D12" s="789">
        <v>-32388.06</v>
      </c>
      <c r="E12" s="790" t="s">
        <v>1169</v>
      </c>
      <c r="F12" s="791">
        <v>40359</v>
      </c>
    </row>
    <row r="13" spans="1:6">
      <c r="A13" s="787" t="s">
        <v>1165</v>
      </c>
      <c r="B13" s="787" t="s">
        <v>1166</v>
      </c>
      <c r="C13" s="787" t="s">
        <v>1167</v>
      </c>
      <c r="D13" s="789">
        <v>-32624.04</v>
      </c>
      <c r="E13" s="790" t="s">
        <v>1169</v>
      </c>
      <c r="F13" s="791">
        <v>40390</v>
      </c>
    </row>
    <row r="14" spans="1:6">
      <c r="A14" s="787" t="s">
        <v>1165</v>
      </c>
      <c r="B14" s="787" t="s">
        <v>1166</v>
      </c>
      <c r="C14" s="787" t="s">
        <v>1167</v>
      </c>
      <c r="D14" s="789">
        <v>-32927.24</v>
      </c>
      <c r="E14" s="790" t="s">
        <v>1169</v>
      </c>
      <c r="F14" s="791">
        <v>40421</v>
      </c>
    </row>
    <row r="15" spans="1:6">
      <c r="A15" s="787" t="s">
        <v>1165</v>
      </c>
      <c r="B15" s="787" t="s">
        <v>1166</v>
      </c>
      <c r="C15" s="787" t="s">
        <v>1167</v>
      </c>
      <c r="D15" s="789">
        <v>-32764.32</v>
      </c>
      <c r="E15" s="790" t="s">
        <v>1169</v>
      </c>
      <c r="F15" s="791">
        <v>40451</v>
      </c>
    </row>
    <row r="16" spans="1:6">
      <c r="A16" s="787" t="s">
        <v>1165</v>
      </c>
      <c r="B16" s="787" t="s">
        <v>1166</v>
      </c>
      <c r="C16" s="787" t="s">
        <v>1167</v>
      </c>
      <c r="D16" s="789">
        <v>-32724.77</v>
      </c>
      <c r="E16" s="790" t="s">
        <v>1169</v>
      </c>
      <c r="F16" s="791">
        <v>40482</v>
      </c>
    </row>
    <row r="17" spans="1:6">
      <c r="A17" s="787" t="s">
        <v>1165</v>
      </c>
      <c r="B17" s="787" t="s">
        <v>1166</v>
      </c>
      <c r="C17" s="787" t="s">
        <v>1167</v>
      </c>
      <c r="D17" s="789">
        <v>-32613.05</v>
      </c>
      <c r="E17" s="790" t="s">
        <v>1169</v>
      </c>
      <c r="F17" s="791">
        <v>40512</v>
      </c>
    </row>
    <row r="18" spans="1:6">
      <c r="A18" s="787" t="s">
        <v>1165</v>
      </c>
      <c r="B18" s="787" t="s">
        <v>1166</v>
      </c>
      <c r="C18" s="787" t="s">
        <v>1167</v>
      </c>
      <c r="D18" s="789">
        <v>-32395.45</v>
      </c>
      <c r="E18" s="790" t="s">
        <v>1169</v>
      </c>
      <c r="F18" s="791">
        <v>40543</v>
      </c>
    </row>
    <row r="19" spans="1:6" ht="13.5" thickBot="1">
      <c r="A19" s="792"/>
      <c r="B19" s="792"/>
      <c r="C19" s="792"/>
      <c r="D19" s="793">
        <v>-389945.3</v>
      </c>
      <c r="E19" s="792"/>
      <c r="F19" s="794"/>
    </row>
    <row r="20" spans="1:6" ht="13.5" thickTop="1">
      <c r="A20" s="795"/>
      <c r="B20" s="795"/>
      <c r="C20" s="795"/>
      <c r="D20" s="796"/>
      <c r="E20" s="795"/>
      <c r="F20" s="797"/>
    </row>
    <row r="22" spans="1:6">
      <c r="A22" s="787" t="s">
        <v>1170</v>
      </c>
    </row>
    <row r="23" spans="1:6">
      <c r="A23" s="787" t="s">
        <v>1171</v>
      </c>
    </row>
  </sheetData>
  <pageMargins left="0.75" right="0.75" top="1" bottom="1" header="0.5" footer="0.5"/>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I57"/>
  <sheetViews>
    <sheetView topLeftCell="A7" zoomScaleNormal="100" workbookViewId="0">
      <selection activeCell="H22" sqref="H22"/>
    </sheetView>
  </sheetViews>
  <sheetFormatPr defaultColWidth="10.33203125" defaultRowHeight="12.75"/>
  <cols>
    <col min="1" max="1" width="46.6640625" style="737" customWidth="1"/>
    <col min="2" max="2" width="2.6640625" style="738" customWidth="1"/>
    <col min="3" max="3" width="17.83203125" style="738" customWidth="1"/>
    <col min="4" max="4" width="18.83203125" style="737" bestFit="1" customWidth="1"/>
    <col min="5" max="5" width="4.6640625" style="738" customWidth="1"/>
    <col min="6" max="6" width="13.6640625" style="738" customWidth="1"/>
    <col min="7" max="7" width="5" style="738" customWidth="1"/>
    <col min="8" max="8" width="14" style="738" customWidth="1"/>
    <col min="9" max="9" width="4" style="738" customWidth="1"/>
    <col min="10" max="256" width="10.33203125" style="738"/>
    <col min="257" max="257" width="46.6640625" style="738" customWidth="1"/>
    <col min="258" max="258" width="2.6640625" style="738" customWidth="1"/>
    <col min="259" max="259" width="17.83203125" style="738" customWidth="1"/>
    <col min="260" max="260" width="18.83203125" style="738" bestFit="1" customWidth="1"/>
    <col min="261" max="261" width="4.6640625" style="738" customWidth="1"/>
    <col min="262" max="262" width="13.6640625" style="738" customWidth="1"/>
    <col min="263" max="263" width="5" style="738" customWidth="1"/>
    <col min="264" max="264" width="14" style="738" customWidth="1"/>
    <col min="265" max="265" width="4" style="738" customWidth="1"/>
    <col min="266" max="512" width="10.33203125" style="738"/>
    <col min="513" max="513" width="46.6640625" style="738" customWidth="1"/>
    <col min="514" max="514" width="2.6640625" style="738" customWidth="1"/>
    <col min="515" max="515" width="17.83203125" style="738" customWidth="1"/>
    <col min="516" max="516" width="18.83203125" style="738" bestFit="1" customWidth="1"/>
    <col min="517" max="517" width="4.6640625" style="738" customWidth="1"/>
    <col min="518" max="518" width="13.6640625" style="738" customWidth="1"/>
    <col min="519" max="519" width="5" style="738" customWidth="1"/>
    <col min="520" max="520" width="14" style="738" customWidth="1"/>
    <col min="521" max="521" width="4" style="738" customWidth="1"/>
    <col min="522" max="768" width="10.33203125" style="738"/>
    <col min="769" max="769" width="46.6640625" style="738" customWidth="1"/>
    <col min="770" max="770" width="2.6640625" style="738" customWidth="1"/>
    <col min="771" max="771" width="17.83203125" style="738" customWidth="1"/>
    <col min="772" max="772" width="18.83203125" style="738" bestFit="1" customWidth="1"/>
    <col min="773" max="773" width="4.6640625" style="738" customWidth="1"/>
    <col min="774" max="774" width="13.6640625" style="738" customWidth="1"/>
    <col min="775" max="775" width="5" style="738" customWidth="1"/>
    <col min="776" max="776" width="14" style="738" customWidth="1"/>
    <col min="777" max="777" width="4" style="738" customWidth="1"/>
    <col min="778" max="1024" width="10.33203125" style="738"/>
    <col min="1025" max="1025" width="46.6640625" style="738" customWidth="1"/>
    <col min="1026" max="1026" width="2.6640625" style="738" customWidth="1"/>
    <col min="1027" max="1027" width="17.83203125" style="738" customWidth="1"/>
    <col min="1028" max="1028" width="18.83203125" style="738" bestFit="1" customWidth="1"/>
    <col min="1029" max="1029" width="4.6640625" style="738" customWidth="1"/>
    <col min="1030" max="1030" width="13.6640625" style="738" customWidth="1"/>
    <col min="1031" max="1031" width="5" style="738" customWidth="1"/>
    <col min="1032" max="1032" width="14" style="738" customWidth="1"/>
    <col min="1033" max="1033" width="4" style="738" customWidth="1"/>
    <col min="1034" max="1280" width="10.33203125" style="738"/>
    <col min="1281" max="1281" width="46.6640625" style="738" customWidth="1"/>
    <col min="1282" max="1282" width="2.6640625" style="738" customWidth="1"/>
    <col min="1283" max="1283" width="17.83203125" style="738" customWidth="1"/>
    <col min="1284" max="1284" width="18.83203125" style="738" bestFit="1" customWidth="1"/>
    <col min="1285" max="1285" width="4.6640625" style="738" customWidth="1"/>
    <col min="1286" max="1286" width="13.6640625" style="738" customWidth="1"/>
    <col min="1287" max="1287" width="5" style="738" customWidth="1"/>
    <col min="1288" max="1288" width="14" style="738" customWidth="1"/>
    <col min="1289" max="1289" width="4" style="738" customWidth="1"/>
    <col min="1290" max="1536" width="10.33203125" style="738"/>
    <col min="1537" max="1537" width="46.6640625" style="738" customWidth="1"/>
    <col min="1538" max="1538" width="2.6640625" style="738" customWidth="1"/>
    <col min="1539" max="1539" width="17.83203125" style="738" customWidth="1"/>
    <col min="1540" max="1540" width="18.83203125" style="738" bestFit="1" customWidth="1"/>
    <col min="1541" max="1541" width="4.6640625" style="738" customWidth="1"/>
    <col min="1542" max="1542" width="13.6640625" style="738" customWidth="1"/>
    <col min="1543" max="1543" width="5" style="738" customWidth="1"/>
    <col min="1544" max="1544" width="14" style="738" customWidth="1"/>
    <col min="1545" max="1545" width="4" style="738" customWidth="1"/>
    <col min="1546" max="1792" width="10.33203125" style="738"/>
    <col min="1793" max="1793" width="46.6640625" style="738" customWidth="1"/>
    <col min="1794" max="1794" width="2.6640625" style="738" customWidth="1"/>
    <col min="1795" max="1795" width="17.83203125" style="738" customWidth="1"/>
    <col min="1796" max="1796" width="18.83203125" style="738" bestFit="1" customWidth="1"/>
    <col min="1797" max="1797" width="4.6640625" style="738" customWidth="1"/>
    <col min="1798" max="1798" width="13.6640625" style="738" customWidth="1"/>
    <col min="1799" max="1799" width="5" style="738" customWidth="1"/>
    <col min="1800" max="1800" width="14" style="738" customWidth="1"/>
    <col min="1801" max="1801" width="4" style="738" customWidth="1"/>
    <col min="1802" max="2048" width="10.33203125" style="738"/>
    <col min="2049" max="2049" width="46.6640625" style="738" customWidth="1"/>
    <col min="2050" max="2050" width="2.6640625" style="738" customWidth="1"/>
    <col min="2051" max="2051" width="17.83203125" style="738" customWidth="1"/>
    <col min="2052" max="2052" width="18.83203125" style="738" bestFit="1" customWidth="1"/>
    <col min="2053" max="2053" width="4.6640625" style="738" customWidth="1"/>
    <col min="2054" max="2054" width="13.6640625" style="738" customWidth="1"/>
    <col min="2055" max="2055" width="5" style="738" customWidth="1"/>
    <col min="2056" max="2056" width="14" style="738" customWidth="1"/>
    <col min="2057" max="2057" width="4" style="738" customWidth="1"/>
    <col min="2058" max="2304" width="10.33203125" style="738"/>
    <col min="2305" max="2305" width="46.6640625" style="738" customWidth="1"/>
    <col min="2306" max="2306" width="2.6640625" style="738" customWidth="1"/>
    <col min="2307" max="2307" width="17.83203125" style="738" customWidth="1"/>
    <col min="2308" max="2308" width="18.83203125" style="738" bestFit="1" customWidth="1"/>
    <col min="2309" max="2309" width="4.6640625" style="738" customWidth="1"/>
    <col min="2310" max="2310" width="13.6640625" style="738" customWidth="1"/>
    <col min="2311" max="2311" width="5" style="738" customWidth="1"/>
    <col min="2312" max="2312" width="14" style="738" customWidth="1"/>
    <col min="2313" max="2313" width="4" style="738" customWidth="1"/>
    <col min="2314" max="2560" width="10.33203125" style="738"/>
    <col min="2561" max="2561" width="46.6640625" style="738" customWidth="1"/>
    <col min="2562" max="2562" width="2.6640625" style="738" customWidth="1"/>
    <col min="2563" max="2563" width="17.83203125" style="738" customWidth="1"/>
    <col min="2564" max="2564" width="18.83203125" style="738" bestFit="1" customWidth="1"/>
    <col min="2565" max="2565" width="4.6640625" style="738" customWidth="1"/>
    <col min="2566" max="2566" width="13.6640625" style="738" customWidth="1"/>
    <col min="2567" max="2567" width="5" style="738" customWidth="1"/>
    <col min="2568" max="2568" width="14" style="738" customWidth="1"/>
    <col min="2569" max="2569" width="4" style="738" customWidth="1"/>
    <col min="2570" max="2816" width="10.33203125" style="738"/>
    <col min="2817" max="2817" width="46.6640625" style="738" customWidth="1"/>
    <col min="2818" max="2818" width="2.6640625" style="738" customWidth="1"/>
    <col min="2819" max="2819" width="17.83203125" style="738" customWidth="1"/>
    <col min="2820" max="2820" width="18.83203125" style="738" bestFit="1" customWidth="1"/>
    <col min="2821" max="2821" width="4.6640625" style="738" customWidth="1"/>
    <col min="2822" max="2822" width="13.6640625" style="738" customWidth="1"/>
    <col min="2823" max="2823" width="5" style="738" customWidth="1"/>
    <col min="2824" max="2824" width="14" style="738" customWidth="1"/>
    <col min="2825" max="2825" width="4" style="738" customWidth="1"/>
    <col min="2826" max="3072" width="10.33203125" style="738"/>
    <col min="3073" max="3073" width="46.6640625" style="738" customWidth="1"/>
    <col min="3074" max="3074" width="2.6640625" style="738" customWidth="1"/>
    <col min="3075" max="3075" width="17.83203125" style="738" customWidth="1"/>
    <col min="3076" max="3076" width="18.83203125" style="738" bestFit="1" customWidth="1"/>
    <col min="3077" max="3077" width="4.6640625" style="738" customWidth="1"/>
    <col min="3078" max="3078" width="13.6640625" style="738" customWidth="1"/>
    <col min="3079" max="3079" width="5" style="738" customWidth="1"/>
    <col min="3080" max="3080" width="14" style="738" customWidth="1"/>
    <col min="3081" max="3081" width="4" style="738" customWidth="1"/>
    <col min="3082" max="3328" width="10.33203125" style="738"/>
    <col min="3329" max="3329" width="46.6640625" style="738" customWidth="1"/>
    <col min="3330" max="3330" width="2.6640625" style="738" customWidth="1"/>
    <col min="3331" max="3331" width="17.83203125" style="738" customWidth="1"/>
    <col min="3332" max="3332" width="18.83203125" style="738" bestFit="1" customWidth="1"/>
    <col min="3333" max="3333" width="4.6640625" style="738" customWidth="1"/>
    <col min="3334" max="3334" width="13.6640625" style="738" customWidth="1"/>
    <col min="3335" max="3335" width="5" style="738" customWidth="1"/>
    <col min="3336" max="3336" width="14" style="738" customWidth="1"/>
    <col min="3337" max="3337" width="4" style="738" customWidth="1"/>
    <col min="3338" max="3584" width="10.33203125" style="738"/>
    <col min="3585" max="3585" width="46.6640625" style="738" customWidth="1"/>
    <col min="3586" max="3586" width="2.6640625" style="738" customWidth="1"/>
    <col min="3587" max="3587" width="17.83203125" style="738" customWidth="1"/>
    <col min="3588" max="3588" width="18.83203125" style="738" bestFit="1" customWidth="1"/>
    <col min="3589" max="3589" width="4.6640625" style="738" customWidth="1"/>
    <col min="3590" max="3590" width="13.6640625" style="738" customWidth="1"/>
    <col min="3591" max="3591" width="5" style="738" customWidth="1"/>
    <col min="3592" max="3592" width="14" style="738" customWidth="1"/>
    <col min="3593" max="3593" width="4" style="738" customWidth="1"/>
    <col min="3594" max="3840" width="10.33203125" style="738"/>
    <col min="3841" max="3841" width="46.6640625" style="738" customWidth="1"/>
    <col min="3842" max="3842" width="2.6640625" style="738" customWidth="1"/>
    <col min="3843" max="3843" width="17.83203125" style="738" customWidth="1"/>
    <col min="3844" max="3844" width="18.83203125" style="738" bestFit="1" customWidth="1"/>
    <col min="3845" max="3845" width="4.6640625" style="738" customWidth="1"/>
    <col min="3846" max="3846" width="13.6640625" style="738" customWidth="1"/>
    <col min="3847" max="3847" width="5" style="738" customWidth="1"/>
    <col min="3848" max="3848" width="14" style="738" customWidth="1"/>
    <col min="3849" max="3849" width="4" style="738" customWidth="1"/>
    <col min="3850" max="4096" width="10.33203125" style="738"/>
    <col min="4097" max="4097" width="46.6640625" style="738" customWidth="1"/>
    <col min="4098" max="4098" width="2.6640625" style="738" customWidth="1"/>
    <col min="4099" max="4099" width="17.83203125" style="738" customWidth="1"/>
    <col min="4100" max="4100" width="18.83203125" style="738" bestFit="1" customWidth="1"/>
    <col min="4101" max="4101" width="4.6640625" style="738" customWidth="1"/>
    <col min="4102" max="4102" width="13.6640625" style="738" customWidth="1"/>
    <col min="4103" max="4103" width="5" style="738" customWidth="1"/>
    <col min="4104" max="4104" width="14" style="738" customWidth="1"/>
    <col min="4105" max="4105" width="4" style="738" customWidth="1"/>
    <col min="4106" max="4352" width="10.33203125" style="738"/>
    <col min="4353" max="4353" width="46.6640625" style="738" customWidth="1"/>
    <col min="4354" max="4354" width="2.6640625" style="738" customWidth="1"/>
    <col min="4355" max="4355" width="17.83203125" style="738" customWidth="1"/>
    <col min="4356" max="4356" width="18.83203125" style="738" bestFit="1" customWidth="1"/>
    <col min="4357" max="4357" width="4.6640625" style="738" customWidth="1"/>
    <col min="4358" max="4358" width="13.6640625" style="738" customWidth="1"/>
    <col min="4359" max="4359" width="5" style="738" customWidth="1"/>
    <col min="4360" max="4360" width="14" style="738" customWidth="1"/>
    <col min="4361" max="4361" width="4" style="738" customWidth="1"/>
    <col min="4362" max="4608" width="10.33203125" style="738"/>
    <col min="4609" max="4609" width="46.6640625" style="738" customWidth="1"/>
    <col min="4610" max="4610" width="2.6640625" style="738" customWidth="1"/>
    <col min="4611" max="4611" width="17.83203125" style="738" customWidth="1"/>
    <col min="4612" max="4612" width="18.83203125" style="738" bestFit="1" customWidth="1"/>
    <col min="4613" max="4613" width="4.6640625" style="738" customWidth="1"/>
    <col min="4614" max="4614" width="13.6640625" style="738" customWidth="1"/>
    <col min="4615" max="4615" width="5" style="738" customWidth="1"/>
    <col min="4616" max="4616" width="14" style="738" customWidth="1"/>
    <col min="4617" max="4617" width="4" style="738" customWidth="1"/>
    <col min="4618" max="4864" width="10.33203125" style="738"/>
    <col min="4865" max="4865" width="46.6640625" style="738" customWidth="1"/>
    <col min="4866" max="4866" width="2.6640625" style="738" customWidth="1"/>
    <col min="4867" max="4867" width="17.83203125" style="738" customWidth="1"/>
    <col min="4868" max="4868" width="18.83203125" style="738" bestFit="1" customWidth="1"/>
    <col min="4869" max="4869" width="4.6640625" style="738" customWidth="1"/>
    <col min="4870" max="4870" width="13.6640625" style="738" customWidth="1"/>
    <col min="4871" max="4871" width="5" style="738" customWidth="1"/>
    <col min="4872" max="4872" width="14" style="738" customWidth="1"/>
    <col min="4873" max="4873" width="4" style="738" customWidth="1"/>
    <col min="4874" max="5120" width="10.33203125" style="738"/>
    <col min="5121" max="5121" width="46.6640625" style="738" customWidth="1"/>
    <col min="5122" max="5122" width="2.6640625" style="738" customWidth="1"/>
    <col min="5123" max="5123" width="17.83203125" style="738" customWidth="1"/>
    <col min="5124" max="5124" width="18.83203125" style="738" bestFit="1" customWidth="1"/>
    <col min="5125" max="5125" width="4.6640625" style="738" customWidth="1"/>
    <col min="5126" max="5126" width="13.6640625" style="738" customWidth="1"/>
    <col min="5127" max="5127" width="5" style="738" customWidth="1"/>
    <col min="5128" max="5128" width="14" style="738" customWidth="1"/>
    <col min="5129" max="5129" width="4" style="738" customWidth="1"/>
    <col min="5130" max="5376" width="10.33203125" style="738"/>
    <col min="5377" max="5377" width="46.6640625" style="738" customWidth="1"/>
    <col min="5378" max="5378" width="2.6640625" style="738" customWidth="1"/>
    <col min="5379" max="5379" width="17.83203125" style="738" customWidth="1"/>
    <col min="5380" max="5380" width="18.83203125" style="738" bestFit="1" customWidth="1"/>
    <col min="5381" max="5381" width="4.6640625" style="738" customWidth="1"/>
    <col min="5382" max="5382" width="13.6640625" style="738" customWidth="1"/>
    <col min="5383" max="5383" width="5" style="738" customWidth="1"/>
    <col min="5384" max="5384" width="14" style="738" customWidth="1"/>
    <col min="5385" max="5385" width="4" style="738" customWidth="1"/>
    <col min="5386" max="5632" width="10.33203125" style="738"/>
    <col min="5633" max="5633" width="46.6640625" style="738" customWidth="1"/>
    <col min="5634" max="5634" width="2.6640625" style="738" customWidth="1"/>
    <col min="5635" max="5635" width="17.83203125" style="738" customWidth="1"/>
    <col min="5636" max="5636" width="18.83203125" style="738" bestFit="1" customWidth="1"/>
    <col min="5637" max="5637" width="4.6640625" style="738" customWidth="1"/>
    <col min="5638" max="5638" width="13.6640625" style="738" customWidth="1"/>
    <col min="5639" max="5639" width="5" style="738" customWidth="1"/>
    <col min="5640" max="5640" width="14" style="738" customWidth="1"/>
    <col min="5641" max="5641" width="4" style="738" customWidth="1"/>
    <col min="5642" max="5888" width="10.33203125" style="738"/>
    <col min="5889" max="5889" width="46.6640625" style="738" customWidth="1"/>
    <col min="5890" max="5890" width="2.6640625" style="738" customWidth="1"/>
    <col min="5891" max="5891" width="17.83203125" style="738" customWidth="1"/>
    <col min="5892" max="5892" width="18.83203125" style="738" bestFit="1" customWidth="1"/>
    <col min="5893" max="5893" width="4.6640625" style="738" customWidth="1"/>
    <col min="5894" max="5894" width="13.6640625" style="738" customWidth="1"/>
    <col min="5895" max="5895" width="5" style="738" customWidth="1"/>
    <col min="5896" max="5896" width="14" style="738" customWidth="1"/>
    <col min="5897" max="5897" width="4" style="738" customWidth="1"/>
    <col min="5898" max="6144" width="10.33203125" style="738"/>
    <col min="6145" max="6145" width="46.6640625" style="738" customWidth="1"/>
    <col min="6146" max="6146" width="2.6640625" style="738" customWidth="1"/>
    <col min="6147" max="6147" width="17.83203125" style="738" customWidth="1"/>
    <col min="6148" max="6148" width="18.83203125" style="738" bestFit="1" customWidth="1"/>
    <col min="6149" max="6149" width="4.6640625" style="738" customWidth="1"/>
    <col min="6150" max="6150" width="13.6640625" style="738" customWidth="1"/>
    <col min="6151" max="6151" width="5" style="738" customWidth="1"/>
    <col min="6152" max="6152" width="14" style="738" customWidth="1"/>
    <col min="6153" max="6153" width="4" style="738" customWidth="1"/>
    <col min="6154" max="6400" width="10.33203125" style="738"/>
    <col min="6401" max="6401" width="46.6640625" style="738" customWidth="1"/>
    <col min="6402" max="6402" width="2.6640625" style="738" customWidth="1"/>
    <col min="6403" max="6403" width="17.83203125" style="738" customWidth="1"/>
    <col min="6404" max="6404" width="18.83203125" style="738" bestFit="1" customWidth="1"/>
    <col min="6405" max="6405" width="4.6640625" style="738" customWidth="1"/>
    <col min="6406" max="6406" width="13.6640625" style="738" customWidth="1"/>
    <col min="6407" max="6407" width="5" style="738" customWidth="1"/>
    <col min="6408" max="6408" width="14" style="738" customWidth="1"/>
    <col min="6409" max="6409" width="4" style="738" customWidth="1"/>
    <col min="6410" max="6656" width="10.33203125" style="738"/>
    <col min="6657" max="6657" width="46.6640625" style="738" customWidth="1"/>
    <col min="6658" max="6658" width="2.6640625" style="738" customWidth="1"/>
    <col min="6659" max="6659" width="17.83203125" style="738" customWidth="1"/>
    <col min="6660" max="6660" width="18.83203125" style="738" bestFit="1" customWidth="1"/>
    <col min="6661" max="6661" width="4.6640625" style="738" customWidth="1"/>
    <col min="6662" max="6662" width="13.6640625" style="738" customWidth="1"/>
    <col min="6663" max="6663" width="5" style="738" customWidth="1"/>
    <col min="6664" max="6664" width="14" style="738" customWidth="1"/>
    <col min="6665" max="6665" width="4" style="738" customWidth="1"/>
    <col min="6666" max="6912" width="10.33203125" style="738"/>
    <col min="6913" max="6913" width="46.6640625" style="738" customWidth="1"/>
    <col min="6914" max="6914" width="2.6640625" style="738" customWidth="1"/>
    <col min="6915" max="6915" width="17.83203125" style="738" customWidth="1"/>
    <col min="6916" max="6916" width="18.83203125" style="738" bestFit="1" customWidth="1"/>
    <col min="6917" max="6917" width="4.6640625" style="738" customWidth="1"/>
    <col min="6918" max="6918" width="13.6640625" style="738" customWidth="1"/>
    <col min="6919" max="6919" width="5" style="738" customWidth="1"/>
    <col min="6920" max="6920" width="14" style="738" customWidth="1"/>
    <col min="6921" max="6921" width="4" style="738" customWidth="1"/>
    <col min="6922" max="7168" width="10.33203125" style="738"/>
    <col min="7169" max="7169" width="46.6640625" style="738" customWidth="1"/>
    <col min="7170" max="7170" width="2.6640625" style="738" customWidth="1"/>
    <col min="7171" max="7171" width="17.83203125" style="738" customWidth="1"/>
    <col min="7172" max="7172" width="18.83203125" style="738" bestFit="1" customWidth="1"/>
    <col min="7173" max="7173" width="4.6640625" style="738" customWidth="1"/>
    <col min="7174" max="7174" width="13.6640625" style="738" customWidth="1"/>
    <col min="7175" max="7175" width="5" style="738" customWidth="1"/>
    <col min="7176" max="7176" width="14" style="738" customWidth="1"/>
    <col min="7177" max="7177" width="4" style="738" customWidth="1"/>
    <col min="7178" max="7424" width="10.33203125" style="738"/>
    <col min="7425" max="7425" width="46.6640625" style="738" customWidth="1"/>
    <col min="7426" max="7426" width="2.6640625" style="738" customWidth="1"/>
    <col min="7427" max="7427" width="17.83203125" style="738" customWidth="1"/>
    <col min="7428" max="7428" width="18.83203125" style="738" bestFit="1" customWidth="1"/>
    <col min="7429" max="7429" width="4.6640625" style="738" customWidth="1"/>
    <col min="7430" max="7430" width="13.6640625" style="738" customWidth="1"/>
    <col min="7431" max="7431" width="5" style="738" customWidth="1"/>
    <col min="7432" max="7432" width="14" style="738" customWidth="1"/>
    <col min="7433" max="7433" width="4" style="738" customWidth="1"/>
    <col min="7434" max="7680" width="10.33203125" style="738"/>
    <col min="7681" max="7681" width="46.6640625" style="738" customWidth="1"/>
    <col min="7682" max="7682" width="2.6640625" style="738" customWidth="1"/>
    <col min="7683" max="7683" width="17.83203125" style="738" customWidth="1"/>
    <col min="7684" max="7684" width="18.83203125" style="738" bestFit="1" customWidth="1"/>
    <col min="7685" max="7685" width="4.6640625" style="738" customWidth="1"/>
    <col min="7686" max="7686" width="13.6640625" style="738" customWidth="1"/>
    <col min="7687" max="7687" width="5" style="738" customWidth="1"/>
    <col min="7688" max="7688" width="14" style="738" customWidth="1"/>
    <col min="7689" max="7689" width="4" style="738" customWidth="1"/>
    <col min="7690" max="7936" width="10.33203125" style="738"/>
    <col min="7937" max="7937" width="46.6640625" style="738" customWidth="1"/>
    <col min="7938" max="7938" width="2.6640625" style="738" customWidth="1"/>
    <col min="7939" max="7939" width="17.83203125" style="738" customWidth="1"/>
    <col min="7940" max="7940" width="18.83203125" style="738" bestFit="1" customWidth="1"/>
    <col min="7941" max="7941" width="4.6640625" style="738" customWidth="1"/>
    <col min="7942" max="7942" width="13.6640625" style="738" customWidth="1"/>
    <col min="7943" max="7943" width="5" style="738" customWidth="1"/>
    <col min="7944" max="7944" width="14" style="738" customWidth="1"/>
    <col min="7945" max="7945" width="4" style="738" customWidth="1"/>
    <col min="7946" max="8192" width="10.33203125" style="738"/>
    <col min="8193" max="8193" width="46.6640625" style="738" customWidth="1"/>
    <col min="8194" max="8194" width="2.6640625" style="738" customWidth="1"/>
    <col min="8195" max="8195" width="17.83203125" style="738" customWidth="1"/>
    <col min="8196" max="8196" width="18.83203125" style="738" bestFit="1" customWidth="1"/>
    <col min="8197" max="8197" width="4.6640625" style="738" customWidth="1"/>
    <col min="8198" max="8198" width="13.6640625" style="738" customWidth="1"/>
    <col min="8199" max="8199" width="5" style="738" customWidth="1"/>
    <col min="8200" max="8200" width="14" style="738" customWidth="1"/>
    <col min="8201" max="8201" width="4" style="738" customWidth="1"/>
    <col min="8202" max="8448" width="10.33203125" style="738"/>
    <col min="8449" max="8449" width="46.6640625" style="738" customWidth="1"/>
    <col min="8450" max="8450" width="2.6640625" style="738" customWidth="1"/>
    <col min="8451" max="8451" width="17.83203125" style="738" customWidth="1"/>
    <col min="8452" max="8452" width="18.83203125" style="738" bestFit="1" customWidth="1"/>
    <col min="8453" max="8453" width="4.6640625" style="738" customWidth="1"/>
    <col min="8454" max="8454" width="13.6640625" style="738" customWidth="1"/>
    <col min="8455" max="8455" width="5" style="738" customWidth="1"/>
    <col min="8456" max="8456" width="14" style="738" customWidth="1"/>
    <col min="8457" max="8457" width="4" style="738" customWidth="1"/>
    <col min="8458" max="8704" width="10.33203125" style="738"/>
    <col min="8705" max="8705" width="46.6640625" style="738" customWidth="1"/>
    <col min="8706" max="8706" width="2.6640625" style="738" customWidth="1"/>
    <col min="8707" max="8707" width="17.83203125" style="738" customWidth="1"/>
    <col min="8708" max="8708" width="18.83203125" style="738" bestFit="1" customWidth="1"/>
    <col min="8709" max="8709" width="4.6640625" style="738" customWidth="1"/>
    <col min="8710" max="8710" width="13.6640625" style="738" customWidth="1"/>
    <col min="8711" max="8711" width="5" style="738" customWidth="1"/>
    <col min="8712" max="8712" width="14" style="738" customWidth="1"/>
    <col min="8713" max="8713" width="4" style="738" customWidth="1"/>
    <col min="8714" max="8960" width="10.33203125" style="738"/>
    <col min="8961" max="8961" width="46.6640625" style="738" customWidth="1"/>
    <col min="8962" max="8962" width="2.6640625" style="738" customWidth="1"/>
    <col min="8963" max="8963" width="17.83203125" style="738" customWidth="1"/>
    <col min="8964" max="8964" width="18.83203125" style="738" bestFit="1" customWidth="1"/>
    <col min="8965" max="8965" width="4.6640625" style="738" customWidth="1"/>
    <col min="8966" max="8966" width="13.6640625" style="738" customWidth="1"/>
    <col min="8967" max="8967" width="5" style="738" customWidth="1"/>
    <col min="8968" max="8968" width="14" style="738" customWidth="1"/>
    <col min="8969" max="8969" width="4" style="738" customWidth="1"/>
    <col min="8970" max="9216" width="10.33203125" style="738"/>
    <col min="9217" max="9217" width="46.6640625" style="738" customWidth="1"/>
    <col min="9218" max="9218" width="2.6640625" style="738" customWidth="1"/>
    <col min="9219" max="9219" width="17.83203125" style="738" customWidth="1"/>
    <col min="9220" max="9220" width="18.83203125" style="738" bestFit="1" customWidth="1"/>
    <col min="9221" max="9221" width="4.6640625" style="738" customWidth="1"/>
    <col min="9222" max="9222" width="13.6640625" style="738" customWidth="1"/>
    <col min="9223" max="9223" width="5" style="738" customWidth="1"/>
    <col min="9224" max="9224" width="14" style="738" customWidth="1"/>
    <col min="9225" max="9225" width="4" style="738" customWidth="1"/>
    <col min="9226" max="9472" width="10.33203125" style="738"/>
    <col min="9473" max="9473" width="46.6640625" style="738" customWidth="1"/>
    <col min="9474" max="9474" width="2.6640625" style="738" customWidth="1"/>
    <col min="9475" max="9475" width="17.83203125" style="738" customWidth="1"/>
    <col min="9476" max="9476" width="18.83203125" style="738" bestFit="1" customWidth="1"/>
    <col min="9477" max="9477" width="4.6640625" style="738" customWidth="1"/>
    <col min="9478" max="9478" width="13.6640625" style="738" customWidth="1"/>
    <col min="9479" max="9479" width="5" style="738" customWidth="1"/>
    <col min="9480" max="9480" width="14" style="738" customWidth="1"/>
    <col min="9481" max="9481" width="4" style="738" customWidth="1"/>
    <col min="9482" max="9728" width="10.33203125" style="738"/>
    <col min="9729" max="9729" width="46.6640625" style="738" customWidth="1"/>
    <col min="9730" max="9730" width="2.6640625" style="738" customWidth="1"/>
    <col min="9731" max="9731" width="17.83203125" style="738" customWidth="1"/>
    <col min="9732" max="9732" width="18.83203125" style="738" bestFit="1" customWidth="1"/>
    <col min="9733" max="9733" width="4.6640625" style="738" customWidth="1"/>
    <col min="9734" max="9734" width="13.6640625" style="738" customWidth="1"/>
    <col min="9735" max="9735" width="5" style="738" customWidth="1"/>
    <col min="9736" max="9736" width="14" style="738" customWidth="1"/>
    <col min="9737" max="9737" width="4" style="738" customWidth="1"/>
    <col min="9738" max="9984" width="10.33203125" style="738"/>
    <col min="9985" max="9985" width="46.6640625" style="738" customWidth="1"/>
    <col min="9986" max="9986" width="2.6640625" style="738" customWidth="1"/>
    <col min="9987" max="9987" width="17.83203125" style="738" customWidth="1"/>
    <col min="9988" max="9988" width="18.83203125" style="738" bestFit="1" customWidth="1"/>
    <col min="9989" max="9989" width="4.6640625" style="738" customWidth="1"/>
    <col min="9990" max="9990" width="13.6640625" style="738" customWidth="1"/>
    <col min="9991" max="9991" width="5" style="738" customWidth="1"/>
    <col min="9992" max="9992" width="14" style="738" customWidth="1"/>
    <col min="9993" max="9993" width="4" style="738" customWidth="1"/>
    <col min="9994" max="10240" width="10.33203125" style="738"/>
    <col min="10241" max="10241" width="46.6640625" style="738" customWidth="1"/>
    <col min="10242" max="10242" width="2.6640625" style="738" customWidth="1"/>
    <col min="10243" max="10243" width="17.83203125" style="738" customWidth="1"/>
    <col min="10244" max="10244" width="18.83203125" style="738" bestFit="1" customWidth="1"/>
    <col min="10245" max="10245" width="4.6640625" style="738" customWidth="1"/>
    <col min="10246" max="10246" width="13.6640625" style="738" customWidth="1"/>
    <col min="10247" max="10247" width="5" style="738" customWidth="1"/>
    <col min="10248" max="10248" width="14" style="738" customWidth="1"/>
    <col min="10249" max="10249" width="4" style="738" customWidth="1"/>
    <col min="10250" max="10496" width="10.33203125" style="738"/>
    <col min="10497" max="10497" width="46.6640625" style="738" customWidth="1"/>
    <col min="10498" max="10498" width="2.6640625" style="738" customWidth="1"/>
    <col min="10499" max="10499" width="17.83203125" style="738" customWidth="1"/>
    <col min="10500" max="10500" width="18.83203125" style="738" bestFit="1" customWidth="1"/>
    <col min="10501" max="10501" width="4.6640625" style="738" customWidth="1"/>
    <col min="10502" max="10502" width="13.6640625" style="738" customWidth="1"/>
    <col min="10503" max="10503" width="5" style="738" customWidth="1"/>
    <col min="10504" max="10504" width="14" style="738" customWidth="1"/>
    <col min="10505" max="10505" width="4" style="738" customWidth="1"/>
    <col min="10506" max="10752" width="10.33203125" style="738"/>
    <col min="10753" max="10753" width="46.6640625" style="738" customWidth="1"/>
    <col min="10754" max="10754" width="2.6640625" style="738" customWidth="1"/>
    <col min="10755" max="10755" width="17.83203125" style="738" customWidth="1"/>
    <col min="10756" max="10756" width="18.83203125" style="738" bestFit="1" customWidth="1"/>
    <col min="10757" max="10757" width="4.6640625" style="738" customWidth="1"/>
    <col min="10758" max="10758" width="13.6640625" style="738" customWidth="1"/>
    <col min="10759" max="10759" width="5" style="738" customWidth="1"/>
    <col min="10760" max="10760" width="14" style="738" customWidth="1"/>
    <col min="10761" max="10761" width="4" style="738" customWidth="1"/>
    <col min="10762" max="11008" width="10.33203125" style="738"/>
    <col min="11009" max="11009" width="46.6640625" style="738" customWidth="1"/>
    <col min="11010" max="11010" width="2.6640625" style="738" customWidth="1"/>
    <col min="11011" max="11011" width="17.83203125" style="738" customWidth="1"/>
    <col min="11012" max="11012" width="18.83203125" style="738" bestFit="1" customWidth="1"/>
    <col min="11013" max="11013" width="4.6640625" style="738" customWidth="1"/>
    <col min="11014" max="11014" width="13.6640625" style="738" customWidth="1"/>
    <col min="11015" max="11015" width="5" style="738" customWidth="1"/>
    <col min="11016" max="11016" width="14" style="738" customWidth="1"/>
    <col min="11017" max="11017" width="4" style="738" customWidth="1"/>
    <col min="11018" max="11264" width="10.33203125" style="738"/>
    <col min="11265" max="11265" width="46.6640625" style="738" customWidth="1"/>
    <col min="11266" max="11266" width="2.6640625" style="738" customWidth="1"/>
    <col min="11267" max="11267" width="17.83203125" style="738" customWidth="1"/>
    <col min="11268" max="11268" width="18.83203125" style="738" bestFit="1" customWidth="1"/>
    <col min="11269" max="11269" width="4.6640625" style="738" customWidth="1"/>
    <col min="11270" max="11270" width="13.6640625" style="738" customWidth="1"/>
    <col min="11271" max="11271" width="5" style="738" customWidth="1"/>
    <col min="11272" max="11272" width="14" style="738" customWidth="1"/>
    <col min="11273" max="11273" width="4" style="738" customWidth="1"/>
    <col min="11274" max="11520" width="10.33203125" style="738"/>
    <col min="11521" max="11521" width="46.6640625" style="738" customWidth="1"/>
    <col min="11522" max="11522" width="2.6640625" style="738" customWidth="1"/>
    <col min="11523" max="11523" width="17.83203125" style="738" customWidth="1"/>
    <col min="11524" max="11524" width="18.83203125" style="738" bestFit="1" customWidth="1"/>
    <col min="11525" max="11525" width="4.6640625" style="738" customWidth="1"/>
    <col min="11526" max="11526" width="13.6640625" style="738" customWidth="1"/>
    <col min="11527" max="11527" width="5" style="738" customWidth="1"/>
    <col min="11528" max="11528" width="14" style="738" customWidth="1"/>
    <col min="11529" max="11529" width="4" style="738" customWidth="1"/>
    <col min="11530" max="11776" width="10.33203125" style="738"/>
    <col min="11777" max="11777" width="46.6640625" style="738" customWidth="1"/>
    <col min="11778" max="11778" width="2.6640625" style="738" customWidth="1"/>
    <col min="11779" max="11779" width="17.83203125" style="738" customWidth="1"/>
    <col min="11780" max="11780" width="18.83203125" style="738" bestFit="1" customWidth="1"/>
    <col min="11781" max="11781" width="4.6640625" style="738" customWidth="1"/>
    <col min="11782" max="11782" width="13.6640625" style="738" customWidth="1"/>
    <col min="11783" max="11783" width="5" style="738" customWidth="1"/>
    <col min="11784" max="11784" width="14" style="738" customWidth="1"/>
    <col min="11785" max="11785" width="4" style="738" customWidth="1"/>
    <col min="11786" max="12032" width="10.33203125" style="738"/>
    <col min="12033" max="12033" width="46.6640625" style="738" customWidth="1"/>
    <col min="12034" max="12034" width="2.6640625" style="738" customWidth="1"/>
    <col min="12035" max="12035" width="17.83203125" style="738" customWidth="1"/>
    <col min="12036" max="12036" width="18.83203125" style="738" bestFit="1" customWidth="1"/>
    <col min="12037" max="12037" width="4.6640625" style="738" customWidth="1"/>
    <col min="12038" max="12038" width="13.6640625" style="738" customWidth="1"/>
    <col min="12039" max="12039" width="5" style="738" customWidth="1"/>
    <col min="12040" max="12040" width="14" style="738" customWidth="1"/>
    <col min="12041" max="12041" width="4" style="738" customWidth="1"/>
    <col min="12042" max="12288" width="10.33203125" style="738"/>
    <col min="12289" max="12289" width="46.6640625" style="738" customWidth="1"/>
    <col min="12290" max="12290" width="2.6640625" style="738" customWidth="1"/>
    <col min="12291" max="12291" width="17.83203125" style="738" customWidth="1"/>
    <col min="12292" max="12292" width="18.83203125" style="738" bestFit="1" customWidth="1"/>
    <col min="12293" max="12293" width="4.6640625" style="738" customWidth="1"/>
    <col min="12294" max="12294" width="13.6640625" style="738" customWidth="1"/>
    <col min="12295" max="12295" width="5" style="738" customWidth="1"/>
    <col min="12296" max="12296" width="14" style="738" customWidth="1"/>
    <col min="12297" max="12297" width="4" style="738" customWidth="1"/>
    <col min="12298" max="12544" width="10.33203125" style="738"/>
    <col min="12545" max="12545" width="46.6640625" style="738" customWidth="1"/>
    <col min="12546" max="12546" width="2.6640625" style="738" customWidth="1"/>
    <col min="12547" max="12547" width="17.83203125" style="738" customWidth="1"/>
    <col min="12548" max="12548" width="18.83203125" style="738" bestFit="1" customWidth="1"/>
    <col min="12549" max="12549" width="4.6640625" style="738" customWidth="1"/>
    <col min="12550" max="12550" width="13.6640625" style="738" customWidth="1"/>
    <col min="12551" max="12551" width="5" style="738" customWidth="1"/>
    <col min="12552" max="12552" width="14" style="738" customWidth="1"/>
    <col min="12553" max="12553" width="4" style="738" customWidth="1"/>
    <col min="12554" max="12800" width="10.33203125" style="738"/>
    <col min="12801" max="12801" width="46.6640625" style="738" customWidth="1"/>
    <col min="12802" max="12802" width="2.6640625" style="738" customWidth="1"/>
    <col min="12803" max="12803" width="17.83203125" style="738" customWidth="1"/>
    <col min="12804" max="12804" width="18.83203125" style="738" bestFit="1" customWidth="1"/>
    <col min="12805" max="12805" width="4.6640625" style="738" customWidth="1"/>
    <col min="12806" max="12806" width="13.6640625" style="738" customWidth="1"/>
    <col min="12807" max="12807" width="5" style="738" customWidth="1"/>
    <col min="12808" max="12808" width="14" style="738" customWidth="1"/>
    <col min="12809" max="12809" width="4" style="738" customWidth="1"/>
    <col min="12810" max="13056" width="10.33203125" style="738"/>
    <col min="13057" max="13057" width="46.6640625" style="738" customWidth="1"/>
    <col min="13058" max="13058" width="2.6640625" style="738" customWidth="1"/>
    <col min="13059" max="13059" width="17.83203125" style="738" customWidth="1"/>
    <col min="13060" max="13060" width="18.83203125" style="738" bestFit="1" customWidth="1"/>
    <col min="13061" max="13061" width="4.6640625" style="738" customWidth="1"/>
    <col min="13062" max="13062" width="13.6640625" style="738" customWidth="1"/>
    <col min="13063" max="13063" width="5" style="738" customWidth="1"/>
    <col min="13064" max="13064" width="14" style="738" customWidth="1"/>
    <col min="13065" max="13065" width="4" style="738" customWidth="1"/>
    <col min="13066" max="13312" width="10.33203125" style="738"/>
    <col min="13313" max="13313" width="46.6640625" style="738" customWidth="1"/>
    <col min="13314" max="13314" width="2.6640625" style="738" customWidth="1"/>
    <col min="13315" max="13315" width="17.83203125" style="738" customWidth="1"/>
    <col min="13316" max="13316" width="18.83203125" style="738" bestFit="1" customWidth="1"/>
    <col min="13317" max="13317" width="4.6640625" style="738" customWidth="1"/>
    <col min="13318" max="13318" width="13.6640625" style="738" customWidth="1"/>
    <col min="13319" max="13319" width="5" style="738" customWidth="1"/>
    <col min="13320" max="13320" width="14" style="738" customWidth="1"/>
    <col min="13321" max="13321" width="4" style="738" customWidth="1"/>
    <col min="13322" max="13568" width="10.33203125" style="738"/>
    <col min="13569" max="13569" width="46.6640625" style="738" customWidth="1"/>
    <col min="13570" max="13570" width="2.6640625" style="738" customWidth="1"/>
    <col min="13571" max="13571" width="17.83203125" style="738" customWidth="1"/>
    <col min="13572" max="13572" width="18.83203125" style="738" bestFit="1" customWidth="1"/>
    <col min="13573" max="13573" width="4.6640625" style="738" customWidth="1"/>
    <col min="13574" max="13574" width="13.6640625" style="738" customWidth="1"/>
    <col min="13575" max="13575" width="5" style="738" customWidth="1"/>
    <col min="13576" max="13576" width="14" style="738" customWidth="1"/>
    <col min="13577" max="13577" width="4" style="738" customWidth="1"/>
    <col min="13578" max="13824" width="10.33203125" style="738"/>
    <col min="13825" max="13825" width="46.6640625" style="738" customWidth="1"/>
    <col min="13826" max="13826" width="2.6640625" style="738" customWidth="1"/>
    <col min="13827" max="13827" width="17.83203125" style="738" customWidth="1"/>
    <col min="13828" max="13828" width="18.83203125" style="738" bestFit="1" customWidth="1"/>
    <col min="13829" max="13829" width="4.6640625" style="738" customWidth="1"/>
    <col min="13830" max="13830" width="13.6640625" style="738" customWidth="1"/>
    <col min="13831" max="13831" width="5" style="738" customWidth="1"/>
    <col min="13832" max="13832" width="14" style="738" customWidth="1"/>
    <col min="13833" max="13833" width="4" style="738" customWidth="1"/>
    <col min="13834" max="14080" width="10.33203125" style="738"/>
    <col min="14081" max="14081" width="46.6640625" style="738" customWidth="1"/>
    <col min="14082" max="14082" width="2.6640625" style="738" customWidth="1"/>
    <col min="14083" max="14083" width="17.83203125" style="738" customWidth="1"/>
    <col min="14084" max="14084" width="18.83203125" style="738" bestFit="1" customWidth="1"/>
    <col min="14085" max="14085" width="4.6640625" style="738" customWidth="1"/>
    <col min="14086" max="14086" width="13.6640625" style="738" customWidth="1"/>
    <col min="14087" max="14087" width="5" style="738" customWidth="1"/>
    <col min="14088" max="14088" width="14" style="738" customWidth="1"/>
    <col min="14089" max="14089" width="4" style="738" customWidth="1"/>
    <col min="14090" max="14336" width="10.33203125" style="738"/>
    <col min="14337" max="14337" width="46.6640625" style="738" customWidth="1"/>
    <col min="14338" max="14338" width="2.6640625" style="738" customWidth="1"/>
    <col min="14339" max="14339" width="17.83203125" style="738" customWidth="1"/>
    <col min="14340" max="14340" width="18.83203125" style="738" bestFit="1" customWidth="1"/>
    <col min="14341" max="14341" width="4.6640625" style="738" customWidth="1"/>
    <col min="14342" max="14342" width="13.6640625" style="738" customWidth="1"/>
    <col min="14343" max="14343" width="5" style="738" customWidth="1"/>
    <col min="14344" max="14344" width="14" style="738" customWidth="1"/>
    <col min="14345" max="14345" width="4" style="738" customWidth="1"/>
    <col min="14346" max="14592" width="10.33203125" style="738"/>
    <col min="14593" max="14593" width="46.6640625" style="738" customWidth="1"/>
    <col min="14594" max="14594" width="2.6640625" style="738" customWidth="1"/>
    <col min="14595" max="14595" width="17.83203125" style="738" customWidth="1"/>
    <col min="14596" max="14596" width="18.83203125" style="738" bestFit="1" customWidth="1"/>
    <col min="14597" max="14597" width="4.6640625" style="738" customWidth="1"/>
    <col min="14598" max="14598" width="13.6640625" style="738" customWidth="1"/>
    <col min="14599" max="14599" width="5" style="738" customWidth="1"/>
    <col min="14600" max="14600" width="14" style="738" customWidth="1"/>
    <col min="14601" max="14601" width="4" style="738" customWidth="1"/>
    <col min="14602" max="14848" width="10.33203125" style="738"/>
    <col min="14849" max="14849" width="46.6640625" style="738" customWidth="1"/>
    <col min="14850" max="14850" width="2.6640625" style="738" customWidth="1"/>
    <col min="14851" max="14851" width="17.83203125" style="738" customWidth="1"/>
    <col min="14852" max="14852" width="18.83203125" style="738" bestFit="1" customWidth="1"/>
    <col min="14853" max="14853" width="4.6640625" style="738" customWidth="1"/>
    <col min="14854" max="14854" width="13.6640625" style="738" customWidth="1"/>
    <col min="14855" max="14855" width="5" style="738" customWidth="1"/>
    <col min="14856" max="14856" width="14" style="738" customWidth="1"/>
    <col min="14857" max="14857" width="4" style="738" customWidth="1"/>
    <col min="14858" max="15104" width="10.33203125" style="738"/>
    <col min="15105" max="15105" width="46.6640625" style="738" customWidth="1"/>
    <col min="15106" max="15106" width="2.6640625" style="738" customWidth="1"/>
    <col min="15107" max="15107" width="17.83203125" style="738" customWidth="1"/>
    <col min="15108" max="15108" width="18.83203125" style="738" bestFit="1" customWidth="1"/>
    <col min="15109" max="15109" width="4.6640625" style="738" customWidth="1"/>
    <col min="15110" max="15110" width="13.6640625" style="738" customWidth="1"/>
    <col min="15111" max="15111" width="5" style="738" customWidth="1"/>
    <col min="15112" max="15112" width="14" style="738" customWidth="1"/>
    <col min="15113" max="15113" width="4" style="738" customWidth="1"/>
    <col min="15114" max="15360" width="10.33203125" style="738"/>
    <col min="15361" max="15361" width="46.6640625" style="738" customWidth="1"/>
    <col min="15362" max="15362" width="2.6640625" style="738" customWidth="1"/>
    <col min="15363" max="15363" width="17.83203125" style="738" customWidth="1"/>
    <col min="15364" max="15364" width="18.83203125" style="738" bestFit="1" customWidth="1"/>
    <col min="15365" max="15365" width="4.6640625" style="738" customWidth="1"/>
    <col min="15366" max="15366" width="13.6640625" style="738" customWidth="1"/>
    <col min="15367" max="15367" width="5" style="738" customWidth="1"/>
    <col min="15368" max="15368" width="14" style="738" customWidth="1"/>
    <col min="15369" max="15369" width="4" style="738" customWidth="1"/>
    <col min="15370" max="15616" width="10.33203125" style="738"/>
    <col min="15617" max="15617" width="46.6640625" style="738" customWidth="1"/>
    <col min="15618" max="15618" width="2.6640625" style="738" customWidth="1"/>
    <col min="15619" max="15619" width="17.83203125" style="738" customWidth="1"/>
    <col min="15620" max="15620" width="18.83203125" style="738" bestFit="1" customWidth="1"/>
    <col min="15621" max="15621" width="4.6640625" style="738" customWidth="1"/>
    <col min="15622" max="15622" width="13.6640625" style="738" customWidth="1"/>
    <col min="15623" max="15623" width="5" style="738" customWidth="1"/>
    <col min="15624" max="15624" width="14" style="738" customWidth="1"/>
    <col min="15625" max="15625" width="4" style="738" customWidth="1"/>
    <col min="15626" max="15872" width="10.33203125" style="738"/>
    <col min="15873" max="15873" width="46.6640625" style="738" customWidth="1"/>
    <col min="15874" max="15874" width="2.6640625" style="738" customWidth="1"/>
    <col min="15875" max="15875" width="17.83203125" style="738" customWidth="1"/>
    <col min="15876" max="15876" width="18.83203125" style="738" bestFit="1" customWidth="1"/>
    <col min="15877" max="15877" width="4.6640625" style="738" customWidth="1"/>
    <col min="15878" max="15878" width="13.6640625" style="738" customWidth="1"/>
    <col min="15879" max="15879" width="5" style="738" customWidth="1"/>
    <col min="15880" max="15880" width="14" style="738" customWidth="1"/>
    <col min="15881" max="15881" width="4" style="738" customWidth="1"/>
    <col min="15882" max="16128" width="10.33203125" style="738"/>
    <col min="16129" max="16129" width="46.6640625" style="738" customWidth="1"/>
    <col min="16130" max="16130" width="2.6640625" style="738" customWidth="1"/>
    <col min="16131" max="16131" width="17.83203125" style="738" customWidth="1"/>
    <col min="16132" max="16132" width="18.83203125" style="738" bestFit="1" customWidth="1"/>
    <col min="16133" max="16133" width="4.6640625" style="738" customWidth="1"/>
    <col min="16134" max="16134" width="13.6640625" style="738" customWidth="1"/>
    <col min="16135" max="16135" width="5" style="738" customWidth="1"/>
    <col min="16136" max="16136" width="14" style="738" customWidth="1"/>
    <col min="16137" max="16137" width="4" style="738" customWidth="1"/>
    <col min="16138" max="16384" width="10.33203125" style="738"/>
  </cols>
  <sheetData>
    <row r="1" spans="1:9">
      <c r="D1" s="739" t="s">
        <v>1153</v>
      </c>
    </row>
    <row r="2" spans="1:9" ht="13.5" thickBot="1">
      <c r="D2" s="739" t="s">
        <v>1154</v>
      </c>
    </row>
    <row r="3" spans="1:9" ht="13.5" thickBot="1">
      <c r="D3" s="740" t="s">
        <v>1062</v>
      </c>
    </row>
    <row r="5" spans="1:9">
      <c r="A5" s="741" t="s">
        <v>1063</v>
      </c>
      <c r="B5" s="741"/>
      <c r="C5" s="741"/>
      <c r="D5" s="742"/>
    </row>
    <row r="6" spans="1:9">
      <c r="A6" s="741" t="s">
        <v>1155</v>
      </c>
      <c r="B6" s="741"/>
      <c r="C6" s="741"/>
      <c r="D6" s="742"/>
    </row>
    <row r="7" spans="1:9">
      <c r="A7" s="741" t="s">
        <v>1064</v>
      </c>
      <c r="B7" s="741"/>
      <c r="C7" s="741"/>
      <c r="D7" s="742"/>
    </row>
    <row r="8" spans="1:9">
      <c r="A8" s="741"/>
      <c r="B8" s="741"/>
      <c r="C8" s="741"/>
      <c r="D8" s="742"/>
    </row>
    <row r="9" spans="1:9" ht="25.5">
      <c r="A9" s="741"/>
      <c r="C9" s="743" t="s">
        <v>1156</v>
      </c>
      <c r="D9" s="743" t="s">
        <v>448</v>
      </c>
    </row>
    <row r="10" spans="1:9" ht="25.5">
      <c r="A10" s="741"/>
      <c r="B10" s="741"/>
      <c r="C10" s="744" t="s">
        <v>1065</v>
      </c>
      <c r="D10" s="744" t="s">
        <v>1065</v>
      </c>
    </row>
    <row r="11" spans="1:9" ht="13.5" thickBot="1">
      <c r="C11" s="745">
        <v>40359</v>
      </c>
      <c r="D11" s="745">
        <v>40543</v>
      </c>
      <c r="E11" s="746"/>
    </row>
    <row r="12" spans="1:9">
      <c r="A12" s="747"/>
      <c r="C12" s="748" t="s">
        <v>1066</v>
      </c>
      <c r="D12" s="748" t="s">
        <v>1066</v>
      </c>
    </row>
    <row r="13" spans="1:9">
      <c r="A13" s="749" t="s">
        <v>1067</v>
      </c>
      <c r="C13" s="750"/>
      <c r="D13" s="750"/>
    </row>
    <row r="14" spans="1:9">
      <c r="A14" s="738" t="s">
        <v>1068</v>
      </c>
      <c r="C14" s="751">
        <v>963232858.51999998</v>
      </c>
      <c r="D14" s="751">
        <v>953445525.50999999</v>
      </c>
      <c r="E14" s="752" t="s">
        <v>1157</v>
      </c>
    </row>
    <row r="15" spans="1:9">
      <c r="A15" s="738" t="s">
        <v>1069</v>
      </c>
      <c r="C15" s="753">
        <v>43439732.07</v>
      </c>
      <c r="D15" s="754">
        <v>43761997</v>
      </c>
      <c r="E15" s="755"/>
      <c r="F15" s="756">
        <f>'6.09G - Muni Tax Other Ops'!D19</f>
        <v>-389945.3</v>
      </c>
      <c r="G15" s="738" t="s">
        <v>1158</v>
      </c>
      <c r="H15" s="757">
        <f>SUM(D15:F15)</f>
        <v>43372051.700000003</v>
      </c>
      <c r="I15" s="738" t="s">
        <v>1157</v>
      </c>
    </row>
    <row r="16" spans="1:9">
      <c r="A16" s="738" t="s">
        <v>1070</v>
      </c>
      <c r="C16" s="758">
        <v>16566667.609999999</v>
      </c>
      <c r="D16" s="758">
        <v>14322993.74</v>
      </c>
      <c r="E16" s="752" t="s">
        <v>1159</v>
      </c>
    </row>
    <row r="17" spans="1:8">
      <c r="A17" s="738" t="s">
        <v>1071</v>
      </c>
      <c r="C17" s="759">
        <f>SUM(C14:C16)</f>
        <v>1023239258.2</v>
      </c>
      <c r="D17" s="759">
        <f>SUM(D14:D16)</f>
        <v>1011530516.25</v>
      </c>
      <c r="H17" s="760"/>
    </row>
    <row r="18" spans="1:8">
      <c r="A18" s="761">
        <v>6</v>
      </c>
      <c r="C18" s="762"/>
      <c r="D18" s="762"/>
    </row>
    <row r="19" spans="1:8">
      <c r="A19" s="761">
        <v>7</v>
      </c>
      <c r="C19" s="763"/>
      <c r="D19" s="763"/>
      <c r="E19" s="764"/>
    </row>
    <row r="20" spans="1:8">
      <c r="A20" s="738" t="s">
        <v>1072</v>
      </c>
      <c r="C20" s="763"/>
      <c r="D20" s="763"/>
      <c r="E20" s="765" t="s">
        <v>1159</v>
      </c>
      <c r="F20" s="757">
        <f>D16</f>
        <v>14322993.74</v>
      </c>
    </row>
    <row r="21" spans="1:8">
      <c r="A21" s="761">
        <v>9</v>
      </c>
      <c r="C21" s="763"/>
      <c r="D21" s="763"/>
      <c r="E21" s="766" t="s">
        <v>1158</v>
      </c>
      <c r="F21" s="767">
        <f>-F15</f>
        <v>389945.3</v>
      </c>
    </row>
    <row r="22" spans="1:8" ht="13.5" thickBot="1">
      <c r="A22" s="738" t="s">
        <v>1073</v>
      </c>
      <c r="C22" s="763"/>
      <c r="D22" s="763"/>
      <c r="E22" s="768"/>
      <c r="F22" s="769">
        <f>SUM(F20:F21)</f>
        <v>14712939.040000001</v>
      </c>
    </row>
    <row r="23" spans="1:8" ht="13.5" thickTop="1">
      <c r="A23" s="761">
        <v>11</v>
      </c>
      <c r="C23" s="770"/>
      <c r="D23" s="770"/>
    </row>
    <row r="24" spans="1:8">
      <c r="A24" s="738" t="s">
        <v>1074</v>
      </c>
      <c r="C24" s="759">
        <v>550153571.02999997</v>
      </c>
      <c r="D24" s="759">
        <v>535932510.26999903</v>
      </c>
    </row>
    <row r="25" spans="1:8">
      <c r="A25" s="761">
        <v>13</v>
      </c>
      <c r="C25" s="771"/>
      <c r="D25" s="771"/>
    </row>
    <row r="26" spans="1:8">
      <c r="A26" s="738" t="s">
        <v>1075</v>
      </c>
      <c r="C26" s="772">
        <f>SUM(C23:C25)</f>
        <v>550153571.02999997</v>
      </c>
      <c r="D26" s="772">
        <f>SUM(D23:D25)</f>
        <v>535932510.26999903</v>
      </c>
    </row>
    <row r="27" spans="1:8">
      <c r="A27" s="761">
        <v>15</v>
      </c>
      <c r="C27" s="773"/>
      <c r="D27" s="773"/>
    </row>
    <row r="28" spans="1:8">
      <c r="A28" s="738" t="s">
        <v>1076</v>
      </c>
      <c r="C28" s="759">
        <v>1995330.38</v>
      </c>
      <c r="D28" s="759">
        <v>1937121.8</v>
      </c>
    </row>
    <row r="29" spans="1:8">
      <c r="A29" s="738" t="s">
        <v>1077</v>
      </c>
      <c r="C29" s="759">
        <v>819169.86999999895</v>
      </c>
      <c r="D29" s="759">
        <v>226853.49999999901</v>
      </c>
    </row>
    <row r="30" spans="1:8">
      <c r="A30" s="738" t="s">
        <v>1078</v>
      </c>
      <c r="C30" s="759">
        <v>49275442.899999999</v>
      </c>
      <c r="D30" s="759">
        <v>50238405.469999999</v>
      </c>
    </row>
    <row r="31" spans="1:8">
      <c r="A31" s="738" t="s">
        <v>1079</v>
      </c>
      <c r="C31" s="759">
        <v>33716567.670124903</v>
      </c>
      <c r="D31" s="759">
        <v>32629594.350795999</v>
      </c>
    </row>
    <row r="32" spans="1:8">
      <c r="A32" s="738" t="s">
        <v>1080</v>
      </c>
      <c r="C32" s="759">
        <v>4493582.6269680001</v>
      </c>
      <c r="D32" s="759">
        <v>4454345.868047989</v>
      </c>
    </row>
    <row r="33" spans="1:4">
      <c r="A33" s="738" t="s">
        <v>1081</v>
      </c>
      <c r="C33" s="759">
        <v>12533942.7999999</v>
      </c>
      <c r="D33" s="759">
        <v>14771681.6299999</v>
      </c>
    </row>
    <row r="34" spans="1:4">
      <c r="A34" s="738" t="s">
        <v>1082</v>
      </c>
      <c r="C34" s="759">
        <v>44718807.023647904</v>
      </c>
      <c r="D34" s="759">
        <v>42818070.121348001</v>
      </c>
    </row>
    <row r="35" spans="1:4">
      <c r="A35" s="738" t="s">
        <v>1083</v>
      </c>
      <c r="C35" s="759">
        <v>98032900.729743987</v>
      </c>
      <c r="D35" s="759">
        <v>102386842.97985891</v>
      </c>
    </row>
    <row r="36" spans="1:4">
      <c r="A36" s="738" t="s">
        <v>1084</v>
      </c>
      <c r="C36" s="759">
        <v>15432434.761570001</v>
      </c>
      <c r="D36" s="759">
        <v>12778120.276430989</v>
      </c>
    </row>
    <row r="37" spans="1:4">
      <c r="A37" s="738" t="s">
        <v>1085</v>
      </c>
      <c r="C37" s="759">
        <v>0</v>
      </c>
      <c r="D37" s="759">
        <v>0</v>
      </c>
    </row>
    <row r="38" spans="1:4">
      <c r="A38" s="738" t="s">
        <v>1086</v>
      </c>
      <c r="C38" s="759">
        <v>-255495.82</v>
      </c>
      <c r="D38" s="759">
        <v>-187823.5</v>
      </c>
    </row>
    <row r="39" spans="1:4">
      <c r="A39" s="749" t="s">
        <v>1160</v>
      </c>
      <c r="C39" s="759">
        <v>0</v>
      </c>
      <c r="D39" s="759">
        <v>0</v>
      </c>
    </row>
    <row r="40" spans="1:4">
      <c r="A40" s="738" t="s">
        <v>1087</v>
      </c>
      <c r="C40" s="759">
        <v>97432690.758463994</v>
      </c>
      <c r="D40" s="759">
        <v>98746987.673014</v>
      </c>
    </row>
    <row r="41" spans="1:4">
      <c r="A41" s="738" t="s">
        <v>1088</v>
      </c>
      <c r="C41" s="759">
        <v>-35657054</v>
      </c>
      <c r="D41" s="759">
        <v>15204117</v>
      </c>
    </row>
    <row r="42" spans="1:4">
      <c r="A42" s="738" t="s">
        <v>1089</v>
      </c>
      <c r="C42" s="774">
        <v>48545918.480400003</v>
      </c>
      <c r="D42" s="774">
        <v>-3067770.7089999998</v>
      </c>
    </row>
    <row r="43" spans="1:4">
      <c r="A43" s="738" t="s">
        <v>1090</v>
      </c>
      <c r="C43" s="772">
        <f>SUM(C26:C42)</f>
        <v>921237809.21091855</v>
      </c>
      <c r="D43" s="772">
        <f>SUM(D26:D42)</f>
        <v>908869056.73049474</v>
      </c>
    </row>
    <row r="44" spans="1:4">
      <c r="A44" s="761">
        <v>32</v>
      </c>
      <c r="C44" s="775"/>
      <c r="D44" s="775"/>
    </row>
    <row r="45" spans="1:4">
      <c r="A45" s="738" t="s">
        <v>1091</v>
      </c>
      <c r="C45" s="776">
        <f>C17-C43</f>
        <v>102001448.9890815</v>
      </c>
      <c r="D45" s="776">
        <f>D17-D43</f>
        <v>102661459.51950526</v>
      </c>
    </row>
    <row r="46" spans="1:4">
      <c r="A46" s="761">
        <v>34</v>
      </c>
      <c r="C46" s="777"/>
      <c r="D46" s="777"/>
    </row>
    <row r="47" spans="1:4">
      <c r="A47" s="738" t="s">
        <v>1092</v>
      </c>
      <c r="C47" s="778">
        <v>1474337487</v>
      </c>
      <c r="D47" s="778">
        <v>1660735111.2888541</v>
      </c>
    </row>
    <row r="48" spans="1:4">
      <c r="A48" s="761">
        <v>36</v>
      </c>
      <c r="C48" s="762"/>
      <c r="D48" s="762"/>
    </row>
    <row r="49" spans="1:4">
      <c r="A49" s="779">
        <v>37</v>
      </c>
      <c r="C49" s="780"/>
      <c r="D49" s="780"/>
    </row>
    <row r="50" spans="1:4" ht="13.5" thickBot="1">
      <c r="A50" s="738" t="s">
        <v>1093</v>
      </c>
      <c r="C50" s="781">
        <f>C45/C47</f>
        <v>6.9184599787010304E-2</v>
      </c>
      <c r="D50" s="781">
        <f>D45/D47</f>
        <v>6.1816877852261656E-2</v>
      </c>
    </row>
    <row r="51" spans="1:4">
      <c r="A51" s="782"/>
      <c r="D51" s="783"/>
    </row>
    <row r="52" spans="1:4">
      <c r="C52" s="739" t="s">
        <v>1161</v>
      </c>
      <c r="D52" s="784">
        <f>D14+H15</f>
        <v>996817577.21000004</v>
      </c>
    </row>
    <row r="53" spans="1:4">
      <c r="A53" s="785"/>
    </row>
    <row r="54" spans="1:4">
      <c r="A54" s="785"/>
    </row>
    <row r="55" spans="1:4">
      <c r="A55" s="785"/>
    </row>
    <row r="56" spans="1:4">
      <c r="A56" s="785"/>
    </row>
    <row r="57" spans="1:4">
      <c r="A57" s="785"/>
    </row>
  </sheetData>
  <printOptions horizontalCentered="1"/>
  <pageMargins left="0.75" right="0.75" top="0.75" bottom="0.75" header="0.5" footer="0.5"/>
  <pageSetup scale="81"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K53"/>
  <sheetViews>
    <sheetView workbookViewId="0">
      <selection activeCell="G18" sqref="G18"/>
    </sheetView>
  </sheetViews>
  <sheetFormatPr defaultRowHeight="12.75"/>
  <cols>
    <col min="1" max="1" width="5.83203125" style="500" bestFit="1" customWidth="1"/>
    <col min="2" max="2" width="55.33203125" style="500" bestFit="1" customWidth="1"/>
    <col min="3" max="3" width="13.83203125" style="501" bestFit="1" customWidth="1"/>
    <col min="4" max="4" width="12" style="503" bestFit="1" customWidth="1"/>
    <col min="5" max="5" width="29.5" style="503" bestFit="1" customWidth="1"/>
    <col min="6" max="10" width="9.33203125" style="503"/>
    <col min="11" max="11" width="12.6640625" style="503" bestFit="1" customWidth="1"/>
    <col min="12" max="255" width="9.33203125" style="503"/>
    <col min="256" max="256" width="5.83203125" style="503" customWidth="1"/>
    <col min="257" max="257" width="53.33203125" style="503" customWidth="1"/>
    <col min="258" max="258" width="7.5" style="503" customWidth="1"/>
    <col min="259" max="259" width="13.6640625" style="503" bestFit="1" customWidth="1"/>
    <col min="260" max="260" width="12.33203125" style="503" customWidth="1"/>
    <col min="261" max="261" width="15.1640625" style="503" customWidth="1"/>
    <col min="262" max="511" width="9.33203125" style="503"/>
    <col min="512" max="512" width="5.83203125" style="503" customWidth="1"/>
    <col min="513" max="513" width="53.33203125" style="503" customWidth="1"/>
    <col min="514" max="514" width="7.5" style="503" customWidth="1"/>
    <col min="515" max="515" width="13.6640625" style="503" bestFit="1" customWidth="1"/>
    <col min="516" max="516" width="12.33203125" style="503" customWidth="1"/>
    <col min="517" max="517" width="15.1640625" style="503" customWidth="1"/>
    <col min="518" max="767" width="9.33203125" style="503"/>
    <col min="768" max="768" width="5.83203125" style="503" customWidth="1"/>
    <col min="769" max="769" width="53.33203125" style="503" customWidth="1"/>
    <col min="770" max="770" width="7.5" style="503" customWidth="1"/>
    <col min="771" max="771" width="13.6640625" style="503" bestFit="1" customWidth="1"/>
    <col min="772" max="772" width="12.33203125" style="503" customWidth="1"/>
    <col min="773" max="773" width="15.1640625" style="503" customWidth="1"/>
    <col min="774" max="1023" width="9.33203125" style="503"/>
    <col min="1024" max="1024" width="5.83203125" style="503" customWidth="1"/>
    <col min="1025" max="1025" width="53.33203125" style="503" customWidth="1"/>
    <col min="1026" max="1026" width="7.5" style="503" customWidth="1"/>
    <col min="1027" max="1027" width="13.6640625" style="503" bestFit="1" customWidth="1"/>
    <col min="1028" max="1028" width="12.33203125" style="503" customWidth="1"/>
    <col min="1029" max="1029" width="15.1640625" style="503" customWidth="1"/>
    <col min="1030" max="1279" width="9.33203125" style="503"/>
    <col min="1280" max="1280" width="5.83203125" style="503" customWidth="1"/>
    <col min="1281" max="1281" width="53.33203125" style="503" customWidth="1"/>
    <col min="1282" max="1282" width="7.5" style="503" customWidth="1"/>
    <col min="1283" max="1283" width="13.6640625" style="503" bestFit="1" customWidth="1"/>
    <col min="1284" max="1284" width="12.33203125" style="503" customWidth="1"/>
    <col min="1285" max="1285" width="15.1640625" style="503" customWidth="1"/>
    <col min="1286" max="1535" width="9.33203125" style="503"/>
    <col min="1536" max="1536" width="5.83203125" style="503" customWidth="1"/>
    <col min="1537" max="1537" width="53.33203125" style="503" customWidth="1"/>
    <col min="1538" max="1538" width="7.5" style="503" customWidth="1"/>
    <col min="1539" max="1539" width="13.6640625" style="503" bestFit="1" customWidth="1"/>
    <col min="1540" max="1540" width="12.33203125" style="503" customWidth="1"/>
    <col min="1541" max="1541" width="15.1640625" style="503" customWidth="1"/>
    <col min="1542" max="1791" width="9.33203125" style="503"/>
    <col min="1792" max="1792" width="5.83203125" style="503" customWidth="1"/>
    <col min="1793" max="1793" width="53.33203125" style="503" customWidth="1"/>
    <col min="1794" max="1794" width="7.5" style="503" customWidth="1"/>
    <col min="1795" max="1795" width="13.6640625" style="503" bestFit="1" customWidth="1"/>
    <col min="1796" max="1796" width="12.33203125" style="503" customWidth="1"/>
    <col min="1797" max="1797" width="15.1640625" style="503" customWidth="1"/>
    <col min="1798" max="2047" width="9.33203125" style="503"/>
    <col min="2048" max="2048" width="5.83203125" style="503" customWidth="1"/>
    <col min="2049" max="2049" width="53.33203125" style="503" customWidth="1"/>
    <col min="2050" max="2050" width="7.5" style="503" customWidth="1"/>
    <col min="2051" max="2051" width="13.6640625" style="503" bestFit="1" customWidth="1"/>
    <col min="2052" max="2052" width="12.33203125" style="503" customWidth="1"/>
    <col min="2053" max="2053" width="15.1640625" style="503" customWidth="1"/>
    <col min="2054" max="2303" width="9.33203125" style="503"/>
    <col min="2304" max="2304" width="5.83203125" style="503" customWidth="1"/>
    <col min="2305" max="2305" width="53.33203125" style="503" customWidth="1"/>
    <col min="2306" max="2306" width="7.5" style="503" customWidth="1"/>
    <col min="2307" max="2307" width="13.6640625" style="503" bestFit="1" customWidth="1"/>
    <col min="2308" max="2308" width="12.33203125" style="503" customWidth="1"/>
    <col min="2309" max="2309" width="15.1640625" style="503" customWidth="1"/>
    <col min="2310" max="2559" width="9.33203125" style="503"/>
    <col min="2560" max="2560" width="5.83203125" style="503" customWidth="1"/>
    <col min="2561" max="2561" width="53.33203125" style="503" customWidth="1"/>
    <col min="2562" max="2562" width="7.5" style="503" customWidth="1"/>
    <col min="2563" max="2563" width="13.6640625" style="503" bestFit="1" customWidth="1"/>
    <col min="2564" max="2564" width="12.33203125" style="503" customWidth="1"/>
    <col min="2565" max="2565" width="15.1640625" style="503" customWidth="1"/>
    <col min="2566" max="2815" width="9.33203125" style="503"/>
    <col min="2816" max="2816" width="5.83203125" style="503" customWidth="1"/>
    <col min="2817" max="2817" width="53.33203125" style="503" customWidth="1"/>
    <col min="2818" max="2818" width="7.5" style="503" customWidth="1"/>
    <col min="2819" max="2819" width="13.6640625" style="503" bestFit="1" customWidth="1"/>
    <col min="2820" max="2820" width="12.33203125" style="503" customWidth="1"/>
    <col min="2821" max="2821" width="15.1640625" style="503" customWidth="1"/>
    <col min="2822" max="3071" width="9.33203125" style="503"/>
    <col min="3072" max="3072" width="5.83203125" style="503" customWidth="1"/>
    <col min="3073" max="3073" width="53.33203125" style="503" customWidth="1"/>
    <col min="3074" max="3074" width="7.5" style="503" customWidth="1"/>
    <col min="3075" max="3075" width="13.6640625" style="503" bestFit="1" customWidth="1"/>
    <col min="3076" max="3076" width="12.33203125" style="503" customWidth="1"/>
    <col min="3077" max="3077" width="15.1640625" style="503" customWidth="1"/>
    <col min="3078" max="3327" width="9.33203125" style="503"/>
    <col min="3328" max="3328" width="5.83203125" style="503" customWidth="1"/>
    <col min="3329" max="3329" width="53.33203125" style="503" customWidth="1"/>
    <col min="3330" max="3330" width="7.5" style="503" customWidth="1"/>
    <col min="3331" max="3331" width="13.6640625" style="503" bestFit="1" customWidth="1"/>
    <col min="3332" max="3332" width="12.33203125" style="503" customWidth="1"/>
    <col min="3333" max="3333" width="15.1640625" style="503" customWidth="1"/>
    <col min="3334" max="3583" width="9.33203125" style="503"/>
    <col min="3584" max="3584" width="5.83203125" style="503" customWidth="1"/>
    <col min="3585" max="3585" width="53.33203125" style="503" customWidth="1"/>
    <col min="3586" max="3586" width="7.5" style="503" customWidth="1"/>
    <col min="3587" max="3587" width="13.6640625" style="503" bestFit="1" customWidth="1"/>
    <col min="3588" max="3588" width="12.33203125" style="503" customWidth="1"/>
    <col min="3589" max="3589" width="15.1640625" style="503" customWidth="1"/>
    <col min="3590" max="3839" width="9.33203125" style="503"/>
    <col min="3840" max="3840" width="5.83203125" style="503" customWidth="1"/>
    <col min="3841" max="3841" width="53.33203125" style="503" customWidth="1"/>
    <col min="3842" max="3842" width="7.5" style="503" customWidth="1"/>
    <col min="3843" max="3843" width="13.6640625" style="503" bestFit="1" customWidth="1"/>
    <col min="3844" max="3844" width="12.33203125" style="503" customWidth="1"/>
    <col min="3845" max="3845" width="15.1640625" style="503" customWidth="1"/>
    <col min="3846" max="4095" width="9.33203125" style="503"/>
    <col min="4096" max="4096" width="5.83203125" style="503" customWidth="1"/>
    <col min="4097" max="4097" width="53.33203125" style="503" customWidth="1"/>
    <col min="4098" max="4098" width="7.5" style="503" customWidth="1"/>
    <col min="4099" max="4099" width="13.6640625" style="503" bestFit="1" customWidth="1"/>
    <col min="4100" max="4100" width="12.33203125" style="503" customWidth="1"/>
    <col min="4101" max="4101" width="15.1640625" style="503" customWidth="1"/>
    <col min="4102" max="4351" width="9.33203125" style="503"/>
    <col min="4352" max="4352" width="5.83203125" style="503" customWidth="1"/>
    <col min="4353" max="4353" width="53.33203125" style="503" customWidth="1"/>
    <col min="4354" max="4354" width="7.5" style="503" customWidth="1"/>
    <col min="4355" max="4355" width="13.6640625" style="503" bestFit="1" customWidth="1"/>
    <col min="4356" max="4356" width="12.33203125" style="503" customWidth="1"/>
    <col min="4357" max="4357" width="15.1640625" style="503" customWidth="1"/>
    <col min="4358" max="4607" width="9.33203125" style="503"/>
    <col min="4608" max="4608" width="5.83203125" style="503" customWidth="1"/>
    <col min="4609" max="4609" width="53.33203125" style="503" customWidth="1"/>
    <col min="4610" max="4610" width="7.5" style="503" customWidth="1"/>
    <col min="4611" max="4611" width="13.6640625" style="503" bestFit="1" customWidth="1"/>
    <col min="4612" max="4612" width="12.33203125" style="503" customWidth="1"/>
    <col min="4613" max="4613" width="15.1640625" style="503" customWidth="1"/>
    <col min="4614" max="4863" width="9.33203125" style="503"/>
    <col min="4864" max="4864" width="5.83203125" style="503" customWidth="1"/>
    <col min="4865" max="4865" width="53.33203125" style="503" customWidth="1"/>
    <col min="4866" max="4866" width="7.5" style="503" customWidth="1"/>
    <col min="4867" max="4867" width="13.6640625" style="503" bestFit="1" customWidth="1"/>
    <col min="4868" max="4868" width="12.33203125" style="503" customWidth="1"/>
    <col min="4869" max="4869" width="15.1640625" style="503" customWidth="1"/>
    <col min="4870" max="5119" width="9.33203125" style="503"/>
    <col min="5120" max="5120" width="5.83203125" style="503" customWidth="1"/>
    <col min="5121" max="5121" width="53.33203125" style="503" customWidth="1"/>
    <col min="5122" max="5122" width="7.5" style="503" customWidth="1"/>
    <col min="5123" max="5123" width="13.6640625" style="503" bestFit="1" customWidth="1"/>
    <col min="5124" max="5124" width="12.33203125" style="503" customWidth="1"/>
    <col min="5125" max="5125" width="15.1640625" style="503" customWidth="1"/>
    <col min="5126" max="5375" width="9.33203125" style="503"/>
    <col min="5376" max="5376" width="5.83203125" style="503" customWidth="1"/>
    <col min="5377" max="5377" width="53.33203125" style="503" customWidth="1"/>
    <col min="5378" max="5378" width="7.5" style="503" customWidth="1"/>
    <col min="5379" max="5379" width="13.6640625" style="503" bestFit="1" customWidth="1"/>
    <col min="5380" max="5380" width="12.33203125" style="503" customWidth="1"/>
    <col min="5381" max="5381" width="15.1640625" style="503" customWidth="1"/>
    <col min="5382" max="5631" width="9.33203125" style="503"/>
    <col min="5632" max="5632" width="5.83203125" style="503" customWidth="1"/>
    <col min="5633" max="5633" width="53.33203125" style="503" customWidth="1"/>
    <col min="5634" max="5634" width="7.5" style="503" customWidth="1"/>
    <col min="5635" max="5635" width="13.6640625" style="503" bestFit="1" customWidth="1"/>
    <col min="5636" max="5636" width="12.33203125" style="503" customWidth="1"/>
    <col min="5637" max="5637" width="15.1640625" style="503" customWidth="1"/>
    <col min="5638" max="5887" width="9.33203125" style="503"/>
    <col min="5888" max="5888" width="5.83203125" style="503" customWidth="1"/>
    <col min="5889" max="5889" width="53.33203125" style="503" customWidth="1"/>
    <col min="5890" max="5890" width="7.5" style="503" customWidth="1"/>
    <col min="5891" max="5891" width="13.6640625" style="503" bestFit="1" customWidth="1"/>
    <col min="5892" max="5892" width="12.33203125" style="503" customWidth="1"/>
    <col min="5893" max="5893" width="15.1640625" style="503" customWidth="1"/>
    <col min="5894" max="6143" width="9.33203125" style="503"/>
    <col min="6144" max="6144" width="5.83203125" style="503" customWidth="1"/>
    <col min="6145" max="6145" width="53.33203125" style="503" customWidth="1"/>
    <col min="6146" max="6146" width="7.5" style="503" customWidth="1"/>
    <col min="6147" max="6147" width="13.6640625" style="503" bestFit="1" customWidth="1"/>
    <col min="6148" max="6148" width="12.33203125" style="503" customWidth="1"/>
    <col min="6149" max="6149" width="15.1640625" style="503" customWidth="1"/>
    <col min="6150" max="6399" width="9.33203125" style="503"/>
    <col min="6400" max="6400" width="5.83203125" style="503" customWidth="1"/>
    <col min="6401" max="6401" width="53.33203125" style="503" customWidth="1"/>
    <col min="6402" max="6402" width="7.5" style="503" customWidth="1"/>
    <col min="6403" max="6403" width="13.6640625" style="503" bestFit="1" customWidth="1"/>
    <col min="6404" max="6404" width="12.33203125" style="503" customWidth="1"/>
    <col min="6405" max="6405" width="15.1640625" style="503" customWidth="1"/>
    <col min="6406" max="6655" width="9.33203125" style="503"/>
    <col min="6656" max="6656" width="5.83203125" style="503" customWidth="1"/>
    <col min="6657" max="6657" width="53.33203125" style="503" customWidth="1"/>
    <col min="6658" max="6658" width="7.5" style="503" customWidth="1"/>
    <col min="6659" max="6659" width="13.6640625" style="503" bestFit="1" customWidth="1"/>
    <col min="6660" max="6660" width="12.33203125" style="503" customWidth="1"/>
    <col min="6661" max="6661" width="15.1640625" style="503" customWidth="1"/>
    <col min="6662" max="6911" width="9.33203125" style="503"/>
    <col min="6912" max="6912" width="5.83203125" style="503" customWidth="1"/>
    <col min="6913" max="6913" width="53.33203125" style="503" customWidth="1"/>
    <col min="6914" max="6914" width="7.5" style="503" customWidth="1"/>
    <col min="6915" max="6915" width="13.6640625" style="503" bestFit="1" customWidth="1"/>
    <col min="6916" max="6916" width="12.33203125" style="503" customWidth="1"/>
    <col min="6917" max="6917" width="15.1640625" style="503" customWidth="1"/>
    <col min="6918" max="7167" width="9.33203125" style="503"/>
    <col min="7168" max="7168" width="5.83203125" style="503" customWidth="1"/>
    <col min="7169" max="7169" width="53.33203125" style="503" customWidth="1"/>
    <col min="7170" max="7170" width="7.5" style="503" customWidth="1"/>
    <col min="7171" max="7171" width="13.6640625" style="503" bestFit="1" customWidth="1"/>
    <col min="7172" max="7172" width="12.33203125" style="503" customWidth="1"/>
    <col min="7173" max="7173" width="15.1640625" style="503" customWidth="1"/>
    <col min="7174" max="7423" width="9.33203125" style="503"/>
    <col min="7424" max="7424" width="5.83203125" style="503" customWidth="1"/>
    <col min="7425" max="7425" width="53.33203125" style="503" customWidth="1"/>
    <col min="7426" max="7426" width="7.5" style="503" customWidth="1"/>
    <col min="7427" max="7427" width="13.6640625" style="503" bestFit="1" customWidth="1"/>
    <col min="7428" max="7428" width="12.33203125" style="503" customWidth="1"/>
    <col min="7429" max="7429" width="15.1640625" style="503" customWidth="1"/>
    <col min="7430" max="7679" width="9.33203125" style="503"/>
    <col min="7680" max="7680" width="5.83203125" style="503" customWidth="1"/>
    <col min="7681" max="7681" width="53.33203125" style="503" customWidth="1"/>
    <col min="7682" max="7682" width="7.5" style="503" customWidth="1"/>
    <col min="7683" max="7683" width="13.6640625" style="503" bestFit="1" customWidth="1"/>
    <col min="7684" max="7684" width="12.33203125" style="503" customWidth="1"/>
    <col min="7685" max="7685" width="15.1640625" style="503" customWidth="1"/>
    <col min="7686" max="7935" width="9.33203125" style="503"/>
    <col min="7936" max="7936" width="5.83203125" style="503" customWidth="1"/>
    <col min="7937" max="7937" width="53.33203125" style="503" customWidth="1"/>
    <col min="7938" max="7938" width="7.5" style="503" customWidth="1"/>
    <col min="7939" max="7939" width="13.6640625" style="503" bestFit="1" customWidth="1"/>
    <col min="7940" max="7940" width="12.33203125" style="503" customWidth="1"/>
    <col min="7941" max="7941" width="15.1640625" style="503" customWidth="1"/>
    <col min="7942" max="8191" width="9.33203125" style="503"/>
    <col min="8192" max="8192" width="5.83203125" style="503" customWidth="1"/>
    <col min="8193" max="8193" width="53.33203125" style="503" customWidth="1"/>
    <col min="8194" max="8194" width="7.5" style="503" customWidth="1"/>
    <col min="8195" max="8195" width="13.6640625" style="503" bestFit="1" customWidth="1"/>
    <col min="8196" max="8196" width="12.33203125" style="503" customWidth="1"/>
    <col min="8197" max="8197" width="15.1640625" style="503" customWidth="1"/>
    <col min="8198" max="8447" width="9.33203125" style="503"/>
    <col min="8448" max="8448" width="5.83203125" style="503" customWidth="1"/>
    <col min="8449" max="8449" width="53.33203125" style="503" customWidth="1"/>
    <col min="8450" max="8450" width="7.5" style="503" customWidth="1"/>
    <col min="8451" max="8451" width="13.6640625" style="503" bestFit="1" customWidth="1"/>
    <col min="8452" max="8452" width="12.33203125" style="503" customWidth="1"/>
    <col min="8453" max="8453" width="15.1640625" style="503" customWidth="1"/>
    <col min="8454" max="8703" width="9.33203125" style="503"/>
    <col min="8704" max="8704" width="5.83203125" style="503" customWidth="1"/>
    <col min="8705" max="8705" width="53.33203125" style="503" customWidth="1"/>
    <col min="8706" max="8706" width="7.5" style="503" customWidth="1"/>
    <col min="8707" max="8707" width="13.6640625" style="503" bestFit="1" customWidth="1"/>
    <col min="8708" max="8708" width="12.33203125" style="503" customWidth="1"/>
    <col min="8709" max="8709" width="15.1640625" style="503" customWidth="1"/>
    <col min="8710" max="8959" width="9.33203125" style="503"/>
    <col min="8960" max="8960" width="5.83203125" style="503" customWidth="1"/>
    <col min="8961" max="8961" width="53.33203125" style="503" customWidth="1"/>
    <col min="8962" max="8962" width="7.5" style="503" customWidth="1"/>
    <col min="8963" max="8963" width="13.6640625" style="503" bestFit="1" customWidth="1"/>
    <col min="8964" max="8964" width="12.33203125" style="503" customWidth="1"/>
    <col min="8965" max="8965" width="15.1640625" style="503" customWidth="1"/>
    <col min="8966" max="9215" width="9.33203125" style="503"/>
    <col min="9216" max="9216" width="5.83203125" style="503" customWidth="1"/>
    <col min="9217" max="9217" width="53.33203125" style="503" customWidth="1"/>
    <col min="9218" max="9218" width="7.5" style="503" customWidth="1"/>
    <col min="9219" max="9219" width="13.6640625" style="503" bestFit="1" customWidth="1"/>
    <col min="9220" max="9220" width="12.33203125" style="503" customWidth="1"/>
    <col min="9221" max="9221" width="15.1640625" style="503" customWidth="1"/>
    <col min="9222" max="9471" width="9.33203125" style="503"/>
    <col min="9472" max="9472" width="5.83203125" style="503" customWidth="1"/>
    <col min="9473" max="9473" width="53.33203125" style="503" customWidth="1"/>
    <col min="9474" max="9474" width="7.5" style="503" customWidth="1"/>
    <col min="9475" max="9475" width="13.6640625" style="503" bestFit="1" customWidth="1"/>
    <col min="9476" max="9476" width="12.33203125" style="503" customWidth="1"/>
    <col min="9477" max="9477" width="15.1640625" style="503" customWidth="1"/>
    <col min="9478" max="9727" width="9.33203125" style="503"/>
    <col min="9728" max="9728" width="5.83203125" style="503" customWidth="1"/>
    <col min="9729" max="9729" width="53.33203125" style="503" customWidth="1"/>
    <col min="9730" max="9730" width="7.5" style="503" customWidth="1"/>
    <col min="9731" max="9731" width="13.6640625" style="503" bestFit="1" customWidth="1"/>
    <col min="9732" max="9732" width="12.33203125" style="503" customWidth="1"/>
    <col min="9733" max="9733" width="15.1640625" style="503" customWidth="1"/>
    <col min="9734" max="9983" width="9.33203125" style="503"/>
    <col min="9984" max="9984" width="5.83203125" style="503" customWidth="1"/>
    <col min="9985" max="9985" width="53.33203125" style="503" customWidth="1"/>
    <col min="9986" max="9986" width="7.5" style="503" customWidth="1"/>
    <col min="9987" max="9987" width="13.6640625" style="503" bestFit="1" customWidth="1"/>
    <col min="9988" max="9988" width="12.33203125" style="503" customWidth="1"/>
    <col min="9989" max="9989" width="15.1640625" style="503" customWidth="1"/>
    <col min="9990" max="10239" width="9.33203125" style="503"/>
    <col min="10240" max="10240" width="5.83203125" style="503" customWidth="1"/>
    <col min="10241" max="10241" width="53.33203125" style="503" customWidth="1"/>
    <col min="10242" max="10242" width="7.5" style="503" customWidth="1"/>
    <col min="10243" max="10243" width="13.6640625" style="503" bestFit="1" customWidth="1"/>
    <col min="10244" max="10244" width="12.33203125" style="503" customWidth="1"/>
    <col min="10245" max="10245" width="15.1640625" style="503" customWidth="1"/>
    <col min="10246" max="10495" width="9.33203125" style="503"/>
    <col min="10496" max="10496" width="5.83203125" style="503" customWidth="1"/>
    <col min="10497" max="10497" width="53.33203125" style="503" customWidth="1"/>
    <col min="10498" max="10498" width="7.5" style="503" customWidth="1"/>
    <col min="10499" max="10499" width="13.6640625" style="503" bestFit="1" customWidth="1"/>
    <col min="10500" max="10500" width="12.33203125" style="503" customWidth="1"/>
    <col min="10501" max="10501" width="15.1640625" style="503" customWidth="1"/>
    <col min="10502" max="10751" width="9.33203125" style="503"/>
    <col min="10752" max="10752" width="5.83203125" style="503" customWidth="1"/>
    <col min="10753" max="10753" width="53.33203125" style="503" customWidth="1"/>
    <col min="10754" max="10754" width="7.5" style="503" customWidth="1"/>
    <col min="10755" max="10755" width="13.6640625" style="503" bestFit="1" customWidth="1"/>
    <col min="10756" max="10756" width="12.33203125" style="503" customWidth="1"/>
    <col min="10757" max="10757" width="15.1640625" style="503" customWidth="1"/>
    <col min="10758" max="11007" width="9.33203125" style="503"/>
    <col min="11008" max="11008" width="5.83203125" style="503" customWidth="1"/>
    <col min="11009" max="11009" width="53.33203125" style="503" customWidth="1"/>
    <col min="11010" max="11010" width="7.5" style="503" customWidth="1"/>
    <col min="11011" max="11011" width="13.6640625" style="503" bestFit="1" customWidth="1"/>
    <col min="11012" max="11012" width="12.33203125" style="503" customWidth="1"/>
    <col min="11013" max="11013" width="15.1640625" style="503" customWidth="1"/>
    <col min="11014" max="11263" width="9.33203125" style="503"/>
    <col min="11264" max="11264" width="5.83203125" style="503" customWidth="1"/>
    <col min="11265" max="11265" width="53.33203125" style="503" customWidth="1"/>
    <col min="11266" max="11266" width="7.5" style="503" customWidth="1"/>
    <col min="11267" max="11267" width="13.6640625" style="503" bestFit="1" customWidth="1"/>
    <col min="11268" max="11268" width="12.33203125" style="503" customWidth="1"/>
    <col min="11269" max="11269" width="15.1640625" style="503" customWidth="1"/>
    <col min="11270" max="11519" width="9.33203125" style="503"/>
    <col min="11520" max="11520" width="5.83203125" style="503" customWidth="1"/>
    <col min="11521" max="11521" width="53.33203125" style="503" customWidth="1"/>
    <col min="11522" max="11522" width="7.5" style="503" customWidth="1"/>
    <col min="11523" max="11523" width="13.6640625" style="503" bestFit="1" customWidth="1"/>
    <col min="11524" max="11524" width="12.33203125" style="503" customWidth="1"/>
    <col min="11525" max="11525" width="15.1640625" style="503" customWidth="1"/>
    <col min="11526" max="11775" width="9.33203125" style="503"/>
    <col min="11776" max="11776" width="5.83203125" style="503" customWidth="1"/>
    <col min="11777" max="11777" width="53.33203125" style="503" customWidth="1"/>
    <col min="11778" max="11778" width="7.5" style="503" customWidth="1"/>
    <col min="11779" max="11779" width="13.6640625" style="503" bestFit="1" customWidth="1"/>
    <col min="11780" max="11780" width="12.33203125" style="503" customWidth="1"/>
    <col min="11781" max="11781" width="15.1640625" style="503" customWidth="1"/>
    <col min="11782" max="12031" width="9.33203125" style="503"/>
    <col min="12032" max="12032" width="5.83203125" style="503" customWidth="1"/>
    <col min="12033" max="12033" width="53.33203125" style="503" customWidth="1"/>
    <col min="12034" max="12034" width="7.5" style="503" customWidth="1"/>
    <col min="12035" max="12035" width="13.6640625" style="503" bestFit="1" customWidth="1"/>
    <col min="12036" max="12036" width="12.33203125" style="503" customWidth="1"/>
    <col min="12037" max="12037" width="15.1640625" style="503" customWidth="1"/>
    <col min="12038" max="12287" width="9.33203125" style="503"/>
    <col min="12288" max="12288" width="5.83203125" style="503" customWidth="1"/>
    <col min="12289" max="12289" width="53.33203125" style="503" customWidth="1"/>
    <col min="12290" max="12290" width="7.5" style="503" customWidth="1"/>
    <col min="12291" max="12291" width="13.6640625" style="503" bestFit="1" customWidth="1"/>
    <col min="12292" max="12292" width="12.33203125" style="503" customWidth="1"/>
    <col min="12293" max="12293" width="15.1640625" style="503" customWidth="1"/>
    <col min="12294" max="12543" width="9.33203125" style="503"/>
    <col min="12544" max="12544" width="5.83203125" style="503" customWidth="1"/>
    <col min="12545" max="12545" width="53.33203125" style="503" customWidth="1"/>
    <col min="12546" max="12546" width="7.5" style="503" customWidth="1"/>
    <col min="12547" max="12547" width="13.6640625" style="503" bestFit="1" customWidth="1"/>
    <col min="12548" max="12548" width="12.33203125" style="503" customWidth="1"/>
    <col min="12549" max="12549" width="15.1640625" style="503" customWidth="1"/>
    <col min="12550" max="12799" width="9.33203125" style="503"/>
    <col min="12800" max="12800" width="5.83203125" style="503" customWidth="1"/>
    <col min="12801" max="12801" width="53.33203125" style="503" customWidth="1"/>
    <col min="12802" max="12802" width="7.5" style="503" customWidth="1"/>
    <col min="12803" max="12803" width="13.6640625" style="503" bestFit="1" customWidth="1"/>
    <col min="12804" max="12804" width="12.33203125" style="503" customWidth="1"/>
    <col min="12805" max="12805" width="15.1640625" style="503" customWidth="1"/>
    <col min="12806" max="13055" width="9.33203125" style="503"/>
    <col min="13056" max="13056" width="5.83203125" style="503" customWidth="1"/>
    <col min="13057" max="13057" width="53.33203125" style="503" customWidth="1"/>
    <col min="13058" max="13058" width="7.5" style="503" customWidth="1"/>
    <col min="13059" max="13059" width="13.6640625" style="503" bestFit="1" customWidth="1"/>
    <col min="13060" max="13060" width="12.33203125" style="503" customWidth="1"/>
    <col min="13061" max="13061" width="15.1640625" style="503" customWidth="1"/>
    <col min="13062" max="13311" width="9.33203125" style="503"/>
    <col min="13312" max="13312" width="5.83203125" style="503" customWidth="1"/>
    <col min="13313" max="13313" width="53.33203125" style="503" customWidth="1"/>
    <col min="13314" max="13314" width="7.5" style="503" customWidth="1"/>
    <col min="13315" max="13315" width="13.6640625" style="503" bestFit="1" customWidth="1"/>
    <col min="13316" max="13316" width="12.33203125" style="503" customWidth="1"/>
    <col min="13317" max="13317" width="15.1640625" style="503" customWidth="1"/>
    <col min="13318" max="13567" width="9.33203125" style="503"/>
    <col min="13568" max="13568" width="5.83203125" style="503" customWidth="1"/>
    <col min="13569" max="13569" width="53.33203125" style="503" customWidth="1"/>
    <col min="13570" max="13570" width="7.5" style="503" customWidth="1"/>
    <col min="13571" max="13571" width="13.6640625" style="503" bestFit="1" customWidth="1"/>
    <col min="13572" max="13572" width="12.33203125" style="503" customWidth="1"/>
    <col min="13573" max="13573" width="15.1640625" style="503" customWidth="1"/>
    <col min="13574" max="13823" width="9.33203125" style="503"/>
    <col min="13824" max="13824" width="5.83203125" style="503" customWidth="1"/>
    <col min="13825" max="13825" width="53.33203125" style="503" customWidth="1"/>
    <col min="13826" max="13826" width="7.5" style="503" customWidth="1"/>
    <col min="13827" max="13827" width="13.6640625" style="503" bestFit="1" customWidth="1"/>
    <col min="13828" max="13828" width="12.33203125" style="503" customWidth="1"/>
    <col min="13829" max="13829" width="15.1640625" style="503" customWidth="1"/>
    <col min="13830" max="14079" width="9.33203125" style="503"/>
    <col min="14080" max="14080" width="5.83203125" style="503" customWidth="1"/>
    <col min="14081" max="14081" width="53.33203125" style="503" customWidth="1"/>
    <col min="14082" max="14082" width="7.5" style="503" customWidth="1"/>
    <col min="14083" max="14083" width="13.6640625" style="503" bestFit="1" customWidth="1"/>
    <col min="14084" max="14084" width="12.33203125" style="503" customWidth="1"/>
    <col min="14085" max="14085" width="15.1640625" style="503" customWidth="1"/>
    <col min="14086" max="14335" width="9.33203125" style="503"/>
    <col min="14336" max="14336" width="5.83203125" style="503" customWidth="1"/>
    <col min="14337" max="14337" width="53.33203125" style="503" customWidth="1"/>
    <col min="14338" max="14338" width="7.5" style="503" customWidth="1"/>
    <col min="14339" max="14339" width="13.6640625" style="503" bestFit="1" customWidth="1"/>
    <col min="14340" max="14340" width="12.33203125" style="503" customWidth="1"/>
    <col min="14341" max="14341" width="15.1640625" style="503" customWidth="1"/>
    <col min="14342" max="14591" width="9.33203125" style="503"/>
    <col min="14592" max="14592" width="5.83203125" style="503" customWidth="1"/>
    <col min="14593" max="14593" width="53.33203125" style="503" customWidth="1"/>
    <col min="14594" max="14594" width="7.5" style="503" customWidth="1"/>
    <col min="14595" max="14595" width="13.6640625" style="503" bestFit="1" customWidth="1"/>
    <col min="14596" max="14596" width="12.33203125" style="503" customWidth="1"/>
    <col min="14597" max="14597" width="15.1640625" style="503" customWidth="1"/>
    <col min="14598" max="14847" width="9.33203125" style="503"/>
    <col min="14848" max="14848" width="5.83203125" style="503" customWidth="1"/>
    <col min="14849" max="14849" width="53.33203125" style="503" customWidth="1"/>
    <col min="14850" max="14850" width="7.5" style="503" customWidth="1"/>
    <col min="14851" max="14851" width="13.6640625" style="503" bestFit="1" customWidth="1"/>
    <col min="14852" max="14852" width="12.33203125" style="503" customWidth="1"/>
    <col min="14853" max="14853" width="15.1640625" style="503" customWidth="1"/>
    <col min="14854" max="15103" width="9.33203125" style="503"/>
    <col min="15104" max="15104" width="5.83203125" style="503" customWidth="1"/>
    <col min="15105" max="15105" width="53.33203125" style="503" customWidth="1"/>
    <col min="15106" max="15106" width="7.5" style="503" customWidth="1"/>
    <col min="15107" max="15107" width="13.6640625" style="503" bestFit="1" customWidth="1"/>
    <col min="15108" max="15108" width="12.33203125" style="503" customWidth="1"/>
    <col min="15109" max="15109" width="15.1640625" style="503" customWidth="1"/>
    <col min="15110" max="15359" width="9.33203125" style="503"/>
    <col min="15360" max="15360" width="5.83203125" style="503" customWidth="1"/>
    <col min="15361" max="15361" width="53.33203125" style="503" customWidth="1"/>
    <col min="15362" max="15362" width="7.5" style="503" customWidth="1"/>
    <col min="15363" max="15363" width="13.6640625" style="503" bestFit="1" customWidth="1"/>
    <col min="15364" max="15364" width="12.33203125" style="503" customWidth="1"/>
    <col min="15365" max="15365" width="15.1640625" style="503" customWidth="1"/>
    <col min="15366" max="15615" width="9.33203125" style="503"/>
    <col min="15616" max="15616" width="5.83203125" style="503" customWidth="1"/>
    <col min="15617" max="15617" width="53.33203125" style="503" customWidth="1"/>
    <col min="15618" max="15618" width="7.5" style="503" customWidth="1"/>
    <col min="15619" max="15619" width="13.6640625" style="503" bestFit="1" customWidth="1"/>
    <col min="15620" max="15620" width="12.33203125" style="503" customWidth="1"/>
    <col min="15621" max="15621" width="15.1640625" style="503" customWidth="1"/>
    <col min="15622" max="15871" width="9.33203125" style="503"/>
    <col min="15872" max="15872" width="5.83203125" style="503" customWidth="1"/>
    <col min="15873" max="15873" width="53.33203125" style="503" customWidth="1"/>
    <col min="15874" max="15874" width="7.5" style="503" customWidth="1"/>
    <col min="15875" max="15875" width="13.6640625" style="503" bestFit="1" customWidth="1"/>
    <col min="15876" max="15876" width="12.33203125" style="503" customWidth="1"/>
    <col min="15877" max="15877" width="15.1640625" style="503" customWidth="1"/>
    <col min="15878" max="16127" width="9.33203125" style="503"/>
    <col min="16128" max="16128" width="5.83203125" style="503" customWidth="1"/>
    <col min="16129" max="16129" width="53.33203125" style="503" customWidth="1"/>
    <col min="16130" max="16130" width="7.5" style="503" customWidth="1"/>
    <col min="16131" max="16131" width="13.6640625" style="503" bestFit="1" customWidth="1"/>
    <col min="16132" max="16132" width="12.33203125" style="503" customWidth="1"/>
    <col min="16133" max="16133" width="15.1640625" style="503" customWidth="1"/>
    <col min="16134" max="16384" width="9.33203125" style="503"/>
  </cols>
  <sheetData>
    <row r="1" spans="1:5">
      <c r="D1" s="38"/>
      <c r="E1" s="502" t="str">
        <f>'Exhibit No._(CTM-2), Pg. 10-30'!BG2</f>
        <v>Exhibit No.__ (CTM-2) revised per Bench Request No. 26</v>
      </c>
    </row>
    <row r="2" spans="1:5" ht="13.5" thickBot="1">
      <c r="D2" s="38"/>
      <c r="E2" s="502" t="str">
        <f>'Exhibit No._(CTM-2), Pg. 10-30'!BG3</f>
        <v>Dockets UE-111048/UG-111049</v>
      </c>
    </row>
    <row r="3" spans="1:5" ht="14.25" thickTop="1" thickBot="1">
      <c r="A3" s="37" t="s">
        <v>18</v>
      </c>
      <c r="B3" s="37"/>
      <c r="E3" s="504" t="s">
        <v>985</v>
      </c>
    </row>
    <row r="4" spans="1:5" ht="13.5" thickTop="1">
      <c r="B4" s="2946" t="str">
        <f>'Exhibit No._(CTM-2), Pg. 10-30'!BD5</f>
        <v>Puget Sound Energy - Gas</v>
      </c>
      <c r="C4" s="2946"/>
      <c r="D4" s="2946"/>
    </row>
    <row r="5" spans="1:5">
      <c r="B5" s="2946" t="str">
        <f>'Exhibit No._(CTM-2), Pg. 10-30'!BD6</f>
        <v>EXCISE TAXES</v>
      </c>
      <c r="C5" s="2946"/>
      <c r="D5" s="2946"/>
    </row>
    <row r="6" spans="1:5">
      <c r="B6" s="2946" t="str">
        <f>'Exhibit No._(CTM-2), Pg. 10-30'!BD7</f>
        <v>For the Twelve Months Ended December 31, 2010</v>
      </c>
      <c r="C6" s="2946"/>
      <c r="D6" s="2946"/>
    </row>
    <row r="7" spans="1:5">
      <c r="B7" s="2946" t="str">
        <f>'Exhibit No._(CTM-2), Pg. 10-30'!BD8</f>
        <v>Adjustment Number - 6.12</v>
      </c>
      <c r="C7" s="2946"/>
      <c r="D7" s="2946"/>
    </row>
    <row r="8" spans="1:5" ht="15">
      <c r="A8" s="37"/>
      <c r="B8" s="505"/>
      <c r="C8" s="506"/>
      <c r="D8" s="507"/>
      <c r="E8" s="507"/>
    </row>
    <row r="9" spans="1:5" ht="15">
      <c r="A9" s="39" t="s">
        <v>24</v>
      </c>
      <c r="B9" s="37"/>
      <c r="C9" s="508"/>
      <c r="D9" s="507"/>
      <c r="E9" s="507"/>
    </row>
    <row r="10" spans="1:5">
      <c r="A10" s="40" t="s">
        <v>38</v>
      </c>
      <c r="B10" s="509" t="s">
        <v>39</v>
      </c>
      <c r="C10" s="510" t="s">
        <v>43</v>
      </c>
      <c r="D10" s="511" t="s">
        <v>40</v>
      </c>
      <c r="E10" s="511" t="s">
        <v>42</v>
      </c>
    </row>
    <row r="11" spans="1:5" ht="15">
      <c r="A11" s="38"/>
      <c r="B11" s="38"/>
      <c r="C11" s="506"/>
      <c r="D11" s="507"/>
      <c r="E11" s="507"/>
    </row>
    <row r="12" spans="1:5">
      <c r="A12" s="23">
        <v>1</v>
      </c>
      <c r="B12" s="512" t="s">
        <v>453</v>
      </c>
      <c r="C12" s="14">
        <f>'6.12G - Excise Taxes ''10'!I98</f>
        <v>38656212.872784995</v>
      </c>
      <c r="D12" s="206">
        <f>'6.12G - Excise Taxes ''10'!M98</f>
        <v>38731991.745145999</v>
      </c>
      <c r="E12" s="513">
        <f>D12-C12</f>
        <v>75778.872361004353</v>
      </c>
    </row>
    <row r="13" spans="1:5">
      <c r="A13" s="23">
        <v>2</v>
      </c>
      <c r="B13" s="18" t="s">
        <v>987</v>
      </c>
      <c r="C13" s="15">
        <f>'6.12G - UTC Paid Annual Fee ''10'!H29</f>
        <v>2040814</v>
      </c>
      <c r="D13" s="514">
        <f>'6.12G - UTC Annual Filing Fee'!E28</f>
        <v>2040813.7424999999</v>
      </c>
      <c r="E13" s="515">
        <f>D13-C13</f>
        <v>-0.25750000006519258</v>
      </c>
    </row>
    <row r="14" spans="1:5">
      <c r="A14" s="23">
        <v>3</v>
      </c>
      <c r="B14" s="516" t="s">
        <v>2336</v>
      </c>
      <c r="C14" s="517">
        <f>C12+C13</f>
        <v>40697026.872784995</v>
      </c>
      <c r="D14" s="517">
        <f>D12+D13</f>
        <v>40772805.487645999</v>
      </c>
      <c r="E14" s="517">
        <f>E12+E13</f>
        <v>75778.614861004287</v>
      </c>
    </row>
    <row r="15" spans="1:5" ht="15">
      <c r="A15" s="23">
        <v>4</v>
      </c>
      <c r="B15" s="516"/>
      <c r="C15" s="506"/>
      <c r="D15" s="518"/>
      <c r="E15" s="518"/>
    </row>
    <row r="16" spans="1:5" ht="15">
      <c r="A16" s="23">
        <v>5</v>
      </c>
      <c r="B16" s="36" t="s">
        <v>2337</v>
      </c>
      <c r="C16" s="506"/>
      <c r="D16" s="518"/>
      <c r="E16" s="22">
        <f>E14</f>
        <v>75778.614861004287</v>
      </c>
    </row>
    <row r="17" spans="1:11">
      <c r="A17" s="23">
        <v>6</v>
      </c>
      <c r="B17" s="36" t="s">
        <v>67</v>
      </c>
      <c r="C17" s="506"/>
      <c r="D17" s="4">
        <f>'Exhibit No._(CTM-2), Pg. 32-34'!M20</f>
        <v>0.35</v>
      </c>
      <c r="E17" s="6">
        <f>ROUND(-E16*D17,0)</f>
        <v>-26523</v>
      </c>
    </row>
    <row r="18" spans="1:11" ht="15.75" thickBot="1">
      <c r="A18" s="23">
        <v>7</v>
      </c>
      <c r="B18" s="36" t="s">
        <v>74</v>
      </c>
      <c r="C18" s="506"/>
      <c r="D18" s="518"/>
      <c r="E18" s="47">
        <f>-E16-E17</f>
        <v>-49255.614861004287</v>
      </c>
    </row>
    <row r="19" spans="1:11" ht="15.75" thickTop="1">
      <c r="A19" s="46"/>
      <c r="C19" s="506"/>
      <c r="D19" s="507"/>
      <c r="E19" s="507"/>
    </row>
    <row r="20" spans="1:11" ht="15">
      <c r="A20" s="46"/>
      <c r="C20" s="506"/>
      <c r="D20" s="507"/>
      <c r="E20" s="507"/>
    </row>
    <row r="21" spans="1:11" ht="15">
      <c r="A21" s="519"/>
      <c r="B21" s="519"/>
      <c r="C21" s="506"/>
      <c r="D21" s="507"/>
      <c r="E21" s="507"/>
      <c r="I21" s="2154"/>
      <c r="J21" s="2156"/>
      <c r="K21" s="2155"/>
    </row>
    <row r="22" spans="1:11" ht="15">
      <c r="A22" s="520"/>
      <c r="B22" s="520"/>
      <c r="C22" s="506"/>
      <c r="D22" s="507"/>
      <c r="E22" s="507"/>
      <c r="K22" s="2155"/>
    </row>
    <row r="23" spans="1:11">
      <c r="A23" s="46"/>
      <c r="K23" s="2155"/>
    </row>
    <row r="24" spans="1:11">
      <c r="A24" s="5"/>
      <c r="B24" s="5"/>
    </row>
    <row r="28" spans="1:11">
      <c r="A28" s="38"/>
      <c r="B28" s="38"/>
    </row>
    <row r="29" spans="1:11">
      <c r="A29" s="521"/>
      <c r="B29" s="521"/>
    </row>
    <row r="30" spans="1:11">
      <c r="A30" s="522"/>
      <c r="B30" s="522"/>
    </row>
    <row r="31" spans="1:11">
      <c r="A31" s="523"/>
      <c r="B31" s="523"/>
    </row>
    <row r="32" spans="1:11">
      <c r="A32" s="523"/>
      <c r="B32" s="523"/>
    </row>
    <row r="33" spans="1:2">
      <c r="A33" s="524"/>
      <c r="B33" s="524"/>
    </row>
    <row r="34" spans="1:2">
      <c r="A34" s="525"/>
      <c r="B34" s="525"/>
    </row>
    <row r="35" spans="1:2">
      <c r="A35" s="525"/>
      <c r="B35" s="525"/>
    </row>
    <row r="36" spans="1:2">
      <c r="A36" s="525"/>
      <c r="B36" s="525"/>
    </row>
    <row r="37" spans="1:2">
      <c r="A37" s="525"/>
      <c r="B37" s="525"/>
    </row>
    <row r="38" spans="1:2">
      <c r="A38" s="525"/>
      <c r="B38" s="525"/>
    </row>
    <row r="39" spans="1:2">
      <c r="A39" s="525"/>
      <c r="B39" s="525"/>
    </row>
    <row r="53" spans="1:1">
      <c r="A53" s="526"/>
    </row>
  </sheetData>
  <mergeCells count="4">
    <mergeCell ref="B4:D4"/>
    <mergeCell ref="B5:D5"/>
    <mergeCell ref="B6:D6"/>
    <mergeCell ref="B7:D7"/>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AS29"/>
  <sheetViews>
    <sheetView workbookViewId="0">
      <selection activeCell="E30" sqref="E30"/>
    </sheetView>
  </sheetViews>
  <sheetFormatPr defaultRowHeight="15"/>
  <cols>
    <col min="1" max="1" width="52.33203125" style="529" customWidth="1"/>
    <col min="2" max="2" width="11.6640625" style="529" customWidth="1"/>
    <col min="3" max="3" width="26.6640625" style="529" bestFit="1" customWidth="1"/>
    <col min="4" max="4" width="4.1640625" style="529" customWidth="1"/>
    <col min="5" max="5" width="26.6640625" style="529" bestFit="1" customWidth="1"/>
    <col min="6" max="6" width="9.33203125" style="529"/>
    <col min="7" max="7" width="12.83203125" style="529" bestFit="1" customWidth="1"/>
    <col min="8" max="8" width="15.1640625" style="529" bestFit="1" customWidth="1"/>
    <col min="9" max="256" width="9.33203125" style="529"/>
    <col min="257" max="257" width="52.33203125" style="529" customWidth="1"/>
    <col min="258" max="258" width="11.6640625" style="529" customWidth="1"/>
    <col min="259" max="259" width="26.6640625" style="529" bestFit="1" customWidth="1"/>
    <col min="260" max="260" width="4.1640625" style="529" customWidth="1"/>
    <col min="261" max="261" width="26.6640625" style="529" bestFit="1" customWidth="1"/>
    <col min="262" max="262" width="9.33203125" style="529"/>
    <col min="263" max="263" width="12.83203125" style="529" bestFit="1" customWidth="1"/>
    <col min="264" max="264" width="15.1640625" style="529" bestFit="1" customWidth="1"/>
    <col min="265" max="512" width="9.33203125" style="529"/>
    <col min="513" max="513" width="52.33203125" style="529" customWidth="1"/>
    <col min="514" max="514" width="11.6640625" style="529" customWidth="1"/>
    <col min="515" max="515" width="26.6640625" style="529" bestFit="1" customWidth="1"/>
    <col min="516" max="516" width="4.1640625" style="529" customWidth="1"/>
    <col min="517" max="517" width="26.6640625" style="529" bestFit="1" customWidth="1"/>
    <col min="518" max="518" width="9.33203125" style="529"/>
    <col min="519" max="519" width="12.83203125" style="529" bestFit="1" customWidth="1"/>
    <col min="520" max="520" width="15.1640625" style="529" bestFit="1" customWidth="1"/>
    <col min="521" max="768" width="9.33203125" style="529"/>
    <col min="769" max="769" width="52.33203125" style="529" customWidth="1"/>
    <col min="770" max="770" width="11.6640625" style="529" customWidth="1"/>
    <col min="771" max="771" width="26.6640625" style="529" bestFit="1" customWidth="1"/>
    <col min="772" max="772" width="4.1640625" style="529" customWidth="1"/>
    <col min="773" max="773" width="26.6640625" style="529" bestFit="1" customWidth="1"/>
    <col min="774" max="774" width="9.33203125" style="529"/>
    <col min="775" max="775" width="12.83203125" style="529" bestFit="1" customWidth="1"/>
    <col min="776" max="776" width="15.1640625" style="529" bestFit="1" customWidth="1"/>
    <col min="777" max="1024" width="9.33203125" style="529"/>
    <col min="1025" max="1025" width="52.33203125" style="529" customWidth="1"/>
    <col min="1026" max="1026" width="11.6640625" style="529" customWidth="1"/>
    <col min="1027" max="1027" width="26.6640625" style="529" bestFit="1" customWidth="1"/>
    <col min="1028" max="1028" width="4.1640625" style="529" customWidth="1"/>
    <col min="1029" max="1029" width="26.6640625" style="529" bestFit="1" customWidth="1"/>
    <col min="1030" max="1030" width="9.33203125" style="529"/>
    <col min="1031" max="1031" width="12.83203125" style="529" bestFit="1" customWidth="1"/>
    <col min="1032" max="1032" width="15.1640625" style="529" bestFit="1" customWidth="1"/>
    <col min="1033" max="1280" width="9.33203125" style="529"/>
    <col min="1281" max="1281" width="52.33203125" style="529" customWidth="1"/>
    <col min="1282" max="1282" width="11.6640625" style="529" customWidth="1"/>
    <col min="1283" max="1283" width="26.6640625" style="529" bestFit="1" customWidth="1"/>
    <col min="1284" max="1284" width="4.1640625" style="529" customWidth="1"/>
    <col min="1285" max="1285" width="26.6640625" style="529" bestFit="1" customWidth="1"/>
    <col min="1286" max="1286" width="9.33203125" style="529"/>
    <col min="1287" max="1287" width="12.83203125" style="529" bestFit="1" customWidth="1"/>
    <col min="1288" max="1288" width="15.1640625" style="529" bestFit="1" customWidth="1"/>
    <col min="1289" max="1536" width="9.33203125" style="529"/>
    <col min="1537" max="1537" width="52.33203125" style="529" customWidth="1"/>
    <col min="1538" max="1538" width="11.6640625" style="529" customWidth="1"/>
    <col min="1539" max="1539" width="26.6640625" style="529" bestFit="1" customWidth="1"/>
    <col min="1540" max="1540" width="4.1640625" style="529" customWidth="1"/>
    <col min="1541" max="1541" width="26.6640625" style="529" bestFit="1" customWidth="1"/>
    <col min="1542" max="1542" width="9.33203125" style="529"/>
    <col min="1543" max="1543" width="12.83203125" style="529" bestFit="1" customWidth="1"/>
    <col min="1544" max="1544" width="15.1640625" style="529" bestFit="1" customWidth="1"/>
    <col min="1545" max="1792" width="9.33203125" style="529"/>
    <col min="1793" max="1793" width="52.33203125" style="529" customWidth="1"/>
    <col min="1794" max="1794" width="11.6640625" style="529" customWidth="1"/>
    <col min="1795" max="1795" width="26.6640625" style="529" bestFit="1" customWidth="1"/>
    <col min="1796" max="1796" width="4.1640625" style="529" customWidth="1"/>
    <col min="1797" max="1797" width="26.6640625" style="529" bestFit="1" customWidth="1"/>
    <col min="1798" max="1798" width="9.33203125" style="529"/>
    <col min="1799" max="1799" width="12.83203125" style="529" bestFit="1" customWidth="1"/>
    <col min="1800" max="1800" width="15.1640625" style="529" bestFit="1" customWidth="1"/>
    <col min="1801" max="2048" width="9.33203125" style="529"/>
    <col min="2049" max="2049" width="52.33203125" style="529" customWidth="1"/>
    <col min="2050" max="2050" width="11.6640625" style="529" customWidth="1"/>
    <col min="2051" max="2051" width="26.6640625" style="529" bestFit="1" customWidth="1"/>
    <col min="2052" max="2052" width="4.1640625" style="529" customWidth="1"/>
    <col min="2053" max="2053" width="26.6640625" style="529" bestFit="1" customWidth="1"/>
    <col min="2054" max="2054" width="9.33203125" style="529"/>
    <col min="2055" max="2055" width="12.83203125" style="529" bestFit="1" customWidth="1"/>
    <col min="2056" max="2056" width="15.1640625" style="529" bestFit="1" customWidth="1"/>
    <col min="2057" max="2304" width="9.33203125" style="529"/>
    <col min="2305" max="2305" width="52.33203125" style="529" customWidth="1"/>
    <col min="2306" max="2306" width="11.6640625" style="529" customWidth="1"/>
    <col min="2307" max="2307" width="26.6640625" style="529" bestFit="1" customWidth="1"/>
    <col min="2308" max="2308" width="4.1640625" style="529" customWidth="1"/>
    <col min="2309" max="2309" width="26.6640625" style="529" bestFit="1" customWidth="1"/>
    <col min="2310" max="2310" width="9.33203125" style="529"/>
    <col min="2311" max="2311" width="12.83203125" style="529" bestFit="1" customWidth="1"/>
    <col min="2312" max="2312" width="15.1640625" style="529" bestFit="1" customWidth="1"/>
    <col min="2313" max="2560" width="9.33203125" style="529"/>
    <col min="2561" max="2561" width="52.33203125" style="529" customWidth="1"/>
    <col min="2562" max="2562" width="11.6640625" style="529" customWidth="1"/>
    <col min="2563" max="2563" width="26.6640625" style="529" bestFit="1" customWidth="1"/>
    <col min="2564" max="2564" width="4.1640625" style="529" customWidth="1"/>
    <col min="2565" max="2565" width="26.6640625" style="529" bestFit="1" customWidth="1"/>
    <col min="2566" max="2566" width="9.33203125" style="529"/>
    <col min="2567" max="2567" width="12.83203125" style="529" bestFit="1" customWidth="1"/>
    <col min="2568" max="2568" width="15.1640625" style="529" bestFit="1" customWidth="1"/>
    <col min="2569" max="2816" width="9.33203125" style="529"/>
    <col min="2817" max="2817" width="52.33203125" style="529" customWidth="1"/>
    <col min="2818" max="2818" width="11.6640625" style="529" customWidth="1"/>
    <col min="2819" max="2819" width="26.6640625" style="529" bestFit="1" customWidth="1"/>
    <col min="2820" max="2820" width="4.1640625" style="529" customWidth="1"/>
    <col min="2821" max="2821" width="26.6640625" style="529" bestFit="1" customWidth="1"/>
    <col min="2822" max="2822" width="9.33203125" style="529"/>
    <col min="2823" max="2823" width="12.83203125" style="529" bestFit="1" customWidth="1"/>
    <col min="2824" max="2824" width="15.1640625" style="529" bestFit="1" customWidth="1"/>
    <col min="2825" max="3072" width="9.33203125" style="529"/>
    <col min="3073" max="3073" width="52.33203125" style="529" customWidth="1"/>
    <col min="3074" max="3074" width="11.6640625" style="529" customWidth="1"/>
    <col min="3075" max="3075" width="26.6640625" style="529" bestFit="1" customWidth="1"/>
    <col min="3076" max="3076" width="4.1640625" style="529" customWidth="1"/>
    <col min="3077" max="3077" width="26.6640625" style="529" bestFit="1" customWidth="1"/>
    <col min="3078" max="3078" width="9.33203125" style="529"/>
    <col min="3079" max="3079" width="12.83203125" style="529" bestFit="1" customWidth="1"/>
    <col min="3080" max="3080" width="15.1640625" style="529" bestFit="1" customWidth="1"/>
    <col min="3081" max="3328" width="9.33203125" style="529"/>
    <col min="3329" max="3329" width="52.33203125" style="529" customWidth="1"/>
    <col min="3330" max="3330" width="11.6640625" style="529" customWidth="1"/>
    <col min="3331" max="3331" width="26.6640625" style="529" bestFit="1" customWidth="1"/>
    <col min="3332" max="3332" width="4.1640625" style="529" customWidth="1"/>
    <col min="3333" max="3333" width="26.6640625" style="529" bestFit="1" customWidth="1"/>
    <col min="3334" max="3334" width="9.33203125" style="529"/>
    <col min="3335" max="3335" width="12.83203125" style="529" bestFit="1" customWidth="1"/>
    <col min="3336" max="3336" width="15.1640625" style="529" bestFit="1" customWidth="1"/>
    <col min="3337" max="3584" width="9.33203125" style="529"/>
    <col min="3585" max="3585" width="52.33203125" style="529" customWidth="1"/>
    <col min="3586" max="3586" width="11.6640625" style="529" customWidth="1"/>
    <col min="3587" max="3587" width="26.6640625" style="529" bestFit="1" customWidth="1"/>
    <col min="3588" max="3588" width="4.1640625" style="529" customWidth="1"/>
    <col min="3589" max="3589" width="26.6640625" style="529" bestFit="1" customWidth="1"/>
    <col min="3590" max="3590" width="9.33203125" style="529"/>
    <col min="3591" max="3591" width="12.83203125" style="529" bestFit="1" customWidth="1"/>
    <col min="3592" max="3592" width="15.1640625" style="529" bestFit="1" customWidth="1"/>
    <col min="3593" max="3840" width="9.33203125" style="529"/>
    <col min="3841" max="3841" width="52.33203125" style="529" customWidth="1"/>
    <col min="3842" max="3842" width="11.6640625" style="529" customWidth="1"/>
    <col min="3843" max="3843" width="26.6640625" style="529" bestFit="1" customWidth="1"/>
    <col min="3844" max="3844" width="4.1640625" style="529" customWidth="1"/>
    <col min="3845" max="3845" width="26.6640625" style="529" bestFit="1" customWidth="1"/>
    <col min="3846" max="3846" width="9.33203125" style="529"/>
    <col min="3847" max="3847" width="12.83203125" style="529" bestFit="1" customWidth="1"/>
    <col min="3848" max="3848" width="15.1640625" style="529" bestFit="1" customWidth="1"/>
    <col min="3849" max="4096" width="9.33203125" style="529"/>
    <col min="4097" max="4097" width="52.33203125" style="529" customWidth="1"/>
    <col min="4098" max="4098" width="11.6640625" style="529" customWidth="1"/>
    <col min="4099" max="4099" width="26.6640625" style="529" bestFit="1" customWidth="1"/>
    <col min="4100" max="4100" width="4.1640625" style="529" customWidth="1"/>
    <col min="4101" max="4101" width="26.6640625" style="529" bestFit="1" customWidth="1"/>
    <col min="4102" max="4102" width="9.33203125" style="529"/>
    <col min="4103" max="4103" width="12.83203125" style="529" bestFit="1" customWidth="1"/>
    <col min="4104" max="4104" width="15.1640625" style="529" bestFit="1" customWidth="1"/>
    <col min="4105" max="4352" width="9.33203125" style="529"/>
    <col min="4353" max="4353" width="52.33203125" style="529" customWidth="1"/>
    <col min="4354" max="4354" width="11.6640625" style="529" customWidth="1"/>
    <col min="4355" max="4355" width="26.6640625" style="529" bestFit="1" customWidth="1"/>
    <col min="4356" max="4356" width="4.1640625" style="529" customWidth="1"/>
    <col min="4357" max="4357" width="26.6640625" style="529" bestFit="1" customWidth="1"/>
    <col min="4358" max="4358" width="9.33203125" style="529"/>
    <col min="4359" max="4359" width="12.83203125" style="529" bestFit="1" customWidth="1"/>
    <col min="4360" max="4360" width="15.1640625" style="529" bestFit="1" customWidth="1"/>
    <col min="4361" max="4608" width="9.33203125" style="529"/>
    <col min="4609" max="4609" width="52.33203125" style="529" customWidth="1"/>
    <col min="4610" max="4610" width="11.6640625" style="529" customWidth="1"/>
    <col min="4611" max="4611" width="26.6640625" style="529" bestFit="1" customWidth="1"/>
    <col min="4612" max="4612" width="4.1640625" style="529" customWidth="1"/>
    <col min="4613" max="4613" width="26.6640625" style="529" bestFit="1" customWidth="1"/>
    <col min="4614" max="4614" width="9.33203125" style="529"/>
    <col min="4615" max="4615" width="12.83203125" style="529" bestFit="1" customWidth="1"/>
    <col min="4616" max="4616" width="15.1640625" style="529" bestFit="1" customWidth="1"/>
    <col min="4617" max="4864" width="9.33203125" style="529"/>
    <col min="4865" max="4865" width="52.33203125" style="529" customWidth="1"/>
    <col min="4866" max="4866" width="11.6640625" style="529" customWidth="1"/>
    <col min="4867" max="4867" width="26.6640625" style="529" bestFit="1" customWidth="1"/>
    <col min="4868" max="4868" width="4.1640625" style="529" customWidth="1"/>
    <col min="4869" max="4869" width="26.6640625" style="529" bestFit="1" customWidth="1"/>
    <col min="4870" max="4870" width="9.33203125" style="529"/>
    <col min="4871" max="4871" width="12.83203125" style="529" bestFit="1" customWidth="1"/>
    <col min="4872" max="4872" width="15.1640625" style="529" bestFit="1" customWidth="1"/>
    <col min="4873" max="5120" width="9.33203125" style="529"/>
    <col min="5121" max="5121" width="52.33203125" style="529" customWidth="1"/>
    <col min="5122" max="5122" width="11.6640625" style="529" customWidth="1"/>
    <col min="5123" max="5123" width="26.6640625" style="529" bestFit="1" customWidth="1"/>
    <col min="5124" max="5124" width="4.1640625" style="529" customWidth="1"/>
    <col min="5125" max="5125" width="26.6640625" style="529" bestFit="1" customWidth="1"/>
    <col min="5126" max="5126" width="9.33203125" style="529"/>
    <col min="5127" max="5127" width="12.83203125" style="529" bestFit="1" customWidth="1"/>
    <col min="5128" max="5128" width="15.1640625" style="529" bestFit="1" customWidth="1"/>
    <col min="5129" max="5376" width="9.33203125" style="529"/>
    <col min="5377" max="5377" width="52.33203125" style="529" customWidth="1"/>
    <col min="5378" max="5378" width="11.6640625" style="529" customWidth="1"/>
    <col min="5379" max="5379" width="26.6640625" style="529" bestFit="1" customWidth="1"/>
    <col min="5380" max="5380" width="4.1640625" style="529" customWidth="1"/>
    <col min="5381" max="5381" width="26.6640625" style="529" bestFit="1" customWidth="1"/>
    <col min="5382" max="5382" width="9.33203125" style="529"/>
    <col min="5383" max="5383" width="12.83203125" style="529" bestFit="1" customWidth="1"/>
    <col min="5384" max="5384" width="15.1640625" style="529" bestFit="1" customWidth="1"/>
    <col min="5385" max="5632" width="9.33203125" style="529"/>
    <col min="5633" max="5633" width="52.33203125" style="529" customWidth="1"/>
    <col min="5634" max="5634" width="11.6640625" style="529" customWidth="1"/>
    <col min="5635" max="5635" width="26.6640625" style="529" bestFit="1" customWidth="1"/>
    <col min="5636" max="5636" width="4.1640625" style="529" customWidth="1"/>
    <col min="5637" max="5637" width="26.6640625" style="529" bestFit="1" customWidth="1"/>
    <col min="5638" max="5638" width="9.33203125" style="529"/>
    <col min="5639" max="5639" width="12.83203125" style="529" bestFit="1" customWidth="1"/>
    <col min="5640" max="5640" width="15.1640625" style="529" bestFit="1" customWidth="1"/>
    <col min="5641" max="5888" width="9.33203125" style="529"/>
    <col min="5889" max="5889" width="52.33203125" style="529" customWidth="1"/>
    <col min="5890" max="5890" width="11.6640625" style="529" customWidth="1"/>
    <col min="5891" max="5891" width="26.6640625" style="529" bestFit="1" customWidth="1"/>
    <col min="5892" max="5892" width="4.1640625" style="529" customWidth="1"/>
    <col min="5893" max="5893" width="26.6640625" style="529" bestFit="1" customWidth="1"/>
    <col min="5894" max="5894" width="9.33203125" style="529"/>
    <col min="5895" max="5895" width="12.83203125" style="529" bestFit="1" customWidth="1"/>
    <col min="5896" max="5896" width="15.1640625" style="529" bestFit="1" customWidth="1"/>
    <col min="5897" max="6144" width="9.33203125" style="529"/>
    <col min="6145" max="6145" width="52.33203125" style="529" customWidth="1"/>
    <col min="6146" max="6146" width="11.6640625" style="529" customWidth="1"/>
    <col min="6147" max="6147" width="26.6640625" style="529" bestFit="1" customWidth="1"/>
    <col min="6148" max="6148" width="4.1640625" style="529" customWidth="1"/>
    <col min="6149" max="6149" width="26.6640625" style="529" bestFit="1" customWidth="1"/>
    <col min="6150" max="6150" width="9.33203125" style="529"/>
    <col min="6151" max="6151" width="12.83203125" style="529" bestFit="1" customWidth="1"/>
    <col min="6152" max="6152" width="15.1640625" style="529" bestFit="1" customWidth="1"/>
    <col min="6153" max="6400" width="9.33203125" style="529"/>
    <col min="6401" max="6401" width="52.33203125" style="529" customWidth="1"/>
    <col min="6402" max="6402" width="11.6640625" style="529" customWidth="1"/>
    <col min="6403" max="6403" width="26.6640625" style="529" bestFit="1" customWidth="1"/>
    <col min="6404" max="6404" width="4.1640625" style="529" customWidth="1"/>
    <col min="6405" max="6405" width="26.6640625" style="529" bestFit="1" customWidth="1"/>
    <col min="6406" max="6406" width="9.33203125" style="529"/>
    <col min="6407" max="6407" width="12.83203125" style="529" bestFit="1" customWidth="1"/>
    <col min="6408" max="6408" width="15.1640625" style="529" bestFit="1" customWidth="1"/>
    <col min="6409" max="6656" width="9.33203125" style="529"/>
    <col min="6657" max="6657" width="52.33203125" style="529" customWidth="1"/>
    <col min="6658" max="6658" width="11.6640625" style="529" customWidth="1"/>
    <col min="6659" max="6659" width="26.6640625" style="529" bestFit="1" customWidth="1"/>
    <col min="6660" max="6660" width="4.1640625" style="529" customWidth="1"/>
    <col min="6661" max="6661" width="26.6640625" style="529" bestFit="1" customWidth="1"/>
    <col min="6662" max="6662" width="9.33203125" style="529"/>
    <col min="6663" max="6663" width="12.83203125" style="529" bestFit="1" customWidth="1"/>
    <col min="6664" max="6664" width="15.1640625" style="529" bestFit="1" customWidth="1"/>
    <col min="6665" max="6912" width="9.33203125" style="529"/>
    <col min="6913" max="6913" width="52.33203125" style="529" customWidth="1"/>
    <col min="6914" max="6914" width="11.6640625" style="529" customWidth="1"/>
    <col min="6915" max="6915" width="26.6640625" style="529" bestFit="1" customWidth="1"/>
    <col min="6916" max="6916" width="4.1640625" style="529" customWidth="1"/>
    <col min="6917" max="6917" width="26.6640625" style="529" bestFit="1" customWidth="1"/>
    <col min="6918" max="6918" width="9.33203125" style="529"/>
    <col min="6919" max="6919" width="12.83203125" style="529" bestFit="1" customWidth="1"/>
    <col min="6920" max="6920" width="15.1640625" style="529" bestFit="1" customWidth="1"/>
    <col min="6921" max="7168" width="9.33203125" style="529"/>
    <col min="7169" max="7169" width="52.33203125" style="529" customWidth="1"/>
    <col min="7170" max="7170" width="11.6640625" style="529" customWidth="1"/>
    <col min="7171" max="7171" width="26.6640625" style="529" bestFit="1" customWidth="1"/>
    <col min="7172" max="7172" width="4.1640625" style="529" customWidth="1"/>
    <col min="7173" max="7173" width="26.6640625" style="529" bestFit="1" customWidth="1"/>
    <col min="7174" max="7174" width="9.33203125" style="529"/>
    <col min="7175" max="7175" width="12.83203125" style="529" bestFit="1" customWidth="1"/>
    <col min="7176" max="7176" width="15.1640625" style="529" bestFit="1" customWidth="1"/>
    <col min="7177" max="7424" width="9.33203125" style="529"/>
    <col min="7425" max="7425" width="52.33203125" style="529" customWidth="1"/>
    <col min="7426" max="7426" width="11.6640625" style="529" customWidth="1"/>
    <col min="7427" max="7427" width="26.6640625" style="529" bestFit="1" customWidth="1"/>
    <col min="7428" max="7428" width="4.1640625" style="529" customWidth="1"/>
    <col min="7429" max="7429" width="26.6640625" style="529" bestFit="1" customWidth="1"/>
    <col min="7430" max="7430" width="9.33203125" style="529"/>
    <col min="7431" max="7431" width="12.83203125" style="529" bestFit="1" customWidth="1"/>
    <col min="7432" max="7432" width="15.1640625" style="529" bestFit="1" customWidth="1"/>
    <col min="7433" max="7680" width="9.33203125" style="529"/>
    <col min="7681" max="7681" width="52.33203125" style="529" customWidth="1"/>
    <col min="7682" max="7682" width="11.6640625" style="529" customWidth="1"/>
    <col min="7683" max="7683" width="26.6640625" style="529" bestFit="1" customWidth="1"/>
    <col min="7684" max="7684" width="4.1640625" style="529" customWidth="1"/>
    <col min="7685" max="7685" width="26.6640625" style="529" bestFit="1" customWidth="1"/>
    <col min="7686" max="7686" width="9.33203125" style="529"/>
    <col min="7687" max="7687" width="12.83203125" style="529" bestFit="1" customWidth="1"/>
    <col min="7688" max="7688" width="15.1640625" style="529" bestFit="1" customWidth="1"/>
    <col min="7689" max="7936" width="9.33203125" style="529"/>
    <col min="7937" max="7937" width="52.33203125" style="529" customWidth="1"/>
    <col min="7938" max="7938" width="11.6640625" style="529" customWidth="1"/>
    <col min="7939" max="7939" width="26.6640625" style="529" bestFit="1" customWidth="1"/>
    <col min="7940" max="7940" width="4.1640625" style="529" customWidth="1"/>
    <col min="7941" max="7941" width="26.6640625" style="529" bestFit="1" customWidth="1"/>
    <col min="7942" max="7942" width="9.33203125" style="529"/>
    <col min="7943" max="7943" width="12.83203125" style="529" bestFit="1" customWidth="1"/>
    <col min="7944" max="7944" width="15.1640625" style="529" bestFit="1" customWidth="1"/>
    <col min="7945" max="8192" width="9.33203125" style="529"/>
    <col min="8193" max="8193" width="52.33203125" style="529" customWidth="1"/>
    <col min="8194" max="8194" width="11.6640625" style="529" customWidth="1"/>
    <col min="8195" max="8195" width="26.6640625" style="529" bestFit="1" customWidth="1"/>
    <col min="8196" max="8196" width="4.1640625" style="529" customWidth="1"/>
    <col min="8197" max="8197" width="26.6640625" style="529" bestFit="1" customWidth="1"/>
    <col min="8198" max="8198" width="9.33203125" style="529"/>
    <col min="8199" max="8199" width="12.83203125" style="529" bestFit="1" customWidth="1"/>
    <col min="8200" max="8200" width="15.1640625" style="529" bestFit="1" customWidth="1"/>
    <col min="8201" max="8448" width="9.33203125" style="529"/>
    <col min="8449" max="8449" width="52.33203125" style="529" customWidth="1"/>
    <col min="8450" max="8450" width="11.6640625" style="529" customWidth="1"/>
    <col min="8451" max="8451" width="26.6640625" style="529" bestFit="1" customWidth="1"/>
    <col min="8452" max="8452" width="4.1640625" style="529" customWidth="1"/>
    <col min="8453" max="8453" width="26.6640625" style="529" bestFit="1" customWidth="1"/>
    <col min="8454" max="8454" width="9.33203125" style="529"/>
    <col min="8455" max="8455" width="12.83203125" style="529" bestFit="1" customWidth="1"/>
    <col min="8456" max="8456" width="15.1640625" style="529" bestFit="1" customWidth="1"/>
    <col min="8457" max="8704" width="9.33203125" style="529"/>
    <col min="8705" max="8705" width="52.33203125" style="529" customWidth="1"/>
    <col min="8706" max="8706" width="11.6640625" style="529" customWidth="1"/>
    <col min="8707" max="8707" width="26.6640625" style="529" bestFit="1" customWidth="1"/>
    <col min="8708" max="8708" width="4.1640625" style="529" customWidth="1"/>
    <col min="8709" max="8709" width="26.6640625" style="529" bestFit="1" customWidth="1"/>
    <col min="8710" max="8710" width="9.33203125" style="529"/>
    <col min="8711" max="8711" width="12.83203125" style="529" bestFit="1" customWidth="1"/>
    <col min="8712" max="8712" width="15.1640625" style="529" bestFit="1" customWidth="1"/>
    <col min="8713" max="8960" width="9.33203125" style="529"/>
    <col min="8961" max="8961" width="52.33203125" style="529" customWidth="1"/>
    <col min="8962" max="8962" width="11.6640625" style="529" customWidth="1"/>
    <col min="8963" max="8963" width="26.6640625" style="529" bestFit="1" customWidth="1"/>
    <col min="8964" max="8964" width="4.1640625" style="529" customWidth="1"/>
    <col min="8965" max="8965" width="26.6640625" style="529" bestFit="1" customWidth="1"/>
    <col min="8966" max="8966" width="9.33203125" style="529"/>
    <col min="8967" max="8967" width="12.83203125" style="529" bestFit="1" customWidth="1"/>
    <col min="8968" max="8968" width="15.1640625" style="529" bestFit="1" customWidth="1"/>
    <col min="8969" max="9216" width="9.33203125" style="529"/>
    <col min="9217" max="9217" width="52.33203125" style="529" customWidth="1"/>
    <col min="9218" max="9218" width="11.6640625" style="529" customWidth="1"/>
    <col min="9219" max="9219" width="26.6640625" style="529" bestFit="1" customWidth="1"/>
    <col min="9220" max="9220" width="4.1640625" style="529" customWidth="1"/>
    <col min="9221" max="9221" width="26.6640625" style="529" bestFit="1" customWidth="1"/>
    <col min="9222" max="9222" width="9.33203125" style="529"/>
    <col min="9223" max="9223" width="12.83203125" style="529" bestFit="1" customWidth="1"/>
    <col min="9224" max="9224" width="15.1640625" style="529" bestFit="1" customWidth="1"/>
    <col min="9225" max="9472" width="9.33203125" style="529"/>
    <col min="9473" max="9473" width="52.33203125" style="529" customWidth="1"/>
    <col min="9474" max="9474" width="11.6640625" style="529" customWidth="1"/>
    <col min="9475" max="9475" width="26.6640625" style="529" bestFit="1" customWidth="1"/>
    <col min="9476" max="9476" width="4.1640625" style="529" customWidth="1"/>
    <col min="9477" max="9477" width="26.6640625" style="529" bestFit="1" customWidth="1"/>
    <col min="9478" max="9478" width="9.33203125" style="529"/>
    <col min="9479" max="9479" width="12.83203125" style="529" bestFit="1" customWidth="1"/>
    <col min="9480" max="9480" width="15.1640625" style="529" bestFit="1" customWidth="1"/>
    <col min="9481" max="9728" width="9.33203125" style="529"/>
    <col min="9729" max="9729" width="52.33203125" style="529" customWidth="1"/>
    <col min="9730" max="9730" width="11.6640625" style="529" customWidth="1"/>
    <col min="9731" max="9731" width="26.6640625" style="529" bestFit="1" customWidth="1"/>
    <col min="9732" max="9732" width="4.1640625" style="529" customWidth="1"/>
    <col min="9733" max="9733" width="26.6640625" style="529" bestFit="1" customWidth="1"/>
    <col min="9734" max="9734" width="9.33203125" style="529"/>
    <col min="9735" max="9735" width="12.83203125" style="529" bestFit="1" customWidth="1"/>
    <col min="9736" max="9736" width="15.1640625" style="529" bestFit="1" customWidth="1"/>
    <col min="9737" max="9984" width="9.33203125" style="529"/>
    <col min="9985" max="9985" width="52.33203125" style="529" customWidth="1"/>
    <col min="9986" max="9986" width="11.6640625" style="529" customWidth="1"/>
    <col min="9987" max="9987" width="26.6640625" style="529" bestFit="1" customWidth="1"/>
    <col min="9988" max="9988" width="4.1640625" style="529" customWidth="1"/>
    <col min="9989" max="9989" width="26.6640625" style="529" bestFit="1" customWidth="1"/>
    <col min="9990" max="9990" width="9.33203125" style="529"/>
    <col min="9991" max="9991" width="12.83203125" style="529" bestFit="1" customWidth="1"/>
    <col min="9992" max="9992" width="15.1640625" style="529" bestFit="1" customWidth="1"/>
    <col min="9993" max="10240" width="9.33203125" style="529"/>
    <col min="10241" max="10241" width="52.33203125" style="529" customWidth="1"/>
    <col min="10242" max="10242" width="11.6640625" style="529" customWidth="1"/>
    <col min="10243" max="10243" width="26.6640625" style="529" bestFit="1" customWidth="1"/>
    <col min="10244" max="10244" width="4.1640625" style="529" customWidth="1"/>
    <col min="10245" max="10245" width="26.6640625" style="529" bestFit="1" customWidth="1"/>
    <col min="10246" max="10246" width="9.33203125" style="529"/>
    <col min="10247" max="10247" width="12.83203125" style="529" bestFit="1" customWidth="1"/>
    <col min="10248" max="10248" width="15.1640625" style="529" bestFit="1" customWidth="1"/>
    <col min="10249" max="10496" width="9.33203125" style="529"/>
    <col min="10497" max="10497" width="52.33203125" style="529" customWidth="1"/>
    <col min="10498" max="10498" width="11.6640625" style="529" customWidth="1"/>
    <col min="10499" max="10499" width="26.6640625" style="529" bestFit="1" customWidth="1"/>
    <col min="10500" max="10500" width="4.1640625" style="529" customWidth="1"/>
    <col min="10501" max="10501" width="26.6640625" style="529" bestFit="1" customWidth="1"/>
    <col min="10502" max="10502" width="9.33203125" style="529"/>
    <col min="10503" max="10503" width="12.83203125" style="529" bestFit="1" customWidth="1"/>
    <col min="10504" max="10504" width="15.1640625" style="529" bestFit="1" customWidth="1"/>
    <col min="10505" max="10752" width="9.33203125" style="529"/>
    <col min="10753" max="10753" width="52.33203125" style="529" customWidth="1"/>
    <col min="10754" max="10754" width="11.6640625" style="529" customWidth="1"/>
    <col min="10755" max="10755" width="26.6640625" style="529" bestFit="1" customWidth="1"/>
    <col min="10756" max="10756" width="4.1640625" style="529" customWidth="1"/>
    <col min="10757" max="10757" width="26.6640625" style="529" bestFit="1" customWidth="1"/>
    <col min="10758" max="10758" width="9.33203125" style="529"/>
    <col min="10759" max="10759" width="12.83203125" style="529" bestFit="1" customWidth="1"/>
    <col min="10760" max="10760" width="15.1640625" style="529" bestFit="1" customWidth="1"/>
    <col min="10761" max="11008" width="9.33203125" style="529"/>
    <col min="11009" max="11009" width="52.33203125" style="529" customWidth="1"/>
    <col min="11010" max="11010" width="11.6640625" style="529" customWidth="1"/>
    <col min="11011" max="11011" width="26.6640625" style="529" bestFit="1" customWidth="1"/>
    <col min="11012" max="11012" width="4.1640625" style="529" customWidth="1"/>
    <col min="11013" max="11013" width="26.6640625" style="529" bestFit="1" customWidth="1"/>
    <col min="11014" max="11014" width="9.33203125" style="529"/>
    <col min="11015" max="11015" width="12.83203125" style="529" bestFit="1" customWidth="1"/>
    <col min="11016" max="11016" width="15.1640625" style="529" bestFit="1" customWidth="1"/>
    <col min="11017" max="11264" width="9.33203125" style="529"/>
    <col min="11265" max="11265" width="52.33203125" style="529" customWidth="1"/>
    <col min="11266" max="11266" width="11.6640625" style="529" customWidth="1"/>
    <col min="11267" max="11267" width="26.6640625" style="529" bestFit="1" customWidth="1"/>
    <col min="11268" max="11268" width="4.1640625" style="529" customWidth="1"/>
    <col min="11269" max="11269" width="26.6640625" style="529" bestFit="1" customWidth="1"/>
    <col min="11270" max="11270" width="9.33203125" style="529"/>
    <col min="11271" max="11271" width="12.83203125" style="529" bestFit="1" customWidth="1"/>
    <col min="11272" max="11272" width="15.1640625" style="529" bestFit="1" customWidth="1"/>
    <col min="11273" max="11520" width="9.33203125" style="529"/>
    <col min="11521" max="11521" width="52.33203125" style="529" customWidth="1"/>
    <col min="11522" max="11522" width="11.6640625" style="529" customWidth="1"/>
    <col min="11523" max="11523" width="26.6640625" style="529" bestFit="1" customWidth="1"/>
    <col min="11524" max="11524" width="4.1640625" style="529" customWidth="1"/>
    <col min="11525" max="11525" width="26.6640625" style="529" bestFit="1" customWidth="1"/>
    <col min="11526" max="11526" width="9.33203125" style="529"/>
    <col min="11527" max="11527" width="12.83203125" style="529" bestFit="1" customWidth="1"/>
    <col min="11528" max="11528" width="15.1640625" style="529" bestFit="1" customWidth="1"/>
    <col min="11529" max="11776" width="9.33203125" style="529"/>
    <col min="11777" max="11777" width="52.33203125" style="529" customWidth="1"/>
    <col min="11778" max="11778" width="11.6640625" style="529" customWidth="1"/>
    <col min="11779" max="11779" width="26.6640625" style="529" bestFit="1" customWidth="1"/>
    <col min="11780" max="11780" width="4.1640625" style="529" customWidth="1"/>
    <col min="11781" max="11781" width="26.6640625" style="529" bestFit="1" customWidth="1"/>
    <col min="11782" max="11782" width="9.33203125" style="529"/>
    <col min="11783" max="11783" width="12.83203125" style="529" bestFit="1" customWidth="1"/>
    <col min="11784" max="11784" width="15.1640625" style="529" bestFit="1" customWidth="1"/>
    <col min="11785" max="12032" width="9.33203125" style="529"/>
    <col min="12033" max="12033" width="52.33203125" style="529" customWidth="1"/>
    <col min="12034" max="12034" width="11.6640625" style="529" customWidth="1"/>
    <col min="12035" max="12035" width="26.6640625" style="529" bestFit="1" customWidth="1"/>
    <col min="12036" max="12036" width="4.1640625" style="529" customWidth="1"/>
    <col min="12037" max="12037" width="26.6640625" style="529" bestFit="1" customWidth="1"/>
    <col min="12038" max="12038" width="9.33203125" style="529"/>
    <col min="12039" max="12039" width="12.83203125" style="529" bestFit="1" customWidth="1"/>
    <col min="12040" max="12040" width="15.1640625" style="529" bestFit="1" customWidth="1"/>
    <col min="12041" max="12288" width="9.33203125" style="529"/>
    <col min="12289" max="12289" width="52.33203125" style="529" customWidth="1"/>
    <col min="12290" max="12290" width="11.6640625" style="529" customWidth="1"/>
    <col min="12291" max="12291" width="26.6640625" style="529" bestFit="1" customWidth="1"/>
    <col min="12292" max="12292" width="4.1640625" style="529" customWidth="1"/>
    <col min="12293" max="12293" width="26.6640625" style="529" bestFit="1" customWidth="1"/>
    <col min="12294" max="12294" width="9.33203125" style="529"/>
    <col min="12295" max="12295" width="12.83203125" style="529" bestFit="1" customWidth="1"/>
    <col min="12296" max="12296" width="15.1640625" style="529" bestFit="1" customWidth="1"/>
    <col min="12297" max="12544" width="9.33203125" style="529"/>
    <col min="12545" max="12545" width="52.33203125" style="529" customWidth="1"/>
    <col min="12546" max="12546" width="11.6640625" style="529" customWidth="1"/>
    <col min="12547" max="12547" width="26.6640625" style="529" bestFit="1" customWidth="1"/>
    <col min="12548" max="12548" width="4.1640625" style="529" customWidth="1"/>
    <col min="12549" max="12549" width="26.6640625" style="529" bestFit="1" customWidth="1"/>
    <col min="12550" max="12550" width="9.33203125" style="529"/>
    <col min="12551" max="12551" width="12.83203125" style="529" bestFit="1" customWidth="1"/>
    <col min="12552" max="12552" width="15.1640625" style="529" bestFit="1" customWidth="1"/>
    <col min="12553" max="12800" width="9.33203125" style="529"/>
    <col min="12801" max="12801" width="52.33203125" style="529" customWidth="1"/>
    <col min="12802" max="12802" width="11.6640625" style="529" customWidth="1"/>
    <col min="12803" max="12803" width="26.6640625" style="529" bestFit="1" customWidth="1"/>
    <col min="12804" max="12804" width="4.1640625" style="529" customWidth="1"/>
    <col min="12805" max="12805" width="26.6640625" style="529" bestFit="1" customWidth="1"/>
    <col min="12806" max="12806" width="9.33203125" style="529"/>
    <col min="12807" max="12807" width="12.83203125" style="529" bestFit="1" customWidth="1"/>
    <col min="12808" max="12808" width="15.1640625" style="529" bestFit="1" customWidth="1"/>
    <col min="12809" max="13056" width="9.33203125" style="529"/>
    <col min="13057" max="13057" width="52.33203125" style="529" customWidth="1"/>
    <col min="13058" max="13058" width="11.6640625" style="529" customWidth="1"/>
    <col min="13059" max="13059" width="26.6640625" style="529" bestFit="1" customWidth="1"/>
    <col min="13060" max="13060" width="4.1640625" style="529" customWidth="1"/>
    <col min="13061" max="13061" width="26.6640625" style="529" bestFit="1" customWidth="1"/>
    <col min="13062" max="13062" width="9.33203125" style="529"/>
    <col min="13063" max="13063" width="12.83203125" style="529" bestFit="1" customWidth="1"/>
    <col min="13064" max="13064" width="15.1640625" style="529" bestFit="1" customWidth="1"/>
    <col min="13065" max="13312" width="9.33203125" style="529"/>
    <col min="13313" max="13313" width="52.33203125" style="529" customWidth="1"/>
    <col min="13314" max="13314" width="11.6640625" style="529" customWidth="1"/>
    <col min="13315" max="13315" width="26.6640625" style="529" bestFit="1" customWidth="1"/>
    <col min="13316" max="13316" width="4.1640625" style="529" customWidth="1"/>
    <col min="13317" max="13317" width="26.6640625" style="529" bestFit="1" customWidth="1"/>
    <col min="13318" max="13318" width="9.33203125" style="529"/>
    <col min="13319" max="13319" width="12.83203125" style="529" bestFit="1" customWidth="1"/>
    <col min="13320" max="13320" width="15.1640625" style="529" bestFit="1" customWidth="1"/>
    <col min="13321" max="13568" width="9.33203125" style="529"/>
    <col min="13569" max="13569" width="52.33203125" style="529" customWidth="1"/>
    <col min="13570" max="13570" width="11.6640625" style="529" customWidth="1"/>
    <col min="13571" max="13571" width="26.6640625" style="529" bestFit="1" customWidth="1"/>
    <col min="13572" max="13572" width="4.1640625" style="529" customWidth="1"/>
    <col min="13573" max="13573" width="26.6640625" style="529" bestFit="1" customWidth="1"/>
    <col min="13574" max="13574" width="9.33203125" style="529"/>
    <col min="13575" max="13575" width="12.83203125" style="529" bestFit="1" customWidth="1"/>
    <col min="13576" max="13576" width="15.1640625" style="529" bestFit="1" customWidth="1"/>
    <col min="13577" max="13824" width="9.33203125" style="529"/>
    <col min="13825" max="13825" width="52.33203125" style="529" customWidth="1"/>
    <col min="13826" max="13826" width="11.6640625" style="529" customWidth="1"/>
    <col min="13827" max="13827" width="26.6640625" style="529" bestFit="1" customWidth="1"/>
    <col min="13828" max="13828" width="4.1640625" style="529" customWidth="1"/>
    <col min="13829" max="13829" width="26.6640625" style="529" bestFit="1" customWidth="1"/>
    <col min="13830" max="13830" width="9.33203125" style="529"/>
    <col min="13831" max="13831" width="12.83203125" style="529" bestFit="1" customWidth="1"/>
    <col min="13832" max="13832" width="15.1640625" style="529" bestFit="1" customWidth="1"/>
    <col min="13833" max="14080" width="9.33203125" style="529"/>
    <col min="14081" max="14081" width="52.33203125" style="529" customWidth="1"/>
    <col min="14082" max="14082" width="11.6640625" style="529" customWidth="1"/>
    <col min="14083" max="14083" width="26.6640625" style="529" bestFit="1" customWidth="1"/>
    <col min="14084" max="14084" width="4.1640625" style="529" customWidth="1"/>
    <col min="14085" max="14085" width="26.6640625" style="529" bestFit="1" customWidth="1"/>
    <col min="14086" max="14086" width="9.33203125" style="529"/>
    <col min="14087" max="14087" width="12.83203125" style="529" bestFit="1" customWidth="1"/>
    <col min="14088" max="14088" width="15.1640625" style="529" bestFit="1" customWidth="1"/>
    <col min="14089" max="14336" width="9.33203125" style="529"/>
    <col min="14337" max="14337" width="52.33203125" style="529" customWidth="1"/>
    <col min="14338" max="14338" width="11.6640625" style="529" customWidth="1"/>
    <col min="14339" max="14339" width="26.6640625" style="529" bestFit="1" customWidth="1"/>
    <col min="14340" max="14340" width="4.1640625" style="529" customWidth="1"/>
    <col min="14341" max="14341" width="26.6640625" style="529" bestFit="1" customWidth="1"/>
    <col min="14342" max="14342" width="9.33203125" style="529"/>
    <col min="14343" max="14343" width="12.83203125" style="529" bestFit="1" customWidth="1"/>
    <col min="14344" max="14344" width="15.1640625" style="529" bestFit="1" customWidth="1"/>
    <col min="14345" max="14592" width="9.33203125" style="529"/>
    <col min="14593" max="14593" width="52.33203125" style="529" customWidth="1"/>
    <col min="14594" max="14594" width="11.6640625" style="529" customWidth="1"/>
    <col min="14595" max="14595" width="26.6640625" style="529" bestFit="1" customWidth="1"/>
    <col min="14596" max="14596" width="4.1640625" style="529" customWidth="1"/>
    <col min="14597" max="14597" width="26.6640625" style="529" bestFit="1" customWidth="1"/>
    <col min="14598" max="14598" width="9.33203125" style="529"/>
    <col min="14599" max="14599" width="12.83203125" style="529" bestFit="1" customWidth="1"/>
    <col min="14600" max="14600" width="15.1640625" style="529" bestFit="1" customWidth="1"/>
    <col min="14601" max="14848" width="9.33203125" style="529"/>
    <col min="14849" max="14849" width="52.33203125" style="529" customWidth="1"/>
    <col min="14850" max="14850" width="11.6640625" style="529" customWidth="1"/>
    <col min="14851" max="14851" width="26.6640625" style="529" bestFit="1" customWidth="1"/>
    <col min="14852" max="14852" width="4.1640625" style="529" customWidth="1"/>
    <col min="14853" max="14853" width="26.6640625" style="529" bestFit="1" customWidth="1"/>
    <col min="14854" max="14854" width="9.33203125" style="529"/>
    <col min="14855" max="14855" width="12.83203125" style="529" bestFit="1" customWidth="1"/>
    <col min="14856" max="14856" width="15.1640625" style="529" bestFit="1" customWidth="1"/>
    <col min="14857" max="15104" width="9.33203125" style="529"/>
    <col min="15105" max="15105" width="52.33203125" style="529" customWidth="1"/>
    <col min="15106" max="15106" width="11.6640625" style="529" customWidth="1"/>
    <col min="15107" max="15107" width="26.6640625" style="529" bestFit="1" customWidth="1"/>
    <col min="15108" max="15108" width="4.1640625" style="529" customWidth="1"/>
    <col min="15109" max="15109" width="26.6640625" style="529" bestFit="1" customWidth="1"/>
    <col min="15110" max="15110" width="9.33203125" style="529"/>
    <col min="15111" max="15111" width="12.83203125" style="529" bestFit="1" customWidth="1"/>
    <col min="15112" max="15112" width="15.1640625" style="529" bestFit="1" customWidth="1"/>
    <col min="15113" max="15360" width="9.33203125" style="529"/>
    <col min="15361" max="15361" width="52.33203125" style="529" customWidth="1"/>
    <col min="15362" max="15362" width="11.6640625" style="529" customWidth="1"/>
    <col min="15363" max="15363" width="26.6640625" style="529" bestFit="1" customWidth="1"/>
    <col min="15364" max="15364" width="4.1640625" style="529" customWidth="1"/>
    <col min="15365" max="15365" width="26.6640625" style="529" bestFit="1" customWidth="1"/>
    <col min="15366" max="15366" width="9.33203125" style="529"/>
    <col min="15367" max="15367" width="12.83203125" style="529" bestFit="1" customWidth="1"/>
    <col min="15368" max="15368" width="15.1640625" style="529" bestFit="1" customWidth="1"/>
    <col min="15369" max="15616" width="9.33203125" style="529"/>
    <col min="15617" max="15617" width="52.33203125" style="529" customWidth="1"/>
    <col min="15618" max="15618" width="11.6640625" style="529" customWidth="1"/>
    <col min="15619" max="15619" width="26.6640625" style="529" bestFit="1" customWidth="1"/>
    <col min="15620" max="15620" width="4.1640625" style="529" customWidth="1"/>
    <col min="15621" max="15621" width="26.6640625" style="529" bestFit="1" customWidth="1"/>
    <col min="15622" max="15622" width="9.33203125" style="529"/>
    <col min="15623" max="15623" width="12.83203125" style="529" bestFit="1" customWidth="1"/>
    <col min="15624" max="15624" width="15.1640625" style="529" bestFit="1" customWidth="1"/>
    <col min="15625" max="15872" width="9.33203125" style="529"/>
    <col min="15873" max="15873" width="52.33203125" style="529" customWidth="1"/>
    <col min="15874" max="15874" width="11.6640625" style="529" customWidth="1"/>
    <col min="15875" max="15875" width="26.6640625" style="529" bestFit="1" customWidth="1"/>
    <col min="15876" max="15876" width="4.1640625" style="529" customWidth="1"/>
    <col min="15877" max="15877" width="26.6640625" style="529" bestFit="1" customWidth="1"/>
    <col min="15878" max="15878" width="9.33203125" style="529"/>
    <col min="15879" max="15879" width="12.83203125" style="529" bestFit="1" customWidth="1"/>
    <col min="15880" max="15880" width="15.1640625" style="529" bestFit="1" customWidth="1"/>
    <col min="15881" max="16128" width="9.33203125" style="529"/>
    <col min="16129" max="16129" width="52.33203125" style="529" customWidth="1"/>
    <col min="16130" max="16130" width="11.6640625" style="529" customWidth="1"/>
    <col min="16131" max="16131" width="26.6640625" style="529" bestFit="1" customWidth="1"/>
    <col min="16132" max="16132" width="4.1640625" style="529" customWidth="1"/>
    <col min="16133" max="16133" width="26.6640625" style="529" bestFit="1" customWidth="1"/>
    <col min="16134" max="16134" width="9.33203125" style="529"/>
    <col min="16135" max="16135" width="12.83203125" style="529" bestFit="1" customWidth="1"/>
    <col min="16136" max="16136" width="15.1640625" style="529" bestFit="1" customWidth="1"/>
    <col min="16137" max="16384" width="9.33203125" style="529"/>
  </cols>
  <sheetData>
    <row r="1" spans="1:45" ht="15.75">
      <c r="A1" s="527" t="s">
        <v>988</v>
      </c>
      <c r="B1" s="527"/>
      <c r="C1" s="527"/>
      <c r="D1" s="527"/>
      <c r="E1" s="527"/>
      <c r="F1" s="528"/>
      <c r="G1" s="528"/>
      <c r="H1" s="528"/>
      <c r="I1" s="528"/>
      <c r="J1" s="528"/>
      <c r="K1" s="528"/>
      <c r="L1" s="528"/>
      <c r="M1" s="528"/>
      <c r="N1" s="528"/>
      <c r="O1" s="528"/>
      <c r="P1" s="528"/>
      <c r="Q1" s="528"/>
      <c r="R1" s="528"/>
      <c r="S1" s="528"/>
      <c r="T1" s="528"/>
      <c r="U1" s="528"/>
      <c r="V1" s="528"/>
      <c r="W1" s="528"/>
      <c r="X1" s="528"/>
      <c r="Y1" s="528"/>
      <c r="Z1" s="528"/>
      <c r="AA1" s="528"/>
      <c r="AB1" s="528"/>
      <c r="AC1" s="528"/>
      <c r="AD1" s="528"/>
      <c r="AE1" s="528"/>
      <c r="AF1" s="528"/>
      <c r="AG1" s="528"/>
      <c r="AH1" s="528"/>
      <c r="AI1" s="528"/>
      <c r="AJ1" s="528"/>
      <c r="AK1" s="528"/>
      <c r="AL1" s="528"/>
      <c r="AM1" s="528"/>
      <c r="AN1" s="528"/>
      <c r="AO1" s="528"/>
      <c r="AP1" s="528"/>
      <c r="AQ1" s="528"/>
      <c r="AR1" s="528"/>
      <c r="AS1" s="528"/>
    </row>
    <row r="2" spans="1:45" ht="15.75">
      <c r="A2" s="530" t="s">
        <v>989</v>
      </c>
      <c r="B2" s="530"/>
      <c r="C2" s="530"/>
      <c r="D2" s="527"/>
      <c r="E2" s="527"/>
      <c r="F2" s="528"/>
      <c r="G2" s="528"/>
      <c r="H2" s="528"/>
      <c r="I2" s="528"/>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row>
    <row r="3" spans="1:45" ht="15.75">
      <c r="A3" s="530" t="s">
        <v>990</v>
      </c>
      <c r="B3" s="527"/>
      <c r="C3" s="527"/>
      <c r="D3" s="527"/>
      <c r="E3" s="527"/>
      <c r="F3" s="528"/>
      <c r="G3" s="528"/>
      <c r="H3" s="528"/>
      <c r="I3" s="528"/>
      <c r="J3" s="528"/>
      <c r="K3" s="528"/>
      <c r="L3" s="528"/>
      <c r="M3" s="528"/>
      <c r="N3" s="528"/>
      <c r="O3" s="528"/>
      <c r="P3" s="528"/>
      <c r="Q3" s="528"/>
      <c r="R3" s="528"/>
      <c r="S3" s="528"/>
      <c r="T3" s="528"/>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row>
    <row r="4" spans="1:45" ht="15.75">
      <c r="A4" s="531">
        <v>40513</v>
      </c>
      <c r="B4" s="527"/>
      <c r="C4" s="527"/>
      <c r="D4" s="527"/>
      <c r="E4" s="527"/>
      <c r="F4" s="528"/>
      <c r="G4" s="528"/>
      <c r="H4" s="528"/>
      <c r="I4" s="528"/>
      <c r="J4" s="528"/>
      <c r="K4" s="528"/>
      <c r="L4" s="528"/>
      <c r="M4" s="528"/>
      <c r="N4" s="528"/>
      <c r="O4" s="528"/>
      <c r="P4" s="528"/>
      <c r="Q4" s="528"/>
      <c r="R4" s="528"/>
      <c r="S4" s="528"/>
      <c r="T4" s="528"/>
      <c r="U4" s="528"/>
      <c r="V4" s="528"/>
      <c r="W4" s="528"/>
      <c r="X4" s="528"/>
      <c r="Y4" s="528"/>
      <c r="Z4" s="528"/>
      <c r="AA4" s="528"/>
      <c r="AB4" s="528"/>
      <c r="AC4" s="528"/>
      <c r="AD4" s="528"/>
      <c r="AE4" s="528"/>
      <c r="AF4" s="528"/>
      <c r="AG4" s="528"/>
      <c r="AH4" s="528"/>
      <c r="AI4" s="528"/>
      <c r="AJ4" s="528"/>
      <c r="AK4" s="528"/>
      <c r="AL4" s="528"/>
      <c r="AM4" s="528"/>
      <c r="AN4" s="528"/>
      <c r="AO4" s="528"/>
      <c r="AP4" s="528"/>
      <c r="AQ4" s="528"/>
      <c r="AR4" s="528"/>
      <c r="AS4" s="528"/>
    </row>
    <row r="5" spans="1:45" ht="15.75">
      <c r="F5" s="528"/>
      <c r="G5" s="528"/>
      <c r="H5" s="528"/>
      <c r="I5" s="528"/>
      <c r="J5" s="528"/>
      <c r="K5" s="528"/>
      <c r="L5" s="528"/>
      <c r="M5" s="528"/>
      <c r="N5" s="528"/>
      <c r="O5" s="528"/>
      <c r="P5" s="528"/>
      <c r="Q5" s="528"/>
      <c r="R5" s="528"/>
      <c r="S5" s="528"/>
      <c r="T5" s="528"/>
      <c r="U5" s="528"/>
      <c r="V5" s="528"/>
      <c r="W5" s="528"/>
      <c r="X5" s="528"/>
      <c r="Y5" s="528"/>
      <c r="Z5" s="528"/>
      <c r="AA5" s="528"/>
      <c r="AB5" s="528"/>
      <c r="AC5" s="528"/>
      <c r="AD5" s="528"/>
      <c r="AE5" s="528"/>
      <c r="AF5" s="528"/>
      <c r="AG5" s="528"/>
      <c r="AH5" s="528"/>
      <c r="AI5" s="528"/>
      <c r="AJ5" s="528"/>
      <c r="AK5" s="528"/>
      <c r="AL5" s="528"/>
      <c r="AM5" s="528"/>
      <c r="AN5" s="528"/>
      <c r="AO5" s="528"/>
      <c r="AP5" s="528"/>
      <c r="AQ5" s="528"/>
      <c r="AR5" s="528"/>
      <c r="AS5" s="528"/>
    </row>
    <row r="6" spans="1:45" ht="15.75">
      <c r="C6" s="532" t="s">
        <v>991</v>
      </c>
      <c r="D6" s="533"/>
      <c r="E6" s="534" t="s">
        <v>940</v>
      </c>
      <c r="F6" s="528"/>
      <c r="G6" s="528"/>
      <c r="H6" s="528"/>
      <c r="I6" s="528"/>
      <c r="J6" s="528"/>
      <c r="K6" s="528"/>
      <c r="L6" s="528"/>
      <c r="M6" s="528"/>
      <c r="N6" s="528"/>
      <c r="O6" s="528"/>
      <c r="P6" s="528"/>
      <c r="Q6" s="528"/>
      <c r="R6" s="528"/>
      <c r="S6" s="528"/>
      <c r="T6" s="528"/>
      <c r="U6" s="528"/>
      <c r="V6" s="528"/>
      <c r="W6" s="528"/>
      <c r="X6" s="528"/>
      <c r="Y6" s="528"/>
      <c r="Z6" s="528"/>
      <c r="AA6" s="528"/>
      <c r="AB6" s="528"/>
      <c r="AC6" s="528"/>
      <c r="AD6" s="528"/>
      <c r="AE6" s="528"/>
      <c r="AF6" s="528"/>
      <c r="AG6" s="528"/>
      <c r="AH6" s="528"/>
      <c r="AI6" s="528"/>
      <c r="AJ6" s="528"/>
      <c r="AK6" s="528"/>
      <c r="AL6" s="528"/>
      <c r="AM6" s="528"/>
      <c r="AN6" s="528"/>
      <c r="AO6" s="528"/>
      <c r="AP6" s="528"/>
      <c r="AQ6" s="528"/>
      <c r="AR6" s="528"/>
      <c r="AS6" s="528"/>
    </row>
    <row r="7" spans="1:45" ht="15.75">
      <c r="A7" s="535" t="s">
        <v>992</v>
      </c>
      <c r="B7" s="535"/>
      <c r="C7" s="536">
        <v>2136333910</v>
      </c>
      <c r="D7" s="535"/>
      <c r="E7" s="536">
        <v>1011530516.25</v>
      </c>
      <c r="F7" s="528"/>
      <c r="G7" s="528"/>
      <c r="H7" s="528"/>
      <c r="I7" s="528"/>
      <c r="J7" s="528"/>
      <c r="K7" s="528"/>
      <c r="L7" s="528"/>
      <c r="M7" s="528"/>
      <c r="N7" s="528"/>
      <c r="O7" s="528"/>
      <c r="P7" s="528"/>
      <c r="Q7" s="528"/>
      <c r="R7" s="528"/>
      <c r="S7" s="528"/>
      <c r="T7" s="528"/>
      <c r="U7" s="528"/>
      <c r="V7" s="528"/>
      <c r="W7" s="528"/>
      <c r="X7" s="528"/>
      <c r="Y7" s="528"/>
      <c r="Z7" s="528"/>
      <c r="AA7" s="528"/>
      <c r="AB7" s="528"/>
      <c r="AC7" s="528"/>
      <c r="AD7" s="528"/>
      <c r="AE7" s="528"/>
      <c r="AF7" s="528"/>
      <c r="AG7" s="528"/>
      <c r="AH7" s="528"/>
      <c r="AI7" s="528"/>
      <c r="AJ7" s="528"/>
      <c r="AK7" s="528"/>
      <c r="AL7" s="528"/>
      <c r="AM7" s="528"/>
      <c r="AN7" s="528"/>
      <c r="AO7" s="528"/>
      <c r="AP7" s="528"/>
      <c r="AQ7" s="528"/>
      <c r="AR7" s="528"/>
      <c r="AS7" s="528"/>
    </row>
    <row r="8" spans="1:45" ht="15.75">
      <c r="A8" s="535" t="s">
        <v>993</v>
      </c>
      <c r="B8" s="535"/>
      <c r="C8" s="536"/>
      <c r="D8" s="535"/>
      <c r="E8" s="536"/>
      <c r="F8" s="528"/>
      <c r="G8" s="528"/>
      <c r="H8" s="528"/>
      <c r="I8" s="528"/>
      <c r="J8" s="528"/>
      <c r="K8" s="528"/>
      <c r="L8" s="528"/>
      <c r="M8" s="528"/>
      <c r="N8" s="528"/>
      <c r="O8" s="528"/>
      <c r="P8" s="528"/>
      <c r="Q8" s="528"/>
      <c r="R8" s="528"/>
      <c r="S8" s="528"/>
      <c r="T8" s="528"/>
      <c r="U8" s="528"/>
      <c r="V8" s="528"/>
      <c r="W8" s="528"/>
      <c r="X8" s="528"/>
      <c r="Y8" s="528"/>
      <c r="Z8" s="528"/>
      <c r="AA8" s="528"/>
      <c r="AB8" s="528"/>
      <c r="AC8" s="528"/>
      <c r="AD8" s="528"/>
      <c r="AE8" s="528"/>
      <c r="AF8" s="528"/>
      <c r="AG8" s="528"/>
      <c r="AH8" s="528"/>
      <c r="AI8" s="528"/>
      <c r="AJ8" s="528"/>
      <c r="AK8" s="528"/>
      <c r="AL8" s="528"/>
      <c r="AM8" s="528"/>
      <c r="AN8" s="528"/>
      <c r="AO8" s="528"/>
      <c r="AP8" s="528"/>
      <c r="AQ8" s="528"/>
      <c r="AR8" s="528"/>
      <c r="AS8" s="528"/>
    </row>
    <row r="9" spans="1:45" ht="15.75">
      <c r="A9" s="535" t="s">
        <v>994</v>
      </c>
      <c r="B9" s="535"/>
      <c r="C9" s="537">
        <v>138319481.25999999</v>
      </c>
      <c r="D9" s="535"/>
      <c r="E9" s="537"/>
      <c r="F9" s="528"/>
      <c r="G9" s="528"/>
      <c r="H9" s="528"/>
      <c r="I9" s="528"/>
      <c r="J9" s="528"/>
      <c r="K9" s="528"/>
      <c r="L9" s="528"/>
      <c r="M9" s="528"/>
      <c r="N9" s="528"/>
      <c r="O9" s="528"/>
      <c r="P9" s="528"/>
      <c r="Q9" s="528"/>
      <c r="R9" s="528"/>
      <c r="S9" s="528"/>
      <c r="T9" s="528"/>
      <c r="U9" s="528"/>
      <c r="V9" s="528"/>
      <c r="W9" s="528"/>
      <c r="X9" s="528"/>
      <c r="Y9" s="528"/>
      <c r="Z9" s="528"/>
      <c r="AA9" s="528"/>
      <c r="AB9" s="528"/>
      <c r="AC9" s="528"/>
      <c r="AD9" s="528"/>
      <c r="AE9" s="528"/>
      <c r="AF9" s="528"/>
      <c r="AG9" s="528"/>
      <c r="AH9" s="528"/>
      <c r="AI9" s="528"/>
      <c r="AJ9" s="528"/>
      <c r="AK9" s="528"/>
      <c r="AL9" s="528"/>
      <c r="AM9" s="528"/>
      <c r="AN9" s="528"/>
      <c r="AO9" s="528"/>
      <c r="AP9" s="528"/>
      <c r="AQ9" s="528"/>
      <c r="AR9" s="528"/>
      <c r="AS9" s="528"/>
    </row>
    <row r="10" spans="1:45" ht="15.75">
      <c r="A10" s="535"/>
      <c r="B10" s="535"/>
      <c r="C10" s="538">
        <f>SUM(C7:C9)</f>
        <v>2274653391.2600002</v>
      </c>
      <c r="E10" s="539">
        <f>SUM(E7:E9)</f>
        <v>1011530516.25</v>
      </c>
      <c r="F10" s="528"/>
      <c r="G10" s="528"/>
      <c r="H10" s="528"/>
      <c r="I10" s="528"/>
      <c r="J10" s="528"/>
      <c r="K10" s="528"/>
      <c r="L10" s="528"/>
      <c r="M10" s="528"/>
      <c r="N10" s="528"/>
      <c r="O10" s="528"/>
      <c r="P10" s="528"/>
      <c r="Q10" s="528"/>
      <c r="R10" s="528"/>
      <c r="S10" s="528"/>
      <c r="T10" s="528"/>
      <c r="U10" s="528"/>
      <c r="V10" s="528"/>
      <c r="W10" s="528"/>
      <c r="X10" s="528"/>
      <c r="Y10" s="528"/>
      <c r="Z10" s="528"/>
      <c r="AA10" s="528"/>
      <c r="AB10" s="528"/>
      <c r="AC10" s="528"/>
      <c r="AD10" s="528"/>
      <c r="AE10" s="528"/>
      <c r="AF10" s="528"/>
      <c r="AG10" s="528"/>
      <c r="AH10" s="528"/>
      <c r="AI10" s="528"/>
      <c r="AJ10" s="528"/>
      <c r="AK10" s="528"/>
      <c r="AL10" s="528"/>
      <c r="AM10" s="528"/>
      <c r="AN10" s="528"/>
      <c r="AO10" s="528"/>
      <c r="AP10" s="528"/>
      <c r="AQ10" s="528"/>
      <c r="AR10" s="528"/>
      <c r="AS10" s="528"/>
    </row>
    <row r="11" spans="1:45" ht="15.75">
      <c r="A11" s="535"/>
      <c r="B11" s="535"/>
      <c r="C11" s="538"/>
      <c r="E11" s="539"/>
      <c r="F11" s="528"/>
      <c r="G11" s="528"/>
      <c r="H11" s="528"/>
      <c r="I11" s="528"/>
      <c r="J11" s="528"/>
      <c r="K11" s="528"/>
      <c r="L11" s="528"/>
      <c r="M11" s="528"/>
      <c r="N11" s="528"/>
      <c r="O11" s="528"/>
      <c r="P11" s="528"/>
      <c r="Q11" s="528"/>
      <c r="R11" s="528"/>
      <c r="S11" s="528"/>
      <c r="T11" s="528"/>
      <c r="U11" s="528"/>
      <c r="V11" s="528"/>
      <c r="W11" s="528"/>
      <c r="X11" s="528"/>
      <c r="Y11" s="528"/>
      <c r="Z11" s="528"/>
      <c r="AA11" s="528"/>
      <c r="AB11" s="528"/>
      <c r="AC11" s="528"/>
      <c r="AD11" s="528"/>
      <c r="AE11" s="528"/>
      <c r="AF11" s="528"/>
      <c r="AG11" s="528"/>
      <c r="AH11" s="528"/>
      <c r="AI11" s="528"/>
      <c r="AJ11" s="528"/>
      <c r="AK11" s="528"/>
      <c r="AL11" s="528"/>
      <c r="AM11" s="528"/>
      <c r="AN11" s="528"/>
      <c r="AO11" s="528"/>
      <c r="AP11" s="528"/>
      <c r="AQ11" s="528"/>
      <c r="AR11" s="528"/>
      <c r="AS11" s="528"/>
    </row>
    <row r="12" spans="1:45" ht="15.75">
      <c r="A12" s="535" t="s">
        <v>994</v>
      </c>
      <c r="B12" s="535"/>
      <c r="C12" s="536">
        <v>-138319481.25999999</v>
      </c>
      <c r="E12" s="539"/>
      <c r="F12" s="528"/>
      <c r="G12" s="528"/>
      <c r="H12" s="528"/>
      <c r="I12" s="528"/>
      <c r="J12" s="528"/>
      <c r="K12" s="528"/>
      <c r="L12" s="528"/>
      <c r="M12" s="528"/>
      <c r="N12" s="528"/>
      <c r="O12" s="528"/>
      <c r="P12" s="528"/>
      <c r="Q12" s="528"/>
      <c r="R12" s="528"/>
      <c r="S12" s="528"/>
      <c r="T12" s="528"/>
      <c r="U12" s="528"/>
      <c r="V12" s="528"/>
      <c r="W12" s="528"/>
      <c r="X12" s="528"/>
      <c r="Y12" s="528"/>
      <c r="Z12" s="528"/>
      <c r="AA12" s="528"/>
      <c r="AB12" s="528"/>
      <c r="AC12" s="528"/>
      <c r="AD12" s="528"/>
      <c r="AE12" s="528"/>
      <c r="AF12" s="528"/>
      <c r="AG12" s="528"/>
      <c r="AH12" s="528"/>
      <c r="AI12" s="528"/>
      <c r="AJ12" s="528"/>
      <c r="AK12" s="528"/>
      <c r="AL12" s="528"/>
      <c r="AM12" s="528"/>
      <c r="AN12" s="528"/>
      <c r="AO12" s="528"/>
      <c r="AP12" s="528"/>
      <c r="AQ12" s="528"/>
      <c r="AR12" s="528"/>
      <c r="AS12" s="528"/>
    </row>
    <row r="13" spans="1:45" ht="15.75">
      <c r="A13" s="535" t="s">
        <v>995</v>
      </c>
      <c r="B13" s="535"/>
      <c r="C13" s="538">
        <v>5906999</v>
      </c>
      <c r="E13" s="538">
        <v>8901355</v>
      </c>
      <c r="F13" s="528"/>
      <c r="G13" s="528"/>
      <c r="H13" s="540"/>
      <c r="I13" s="528"/>
      <c r="J13" s="528"/>
      <c r="K13" s="528"/>
      <c r="L13" s="528"/>
      <c r="M13" s="528"/>
      <c r="N13" s="528"/>
      <c r="O13" s="528"/>
      <c r="P13" s="528"/>
      <c r="Q13" s="528"/>
      <c r="R13" s="528"/>
      <c r="S13" s="528"/>
      <c r="T13" s="528"/>
      <c r="U13" s="528"/>
      <c r="V13" s="528"/>
      <c r="W13" s="528"/>
      <c r="X13" s="528"/>
      <c r="Y13" s="528"/>
      <c r="Z13" s="528"/>
      <c r="AA13" s="528"/>
      <c r="AB13" s="528"/>
      <c r="AC13" s="528"/>
      <c r="AD13" s="528"/>
      <c r="AE13" s="528"/>
      <c r="AF13" s="528"/>
      <c r="AG13" s="528"/>
      <c r="AH13" s="528"/>
      <c r="AI13" s="528"/>
      <c r="AJ13" s="528"/>
      <c r="AK13" s="528"/>
      <c r="AL13" s="528"/>
      <c r="AM13" s="528"/>
      <c r="AN13" s="528"/>
      <c r="AO13" s="528"/>
      <c r="AP13" s="528"/>
      <c r="AQ13" s="528"/>
      <c r="AR13" s="528"/>
      <c r="AS13" s="528"/>
    </row>
    <row r="14" spans="1:45" ht="15.75">
      <c r="A14" s="535" t="s">
        <v>996</v>
      </c>
      <c r="B14" s="535"/>
      <c r="C14" s="538">
        <v>51968.32</v>
      </c>
      <c r="E14" s="538"/>
      <c r="F14" s="528"/>
      <c r="G14" s="528"/>
      <c r="H14" s="528"/>
      <c r="I14" s="528"/>
      <c r="J14" s="528"/>
      <c r="K14" s="528"/>
      <c r="L14" s="528"/>
      <c r="M14" s="528"/>
      <c r="N14" s="528"/>
      <c r="O14" s="528"/>
      <c r="P14" s="528"/>
      <c r="Q14" s="528"/>
      <c r="R14" s="528"/>
      <c r="S14" s="528"/>
      <c r="T14" s="528"/>
      <c r="U14" s="528"/>
      <c r="V14" s="528"/>
      <c r="W14" s="528"/>
      <c r="X14" s="528"/>
      <c r="Y14" s="528"/>
      <c r="Z14" s="528"/>
      <c r="AA14" s="528"/>
      <c r="AB14" s="528"/>
      <c r="AC14" s="528"/>
      <c r="AD14" s="528"/>
      <c r="AE14" s="528"/>
      <c r="AF14" s="528"/>
      <c r="AG14" s="528"/>
      <c r="AH14" s="528"/>
      <c r="AI14" s="528"/>
      <c r="AJ14" s="528"/>
      <c r="AK14" s="528"/>
      <c r="AL14" s="528"/>
      <c r="AM14" s="528"/>
      <c r="AN14" s="528"/>
      <c r="AO14" s="528"/>
      <c r="AP14" s="528"/>
      <c r="AQ14" s="528"/>
      <c r="AR14" s="528"/>
      <c r="AS14" s="528"/>
    </row>
    <row r="15" spans="1:45" ht="15.75">
      <c r="A15" s="535" t="s">
        <v>997</v>
      </c>
      <c r="B15" s="535"/>
      <c r="C15" s="538">
        <v>-350182.38</v>
      </c>
      <c r="E15" s="538"/>
      <c r="F15" s="528"/>
      <c r="G15" s="528"/>
      <c r="H15" s="528"/>
      <c r="I15" s="528"/>
      <c r="J15" s="528"/>
      <c r="K15" s="528"/>
      <c r="L15" s="528"/>
      <c r="M15" s="528"/>
      <c r="N15" s="528"/>
      <c r="O15" s="528"/>
      <c r="P15" s="528"/>
      <c r="Q15" s="528"/>
      <c r="R15" s="528"/>
      <c r="S15" s="528"/>
      <c r="T15" s="528"/>
      <c r="U15" s="528"/>
      <c r="V15" s="528"/>
      <c r="W15" s="528"/>
      <c r="X15" s="528"/>
      <c r="Y15" s="528"/>
      <c r="Z15" s="528"/>
      <c r="AA15" s="528"/>
      <c r="AB15" s="528"/>
      <c r="AC15" s="528"/>
      <c r="AD15" s="528"/>
      <c r="AE15" s="528"/>
      <c r="AF15" s="528"/>
      <c r="AG15" s="528"/>
      <c r="AH15" s="528"/>
      <c r="AI15" s="528"/>
      <c r="AJ15" s="528"/>
      <c r="AK15" s="528"/>
      <c r="AL15" s="528"/>
      <c r="AM15" s="528"/>
      <c r="AN15" s="528"/>
      <c r="AO15" s="528"/>
      <c r="AP15" s="528"/>
      <c r="AQ15" s="528"/>
      <c r="AR15" s="528"/>
      <c r="AS15" s="528"/>
    </row>
    <row r="16" spans="1:45" ht="15.75">
      <c r="A16" s="535" t="s">
        <v>998</v>
      </c>
      <c r="B16" s="535"/>
      <c r="C16" s="541">
        <v>-62943075.740000002</v>
      </c>
      <c r="D16" s="542"/>
      <c r="E16" s="543"/>
      <c r="F16" s="528"/>
      <c r="G16" s="528"/>
      <c r="H16" s="528"/>
      <c r="I16" s="528"/>
      <c r="J16" s="528"/>
      <c r="K16" s="528"/>
      <c r="L16" s="528"/>
      <c r="M16" s="528"/>
      <c r="N16" s="528"/>
      <c r="O16" s="528"/>
      <c r="P16" s="528"/>
      <c r="Q16" s="528"/>
      <c r="R16" s="528"/>
      <c r="S16" s="528"/>
      <c r="T16" s="528"/>
      <c r="U16" s="528"/>
      <c r="V16" s="528"/>
      <c r="W16" s="528"/>
      <c r="X16" s="528"/>
      <c r="Y16" s="528"/>
      <c r="Z16" s="528"/>
      <c r="AA16" s="528"/>
      <c r="AB16" s="528"/>
      <c r="AC16" s="528"/>
      <c r="AD16" s="528"/>
      <c r="AE16" s="528"/>
      <c r="AF16" s="528"/>
      <c r="AG16" s="528"/>
      <c r="AH16" s="528"/>
      <c r="AI16" s="528"/>
      <c r="AJ16" s="528"/>
      <c r="AK16" s="528"/>
      <c r="AL16" s="528"/>
      <c r="AM16" s="528"/>
      <c r="AN16" s="528"/>
      <c r="AO16" s="528"/>
      <c r="AP16" s="528"/>
      <c r="AQ16" s="528"/>
      <c r="AR16" s="528"/>
      <c r="AS16" s="528"/>
    </row>
    <row r="17" spans="1:45" ht="15.75">
      <c r="A17" s="535" t="s">
        <v>999</v>
      </c>
      <c r="B17" s="535"/>
      <c r="C17" s="536">
        <f>SUM(C10:C16)</f>
        <v>2078999619.2</v>
      </c>
      <c r="E17" s="536">
        <f>SUM(E10:E16)</f>
        <v>1020431871.25</v>
      </c>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8"/>
      <c r="AD17" s="528"/>
      <c r="AE17" s="528"/>
      <c r="AF17" s="528"/>
      <c r="AG17" s="528"/>
      <c r="AH17" s="528"/>
      <c r="AI17" s="528"/>
      <c r="AJ17" s="528"/>
      <c r="AK17" s="528"/>
      <c r="AL17" s="528"/>
      <c r="AM17" s="528"/>
      <c r="AN17" s="528"/>
      <c r="AO17" s="528"/>
      <c r="AP17" s="528"/>
      <c r="AQ17" s="528"/>
      <c r="AR17" s="528"/>
      <c r="AS17" s="528"/>
    </row>
    <row r="18" spans="1:45" ht="15.75">
      <c r="A18" s="535"/>
      <c r="B18" s="535"/>
      <c r="C18" s="535"/>
      <c r="E18" s="544"/>
      <c r="F18" s="528"/>
      <c r="G18" s="528"/>
      <c r="H18" s="528"/>
      <c r="I18" s="528"/>
      <c r="J18" s="528"/>
      <c r="K18" s="528"/>
      <c r="L18" s="528"/>
      <c r="M18" s="528"/>
      <c r="N18" s="528"/>
      <c r="O18" s="528"/>
      <c r="P18" s="528"/>
      <c r="Q18" s="528"/>
      <c r="R18" s="528"/>
      <c r="S18" s="528"/>
      <c r="T18" s="528"/>
      <c r="U18" s="528"/>
      <c r="V18" s="528"/>
      <c r="W18" s="528"/>
      <c r="X18" s="528"/>
      <c r="Y18" s="528"/>
      <c r="Z18" s="528"/>
      <c r="AA18" s="528"/>
      <c r="AB18" s="528"/>
      <c r="AC18" s="528"/>
      <c r="AD18" s="528"/>
      <c r="AE18" s="528"/>
      <c r="AF18" s="528"/>
      <c r="AG18" s="528"/>
      <c r="AH18" s="528"/>
      <c r="AI18" s="528"/>
      <c r="AJ18" s="528"/>
      <c r="AK18" s="528"/>
      <c r="AL18" s="528"/>
      <c r="AM18" s="528"/>
      <c r="AN18" s="528"/>
      <c r="AO18" s="528"/>
      <c r="AP18" s="528"/>
      <c r="AQ18" s="528"/>
      <c r="AR18" s="528"/>
      <c r="AS18" s="528"/>
    </row>
    <row r="19" spans="1:45" ht="15.75">
      <c r="A19" s="535" t="s">
        <v>1000</v>
      </c>
      <c r="B19" s="535"/>
      <c r="C19" s="545">
        <v>-50000</v>
      </c>
      <c r="E19" s="541">
        <v>-50000</v>
      </c>
      <c r="F19" s="528"/>
      <c r="G19" s="528"/>
      <c r="H19" s="528"/>
      <c r="I19" s="528"/>
      <c r="J19" s="528"/>
      <c r="K19" s="528"/>
      <c r="L19" s="528"/>
      <c r="M19" s="528"/>
      <c r="N19" s="528"/>
      <c r="O19" s="528"/>
      <c r="P19" s="528"/>
      <c r="Q19" s="528"/>
      <c r="R19" s="528"/>
      <c r="S19" s="528"/>
      <c r="T19" s="528"/>
      <c r="U19" s="528"/>
      <c r="V19" s="528"/>
      <c r="W19" s="528"/>
      <c r="X19" s="528"/>
      <c r="Y19" s="528"/>
      <c r="Z19" s="528"/>
      <c r="AA19" s="528"/>
      <c r="AB19" s="528"/>
      <c r="AC19" s="528"/>
      <c r="AD19" s="528"/>
      <c r="AE19" s="528"/>
      <c r="AF19" s="528"/>
      <c r="AG19" s="528"/>
      <c r="AH19" s="528"/>
      <c r="AI19" s="528"/>
      <c r="AJ19" s="528"/>
      <c r="AK19" s="528"/>
      <c r="AL19" s="528"/>
      <c r="AM19" s="528"/>
      <c r="AN19" s="528"/>
      <c r="AO19" s="528"/>
      <c r="AP19" s="528"/>
      <c r="AQ19" s="528"/>
      <c r="AR19" s="528"/>
      <c r="AS19" s="528"/>
    </row>
    <row r="20" spans="1:45" ht="15.75">
      <c r="A20" s="535" t="s">
        <v>1001</v>
      </c>
      <c r="B20" s="535"/>
      <c r="C20" s="546">
        <f>SUM(C17:C19)</f>
        <v>2078949619.2</v>
      </c>
      <c r="E20" s="536">
        <f>SUM(E17:E19)</f>
        <v>1020381871.25</v>
      </c>
      <c r="F20" s="528"/>
      <c r="G20" s="528"/>
      <c r="H20" s="528"/>
      <c r="I20" s="528"/>
      <c r="J20" s="528"/>
      <c r="K20" s="528"/>
      <c r="L20" s="528"/>
      <c r="M20" s="528"/>
      <c r="N20" s="528"/>
      <c r="O20" s="528"/>
      <c r="P20" s="528"/>
      <c r="Q20" s="528"/>
      <c r="R20" s="528"/>
      <c r="S20" s="528"/>
      <c r="T20" s="528"/>
      <c r="U20" s="528"/>
      <c r="V20" s="528"/>
      <c r="W20" s="528"/>
      <c r="X20" s="528"/>
      <c r="Y20" s="528"/>
      <c r="Z20" s="528"/>
      <c r="AA20" s="528"/>
      <c r="AB20" s="528"/>
      <c r="AC20" s="528"/>
      <c r="AD20" s="528"/>
      <c r="AE20" s="528"/>
      <c r="AF20" s="528"/>
      <c r="AG20" s="528"/>
      <c r="AH20" s="528"/>
      <c r="AI20" s="528"/>
      <c r="AJ20" s="528"/>
      <c r="AK20" s="528"/>
      <c r="AL20" s="528"/>
      <c r="AM20" s="528"/>
      <c r="AN20" s="528"/>
      <c r="AO20" s="528"/>
      <c r="AP20" s="528"/>
      <c r="AQ20" s="528"/>
      <c r="AR20" s="528"/>
      <c r="AS20" s="528"/>
    </row>
    <row r="21" spans="1:45" ht="15.75">
      <c r="A21" s="535" t="s">
        <v>1002</v>
      </c>
      <c r="B21" s="547"/>
      <c r="C21" s="548">
        <v>2E-3</v>
      </c>
      <c r="E21" s="548">
        <v>2E-3</v>
      </c>
      <c r="F21" s="528"/>
      <c r="G21" s="528"/>
      <c r="H21" s="528"/>
      <c r="I21" s="528"/>
      <c r="J21" s="528"/>
      <c r="K21" s="528"/>
      <c r="L21" s="528"/>
      <c r="M21" s="528"/>
      <c r="N21" s="528"/>
      <c r="O21" s="528"/>
      <c r="P21" s="528"/>
      <c r="Q21" s="528"/>
      <c r="R21" s="528"/>
      <c r="S21" s="528"/>
      <c r="T21" s="528"/>
      <c r="U21" s="528"/>
      <c r="V21" s="528"/>
      <c r="W21" s="528"/>
      <c r="X21" s="528"/>
      <c r="Y21" s="528"/>
      <c r="Z21" s="528"/>
      <c r="AA21" s="528"/>
      <c r="AB21" s="528"/>
      <c r="AC21" s="528"/>
      <c r="AD21" s="528"/>
      <c r="AE21" s="528"/>
      <c r="AF21" s="528"/>
      <c r="AG21" s="528"/>
      <c r="AH21" s="528"/>
      <c r="AI21" s="528"/>
      <c r="AJ21" s="528"/>
      <c r="AK21" s="528"/>
      <c r="AL21" s="528"/>
      <c r="AM21" s="528"/>
      <c r="AN21" s="528"/>
      <c r="AO21" s="528"/>
      <c r="AP21" s="528"/>
      <c r="AQ21" s="528"/>
      <c r="AR21" s="528"/>
      <c r="AS21" s="528"/>
    </row>
    <row r="22" spans="1:45" ht="15.75">
      <c r="A22" s="535" t="s">
        <v>1003</v>
      </c>
      <c r="B22" s="547" t="s">
        <v>1004</v>
      </c>
      <c r="C22" s="536">
        <f>C20*C21</f>
        <v>4157899.2384000001</v>
      </c>
      <c r="E22" s="536">
        <f>E20*E21</f>
        <v>2040763.7424999999</v>
      </c>
      <c r="F22" s="528"/>
      <c r="G22" s="528"/>
      <c r="H22" s="528"/>
      <c r="I22" s="528"/>
      <c r="J22" s="528"/>
      <c r="K22" s="528"/>
      <c r="L22" s="528"/>
      <c r="M22" s="528"/>
      <c r="N22" s="528"/>
      <c r="O22" s="528"/>
      <c r="P22" s="528"/>
      <c r="Q22" s="528"/>
      <c r="R22" s="528"/>
      <c r="S22" s="528"/>
      <c r="T22" s="528"/>
      <c r="U22" s="528"/>
      <c r="V22" s="528"/>
      <c r="W22" s="528"/>
      <c r="X22" s="528"/>
      <c r="Y22" s="528"/>
      <c r="Z22" s="528"/>
      <c r="AA22" s="528"/>
      <c r="AB22" s="528"/>
      <c r="AC22" s="528"/>
      <c r="AD22" s="528"/>
      <c r="AE22" s="528"/>
      <c r="AF22" s="528"/>
      <c r="AG22" s="528"/>
      <c r="AH22" s="528"/>
      <c r="AI22" s="528"/>
      <c r="AJ22" s="528"/>
      <c r="AK22" s="528"/>
      <c r="AL22" s="528"/>
      <c r="AM22" s="528"/>
      <c r="AN22" s="528"/>
      <c r="AO22" s="528"/>
      <c r="AP22" s="528"/>
      <c r="AQ22" s="528"/>
      <c r="AR22" s="528"/>
      <c r="AS22" s="528"/>
    </row>
    <row r="23" spans="1:45" ht="15.75">
      <c r="A23" s="535"/>
      <c r="B23" s="535"/>
      <c r="C23" s="538"/>
      <c r="E23" s="538"/>
      <c r="F23" s="528"/>
      <c r="G23" s="528"/>
      <c r="H23" s="528"/>
      <c r="I23" s="528"/>
      <c r="J23" s="528"/>
      <c r="K23" s="528"/>
      <c r="L23" s="528"/>
      <c r="M23" s="528"/>
      <c r="N23" s="528"/>
      <c r="O23" s="528"/>
      <c r="P23" s="528"/>
      <c r="Q23" s="528"/>
      <c r="R23" s="528"/>
      <c r="S23" s="528"/>
      <c r="T23" s="528"/>
      <c r="U23" s="528"/>
      <c r="V23" s="528"/>
      <c r="W23" s="528"/>
      <c r="X23" s="528"/>
      <c r="Y23" s="528"/>
      <c r="Z23" s="528"/>
      <c r="AA23" s="528"/>
      <c r="AB23" s="528"/>
      <c r="AC23" s="528"/>
      <c r="AD23" s="528"/>
      <c r="AE23" s="528"/>
      <c r="AF23" s="528"/>
      <c r="AG23" s="528"/>
      <c r="AH23" s="528"/>
      <c r="AI23" s="528"/>
      <c r="AJ23" s="528"/>
      <c r="AK23" s="528"/>
      <c r="AL23" s="528"/>
      <c r="AM23" s="528"/>
      <c r="AN23" s="528"/>
      <c r="AO23" s="528"/>
      <c r="AP23" s="528"/>
      <c r="AQ23" s="528"/>
      <c r="AR23" s="528"/>
      <c r="AS23" s="528"/>
    </row>
    <row r="24" spans="1:45" ht="15.75">
      <c r="A24" s="535" t="s">
        <v>1005</v>
      </c>
      <c r="B24" s="535"/>
      <c r="C24" s="549">
        <f>-C19</f>
        <v>50000</v>
      </c>
      <c r="E24" s="536">
        <f>-E19</f>
        <v>50000</v>
      </c>
      <c r="F24" s="528"/>
      <c r="G24" s="528"/>
      <c r="H24" s="528"/>
      <c r="I24" s="528"/>
      <c r="J24" s="528"/>
      <c r="K24" s="528"/>
      <c r="L24" s="528"/>
      <c r="M24" s="528"/>
      <c r="N24" s="528"/>
      <c r="O24" s="528"/>
      <c r="P24" s="528"/>
      <c r="Q24" s="528"/>
      <c r="R24" s="528"/>
      <c r="S24" s="528"/>
      <c r="T24" s="528"/>
      <c r="U24" s="528"/>
      <c r="V24" s="528"/>
      <c r="W24" s="528"/>
      <c r="X24" s="528"/>
      <c r="Y24" s="528"/>
      <c r="Z24" s="528"/>
      <c r="AA24" s="528"/>
      <c r="AB24" s="528"/>
      <c r="AC24" s="528"/>
      <c r="AD24" s="528"/>
      <c r="AE24" s="528"/>
      <c r="AF24" s="528"/>
      <c r="AG24" s="528"/>
      <c r="AH24" s="528"/>
      <c r="AI24" s="528"/>
      <c r="AJ24" s="528"/>
      <c r="AK24" s="528"/>
      <c r="AL24" s="528"/>
      <c r="AM24" s="528"/>
      <c r="AN24" s="528"/>
      <c r="AO24" s="528"/>
      <c r="AP24" s="528"/>
      <c r="AQ24" s="528"/>
      <c r="AR24" s="528"/>
      <c r="AS24" s="528"/>
    </row>
    <row r="25" spans="1:45" ht="15.75">
      <c r="A25" s="535" t="s">
        <v>1006</v>
      </c>
      <c r="B25" s="547"/>
      <c r="C25" s="550">
        <v>1E-3</v>
      </c>
      <c r="E25" s="550">
        <v>1E-3</v>
      </c>
      <c r="F25" s="528"/>
      <c r="G25" s="528"/>
      <c r="H25" s="528"/>
      <c r="I25" s="528"/>
      <c r="J25" s="528"/>
      <c r="K25" s="528"/>
      <c r="L25" s="528"/>
      <c r="M25" s="528"/>
      <c r="N25" s="528"/>
      <c r="O25" s="528"/>
      <c r="P25" s="528"/>
      <c r="Q25" s="528"/>
      <c r="R25" s="528"/>
      <c r="S25" s="528"/>
      <c r="T25" s="528"/>
      <c r="U25" s="528"/>
      <c r="V25" s="528"/>
      <c r="W25" s="528"/>
      <c r="X25" s="528"/>
      <c r="Y25" s="528"/>
      <c r="Z25" s="528"/>
      <c r="AA25" s="528"/>
      <c r="AB25" s="528"/>
      <c r="AC25" s="528"/>
      <c r="AD25" s="528"/>
      <c r="AE25" s="528"/>
      <c r="AF25" s="528"/>
      <c r="AG25" s="528"/>
      <c r="AH25" s="528"/>
      <c r="AI25" s="528"/>
      <c r="AJ25" s="528"/>
      <c r="AK25" s="528"/>
      <c r="AL25" s="528"/>
      <c r="AM25" s="528"/>
      <c r="AN25" s="528"/>
      <c r="AO25" s="528"/>
      <c r="AP25" s="528"/>
      <c r="AQ25" s="528"/>
      <c r="AR25" s="528"/>
      <c r="AS25" s="528"/>
    </row>
    <row r="26" spans="1:45" ht="15.75">
      <c r="A26" s="535" t="s">
        <v>1007</v>
      </c>
      <c r="B26" s="547" t="s">
        <v>1008</v>
      </c>
      <c r="C26" s="536">
        <f>C24*C25</f>
        <v>50</v>
      </c>
      <c r="E26" s="536">
        <f>E24*E25</f>
        <v>50</v>
      </c>
      <c r="F26" s="528"/>
      <c r="G26" s="528"/>
      <c r="H26" s="528"/>
      <c r="I26" s="528"/>
      <c r="J26" s="528"/>
      <c r="K26" s="528"/>
      <c r="L26" s="528"/>
      <c r="M26" s="528"/>
      <c r="N26" s="528"/>
      <c r="O26" s="528"/>
      <c r="P26" s="528"/>
      <c r="Q26" s="528"/>
      <c r="R26" s="528"/>
      <c r="S26" s="528"/>
      <c r="T26" s="528"/>
      <c r="U26" s="528"/>
      <c r="V26" s="528"/>
      <c r="W26" s="528"/>
      <c r="X26" s="528"/>
      <c r="Y26" s="528"/>
      <c r="Z26" s="528"/>
      <c r="AA26" s="528"/>
      <c r="AB26" s="528"/>
      <c r="AC26" s="528"/>
      <c r="AD26" s="528"/>
      <c r="AE26" s="528"/>
      <c r="AF26" s="528"/>
      <c r="AG26" s="528"/>
      <c r="AH26" s="528"/>
      <c r="AI26" s="528"/>
      <c r="AJ26" s="528"/>
      <c r="AK26" s="528"/>
      <c r="AL26" s="528"/>
      <c r="AM26" s="528"/>
      <c r="AN26" s="528"/>
      <c r="AO26" s="528"/>
      <c r="AP26" s="528"/>
      <c r="AQ26" s="528"/>
      <c r="AR26" s="528"/>
      <c r="AS26" s="528"/>
    </row>
    <row r="27" spans="1:45" ht="15.75">
      <c r="A27" s="535"/>
      <c r="B27" s="535"/>
      <c r="C27" s="538"/>
      <c r="E27" s="551"/>
      <c r="F27" s="528"/>
      <c r="G27" s="528"/>
      <c r="H27" s="528"/>
      <c r="I27" s="528"/>
      <c r="J27" s="528"/>
      <c r="K27" s="528"/>
      <c r="L27" s="528"/>
      <c r="M27" s="528"/>
      <c r="N27" s="528"/>
      <c r="O27" s="528"/>
      <c r="P27" s="528"/>
      <c r="Q27" s="528"/>
      <c r="R27" s="528"/>
      <c r="S27" s="528"/>
      <c r="T27" s="528"/>
      <c r="U27" s="528"/>
      <c r="V27" s="528"/>
      <c r="W27" s="528"/>
      <c r="X27" s="528"/>
      <c r="Y27" s="528"/>
      <c r="Z27" s="528"/>
      <c r="AA27" s="528"/>
      <c r="AB27" s="528"/>
      <c r="AC27" s="528"/>
      <c r="AD27" s="528"/>
      <c r="AE27" s="528"/>
      <c r="AF27" s="528"/>
      <c r="AG27" s="528"/>
      <c r="AH27" s="528"/>
      <c r="AI27" s="528"/>
      <c r="AJ27" s="528"/>
      <c r="AK27" s="528"/>
      <c r="AL27" s="528"/>
      <c r="AM27" s="528"/>
      <c r="AN27" s="528"/>
      <c r="AO27" s="528"/>
      <c r="AP27" s="528"/>
      <c r="AQ27" s="528"/>
      <c r="AR27" s="528"/>
      <c r="AS27" s="528"/>
    </row>
    <row r="28" spans="1:45" ht="15.75">
      <c r="A28" s="535" t="s">
        <v>1009</v>
      </c>
      <c r="B28" s="547" t="s">
        <v>1010</v>
      </c>
      <c r="C28" s="536">
        <f>C22+C26</f>
        <v>4157949.2384000001</v>
      </c>
      <c r="D28" s="552"/>
      <c r="E28" s="536">
        <f>E22+E26</f>
        <v>2040813.7424999999</v>
      </c>
      <c r="F28" s="528"/>
      <c r="G28" s="528"/>
      <c r="H28" s="528"/>
      <c r="I28" s="528"/>
      <c r="J28" s="528"/>
      <c r="K28" s="528"/>
      <c r="L28" s="528"/>
      <c r="M28" s="528"/>
      <c r="N28" s="528"/>
      <c r="O28" s="528"/>
      <c r="P28" s="528"/>
      <c r="Q28" s="528"/>
      <c r="R28" s="528"/>
      <c r="S28" s="528"/>
      <c r="T28" s="528"/>
      <c r="U28" s="528"/>
      <c r="V28" s="528"/>
      <c r="W28" s="528"/>
      <c r="X28" s="528"/>
      <c r="Y28" s="528"/>
      <c r="Z28" s="528"/>
      <c r="AA28" s="528"/>
      <c r="AB28" s="528"/>
      <c r="AC28" s="528"/>
      <c r="AD28" s="528"/>
      <c r="AE28" s="528"/>
      <c r="AF28" s="528"/>
      <c r="AG28" s="528"/>
      <c r="AH28" s="528"/>
      <c r="AI28" s="528"/>
      <c r="AJ28" s="528"/>
      <c r="AK28" s="528"/>
      <c r="AL28" s="528"/>
      <c r="AM28" s="528"/>
      <c r="AN28" s="528"/>
      <c r="AO28" s="528"/>
      <c r="AP28" s="528"/>
      <c r="AQ28" s="528"/>
      <c r="AR28" s="528"/>
      <c r="AS28" s="528"/>
    </row>
    <row r="29" spans="1:45" ht="15.75">
      <c r="F29" s="528"/>
      <c r="G29" s="528"/>
      <c r="H29" s="528"/>
      <c r="I29" s="528"/>
      <c r="J29" s="528"/>
      <c r="K29" s="528"/>
      <c r="L29" s="528"/>
      <c r="M29" s="528"/>
      <c r="N29" s="528"/>
      <c r="O29" s="528"/>
      <c r="P29" s="528"/>
      <c r="Q29" s="528"/>
      <c r="R29" s="528"/>
      <c r="S29" s="528"/>
      <c r="T29" s="528"/>
      <c r="U29" s="528"/>
      <c r="V29" s="528"/>
      <c r="W29" s="528"/>
      <c r="X29" s="528"/>
      <c r="Y29" s="528"/>
      <c r="Z29" s="528"/>
      <c r="AA29" s="528"/>
      <c r="AB29" s="528"/>
      <c r="AC29" s="528"/>
      <c r="AD29" s="528"/>
      <c r="AE29" s="528"/>
      <c r="AF29" s="528"/>
      <c r="AG29" s="528"/>
      <c r="AH29" s="528"/>
      <c r="AI29" s="528"/>
      <c r="AJ29" s="528"/>
      <c r="AK29" s="528"/>
      <c r="AL29" s="528"/>
      <c r="AM29" s="528"/>
      <c r="AN29" s="528"/>
      <c r="AO29" s="528"/>
      <c r="AP29" s="528"/>
      <c r="AQ29" s="528"/>
      <c r="AR29" s="528"/>
      <c r="AS29" s="528"/>
    </row>
  </sheetData>
  <pageMargins left="0.7" right="0.7" top="0.75" bottom="0.75" header="0.3" footer="0.3"/>
  <legacy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29"/>
  <sheetViews>
    <sheetView workbookViewId="0">
      <selection activeCell="H32" sqref="H32"/>
    </sheetView>
  </sheetViews>
  <sheetFormatPr defaultColWidth="13.33203125" defaultRowHeight="12.75"/>
  <cols>
    <col min="1" max="1" width="10.5" style="555" bestFit="1" customWidth="1"/>
    <col min="2" max="2" width="33.6640625" style="555" bestFit="1" customWidth="1"/>
    <col min="3" max="3" width="15" style="555" bestFit="1" customWidth="1"/>
    <col min="4" max="4" width="21.83203125" style="555" bestFit="1" customWidth="1"/>
    <col min="5" max="5" width="20.33203125" style="555" bestFit="1" customWidth="1"/>
    <col min="6" max="6" width="29.83203125" style="555" bestFit="1" customWidth="1"/>
    <col min="7" max="7" width="14.5" style="555" bestFit="1" customWidth="1"/>
    <col min="8" max="8" width="16.33203125" style="565" bestFit="1" customWidth="1"/>
    <col min="9" max="256" width="13.33203125" style="555"/>
    <col min="257" max="257" width="10.5" style="555" bestFit="1" customWidth="1"/>
    <col min="258" max="258" width="33.6640625" style="555" bestFit="1" customWidth="1"/>
    <col min="259" max="259" width="15" style="555" bestFit="1" customWidth="1"/>
    <col min="260" max="260" width="21.83203125" style="555" bestFit="1" customWidth="1"/>
    <col min="261" max="261" width="20.33203125" style="555" bestFit="1" customWidth="1"/>
    <col min="262" max="262" width="29.83203125" style="555" bestFit="1" customWidth="1"/>
    <col min="263" max="263" width="14.5" style="555" bestFit="1" customWidth="1"/>
    <col min="264" max="264" width="16.33203125" style="555" bestFit="1" customWidth="1"/>
    <col min="265" max="512" width="13.33203125" style="555"/>
    <col min="513" max="513" width="10.5" style="555" bestFit="1" customWidth="1"/>
    <col min="514" max="514" width="33.6640625" style="555" bestFit="1" customWidth="1"/>
    <col min="515" max="515" width="15" style="555" bestFit="1" customWidth="1"/>
    <col min="516" max="516" width="21.83203125" style="555" bestFit="1" customWidth="1"/>
    <col min="517" max="517" width="20.33203125" style="555" bestFit="1" customWidth="1"/>
    <col min="518" max="518" width="29.83203125" style="555" bestFit="1" customWidth="1"/>
    <col min="519" max="519" width="14.5" style="555" bestFit="1" customWidth="1"/>
    <col min="520" max="520" width="16.33203125" style="555" bestFit="1" customWidth="1"/>
    <col min="521" max="768" width="13.33203125" style="555"/>
    <col min="769" max="769" width="10.5" style="555" bestFit="1" customWidth="1"/>
    <col min="770" max="770" width="33.6640625" style="555" bestFit="1" customWidth="1"/>
    <col min="771" max="771" width="15" style="555" bestFit="1" customWidth="1"/>
    <col min="772" max="772" width="21.83203125" style="555" bestFit="1" customWidth="1"/>
    <col min="773" max="773" width="20.33203125" style="555" bestFit="1" customWidth="1"/>
    <col min="774" max="774" width="29.83203125" style="555" bestFit="1" customWidth="1"/>
    <col min="775" max="775" width="14.5" style="555" bestFit="1" customWidth="1"/>
    <col min="776" max="776" width="16.33203125" style="555" bestFit="1" customWidth="1"/>
    <col min="777" max="1024" width="13.33203125" style="555"/>
    <col min="1025" max="1025" width="10.5" style="555" bestFit="1" customWidth="1"/>
    <col min="1026" max="1026" width="33.6640625" style="555" bestFit="1" customWidth="1"/>
    <col min="1027" max="1027" width="15" style="555" bestFit="1" customWidth="1"/>
    <col min="1028" max="1028" width="21.83203125" style="555" bestFit="1" customWidth="1"/>
    <col min="1029" max="1029" width="20.33203125" style="555" bestFit="1" customWidth="1"/>
    <col min="1030" max="1030" width="29.83203125" style="555" bestFit="1" customWidth="1"/>
    <col min="1031" max="1031" width="14.5" style="555" bestFit="1" customWidth="1"/>
    <col min="1032" max="1032" width="16.33203125" style="555" bestFit="1" customWidth="1"/>
    <col min="1033" max="1280" width="13.33203125" style="555"/>
    <col min="1281" max="1281" width="10.5" style="555" bestFit="1" customWidth="1"/>
    <col min="1282" max="1282" width="33.6640625" style="555" bestFit="1" customWidth="1"/>
    <col min="1283" max="1283" width="15" style="555" bestFit="1" customWidth="1"/>
    <col min="1284" max="1284" width="21.83203125" style="555" bestFit="1" customWidth="1"/>
    <col min="1285" max="1285" width="20.33203125" style="555" bestFit="1" customWidth="1"/>
    <col min="1286" max="1286" width="29.83203125" style="555" bestFit="1" customWidth="1"/>
    <col min="1287" max="1287" width="14.5" style="555" bestFit="1" customWidth="1"/>
    <col min="1288" max="1288" width="16.33203125" style="555" bestFit="1" customWidth="1"/>
    <col min="1289" max="1536" width="13.33203125" style="555"/>
    <col min="1537" max="1537" width="10.5" style="555" bestFit="1" customWidth="1"/>
    <col min="1538" max="1538" width="33.6640625" style="555" bestFit="1" customWidth="1"/>
    <col min="1539" max="1539" width="15" style="555" bestFit="1" customWidth="1"/>
    <col min="1540" max="1540" width="21.83203125" style="555" bestFit="1" customWidth="1"/>
    <col min="1541" max="1541" width="20.33203125" style="555" bestFit="1" customWidth="1"/>
    <col min="1542" max="1542" width="29.83203125" style="555" bestFit="1" customWidth="1"/>
    <col min="1543" max="1543" width="14.5" style="555" bestFit="1" customWidth="1"/>
    <col min="1544" max="1544" width="16.33203125" style="555" bestFit="1" customWidth="1"/>
    <col min="1545" max="1792" width="13.33203125" style="555"/>
    <col min="1793" max="1793" width="10.5" style="555" bestFit="1" customWidth="1"/>
    <col min="1794" max="1794" width="33.6640625" style="555" bestFit="1" customWidth="1"/>
    <col min="1795" max="1795" width="15" style="555" bestFit="1" customWidth="1"/>
    <col min="1796" max="1796" width="21.83203125" style="555" bestFit="1" customWidth="1"/>
    <col min="1797" max="1797" width="20.33203125" style="555" bestFit="1" customWidth="1"/>
    <col min="1798" max="1798" width="29.83203125" style="555" bestFit="1" customWidth="1"/>
    <col min="1799" max="1799" width="14.5" style="555" bestFit="1" customWidth="1"/>
    <col min="1800" max="1800" width="16.33203125" style="555" bestFit="1" customWidth="1"/>
    <col min="1801" max="2048" width="13.33203125" style="555"/>
    <col min="2049" max="2049" width="10.5" style="555" bestFit="1" customWidth="1"/>
    <col min="2050" max="2050" width="33.6640625" style="555" bestFit="1" customWidth="1"/>
    <col min="2051" max="2051" width="15" style="555" bestFit="1" customWidth="1"/>
    <col min="2052" max="2052" width="21.83203125" style="555" bestFit="1" customWidth="1"/>
    <col min="2053" max="2053" width="20.33203125" style="555" bestFit="1" customWidth="1"/>
    <col min="2054" max="2054" width="29.83203125" style="555" bestFit="1" customWidth="1"/>
    <col min="2055" max="2055" width="14.5" style="555" bestFit="1" customWidth="1"/>
    <col min="2056" max="2056" width="16.33203125" style="555" bestFit="1" customWidth="1"/>
    <col min="2057" max="2304" width="13.33203125" style="555"/>
    <col min="2305" max="2305" width="10.5" style="555" bestFit="1" customWidth="1"/>
    <col min="2306" max="2306" width="33.6640625" style="555" bestFit="1" customWidth="1"/>
    <col min="2307" max="2307" width="15" style="555" bestFit="1" customWidth="1"/>
    <col min="2308" max="2308" width="21.83203125" style="555" bestFit="1" customWidth="1"/>
    <col min="2309" max="2309" width="20.33203125" style="555" bestFit="1" customWidth="1"/>
    <col min="2310" max="2310" width="29.83203125" style="555" bestFit="1" customWidth="1"/>
    <col min="2311" max="2311" width="14.5" style="555" bestFit="1" customWidth="1"/>
    <col min="2312" max="2312" width="16.33203125" style="555" bestFit="1" customWidth="1"/>
    <col min="2313" max="2560" width="13.33203125" style="555"/>
    <col min="2561" max="2561" width="10.5" style="555" bestFit="1" customWidth="1"/>
    <col min="2562" max="2562" width="33.6640625" style="555" bestFit="1" customWidth="1"/>
    <col min="2563" max="2563" width="15" style="555" bestFit="1" customWidth="1"/>
    <col min="2564" max="2564" width="21.83203125" style="555" bestFit="1" customWidth="1"/>
    <col min="2565" max="2565" width="20.33203125" style="555" bestFit="1" customWidth="1"/>
    <col min="2566" max="2566" width="29.83203125" style="555" bestFit="1" customWidth="1"/>
    <col min="2567" max="2567" width="14.5" style="555" bestFit="1" customWidth="1"/>
    <col min="2568" max="2568" width="16.33203125" style="555" bestFit="1" customWidth="1"/>
    <col min="2569" max="2816" width="13.33203125" style="555"/>
    <col min="2817" max="2817" width="10.5" style="555" bestFit="1" customWidth="1"/>
    <col min="2818" max="2818" width="33.6640625" style="555" bestFit="1" customWidth="1"/>
    <col min="2819" max="2819" width="15" style="555" bestFit="1" customWidth="1"/>
    <col min="2820" max="2820" width="21.83203125" style="555" bestFit="1" customWidth="1"/>
    <col min="2821" max="2821" width="20.33203125" style="555" bestFit="1" customWidth="1"/>
    <col min="2822" max="2822" width="29.83203125" style="555" bestFit="1" customWidth="1"/>
    <col min="2823" max="2823" width="14.5" style="555" bestFit="1" customWidth="1"/>
    <col min="2824" max="2824" width="16.33203125" style="555" bestFit="1" customWidth="1"/>
    <col min="2825" max="3072" width="13.33203125" style="555"/>
    <col min="3073" max="3073" width="10.5" style="555" bestFit="1" customWidth="1"/>
    <col min="3074" max="3074" width="33.6640625" style="555" bestFit="1" customWidth="1"/>
    <col min="3075" max="3075" width="15" style="555" bestFit="1" customWidth="1"/>
    <col min="3076" max="3076" width="21.83203125" style="555" bestFit="1" customWidth="1"/>
    <col min="3077" max="3077" width="20.33203125" style="555" bestFit="1" customWidth="1"/>
    <col min="3078" max="3078" width="29.83203125" style="555" bestFit="1" customWidth="1"/>
    <col min="3079" max="3079" width="14.5" style="555" bestFit="1" customWidth="1"/>
    <col min="3080" max="3080" width="16.33203125" style="555" bestFit="1" customWidth="1"/>
    <col min="3081" max="3328" width="13.33203125" style="555"/>
    <col min="3329" max="3329" width="10.5" style="555" bestFit="1" customWidth="1"/>
    <col min="3330" max="3330" width="33.6640625" style="555" bestFit="1" customWidth="1"/>
    <col min="3331" max="3331" width="15" style="555" bestFit="1" customWidth="1"/>
    <col min="3332" max="3332" width="21.83203125" style="555" bestFit="1" customWidth="1"/>
    <col min="3333" max="3333" width="20.33203125" style="555" bestFit="1" customWidth="1"/>
    <col min="3334" max="3334" width="29.83203125" style="555" bestFit="1" customWidth="1"/>
    <col min="3335" max="3335" width="14.5" style="555" bestFit="1" customWidth="1"/>
    <col min="3336" max="3336" width="16.33203125" style="555" bestFit="1" customWidth="1"/>
    <col min="3337" max="3584" width="13.33203125" style="555"/>
    <col min="3585" max="3585" width="10.5" style="555" bestFit="1" customWidth="1"/>
    <col min="3586" max="3586" width="33.6640625" style="555" bestFit="1" customWidth="1"/>
    <col min="3587" max="3587" width="15" style="555" bestFit="1" customWidth="1"/>
    <col min="3588" max="3588" width="21.83203125" style="555" bestFit="1" customWidth="1"/>
    <col min="3589" max="3589" width="20.33203125" style="555" bestFit="1" customWidth="1"/>
    <col min="3590" max="3590" width="29.83203125" style="555" bestFit="1" customWidth="1"/>
    <col min="3591" max="3591" width="14.5" style="555" bestFit="1" customWidth="1"/>
    <col min="3592" max="3592" width="16.33203125" style="555" bestFit="1" customWidth="1"/>
    <col min="3593" max="3840" width="13.33203125" style="555"/>
    <col min="3841" max="3841" width="10.5" style="555" bestFit="1" customWidth="1"/>
    <col min="3842" max="3842" width="33.6640625" style="555" bestFit="1" customWidth="1"/>
    <col min="3843" max="3843" width="15" style="555" bestFit="1" customWidth="1"/>
    <col min="3844" max="3844" width="21.83203125" style="555" bestFit="1" customWidth="1"/>
    <col min="3845" max="3845" width="20.33203125" style="555" bestFit="1" customWidth="1"/>
    <col min="3846" max="3846" width="29.83203125" style="555" bestFit="1" customWidth="1"/>
    <col min="3847" max="3847" width="14.5" style="555" bestFit="1" customWidth="1"/>
    <col min="3848" max="3848" width="16.33203125" style="555" bestFit="1" customWidth="1"/>
    <col min="3849" max="4096" width="13.33203125" style="555"/>
    <col min="4097" max="4097" width="10.5" style="555" bestFit="1" customWidth="1"/>
    <col min="4098" max="4098" width="33.6640625" style="555" bestFit="1" customWidth="1"/>
    <col min="4099" max="4099" width="15" style="555" bestFit="1" customWidth="1"/>
    <col min="4100" max="4100" width="21.83203125" style="555" bestFit="1" customWidth="1"/>
    <col min="4101" max="4101" width="20.33203125" style="555" bestFit="1" customWidth="1"/>
    <col min="4102" max="4102" width="29.83203125" style="555" bestFit="1" customWidth="1"/>
    <col min="4103" max="4103" width="14.5" style="555" bestFit="1" customWidth="1"/>
    <col min="4104" max="4104" width="16.33203125" style="555" bestFit="1" customWidth="1"/>
    <col min="4105" max="4352" width="13.33203125" style="555"/>
    <col min="4353" max="4353" width="10.5" style="555" bestFit="1" customWidth="1"/>
    <col min="4354" max="4354" width="33.6640625" style="555" bestFit="1" customWidth="1"/>
    <col min="4355" max="4355" width="15" style="555" bestFit="1" customWidth="1"/>
    <col min="4356" max="4356" width="21.83203125" style="555" bestFit="1" customWidth="1"/>
    <col min="4357" max="4357" width="20.33203125" style="555" bestFit="1" customWidth="1"/>
    <col min="4358" max="4358" width="29.83203125" style="555" bestFit="1" customWidth="1"/>
    <col min="4359" max="4359" width="14.5" style="555" bestFit="1" customWidth="1"/>
    <col min="4360" max="4360" width="16.33203125" style="555" bestFit="1" customWidth="1"/>
    <col min="4361" max="4608" width="13.33203125" style="555"/>
    <col min="4609" max="4609" width="10.5" style="555" bestFit="1" customWidth="1"/>
    <col min="4610" max="4610" width="33.6640625" style="555" bestFit="1" customWidth="1"/>
    <col min="4611" max="4611" width="15" style="555" bestFit="1" customWidth="1"/>
    <col min="4612" max="4612" width="21.83203125" style="555" bestFit="1" customWidth="1"/>
    <col min="4613" max="4613" width="20.33203125" style="555" bestFit="1" customWidth="1"/>
    <col min="4614" max="4614" width="29.83203125" style="555" bestFit="1" customWidth="1"/>
    <col min="4615" max="4615" width="14.5" style="555" bestFit="1" customWidth="1"/>
    <col min="4616" max="4616" width="16.33203125" style="555" bestFit="1" customWidth="1"/>
    <col min="4617" max="4864" width="13.33203125" style="555"/>
    <col min="4865" max="4865" width="10.5" style="555" bestFit="1" customWidth="1"/>
    <col min="4866" max="4866" width="33.6640625" style="555" bestFit="1" customWidth="1"/>
    <col min="4867" max="4867" width="15" style="555" bestFit="1" customWidth="1"/>
    <col min="4868" max="4868" width="21.83203125" style="555" bestFit="1" customWidth="1"/>
    <col min="4869" max="4869" width="20.33203125" style="555" bestFit="1" customWidth="1"/>
    <col min="4870" max="4870" width="29.83203125" style="555" bestFit="1" customWidth="1"/>
    <col min="4871" max="4871" width="14.5" style="555" bestFit="1" customWidth="1"/>
    <col min="4872" max="4872" width="16.33203125" style="555" bestFit="1" customWidth="1"/>
    <col min="4873" max="5120" width="13.33203125" style="555"/>
    <col min="5121" max="5121" width="10.5" style="555" bestFit="1" customWidth="1"/>
    <col min="5122" max="5122" width="33.6640625" style="555" bestFit="1" customWidth="1"/>
    <col min="5123" max="5123" width="15" style="555" bestFit="1" customWidth="1"/>
    <col min="5124" max="5124" width="21.83203125" style="555" bestFit="1" customWidth="1"/>
    <col min="5125" max="5125" width="20.33203125" style="555" bestFit="1" customWidth="1"/>
    <col min="5126" max="5126" width="29.83203125" style="555" bestFit="1" customWidth="1"/>
    <col min="5127" max="5127" width="14.5" style="555" bestFit="1" customWidth="1"/>
    <col min="5128" max="5128" width="16.33203125" style="555" bestFit="1" customWidth="1"/>
    <col min="5129" max="5376" width="13.33203125" style="555"/>
    <col min="5377" max="5377" width="10.5" style="555" bestFit="1" customWidth="1"/>
    <col min="5378" max="5378" width="33.6640625" style="555" bestFit="1" customWidth="1"/>
    <col min="5379" max="5379" width="15" style="555" bestFit="1" customWidth="1"/>
    <col min="5380" max="5380" width="21.83203125" style="555" bestFit="1" customWidth="1"/>
    <col min="5381" max="5381" width="20.33203125" style="555" bestFit="1" customWidth="1"/>
    <col min="5382" max="5382" width="29.83203125" style="555" bestFit="1" customWidth="1"/>
    <col min="5383" max="5383" width="14.5" style="555" bestFit="1" customWidth="1"/>
    <col min="5384" max="5384" width="16.33203125" style="555" bestFit="1" customWidth="1"/>
    <col min="5385" max="5632" width="13.33203125" style="555"/>
    <col min="5633" max="5633" width="10.5" style="555" bestFit="1" customWidth="1"/>
    <col min="5634" max="5634" width="33.6640625" style="555" bestFit="1" customWidth="1"/>
    <col min="5635" max="5635" width="15" style="555" bestFit="1" customWidth="1"/>
    <col min="5636" max="5636" width="21.83203125" style="555" bestFit="1" customWidth="1"/>
    <col min="5637" max="5637" width="20.33203125" style="555" bestFit="1" customWidth="1"/>
    <col min="5638" max="5638" width="29.83203125" style="555" bestFit="1" customWidth="1"/>
    <col min="5639" max="5639" width="14.5" style="555" bestFit="1" customWidth="1"/>
    <col min="5640" max="5640" width="16.33203125" style="555" bestFit="1" customWidth="1"/>
    <col min="5641" max="5888" width="13.33203125" style="555"/>
    <col min="5889" max="5889" width="10.5" style="555" bestFit="1" customWidth="1"/>
    <col min="5890" max="5890" width="33.6640625" style="555" bestFit="1" customWidth="1"/>
    <col min="5891" max="5891" width="15" style="555" bestFit="1" customWidth="1"/>
    <col min="5892" max="5892" width="21.83203125" style="555" bestFit="1" customWidth="1"/>
    <col min="5893" max="5893" width="20.33203125" style="555" bestFit="1" customWidth="1"/>
    <col min="5894" max="5894" width="29.83203125" style="555" bestFit="1" customWidth="1"/>
    <col min="5895" max="5895" width="14.5" style="555" bestFit="1" customWidth="1"/>
    <col min="5896" max="5896" width="16.33203125" style="555" bestFit="1" customWidth="1"/>
    <col min="5897" max="6144" width="13.33203125" style="555"/>
    <col min="6145" max="6145" width="10.5" style="555" bestFit="1" customWidth="1"/>
    <col min="6146" max="6146" width="33.6640625" style="555" bestFit="1" customWidth="1"/>
    <col min="6147" max="6147" width="15" style="555" bestFit="1" customWidth="1"/>
    <col min="6148" max="6148" width="21.83203125" style="555" bestFit="1" customWidth="1"/>
    <col min="6149" max="6149" width="20.33203125" style="555" bestFit="1" customWidth="1"/>
    <col min="6150" max="6150" width="29.83203125" style="555" bestFit="1" customWidth="1"/>
    <col min="6151" max="6151" width="14.5" style="555" bestFit="1" customWidth="1"/>
    <col min="6152" max="6152" width="16.33203125" style="555" bestFit="1" customWidth="1"/>
    <col min="6153" max="6400" width="13.33203125" style="555"/>
    <col min="6401" max="6401" width="10.5" style="555" bestFit="1" customWidth="1"/>
    <col min="6402" max="6402" width="33.6640625" style="555" bestFit="1" customWidth="1"/>
    <col min="6403" max="6403" width="15" style="555" bestFit="1" customWidth="1"/>
    <col min="6404" max="6404" width="21.83203125" style="555" bestFit="1" customWidth="1"/>
    <col min="6405" max="6405" width="20.33203125" style="555" bestFit="1" customWidth="1"/>
    <col min="6406" max="6406" width="29.83203125" style="555" bestFit="1" customWidth="1"/>
    <col min="6407" max="6407" width="14.5" style="555" bestFit="1" customWidth="1"/>
    <col min="6408" max="6408" width="16.33203125" style="555" bestFit="1" customWidth="1"/>
    <col min="6409" max="6656" width="13.33203125" style="555"/>
    <col min="6657" max="6657" width="10.5" style="555" bestFit="1" customWidth="1"/>
    <col min="6658" max="6658" width="33.6640625" style="555" bestFit="1" customWidth="1"/>
    <col min="6659" max="6659" width="15" style="555" bestFit="1" customWidth="1"/>
    <col min="6660" max="6660" width="21.83203125" style="555" bestFit="1" customWidth="1"/>
    <col min="6661" max="6661" width="20.33203125" style="555" bestFit="1" customWidth="1"/>
    <col min="6662" max="6662" width="29.83203125" style="555" bestFit="1" customWidth="1"/>
    <col min="6663" max="6663" width="14.5" style="555" bestFit="1" customWidth="1"/>
    <col min="6664" max="6664" width="16.33203125" style="555" bestFit="1" customWidth="1"/>
    <col min="6665" max="6912" width="13.33203125" style="555"/>
    <col min="6913" max="6913" width="10.5" style="555" bestFit="1" customWidth="1"/>
    <col min="6914" max="6914" width="33.6640625" style="555" bestFit="1" customWidth="1"/>
    <col min="6915" max="6915" width="15" style="555" bestFit="1" customWidth="1"/>
    <col min="6916" max="6916" width="21.83203125" style="555" bestFit="1" customWidth="1"/>
    <col min="6917" max="6917" width="20.33203125" style="555" bestFit="1" customWidth="1"/>
    <col min="6918" max="6918" width="29.83203125" style="555" bestFit="1" customWidth="1"/>
    <col min="6919" max="6919" width="14.5" style="555" bestFit="1" customWidth="1"/>
    <col min="6920" max="6920" width="16.33203125" style="555" bestFit="1" customWidth="1"/>
    <col min="6921" max="7168" width="13.33203125" style="555"/>
    <col min="7169" max="7169" width="10.5" style="555" bestFit="1" customWidth="1"/>
    <col min="7170" max="7170" width="33.6640625" style="555" bestFit="1" customWidth="1"/>
    <col min="7171" max="7171" width="15" style="555" bestFit="1" customWidth="1"/>
    <col min="7172" max="7172" width="21.83203125" style="555" bestFit="1" customWidth="1"/>
    <col min="7173" max="7173" width="20.33203125" style="555" bestFit="1" customWidth="1"/>
    <col min="7174" max="7174" width="29.83203125" style="555" bestFit="1" customWidth="1"/>
    <col min="7175" max="7175" width="14.5" style="555" bestFit="1" customWidth="1"/>
    <col min="7176" max="7176" width="16.33203125" style="555" bestFit="1" customWidth="1"/>
    <col min="7177" max="7424" width="13.33203125" style="555"/>
    <col min="7425" max="7425" width="10.5" style="555" bestFit="1" customWidth="1"/>
    <col min="7426" max="7426" width="33.6640625" style="555" bestFit="1" customWidth="1"/>
    <col min="7427" max="7427" width="15" style="555" bestFit="1" customWidth="1"/>
    <col min="7428" max="7428" width="21.83203125" style="555" bestFit="1" customWidth="1"/>
    <col min="7429" max="7429" width="20.33203125" style="555" bestFit="1" customWidth="1"/>
    <col min="7430" max="7430" width="29.83203125" style="555" bestFit="1" customWidth="1"/>
    <col min="7431" max="7431" width="14.5" style="555" bestFit="1" customWidth="1"/>
    <col min="7432" max="7432" width="16.33203125" style="555" bestFit="1" customWidth="1"/>
    <col min="7433" max="7680" width="13.33203125" style="555"/>
    <col min="7681" max="7681" width="10.5" style="555" bestFit="1" customWidth="1"/>
    <col min="7682" max="7682" width="33.6640625" style="555" bestFit="1" customWidth="1"/>
    <col min="7683" max="7683" width="15" style="555" bestFit="1" customWidth="1"/>
    <col min="7684" max="7684" width="21.83203125" style="555" bestFit="1" customWidth="1"/>
    <col min="7685" max="7685" width="20.33203125" style="555" bestFit="1" customWidth="1"/>
    <col min="7686" max="7686" width="29.83203125" style="555" bestFit="1" customWidth="1"/>
    <col min="7687" max="7687" width="14.5" style="555" bestFit="1" customWidth="1"/>
    <col min="7688" max="7688" width="16.33203125" style="555" bestFit="1" customWidth="1"/>
    <col min="7689" max="7936" width="13.33203125" style="555"/>
    <col min="7937" max="7937" width="10.5" style="555" bestFit="1" customWidth="1"/>
    <col min="7938" max="7938" width="33.6640625" style="555" bestFit="1" customWidth="1"/>
    <col min="7939" max="7939" width="15" style="555" bestFit="1" customWidth="1"/>
    <col min="7940" max="7940" width="21.83203125" style="555" bestFit="1" customWidth="1"/>
    <col min="7941" max="7941" width="20.33203125" style="555" bestFit="1" customWidth="1"/>
    <col min="7942" max="7942" width="29.83203125" style="555" bestFit="1" customWidth="1"/>
    <col min="7943" max="7943" width="14.5" style="555" bestFit="1" customWidth="1"/>
    <col min="7944" max="7944" width="16.33203125" style="555" bestFit="1" customWidth="1"/>
    <col min="7945" max="8192" width="13.33203125" style="555"/>
    <col min="8193" max="8193" width="10.5" style="555" bestFit="1" customWidth="1"/>
    <col min="8194" max="8194" width="33.6640625" style="555" bestFit="1" customWidth="1"/>
    <col min="8195" max="8195" width="15" style="555" bestFit="1" customWidth="1"/>
    <col min="8196" max="8196" width="21.83203125" style="555" bestFit="1" customWidth="1"/>
    <col min="8197" max="8197" width="20.33203125" style="555" bestFit="1" customWidth="1"/>
    <col min="8198" max="8198" width="29.83203125" style="555" bestFit="1" customWidth="1"/>
    <col min="8199" max="8199" width="14.5" style="555" bestFit="1" customWidth="1"/>
    <col min="8200" max="8200" width="16.33203125" style="555" bestFit="1" customWidth="1"/>
    <col min="8201" max="8448" width="13.33203125" style="555"/>
    <col min="8449" max="8449" width="10.5" style="555" bestFit="1" customWidth="1"/>
    <col min="8450" max="8450" width="33.6640625" style="555" bestFit="1" customWidth="1"/>
    <col min="8451" max="8451" width="15" style="555" bestFit="1" customWidth="1"/>
    <col min="8452" max="8452" width="21.83203125" style="555" bestFit="1" customWidth="1"/>
    <col min="8453" max="8453" width="20.33203125" style="555" bestFit="1" customWidth="1"/>
    <col min="8454" max="8454" width="29.83203125" style="555" bestFit="1" customWidth="1"/>
    <col min="8455" max="8455" width="14.5" style="555" bestFit="1" customWidth="1"/>
    <col min="8456" max="8456" width="16.33203125" style="555" bestFit="1" customWidth="1"/>
    <col min="8457" max="8704" width="13.33203125" style="555"/>
    <col min="8705" max="8705" width="10.5" style="555" bestFit="1" customWidth="1"/>
    <col min="8706" max="8706" width="33.6640625" style="555" bestFit="1" customWidth="1"/>
    <col min="8707" max="8707" width="15" style="555" bestFit="1" customWidth="1"/>
    <col min="8708" max="8708" width="21.83203125" style="555" bestFit="1" customWidth="1"/>
    <col min="8709" max="8709" width="20.33203125" style="555" bestFit="1" customWidth="1"/>
    <col min="8710" max="8710" width="29.83203125" style="555" bestFit="1" customWidth="1"/>
    <col min="8711" max="8711" width="14.5" style="555" bestFit="1" customWidth="1"/>
    <col min="8712" max="8712" width="16.33203125" style="555" bestFit="1" customWidth="1"/>
    <col min="8713" max="8960" width="13.33203125" style="555"/>
    <col min="8961" max="8961" width="10.5" style="555" bestFit="1" customWidth="1"/>
    <col min="8962" max="8962" width="33.6640625" style="555" bestFit="1" customWidth="1"/>
    <col min="8963" max="8963" width="15" style="555" bestFit="1" customWidth="1"/>
    <col min="8964" max="8964" width="21.83203125" style="555" bestFit="1" customWidth="1"/>
    <col min="8965" max="8965" width="20.33203125" style="555" bestFit="1" customWidth="1"/>
    <col min="8966" max="8966" width="29.83203125" style="555" bestFit="1" customWidth="1"/>
    <col min="8967" max="8967" width="14.5" style="555" bestFit="1" customWidth="1"/>
    <col min="8968" max="8968" width="16.33203125" style="555" bestFit="1" customWidth="1"/>
    <col min="8969" max="9216" width="13.33203125" style="555"/>
    <col min="9217" max="9217" width="10.5" style="555" bestFit="1" customWidth="1"/>
    <col min="9218" max="9218" width="33.6640625" style="555" bestFit="1" customWidth="1"/>
    <col min="9219" max="9219" width="15" style="555" bestFit="1" customWidth="1"/>
    <col min="9220" max="9220" width="21.83203125" style="555" bestFit="1" customWidth="1"/>
    <col min="9221" max="9221" width="20.33203125" style="555" bestFit="1" customWidth="1"/>
    <col min="9222" max="9222" width="29.83203125" style="555" bestFit="1" customWidth="1"/>
    <col min="9223" max="9223" width="14.5" style="555" bestFit="1" customWidth="1"/>
    <col min="9224" max="9224" width="16.33203125" style="555" bestFit="1" customWidth="1"/>
    <col min="9225" max="9472" width="13.33203125" style="555"/>
    <col min="9473" max="9473" width="10.5" style="555" bestFit="1" customWidth="1"/>
    <col min="9474" max="9474" width="33.6640625" style="555" bestFit="1" customWidth="1"/>
    <col min="9475" max="9475" width="15" style="555" bestFit="1" customWidth="1"/>
    <col min="9476" max="9476" width="21.83203125" style="555" bestFit="1" customWidth="1"/>
    <col min="9477" max="9477" width="20.33203125" style="555" bestFit="1" customWidth="1"/>
    <col min="9478" max="9478" width="29.83203125" style="555" bestFit="1" customWidth="1"/>
    <col min="9479" max="9479" width="14.5" style="555" bestFit="1" customWidth="1"/>
    <col min="9480" max="9480" width="16.33203125" style="555" bestFit="1" customWidth="1"/>
    <col min="9481" max="9728" width="13.33203125" style="555"/>
    <col min="9729" max="9729" width="10.5" style="555" bestFit="1" customWidth="1"/>
    <col min="9730" max="9730" width="33.6640625" style="555" bestFit="1" customWidth="1"/>
    <col min="9731" max="9731" width="15" style="555" bestFit="1" customWidth="1"/>
    <col min="9732" max="9732" width="21.83203125" style="555" bestFit="1" customWidth="1"/>
    <col min="9733" max="9733" width="20.33203125" style="555" bestFit="1" customWidth="1"/>
    <col min="9734" max="9734" width="29.83203125" style="555" bestFit="1" customWidth="1"/>
    <col min="9735" max="9735" width="14.5" style="555" bestFit="1" customWidth="1"/>
    <col min="9736" max="9736" width="16.33203125" style="555" bestFit="1" customWidth="1"/>
    <col min="9737" max="9984" width="13.33203125" style="555"/>
    <col min="9985" max="9985" width="10.5" style="555" bestFit="1" customWidth="1"/>
    <col min="9986" max="9986" width="33.6640625" style="555" bestFit="1" customWidth="1"/>
    <col min="9987" max="9987" width="15" style="555" bestFit="1" customWidth="1"/>
    <col min="9988" max="9988" width="21.83203125" style="555" bestFit="1" customWidth="1"/>
    <col min="9989" max="9989" width="20.33203125" style="555" bestFit="1" customWidth="1"/>
    <col min="9990" max="9990" width="29.83203125" style="555" bestFit="1" customWidth="1"/>
    <col min="9991" max="9991" width="14.5" style="555" bestFit="1" customWidth="1"/>
    <col min="9992" max="9992" width="16.33203125" style="555" bestFit="1" customWidth="1"/>
    <col min="9993" max="10240" width="13.33203125" style="555"/>
    <col min="10241" max="10241" width="10.5" style="555" bestFit="1" customWidth="1"/>
    <col min="10242" max="10242" width="33.6640625" style="555" bestFit="1" customWidth="1"/>
    <col min="10243" max="10243" width="15" style="555" bestFit="1" customWidth="1"/>
    <col min="10244" max="10244" width="21.83203125" style="555" bestFit="1" customWidth="1"/>
    <col min="10245" max="10245" width="20.33203125" style="555" bestFit="1" customWidth="1"/>
    <col min="10246" max="10246" width="29.83203125" style="555" bestFit="1" customWidth="1"/>
    <col min="10247" max="10247" width="14.5" style="555" bestFit="1" customWidth="1"/>
    <col min="10248" max="10248" width="16.33203125" style="555" bestFit="1" customWidth="1"/>
    <col min="10249" max="10496" width="13.33203125" style="555"/>
    <col min="10497" max="10497" width="10.5" style="555" bestFit="1" customWidth="1"/>
    <col min="10498" max="10498" width="33.6640625" style="555" bestFit="1" customWidth="1"/>
    <col min="10499" max="10499" width="15" style="555" bestFit="1" customWidth="1"/>
    <col min="10500" max="10500" width="21.83203125" style="555" bestFit="1" customWidth="1"/>
    <col min="10501" max="10501" width="20.33203125" style="555" bestFit="1" customWidth="1"/>
    <col min="10502" max="10502" width="29.83203125" style="555" bestFit="1" customWidth="1"/>
    <col min="10503" max="10503" width="14.5" style="555" bestFit="1" customWidth="1"/>
    <col min="10504" max="10504" width="16.33203125" style="555" bestFit="1" customWidth="1"/>
    <col min="10505" max="10752" width="13.33203125" style="555"/>
    <col min="10753" max="10753" width="10.5" style="555" bestFit="1" customWidth="1"/>
    <col min="10754" max="10754" width="33.6640625" style="555" bestFit="1" customWidth="1"/>
    <col min="10755" max="10755" width="15" style="555" bestFit="1" customWidth="1"/>
    <col min="10756" max="10756" width="21.83203125" style="555" bestFit="1" customWidth="1"/>
    <col min="10757" max="10757" width="20.33203125" style="555" bestFit="1" customWidth="1"/>
    <col min="10758" max="10758" width="29.83203125" style="555" bestFit="1" customWidth="1"/>
    <col min="10759" max="10759" width="14.5" style="555" bestFit="1" customWidth="1"/>
    <col min="10760" max="10760" width="16.33203125" style="555" bestFit="1" customWidth="1"/>
    <col min="10761" max="11008" width="13.33203125" style="555"/>
    <col min="11009" max="11009" width="10.5" style="555" bestFit="1" customWidth="1"/>
    <col min="11010" max="11010" width="33.6640625" style="555" bestFit="1" customWidth="1"/>
    <col min="11011" max="11011" width="15" style="555" bestFit="1" customWidth="1"/>
    <col min="11012" max="11012" width="21.83203125" style="555" bestFit="1" customWidth="1"/>
    <col min="11013" max="11013" width="20.33203125" style="555" bestFit="1" customWidth="1"/>
    <col min="11014" max="11014" width="29.83203125" style="555" bestFit="1" customWidth="1"/>
    <col min="11015" max="11015" width="14.5" style="555" bestFit="1" customWidth="1"/>
    <col min="11016" max="11016" width="16.33203125" style="555" bestFit="1" customWidth="1"/>
    <col min="11017" max="11264" width="13.33203125" style="555"/>
    <col min="11265" max="11265" width="10.5" style="555" bestFit="1" customWidth="1"/>
    <col min="11266" max="11266" width="33.6640625" style="555" bestFit="1" customWidth="1"/>
    <col min="11267" max="11267" width="15" style="555" bestFit="1" customWidth="1"/>
    <col min="11268" max="11268" width="21.83203125" style="555" bestFit="1" customWidth="1"/>
    <col min="11269" max="11269" width="20.33203125" style="555" bestFit="1" customWidth="1"/>
    <col min="11270" max="11270" width="29.83203125" style="555" bestFit="1" customWidth="1"/>
    <col min="11271" max="11271" width="14.5" style="555" bestFit="1" customWidth="1"/>
    <col min="11272" max="11272" width="16.33203125" style="555" bestFit="1" customWidth="1"/>
    <col min="11273" max="11520" width="13.33203125" style="555"/>
    <col min="11521" max="11521" width="10.5" style="555" bestFit="1" customWidth="1"/>
    <col min="11522" max="11522" width="33.6640625" style="555" bestFit="1" customWidth="1"/>
    <col min="11523" max="11523" width="15" style="555" bestFit="1" customWidth="1"/>
    <col min="11524" max="11524" width="21.83203125" style="555" bestFit="1" customWidth="1"/>
    <col min="11525" max="11525" width="20.33203125" style="555" bestFit="1" customWidth="1"/>
    <col min="11526" max="11526" width="29.83203125" style="555" bestFit="1" customWidth="1"/>
    <col min="11527" max="11527" width="14.5" style="555" bestFit="1" customWidth="1"/>
    <col min="11528" max="11528" width="16.33203125" style="555" bestFit="1" customWidth="1"/>
    <col min="11529" max="11776" width="13.33203125" style="555"/>
    <col min="11777" max="11777" width="10.5" style="555" bestFit="1" customWidth="1"/>
    <col min="11778" max="11778" width="33.6640625" style="555" bestFit="1" customWidth="1"/>
    <col min="11779" max="11779" width="15" style="555" bestFit="1" customWidth="1"/>
    <col min="11780" max="11780" width="21.83203125" style="555" bestFit="1" customWidth="1"/>
    <col min="11781" max="11781" width="20.33203125" style="555" bestFit="1" customWidth="1"/>
    <col min="11782" max="11782" width="29.83203125" style="555" bestFit="1" customWidth="1"/>
    <col min="11783" max="11783" width="14.5" style="555" bestFit="1" customWidth="1"/>
    <col min="11784" max="11784" width="16.33203125" style="555" bestFit="1" customWidth="1"/>
    <col min="11785" max="12032" width="13.33203125" style="555"/>
    <col min="12033" max="12033" width="10.5" style="555" bestFit="1" customWidth="1"/>
    <col min="12034" max="12034" width="33.6640625" style="555" bestFit="1" customWidth="1"/>
    <col min="12035" max="12035" width="15" style="555" bestFit="1" customWidth="1"/>
    <col min="12036" max="12036" width="21.83203125" style="555" bestFit="1" customWidth="1"/>
    <col min="12037" max="12037" width="20.33203125" style="555" bestFit="1" customWidth="1"/>
    <col min="12038" max="12038" width="29.83203125" style="555" bestFit="1" customWidth="1"/>
    <col min="12039" max="12039" width="14.5" style="555" bestFit="1" customWidth="1"/>
    <col min="12040" max="12040" width="16.33203125" style="555" bestFit="1" customWidth="1"/>
    <col min="12041" max="12288" width="13.33203125" style="555"/>
    <col min="12289" max="12289" width="10.5" style="555" bestFit="1" customWidth="1"/>
    <col min="12290" max="12290" width="33.6640625" style="555" bestFit="1" customWidth="1"/>
    <col min="12291" max="12291" width="15" style="555" bestFit="1" customWidth="1"/>
    <col min="12292" max="12292" width="21.83203125" style="555" bestFit="1" customWidth="1"/>
    <col min="12293" max="12293" width="20.33203125" style="555" bestFit="1" customWidth="1"/>
    <col min="12294" max="12294" width="29.83203125" style="555" bestFit="1" customWidth="1"/>
    <col min="12295" max="12295" width="14.5" style="555" bestFit="1" customWidth="1"/>
    <col min="12296" max="12296" width="16.33203125" style="555" bestFit="1" customWidth="1"/>
    <col min="12297" max="12544" width="13.33203125" style="555"/>
    <col min="12545" max="12545" width="10.5" style="555" bestFit="1" customWidth="1"/>
    <col min="12546" max="12546" width="33.6640625" style="555" bestFit="1" customWidth="1"/>
    <col min="12547" max="12547" width="15" style="555" bestFit="1" customWidth="1"/>
    <col min="12548" max="12548" width="21.83203125" style="555" bestFit="1" customWidth="1"/>
    <col min="12549" max="12549" width="20.33203125" style="555" bestFit="1" customWidth="1"/>
    <col min="12550" max="12550" width="29.83203125" style="555" bestFit="1" customWidth="1"/>
    <col min="12551" max="12551" width="14.5" style="555" bestFit="1" customWidth="1"/>
    <col min="12552" max="12552" width="16.33203125" style="555" bestFit="1" customWidth="1"/>
    <col min="12553" max="12800" width="13.33203125" style="555"/>
    <col min="12801" max="12801" width="10.5" style="555" bestFit="1" customWidth="1"/>
    <col min="12802" max="12802" width="33.6640625" style="555" bestFit="1" customWidth="1"/>
    <col min="12803" max="12803" width="15" style="555" bestFit="1" customWidth="1"/>
    <col min="12804" max="12804" width="21.83203125" style="555" bestFit="1" customWidth="1"/>
    <col min="12805" max="12805" width="20.33203125" style="555" bestFit="1" customWidth="1"/>
    <col min="12806" max="12806" width="29.83203125" style="555" bestFit="1" customWidth="1"/>
    <col min="12807" max="12807" width="14.5" style="555" bestFit="1" customWidth="1"/>
    <col min="12808" max="12808" width="16.33203125" style="555" bestFit="1" customWidth="1"/>
    <col min="12809" max="13056" width="13.33203125" style="555"/>
    <col min="13057" max="13057" width="10.5" style="555" bestFit="1" customWidth="1"/>
    <col min="13058" max="13058" width="33.6640625" style="555" bestFit="1" customWidth="1"/>
    <col min="13059" max="13059" width="15" style="555" bestFit="1" customWidth="1"/>
    <col min="13060" max="13060" width="21.83203125" style="555" bestFit="1" customWidth="1"/>
    <col min="13061" max="13061" width="20.33203125" style="555" bestFit="1" customWidth="1"/>
    <col min="13062" max="13062" width="29.83203125" style="555" bestFit="1" customWidth="1"/>
    <col min="13063" max="13063" width="14.5" style="555" bestFit="1" customWidth="1"/>
    <col min="13064" max="13064" width="16.33203125" style="555" bestFit="1" customWidth="1"/>
    <col min="13065" max="13312" width="13.33203125" style="555"/>
    <col min="13313" max="13313" width="10.5" style="555" bestFit="1" customWidth="1"/>
    <col min="13314" max="13314" width="33.6640625" style="555" bestFit="1" customWidth="1"/>
    <col min="13315" max="13315" width="15" style="555" bestFit="1" customWidth="1"/>
    <col min="13316" max="13316" width="21.83203125" style="555" bestFit="1" customWidth="1"/>
    <col min="13317" max="13317" width="20.33203125" style="555" bestFit="1" customWidth="1"/>
    <col min="13318" max="13318" width="29.83203125" style="555" bestFit="1" customWidth="1"/>
    <col min="13319" max="13319" width="14.5" style="555" bestFit="1" customWidth="1"/>
    <col min="13320" max="13320" width="16.33203125" style="555" bestFit="1" customWidth="1"/>
    <col min="13321" max="13568" width="13.33203125" style="555"/>
    <col min="13569" max="13569" width="10.5" style="555" bestFit="1" customWidth="1"/>
    <col min="13570" max="13570" width="33.6640625" style="555" bestFit="1" customWidth="1"/>
    <col min="13571" max="13571" width="15" style="555" bestFit="1" customWidth="1"/>
    <col min="13572" max="13572" width="21.83203125" style="555" bestFit="1" customWidth="1"/>
    <col min="13573" max="13573" width="20.33203125" style="555" bestFit="1" customWidth="1"/>
    <col min="13574" max="13574" width="29.83203125" style="555" bestFit="1" customWidth="1"/>
    <col min="13575" max="13575" width="14.5" style="555" bestFit="1" customWidth="1"/>
    <col min="13576" max="13576" width="16.33203125" style="555" bestFit="1" customWidth="1"/>
    <col min="13577" max="13824" width="13.33203125" style="555"/>
    <col min="13825" max="13825" width="10.5" style="555" bestFit="1" customWidth="1"/>
    <col min="13826" max="13826" width="33.6640625" style="555" bestFit="1" customWidth="1"/>
    <col min="13827" max="13827" width="15" style="555" bestFit="1" customWidth="1"/>
    <col min="13828" max="13828" width="21.83203125" style="555" bestFit="1" customWidth="1"/>
    <col min="13829" max="13829" width="20.33203125" style="555" bestFit="1" customWidth="1"/>
    <col min="13830" max="13830" width="29.83203125" style="555" bestFit="1" customWidth="1"/>
    <col min="13831" max="13831" width="14.5" style="555" bestFit="1" customWidth="1"/>
    <col min="13832" max="13832" width="16.33203125" style="555" bestFit="1" customWidth="1"/>
    <col min="13833" max="14080" width="13.33203125" style="555"/>
    <col min="14081" max="14081" width="10.5" style="555" bestFit="1" customWidth="1"/>
    <col min="14082" max="14082" width="33.6640625" style="555" bestFit="1" customWidth="1"/>
    <col min="14083" max="14083" width="15" style="555" bestFit="1" customWidth="1"/>
    <col min="14084" max="14084" width="21.83203125" style="555" bestFit="1" customWidth="1"/>
    <col min="14085" max="14085" width="20.33203125" style="555" bestFit="1" customWidth="1"/>
    <col min="14086" max="14086" width="29.83203125" style="555" bestFit="1" customWidth="1"/>
    <col min="14087" max="14087" width="14.5" style="555" bestFit="1" customWidth="1"/>
    <col min="14088" max="14088" width="16.33203125" style="555" bestFit="1" customWidth="1"/>
    <col min="14089" max="14336" width="13.33203125" style="555"/>
    <col min="14337" max="14337" width="10.5" style="555" bestFit="1" customWidth="1"/>
    <col min="14338" max="14338" width="33.6640625" style="555" bestFit="1" customWidth="1"/>
    <col min="14339" max="14339" width="15" style="555" bestFit="1" customWidth="1"/>
    <col min="14340" max="14340" width="21.83203125" style="555" bestFit="1" customWidth="1"/>
    <col min="14341" max="14341" width="20.33203125" style="555" bestFit="1" customWidth="1"/>
    <col min="14342" max="14342" width="29.83203125" style="555" bestFit="1" customWidth="1"/>
    <col min="14343" max="14343" width="14.5" style="555" bestFit="1" customWidth="1"/>
    <col min="14344" max="14344" width="16.33203125" style="555" bestFit="1" customWidth="1"/>
    <col min="14345" max="14592" width="13.33203125" style="555"/>
    <col min="14593" max="14593" width="10.5" style="555" bestFit="1" customWidth="1"/>
    <col min="14594" max="14594" width="33.6640625" style="555" bestFit="1" customWidth="1"/>
    <col min="14595" max="14595" width="15" style="555" bestFit="1" customWidth="1"/>
    <col min="14596" max="14596" width="21.83203125" style="555" bestFit="1" customWidth="1"/>
    <col min="14597" max="14597" width="20.33203125" style="555" bestFit="1" customWidth="1"/>
    <col min="14598" max="14598" width="29.83203125" style="555" bestFit="1" customWidth="1"/>
    <col min="14599" max="14599" width="14.5" style="555" bestFit="1" customWidth="1"/>
    <col min="14600" max="14600" width="16.33203125" style="555" bestFit="1" customWidth="1"/>
    <col min="14601" max="14848" width="13.33203125" style="555"/>
    <col min="14849" max="14849" width="10.5" style="555" bestFit="1" customWidth="1"/>
    <col min="14850" max="14850" width="33.6640625" style="555" bestFit="1" customWidth="1"/>
    <col min="14851" max="14851" width="15" style="555" bestFit="1" customWidth="1"/>
    <col min="14852" max="14852" width="21.83203125" style="555" bestFit="1" customWidth="1"/>
    <col min="14853" max="14853" width="20.33203125" style="555" bestFit="1" customWidth="1"/>
    <col min="14854" max="14854" width="29.83203125" style="555" bestFit="1" customWidth="1"/>
    <col min="14855" max="14855" width="14.5" style="555" bestFit="1" customWidth="1"/>
    <col min="14856" max="14856" width="16.33203125" style="555" bestFit="1" customWidth="1"/>
    <col min="14857" max="15104" width="13.33203125" style="555"/>
    <col min="15105" max="15105" width="10.5" style="555" bestFit="1" customWidth="1"/>
    <col min="15106" max="15106" width="33.6640625" style="555" bestFit="1" customWidth="1"/>
    <col min="15107" max="15107" width="15" style="555" bestFit="1" customWidth="1"/>
    <col min="15108" max="15108" width="21.83203125" style="555" bestFit="1" customWidth="1"/>
    <col min="15109" max="15109" width="20.33203125" style="555" bestFit="1" customWidth="1"/>
    <col min="15110" max="15110" width="29.83203125" style="555" bestFit="1" customWidth="1"/>
    <col min="15111" max="15111" width="14.5" style="555" bestFit="1" customWidth="1"/>
    <col min="15112" max="15112" width="16.33203125" style="555" bestFit="1" customWidth="1"/>
    <col min="15113" max="15360" width="13.33203125" style="555"/>
    <col min="15361" max="15361" width="10.5" style="555" bestFit="1" customWidth="1"/>
    <col min="15362" max="15362" width="33.6640625" style="555" bestFit="1" customWidth="1"/>
    <col min="15363" max="15363" width="15" style="555" bestFit="1" customWidth="1"/>
    <col min="15364" max="15364" width="21.83203125" style="555" bestFit="1" customWidth="1"/>
    <col min="15365" max="15365" width="20.33203125" style="555" bestFit="1" customWidth="1"/>
    <col min="15366" max="15366" width="29.83203125" style="555" bestFit="1" customWidth="1"/>
    <col min="15367" max="15367" width="14.5" style="555" bestFit="1" customWidth="1"/>
    <col min="15368" max="15368" width="16.33203125" style="555" bestFit="1" customWidth="1"/>
    <col min="15369" max="15616" width="13.33203125" style="555"/>
    <col min="15617" max="15617" width="10.5" style="555" bestFit="1" customWidth="1"/>
    <col min="15618" max="15618" width="33.6640625" style="555" bestFit="1" customWidth="1"/>
    <col min="15619" max="15619" width="15" style="555" bestFit="1" customWidth="1"/>
    <col min="15620" max="15620" width="21.83203125" style="555" bestFit="1" customWidth="1"/>
    <col min="15621" max="15621" width="20.33203125" style="555" bestFit="1" customWidth="1"/>
    <col min="15622" max="15622" width="29.83203125" style="555" bestFit="1" customWidth="1"/>
    <col min="15623" max="15623" width="14.5" style="555" bestFit="1" customWidth="1"/>
    <col min="15624" max="15624" width="16.33203125" style="555" bestFit="1" customWidth="1"/>
    <col min="15625" max="15872" width="13.33203125" style="555"/>
    <col min="15873" max="15873" width="10.5" style="555" bestFit="1" customWidth="1"/>
    <col min="15874" max="15874" width="33.6640625" style="555" bestFit="1" customWidth="1"/>
    <col min="15875" max="15875" width="15" style="555" bestFit="1" customWidth="1"/>
    <col min="15876" max="15876" width="21.83203125" style="555" bestFit="1" customWidth="1"/>
    <col min="15877" max="15877" width="20.33203125" style="555" bestFit="1" customWidth="1"/>
    <col min="15878" max="15878" width="29.83203125" style="555" bestFit="1" customWidth="1"/>
    <col min="15879" max="15879" width="14.5" style="555" bestFit="1" customWidth="1"/>
    <col min="15880" max="15880" width="16.33203125" style="555" bestFit="1" customWidth="1"/>
    <col min="15881" max="16128" width="13.33203125" style="555"/>
    <col min="16129" max="16129" width="10.5" style="555" bestFit="1" customWidth="1"/>
    <col min="16130" max="16130" width="33.6640625" style="555" bestFit="1" customWidth="1"/>
    <col min="16131" max="16131" width="15" style="555" bestFit="1" customWidth="1"/>
    <col min="16132" max="16132" width="21.83203125" style="555" bestFit="1" customWidth="1"/>
    <col min="16133" max="16133" width="20.33203125" style="555" bestFit="1" customWidth="1"/>
    <col min="16134" max="16134" width="29.83203125" style="555" bestFit="1" customWidth="1"/>
    <col min="16135" max="16135" width="14.5" style="555" bestFit="1" customWidth="1"/>
    <col min="16136" max="16136" width="16.33203125" style="555" bestFit="1" customWidth="1"/>
    <col min="16137" max="16384" width="13.33203125" style="555"/>
  </cols>
  <sheetData>
    <row r="1" spans="1:8">
      <c r="A1" s="553" t="s">
        <v>661</v>
      </c>
      <c r="B1" s="553" t="s">
        <v>664</v>
      </c>
      <c r="C1" s="553" t="s">
        <v>662</v>
      </c>
      <c r="D1" s="553" t="s">
        <v>663</v>
      </c>
      <c r="E1" s="553" t="s">
        <v>667</v>
      </c>
      <c r="F1" s="553" t="s">
        <v>668</v>
      </c>
      <c r="G1" s="553" t="s">
        <v>666</v>
      </c>
      <c r="H1" s="554" t="s">
        <v>665</v>
      </c>
    </row>
    <row r="2" spans="1:8">
      <c r="A2" s="556" t="s">
        <v>1011</v>
      </c>
      <c r="B2" s="557"/>
      <c r="C2" s="557"/>
      <c r="D2" s="557"/>
      <c r="E2" s="557"/>
      <c r="F2" s="557"/>
      <c r="G2" s="557"/>
      <c r="H2" s="558"/>
    </row>
    <row r="3" spans="1:8">
      <c r="A3" s="555" t="s">
        <v>1012</v>
      </c>
      <c r="B3" s="555" t="s">
        <v>1013</v>
      </c>
      <c r="C3" s="555" t="s">
        <v>1014</v>
      </c>
      <c r="D3" s="555" t="s">
        <v>1015</v>
      </c>
      <c r="E3" s="555" t="s">
        <v>1016</v>
      </c>
      <c r="F3" s="555" t="s">
        <v>1017</v>
      </c>
      <c r="G3" s="559">
        <v>40207</v>
      </c>
      <c r="H3" s="560">
        <v>414915</v>
      </c>
    </row>
    <row r="4" spans="1:8">
      <c r="A4" s="555" t="s">
        <v>1012</v>
      </c>
      <c r="B4" s="555" t="s">
        <v>1013</v>
      </c>
      <c r="C4" s="555" t="s">
        <v>1014</v>
      </c>
      <c r="D4" s="555" t="s">
        <v>1015</v>
      </c>
      <c r="E4" s="555" t="s">
        <v>1016</v>
      </c>
      <c r="F4" s="555" t="s">
        <v>1017</v>
      </c>
      <c r="G4" s="559">
        <v>40237</v>
      </c>
      <c r="H4" s="560">
        <v>370428</v>
      </c>
    </row>
    <row r="5" spans="1:8">
      <c r="A5" s="555" t="s">
        <v>1012</v>
      </c>
      <c r="B5" s="555" t="s">
        <v>1013</v>
      </c>
      <c r="C5" s="555" t="s">
        <v>1014</v>
      </c>
      <c r="D5" s="555" t="s">
        <v>1015</v>
      </c>
      <c r="E5" s="555" t="s">
        <v>1016</v>
      </c>
      <c r="F5" s="555" t="s">
        <v>1017</v>
      </c>
      <c r="G5" s="559">
        <v>40268</v>
      </c>
      <c r="H5" s="560">
        <v>357051</v>
      </c>
    </row>
    <row r="6" spans="1:8">
      <c r="A6" s="555" t="s">
        <v>1012</v>
      </c>
      <c r="B6" s="555" t="s">
        <v>1013</v>
      </c>
      <c r="C6" s="555" t="s">
        <v>1014</v>
      </c>
      <c r="D6" s="555" t="s">
        <v>1015</v>
      </c>
      <c r="E6" s="555" t="s">
        <v>1016</v>
      </c>
      <c r="F6" s="555" t="s">
        <v>1017</v>
      </c>
      <c r="G6" s="559">
        <v>40298</v>
      </c>
      <c r="H6" s="560">
        <v>339136</v>
      </c>
    </row>
    <row r="7" spans="1:8">
      <c r="A7" s="555" t="s">
        <v>1012</v>
      </c>
      <c r="B7" s="555" t="s">
        <v>1013</v>
      </c>
      <c r="C7" s="555" t="s">
        <v>1014</v>
      </c>
      <c r="D7" s="555" t="s">
        <v>1015</v>
      </c>
      <c r="E7" s="555" t="s">
        <v>1016</v>
      </c>
      <c r="F7" s="555" t="s">
        <v>1017</v>
      </c>
      <c r="G7" s="559">
        <v>40329</v>
      </c>
      <c r="H7" s="560">
        <v>327990</v>
      </c>
    </row>
    <row r="8" spans="1:8">
      <c r="A8" s="555" t="s">
        <v>1012</v>
      </c>
      <c r="B8" s="555" t="s">
        <v>1013</v>
      </c>
      <c r="C8" s="555" t="s">
        <v>1014</v>
      </c>
      <c r="D8" s="555" t="s">
        <v>1015</v>
      </c>
      <c r="E8" s="555" t="s">
        <v>1016</v>
      </c>
      <c r="F8" s="555" t="s">
        <v>1017</v>
      </c>
      <c r="G8" s="559">
        <v>40359</v>
      </c>
      <c r="H8" s="560">
        <v>309007</v>
      </c>
    </row>
    <row r="9" spans="1:8">
      <c r="A9" s="555" t="s">
        <v>1012</v>
      </c>
      <c r="B9" s="555" t="s">
        <v>1013</v>
      </c>
      <c r="C9" s="555" t="s">
        <v>1014</v>
      </c>
      <c r="D9" s="555" t="s">
        <v>1015</v>
      </c>
      <c r="E9" s="555" t="s">
        <v>1016</v>
      </c>
      <c r="F9" s="555" t="s">
        <v>1017</v>
      </c>
      <c r="G9" s="559">
        <v>40390</v>
      </c>
      <c r="H9" s="560">
        <v>295477</v>
      </c>
    </row>
    <row r="10" spans="1:8">
      <c r="A10" s="555" t="s">
        <v>1012</v>
      </c>
      <c r="B10" s="555" t="s">
        <v>1013</v>
      </c>
      <c r="C10" s="555" t="s">
        <v>1014</v>
      </c>
      <c r="D10" s="555" t="s">
        <v>1015</v>
      </c>
      <c r="E10" s="555" t="s">
        <v>1016</v>
      </c>
      <c r="F10" s="555" t="s">
        <v>1017</v>
      </c>
      <c r="G10" s="559">
        <v>40421</v>
      </c>
      <c r="H10" s="560">
        <v>298710</v>
      </c>
    </row>
    <row r="11" spans="1:8">
      <c r="A11" s="555" t="s">
        <v>1012</v>
      </c>
      <c r="B11" s="555" t="s">
        <v>1013</v>
      </c>
      <c r="C11" s="555" t="s">
        <v>1014</v>
      </c>
      <c r="D11" s="555" t="s">
        <v>1015</v>
      </c>
      <c r="E11" s="555" t="s">
        <v>1016</v>
      </c>
      <c r="F11" s="555" t="s">
        <v>1017</v>
      </c>
      <c r="G11" s="559">
        <v>40451</v>
      </c>
      <c r="H11" s="560">
        <v>307192</v>
      </c>
    </row>
    <row r="12" spans="1:8">
      <c r="A12" s="555" t="s">
        <v>1012</v>
      </c>
      <c r="B12" s="555" t="s">
        <v>1013</v>
      </c>
      <c r="C12" s="555" t="s">
        <v>1014</v>
      </c>
      <c r="D12" s="555" t="s">
        <v>1015</v>
      </c>
      <c r="E12" s="555" t="s">
        <v>1016</v>
      </c>
      <c r="F12" s="555" t="s">
        <v>1017</v>
      </c>
      <c r="G12" s="559">
        <v>40480</v>
      </c>
      <c r="H12" s="560">
        <v>306787</v>
      </c>
    </row>
    <row r="13" spans="1:8">
      <c r="A13" s="555" t="s">
        <v>1012</v>
      </c>
      <c r="B13" s="555" t="s">
        <v>1013</v>
      </c>
      <c r="C13" s="555" t="s">
        <v>1014</v>
      </c>
      <c r="D13" s="555" t="s">
        <v>1015</v>
      </c>
      <c r="E13" s="555" t="s">
        <v>1016</v>
      </c>
      <c r="F13" s="555" t="s">
        <v>1017</v>
      </c>
      <c r="G13" s="559">
        <v>40512</v>
      </c>
      <c r="H13" s="560">
        <v>382540</v>
      </c>
    </row>
    <row r="14" spans="1:8">
      <c r="A14" s="555" t="s">
        <v>1012</v>
      </c>
      <c r="B14" s="555" t="s">
        <v>1013</v>
      </c>
      <c r="C14" s="555" t="s">
        <v>1014</v>
      </c>
      <c r="D14" s="555" t="s">
        <v>1015</v>
      </c>
      <c r="E14" s="555" t="s">
        <v>1016</v>
      </c>
      <c r="F14" s="555" t="s">
        <v>1017</v>
      </c>
      <c r="G14" s="559">
        <v>40542</v>
      </c>
      <c r="H14" s="560">
        <v>448712</v>
      </c>
    </row>
    <row r="15" spans="1:8">
      <c r="B15" s="557"/>
      <c r="C15" s="557"/>
      <c r="D15" s="557"/>
      <c r="E15" s="557"/>
      <c r="F15" s="557"/>
      <c r="G15" s="561" t="s">
        <v>279</v>
      </c>
      <c r="H15" s="562">
        <f>SUM(H3:H14)</f>
        <v>4157945</v>
      </c>
    </row>
    <row r="16" spans="1:8">
      <c r="A16" s="556" t="s">
        <v>1018</v>
      </c>
      <c r="B16" s="557"/>
      <c r="C16" s="557"/>
      <c r="D16" s="557"/>
      <c r="E16" s="557"/>
      <c r="F16" s="557"/>
      <c r="G16" s="563"/>
      <c r="H16" s="564"/>
    </row>
    <row r="17" spans="1:8">
      <c r="A17" s="555" t="s">
        <v>1019</v>
      </c>
      <c r="B17" s="555" t="s">
        <v>1020</v>
      </c>
      <c r="C17" s="555" t="s">
        <v>1014</v>
      </c>
      <c r="D17" s="555" t="s">
        <v>1015</v>
      </c>
      <c r="E17" s="555" t="s">
        <v>1016</v>
      </c>
      <c r="F17" s="555" t="s">
        <v>1017</v>
      </c>
      <c r="G17" s="559">
        <v>40207</v>
      </c>
      <c r="H17" s="560">
        <v>276201</v>
      </c>
    </row>
    <row r="18" spans="1:8">
      <c r="A18" s="555" t="s">
        <v>1019</v>
      </c>
      <c r="B18" s="555" t="s">
        <v>1020</v>
      </c>
      <c r="C18" s="555" t="s">
        <v>1014</v>
      </c>
      <c r="D18" s="555" t="s">
        <v>1015</v>
      </c>
      <c r="E18" s="555" t="s">
        <v>1016</v>
      </c>
      <c r="F18" s="555" t="s">
        <v>1017</v>
      </c>
      <c r="G18" s="559">
        <v>40237</v>
      </c>
      <c r="H18" s="560">
        <v>231378</v>
      </c>
    </row>
    <row r="19" spans="1:8">
      <c r="A19" s="555" t="s">
        <v>1019</v>
      </c>
      <c r="B19" s="555" t="s">
        <v>1020</v>
      </c>
      <c r="C19" s="555" t="s">
        <v>1014</v>
      </c>
      <c r="D19" s="555" t="s">
        <v>1015</v>
      </c>
      <c r="E19" s="555" t="s">
        <v>1016</v>
      </c>
      <c r="F19" s="555" t="s">
        <v>1017</v>
      </c>
      <c r="G19" s="559">
        <v>40268</v>
      </c>
      <c r="H19" s="560">
        <v>210187</v>
      </c>
    </row>
    <row r="20" spans="1:8">
      <c r="A20" s="555" t="s">
        <v>1019</v>
      </c>
      <c r="B20" s="555" t="s">
        <v>1020</v>
      </c>
      <c r="C20" s="555" t="s">
        <v>1014</v>
      </c>
      <c r="D20" s="555" t="s">
        <v>1015</v>
      </c>
      <c r="E20" s="555" t="s">
        <v>1016</v>
      </c>
      <c r="F20" s="555" t="s">
        <v>1017</v>
      </c>
      <c r="G20" s="559">
        <v>40298</v>
      </c>
      <c r="H20" s="560">
        <v>195094</v>
      </c>
    </row>
    <row r="21" spans="1:8">
      <c r="A21" s="555" t="s">
        <v>1019</v>
      </c>
      <c r="B21" s="555" t="s">
        <v>1020</v>
      </c>
      <c r="C21" s="555" t="s">
        <v>1014</v>
      </c>
      <c r="D21" s="555" t="s">
        <v>1015</v>
      </c>
      <c r="E21" s="555" t="s">
        <v>1016</v>
      </c>
      <c r="F21" s="555" t="s">
        <v>1017</v>
      </c>
      <c r="G21" s="559">
        <v>40329</v>
      </c>
      <c r="H21" s="560">
        <v>155003</v>
      </c>
    </row>
    <row r="22" spans="1:8">
      <c r="A22" s="555" t="s">
        <v>1019</v>
      </c>
      <c r="B22" s="555" t="s">
        <v>1020</v>
      </c>
      <c r="C22" s="555" t="s">
        <v>1014</v>
      </c>
      <c r="D22" s="555" t="s">
        <v>1015</v>
      </c>
      <c r="E22" s="555" t="s">
        <v>1016</v>
      </c>
      <c r="F22" s="555" t="s">
        <v>1017</v>
      </c>
      <c r="G22" s="559">
        <v>40359</v>
      </c>
      <c r="H22" s="560">
        <v>123983</v>
      </c>
    </row>
    <row r="23" spans="1:8">
      <c r="A23" s="555" t="s">
        <v>1019</v>
      </c>
      <c r="B23" s="555" t="s">
        <v>1020</v>
      </c>
      <c r="C23" s="555" t="s">
        <v>1014</v>
      </c>
      <c r="D23" s="555" t="s">
        <v>1015</v>
      </c>
      <c r="E23" s="555" t="s">
        <v>1016</v>
      </c>
      <c r="F23" s="555" t="s">
        <v>1017</v>
      </c>
      <c r="G23" s="559">
        <v>40390</v>
      </c>
      <c r="H23" s="560">
        <v>93122</v>
      </c>
    </row>
    <row r="24" spans="1:8">
      <c r="A24" s="555" t="s">
        <v>1019</v>
      </c>
      <c r="B24" s="555" t="s">
        <v>1020</v>
      </c>
      <c r="C24" s="555" t="s">
        <v>1014</v>
      </c>
      <c r="D24" s="555" t="s">
        <v>1015</v>
      </c>
      <c r="E24" s="555" t="s">
        <v>1016</v>
      </c>
      <c r="F24" s="555" t="s">
        <v>1017</v>
      </c>
      <c r="G24" s="559">
        <v>40421</v>
      </c>
      <c r="H24" s="560">
        <v>79208</v>
      </c>
    </row>
    <row r="25" spans="1:8">
      <c r="A25" s="555" t="s">
        <v>1019</v>
      </c>
      <c r="B25" s="555" t="s">
        <v>1020</v>
      </c>
      <c r="C25" s="555" t="s">
        <v>1014</v>
      </c>
      <c r="D25" s="555" t="s">
        <v>1015</v>
      </c>
      <c r="E25" s="555" t="s">
        <v>1016</v>
      </c>
      <c r="F25" s="555" t="s">
        <v>1017</v>
      </c>
      <c r="G25" s="559">
        <v>40451</v>
      </c>
      <c r="H25" s="560">
        <v>89164</v>
      </c>
    </row>
    <row r="26" spans="1:8">
      <c r="A26" s="555" t="s">
        <v>1019</v>
      </c>
      <c r="B26" s="555" t="s">
        <v>1020</v>
      </c>
      <c r="C26" s="555" t="s">
        <v>1014</v>
      </c>
      <c r="D26" s="555" t="s">
        <v>1015</v>
      </c>
      <c r="E26" s="555" t="s">
        <v>1016</v>
      </c>
      <c r="F26" s="555" t="s">
        <v>1017</v>
      </c>
      <c r="G26" s="559">
        <v>40480</v>
      </c>
      <c r="H26" s="560">
        <v>108759</v>
      </c>
    </row>
    <row r="27" spans="1:8">
      <c r="A27" s="555" t="s">
        <v>1019</v>
      </c>
      <c r="B27" s="555" t="s">
        <v>1020</v>
      </c>
      <c r="C27" s="555" t="s">
        <v>1014</v>
      </c>
      <c r="D27" s="555" t="s">
        <v>1015</v>
      </c>
      <c r="E27" s="555" t="s">
        <v>1016</v>
      </c>
      <c r="F27" s="555" t="s">
        <v>1017</v>
      </c>
      <c r="G27" s="559">
        <v>40512</v>
      </c>
      <c r="H27" s="560">
        <v>185034</v>
      </c>
    </row>
    <row r="28" spans="1:8">
      <c r="A28" s="555" t="s">
        <v>1019</v>
      </c>
      <c r="B28" s="555" t="s">
        <v>1020</v>
      </c>
      <c r="C28" s="555" t="s">
        <v>1014</v>
      </c>
      <c r="D28" s="555" t="s">
        <v>1015</v>
      </c>
      <c r="E28" s="555" t="s">
        <v>1016</v>
      </c>
      <c r="F28" s="555" t="s">
        <v>1017</v>
      </c>
      <c r="G28" s="559">
        <v>40542</v>
      </c>
      <c r="H28" s="560">
        <v>293681</v>
      </c>
    </row>
    <row r="29" spans="1:8">
      <c r="B29" s="557"/>
      <c r="C29" s="557"/>
      <c r="D29" s="557"/>
      <c r="E29" s="557"/>
      <c r="F29" s="557"/>
      <c r="G29" s="561" t="s">
        <v>1021</v>
      </c>
      <c r="H29" s="562">
        <f>SUM(H17:H28)</f>
        <v>2040814</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03"/>
  <sheetViews>
    <sheetView topLeftCell="G58" workbookViewId="0">
      <selection activeCell="E1" sqref="E1"/>
    </sheetView>
  </sheetViews>
  <sheetFormatPr defaultColWidth="13.33203125" defaultRowHeight="12.75"/>
  <cols>
    <col min="1" max="1" width="17" style="555" bestFit="1" customWidth="1"/>
    <col min="2" max="2" width="10.5" style="555" bestFit="1" customWidth="1"/>
    <col min="3" max="3" width="12.83203125" style="555" bestFit="1" customWidth="1"/>
    <col min="4" max="4" width="8.1640625" style="555" bestFit="1" customWidth="1"/>
    <col min="5" max="5" width="14.5" style="555" bestFit="1" customWidth="1"/>
    <col min="6" max="6" width="51.33203125" style="555" customWidth="1"/>
    <col min="7" max="7" width="21.6640625" style="565" bestFit="1" customWidth="1"/>
    <col min="8" max="8" width="18" style="627" bestFit="1" customWidth="1"/>
    <col min="9" max="9" width="18.5" style="627" customWidth="1"/>
    <col min="10" max="11" width="14.5" style="627" customWidth="1"/>
    <col min="12" max="12" width="16.5" style="627" customWidth="1"/>
    <col min="13" max="13" width="18.5" style="627" customWidth="1"/>
    <col min="14" max="14" width="12.33203125" style="571" customWidth="1"/>
    <col min="15" max="16" width="17.6640625" style="555" bestFit="1" customWidth="1"/>
    <col min="17" max="17" width="15.1640625" style="555" bestFit="1" customWidth="1"/>
    <col min="18" max="256" width="13.33203125" style="555"/>
    <col min="257" max="257" width="17" style="555" bestFit="1" customWidth="1"/>
    <col min="258" max="258" width="10.5" style="555" bestFit="1" customWidth="1"/>
    <col min="259" max="259" width="12.83203125" style="555" bestFit="1" customWidth="1"/>
    <col min="260" max="260" width="8.1640625" style="555" bestFit="1" customWidth="1"/>
    <col min="261" max="261" width="14.5" style="555" bestFit="1" customWidth="1"/>
    <col min="262" max="262" width="51.33203125" style="555" customWidth="1"/>
    <col min="263" max="263" width="21.6640625" style="555" bestFit="1" customWidth="1"/>
    <col min="264" max="264" width="18" style="555" bestFit="1" customWidth="1"/>
    <col min="265" max="265" width="18.5" style="555" customWidth="1"/>
    <col min="266" max="267" width="14.5" style="555" customWidth="1"/>
    <col min="268" max="268" width="16.5" style="555" customWidth="1"/>
    <col min="269" max="269" width="18.5" style="555" customWidth="1"/>
    <col min="270" max="270" width="12.33203125" style="555" customWidth="1"/>
    <col min="271" max="512" width="13.33203125" style="555"/>
    <col min="513" max="513" width="17" style="555" bestFit="1" customWidth="1"/>
    <col min="514" max="514" width="10.5" style="555" bestFit="1" customWidth="1"/>
    <col min="515" max="515" width="12.83203125" style="555" bestFit="1" customWidth="1"/>
    <col min="516" max="516" width="8.1640625" style="555" bestFit="1" customWidth="1"/>
    <col min="517" max="517" width="14.5" style="555" bestFit="1" customWidth="1"/>
    <col min="518" max="518" width="51.33203125" style="555" customWidth="1"/>
    <col min="519" max="519" width="21.6640625" style="555" bestFit="1" customWidth="1"/>
    <col min="520" max="520" width="18" style="555" bestFit="1" customWidth="1"/>
    <col min="521" max="521" width="18.5" style="555" customWidth="1"/>
    <col min="522" max="523" width="14.5" style="555" customWidth="1"/>
    <col min="524" max="524" width="16.5" style="555" customWidth="1"/>
    <col min="525" max="525" width="18.5" style="555" customWidth="1"/>
    <col min="526" max="526" width="12.33203125" style="555" customWidth="1"/>
    <col min="527" max="768" width="13.33203125" style="555"/>
    <col min="769" max="769" width="17" style="555" bestFit="1" customWidth="1"/>
    <col min="770" max="770" width="10.5" style="555" bestFit="1" customWidth="1"/>
    <col min="771" max="771" width="12.83203125" style="555" bestFit="1" customWidth="1"/>
    <col min="772" max="772" width="8.1640625" style="555" bestFit="1" customWidth="1"/>
    <col min="773" max="773" width="14.5" style="555" bestFit="1" customWidth="1"/>
    <col min="774" max="774" width="51.33203125" style="555" customWidth="1"/>
    <col min="775" max="775" width="21.6640625" style="555" bestFit="1" customWidth="1"/>
    <col min="776" max="776" width="18" style="555" bestFit="1" customWidth="1"/>
    <col min="777" max="777" width="18.5" style="555" customWidth="1"/>
    <col min="778" max="779" width="14.5" style="555" customWidth="1"/>
    <col min="780" max="780" width="16.5" style="555" customWidth="1"/>
    <col min="781" max="781" width="18.5" style="555" customWidth="1"/>
    <col min="782" max="782" width="12.33203125" style="555" customWidth="1"/>
    <col min="783" max="1024" width="13.33203125" style="555"/>
    <col min="1025" max="1025" width="17" style="555" bestFit="1" customWidth="1"/>
    <col min="1026" max="1026" width="10.5" style="555" bestFit="1" customWidth="1"/>
    <col min="1027" max="1027" width="12.83203125" style="555" bestFit="1" customWidth="1"/>
    <col min="1028" max="1028" width="8.1640625" style="555" bestFit="1" customWidth="1"/>
    <col min="1029" max="1029" width="14.5" style="555" bestFit="1" customWidth="1"/>
    <col min="1030" max="1030" width="51.33203125" style="555" customWidth="1"/>
    <col min="1031" max="1031" width="21.6640625" style="555" bestFit="1" customWidth="1"/>
    <col min="1032" max="1032" width="18" style="555" bestFit="1" customWidth="1"/>
    <col min="1033" max="1033" width="18.5" style="555" customWidth="1"/>
    <col min="1034" max="1035" width="14.5" style="555" customWidth="1"/>
    <col min="1036" max="1036" width="16.5" style="555" customWidth="1"/>
    <col min="1037" max="1037" width="18.5" style="555" customWidth="1"/>
    <col min="1038" max="1038" width="12.33203125" style="555" customWidth="1"/>
    <col min="1039" max="1280" width="13.33203125" style="555"/>
    <col min="1281" max="1281" width="17" style="555" bestFit="1" customWidth="1"/>
    <col min="1282" max="1282" width="10.5" style="555" bestFit="1" customWidth="1"/>
    <col min="1283" max="1283" width="12.83203125" style="555" bestFit="1" customWidth="1"/>
    <col min="1284" max="1284" width="8.1640625" style="555" bestFit="1" customWidth="1"/>
    <col min="1285" max="1285" width="14.5" style="555" bestFit="1" customWidth="1"/>
    <col min="1286" max="1286" width="51.33203125" style="555" customWidth="1"/>
    <col min="1287" max="1287" width="21.6640625" style="555" bestFit="1" customWidth="1"/>
    <col min="1288" max="1288" width="18" style="555" bestFit="1" customWidth="1"/>
    <col min="1289" max="1289" width="18.5" style="555" customWidth="1"/>
    <col min="1290" max="1291" width="14.5" style="555" customWidth="1"/>
    <col min="1292" max="1292" width="16.5" style="555" customWidth="1"/>
    <col min="1293" max="1293" width="18.5" style="555" customWidth="1"/>
    <col min="1294" max="1294" width="12.33203125" style="555" customWidth="1"/>
    <col min="1295" max="1536" width="13.33203125" style="555"/>
    <col min="1537" max="1537" width="17" style="555" bestFit="1" customWidth="1"/>
    <col min="1538" max="1538" width="10.5" style="555" bestFit="1" customWidth="1"/>
    <col min="1539" max="1539" width="12.83203125" style="555" bestFit="1" customWidth="1"/>
    <col min="1540" max="1540" width="8.1640625" style="555" bestFit="1" customWidth="1"/>
    <col min="1541" max="1541" width="14.5" style="555" bestFit="1" customWidth="1"/>
    <col min="1542" max="1542" width="51.33203125" style="555" customWidth="1"/>
    <col min="1543" max="1543" width="21.6640625" style="555" bestFit="1" customWidth="1"/>
    <col min="1544" max="1544" width="18" style="555" bestFit="1" customWidth="1"/>
    <col min="1545" max="1545" width="18.5" style="555" customWidth="1"/>
    <col min="1546" max="1547" width="14.5" style="555" customWidth="1"/>
    <col min="1548" max="1548" width="16.5" style="555" customWidth="1"/>
    <col min="1549" max="1549" width="18.5" style="555" customWidth="1"/>
    <col min="1550" max="1550" width="12.33203125" style="555" customWidth="1"/>
    <col min="1551" max="1792" width="13.33203125" style="555"/>
    <col min="1793" max="1793" width="17" style="555" bestFit="1" customWidth="1"/>
    <col min="1794" max="1794" width="10.5" style="555" bestFit="1" customWidth="1"/>
    <col min="1795" max="1795" width="12.83203125" style="555" bestFit="1" customWidth="1"/>
    <col min="1796" max="1796" width="8.1640625" style="555" bestFit="1" customWidth="1"/>
    <col min="1797" max="1797" width="14.5" style="555" bestFit="1" customWidth="1"/>
    <col min="1798" max="1798" width="51.33203125" style="555" customWidth="1"/>
    <col min="1799" max="1799" width="21.6640625" style="555" bestFit="1" customWidth="1"/>
    <col min="1800" max="1800" width="18" style="555" bestFit="1" customWidth="1"/>
    <col min="1801" max="1801" width="18.5" style="555" customWidth="1"/>
    <col min="1802" max="1803" width="14.5" style="555" customWidth="1"/>
    <col min="1804" max="1804" width="16.5" style="555" customWidth="1"/>
    <col min="1805" max="1805" width="18.5" style="555" customWidth="1"/>
    <col min="1806" max="1806" width="12.33203125" style="555" customWidth="1"/>
    <col min="1807" max="2048" width="13.33203125" style="555"/>
    <col min="2049" max="2049" width="17" style="555" bestFit="1" customWidth="1"/>
    <col min="2050" max="2050" width="10.5" style="555" bestFit="1" customWidth="1"/>
    <col min="2051" max="2051" width="12.83203125" style="555" bestFit="1" customWidth="1"/>
    <col min="2052" max="2052" width="8.1640625" style="555" bestFit="1" customWidth="1"/>
    <col min="2053" max="2053" width="14.5" style="555" bestFit="1" customWidth="1"/>
    <col min="2054" max="2054" width="51.33203125" style="555" customWidth="1"/>
    <col min="2055" max="2055" width="21.6640625" style="555" bestFit="1" customWidth="1"/>
    <col min="2056" max="2056" width="18" style="555" bestFit="1" customWidth="1"/>
    <col min="2057" max="2057" width="18.5" style="555" customWidth="1"/>
    <col min="2058" max="2059" width="14.5" style="555" customWidth="1"/>
    <col min="2060" max="2060" width="16.5" style="555" customWidth="1"/>
    <col min="2061" max="2061" width="18.5" style="555" customWidth="1"/>
    <col min="2062" max="2062" width="12.33203125" style="555" customWidth="1"/>
    <col min="2063" max="2304" width="13.33203125" style="555"/>
    <col min="2305" max="2305" width="17" style="555" bestFit="1" customWidth="1"/>
    <col min="2306" max="2306" width="10.5" style="555" bestFit="1" customWidth="1"/>
    <col min="2307" max="2307" width="12.83203125" style="555" bestFit="1" customWidth="1"/>
    <col min="2308" max="2308" width="8.1640625" style="555" bestFit="1" customWidth="1"/>
    <col min="2309" max="2309" width="14.5" style="555" bestFit="1" customWidth="1"/>
    <col min="2310" max="2310" width="51.33203125" style="555" customWidth="1"/>
    <col min="2311" max="2311" width="21.6640625" style="555" bestFit="1" customWidth="1"/>
    <col min="2312" max="2312" width="18" style="555" bestFit="1" customWidth="1"/>
    <col min="2313" max="2313" width="18.5" style="555" customWidth="1"/>
    <col min="2314" max="2315" width="14.5" style="555" customWidth="1"/>
    <col min="2316" max="2316" width="16.5" style="555" customWidth="1"/>
    <col min="2317" max="2317" width="18.5" style="555" customWidth="1"/>
    <col min="2318" max="2318" width="12.33203125" style="555" customWidth="1"/>
    <col min="2319" max="2560" width="13.33203125" style="555"/>
    <col min="2561" max="2561" width="17" style="555" bestFit="1" customWidth="1"/>
    <col min="2562" max="2562" width="10.5" style="555" bestFit="1" customWidth="1"/>
    <col min="2563" max="2563" width="12.83203125" style="555" bestFit="1" customWidth="1"/>
    <col min="2564" max="2564" width="8.1640625" style="555" bestFit="1" customWidth="1"/>
    <col min="2565" max="2565" width="14.5" style="555" bestFit="1" customWidth="1"/>
    <col min="2566" max="2566" width="51.33203125" style="555" customWidth="1"/>
    <col min="2567" max="2567" width="21.6640625" style="555" bestFit="1" customWidth="1"/>
    <col min="2568" max="2568" width="18" style="555" bestFit="1" customWidth="1"/>
    <col min="2569" max="2569" width="18.5" style="555" customWidth="1"/>
    <col min="2570" max="2571" width="14.5" style="555" customWidth="1"/>
    <col min="2572" max="2572" width="16.5" style="555" customWidth="1"/>
    <col min="2573" max="2573" width="18.5" style="555" customWidth="1"/>
    <col min="2574" max="2574" width="12.33203125" style="555" customWidth="1"/>
    <col min="2575" max="2816" width="13.33203125" style="555"/>
    <col min="2817" max="2817" width="17" style="555" bestFit="1" customWidth="1"/>
    <col min="2818" max="2818" width="10.5" style="555" bestFit="1" customWidth="1"/>
    <col min="2819" max="2819" width="12.83203125" style="555" bestFit="1" customWidth="1"/>
    <col min="2820" max="2820" width="8.1640625" style="555" bestFit="1" customWidth="1"/>
    <col min="2821" max="2821" width="14.5" style="555" bestFit="1" customWidth="1"/>
    <col min="2822" max="2822" width="51.33203125" style="555" customWidth="1"/>
    <col min="2823" max="2823" width="21.6640625" style="555" bestFit="1" customWidth="1"/>
    <col min="2824" max="2824" width="18" style="555" bestFit="1" customWidth="1"/>
    <col min="2825" max="2825" width="18.5" style="555" customWidth="1"/>
    <col min="2826" max="2827" width="14.5" style="555" customWidth="1"/>
    <col min="2828" max="2828" width="16.5" style="555" customWidth="1"/>
    <col min="2829" max="2829" width="18.5" style="555" customWidth="1"/>
    <col min="2830" max="2830" width="12.33203125" style="555" customWidth="1"/>
    <col min="2831" max="3072" width="13.33203125" style="555"/>
    <col min="3073" max="3073" width="17" style="555" bestFit="1" customWidth="1"/>
    <col min="3074" max="3074" width="10.5" style="555" bestFit="1" customWidth="1"/>
    <col min="3075" max="3075" width="12.83203125" style="555" bestFit="1" customWidth="1"/>
    <col min="3076" max="3076" width="8.1640625" style="555" bestFit="1" customWidth="1"/>
    <col min="3077" max="3077" width="14.5" style="555" bestFit="1" customWidth="1"/>
    <col min="3078" max="3078" width="51.33203125" style="555" customWidth="1"/>
    <col min="3079" max="3079" width="21.6640625" style="555" bestFit="1" customWidth="1"/>
    <col min="3080" max="3080" width="18" style="555" bestFit="1" customWidth="1"/>
    <col min="3081" max="3081" width="18.5" style="555" customWidth="1"/>
    <col min="3082" max="3083" width="14.5" style="555" customWidth="1"/>
    <col min="3084" max="3084" width="16.5" style="555" customWidth="1"/>
    <col min="3085" max="3085" width="18.5" style="555" customWidth="1"/>
    <col min="3086" max="3086" width="12.33203125" style="555" customWidth="1"/>
    <col min="3087" max="3328" width="13.33203125" style="555"/>
    <col min="3329" max="3329" width="17" style="555" bestFit="1" customWidth="1"/>
    <col min="3330" max="3330" width="10.5" style="555" bestFit="1" customWidth="1"/>
    <col min="3331" max="3331" width="12.83203125" style="555" bestFit="1" customWidth="1"/>
    <col min="3332" max="3332" width="8.1640625" style="555" bestFit="1" customWidth="1"/>
    <col min="3333" max="3333" width="14.5" style="555" bestFit="1" customWidth="1"/>
    <col min="3334" max="3334" width="51.33203125" style="555" customWidth="1"/>
    <col min="3335" max="3335" width="21.6640625" style="555" bestFit="1" customWidth="1"/>
    <col min="3336" max="3336" width="18" style="555" bestFit="1" customWidth="1"/>
    <col min="3337" max="3337" width="18.5" style="555" customWidth="1"/>
    <col min="3338" max="3339" width="14.5" style="555" customWidth="1"/>
    <col min="3340" max="3340" width="16.5" style="555" customWidth="1"/>
    <col min="3341" max="3341" width="18.5" style="555" customWidth="1"/>
    <col min="3342" max="3342" width="12.33203125" style="555" customWidth="1"/>
    <col min="3343" max="3584" width="13.33203125" style="555"/>
    <col min="3585" max="3585" width="17" style="555" bestFit="1" customWidth="1"/>
    <col min="3586" max="3586" width="10.5" style="555" bestFit="1" customWidth="1"/>
    <col min="3587" max="3587" width="12.83203125" style="555" bestFit="1" customWidth="1"/>
    <col min="3588" max="3588" width="8.1640625" style="555" bestFit="1" customWidth="1"/>
    <col min="3589" max="3589" width="14.5" style="555" bestFit="1" customWidth="1"/>
    <col min="3590" max="3590" width="51.33203125" style="555" customWidth="1"/>
    <col min="3591" max="3591" width="21.6640625" style="555" bestFit="1" customWidth="1"/>
    <col min="3592" max="3592" width="18" style="555" bestFit="1" customWidth="1"/>
    <col min="3593" max="3593" width="18.5" style="555" customWidth="1"/>
    <col min="3594" max="3595" width="14.5" style="555" customWidth="1"/>
    <col min="3596" max="3596" width="16.5" style="555" customWidth="1"/>
    <col min="3597" max="3597" width="18.5" style="555" customWidth="1"/>
    <col min="3598" max="3598" width="12.33203125" style="555" customWidth="1"/>
    <col min="3599" max="3840" width="13.33203125" style="555"/>
    <col min="3841" max="3841" width="17" style="555" bestFit="1" customWidth="1"/>
    <col min="3842" max="3842" width="10.5" style="555" bestFit="1" customWidth="1"/>
    <col min="3843" max="3843" width="12.83203125" style="555" bestFit="1" customWidth="1"/>
    <col min="3844" max="3844" width="8.1640625" style="555" bestFit="1" customWidth="1"/>
    <col min="3845" max="3845" width="14.5" style="555" bestFit="1" customWidth="1"/>
    <col min="3846" max="3846" width="51.33203125" style="555" customWidth="1"/>
    <col min="3847" max="3847" width="21.6640625" style="555" bestFit="1" customWidth="1"/>
    <col min="3848" max="3848" width="18" style="555" bestFit="1" customWidth="1"/>
    <col min="3849" max="3849" width="18.5" style="555" customWidth="1"/>
    <col min="3850" max="3851" width="14.5" style="555" customWidth="1"/>
    <col min="3852" max="3852" width="16.5" style="555" customWidth="1"/>
    <col min="3853" max="3853" width="18.5" style="555" customWidth="1"/>
    <col min="3854" max="3854" width="12.33203125" style="555" customWidth="1"/>
    <col min="3855" max="4096" width="13.33203125" style="555"/>
    <col min="4097" max="4097" width="17" style="555" bestFit="1" customWidth="1"/>
    <col min="4098" max="4098" width="10.5" style="555" bestFit="1" customWidth="1"/>
    <col min="4099" max="4099" width="12.83203125" style="555" bestFit="1" customWidth="1"/>
    <col min="4100" max="4100" width="8.1640625" style="555" bestFit="1" customWidth="1"/>
    <col min="4101" max="4101" width="14.5" style="555" bestFit="1" customWidth="1"/>
    <col min="4102" max="4102" width="51.33203125" style="555" customWidth="1"/>
    <col min="4103" max="4103" width="21.6640625" style="555" bestFit="1" customWidth="1"/>
    <col min="4104" max="4104" width="18" style="555" bestFit="1" customWidth="1"/>
    <col min="4105" max="4105" width="18.5" style="555" customWidth="1"/>
    <col min="4106" max="4107" width="14.5" style="555" customWidth="1"/>
    <col min="4108" max="4108" width="16.5" style="555" customWidth="1"/>
    <col min="4109" max="4109" width="18.5" style="555" customWidth="1"/>
    <col min="4110" max="4110" width="12.33203125" style="555" customWidth="1"/>
    <col min="4111" max="4352" width="13.33203125" style="555"/>
    <col min="4353" max="4353" width="17" style="555" bestFit="1" customWidth="1"/>
    <col min="4354" max="4354" width="10.5" style="555" bestFit="1" customWidth="1"/>
    <col min="4355" max="4355" width="12.83203125" style="555" bestFit="1" customWidth="1"/>
    <col min="4356" max="4356" width="8.1640625" style="555" bestFit="1" customWidth="1"/>
    <col min="4357" max="4357" width="14.5" style="555" bestFit="1" customWidth="1"/>
    <col min="4358" max="4358" width="51.33203125" style="555" customWidth="1"/>
    <col min="4359" max="4359" width="21.6640625" style="555" bestFit="1" customWidth="1"/>
    <col min="4360" max="4360" width="18" style="555" bestFit="1" customWidth="1"/>
    <col min="4361" max="4361" width="18.5" style="555" customWidth="1"/>
    <col min="4362" max="4363" width="14.5" style="555" customWidth="1"/>
    <col min="4364" max="4364" width="16.5" style="555" customWidth="1"/>
    <col min="4365" max="4365" width="18.5" style="555" customWidth="1"/>
    <col min="4366" max="4366" width="12.33203125" style="555" customWidth="1"/>
    <col min="4367" max="4608" width="13.33203125" style="555"/>
    <col min="4609" max="4609" width="17" style="555" bestFit="1" customWidth="1"/>
    <col min="4610" max="4610" width="10.5" style="555" bestFit="1" customWidth="1"/>
    <col min="4611" max="4611" width="12.83203125" style="555" bestFit="1" customWidth="1"/>
    <col min="4612" max="4612" width="8.1640625" style="555" bestFit="1" customWidth="1"/>
    <col min="4613" max="4613" width="14.5" style="555" bestFit="1" customWidth="1"/>
    <col min="4614" max="4614" width="51.33203125" style="555" customWidth="1"/>
    <col min="4615" max="4615" width="21.6640625" style="555" bestFit="1" customWidth="1"/>
    <col min="4616" max="4616" width="18" style="555" bestFit="1" customWidth="1"/>
    <col min="4617" max="4617" width="18.5" style="555" customWidth="1"/>
    <col min="4618" max="4619" width="14.5" style="555" customWidth="1"/>
    <col min="4620" max="4620" width="16.5" style="555" customWidth="1"/>
    <col min="4621" max="4621" width="18.5" style="555" customWidth="1"/>
    <col min="4622" max="4622" width="12.33203125" style="555" customWidth="1"/>
    <col min="4623" max="4864" width="13.33203125" style="555"/>
    <col min="4865" max="4865" width="17" style="555" bestFit="1" customWidth="1"/>
    <col min="4866" max="4866" width="10.5" style="555" bestFit="1" customWidth="1"/>
    <col min="4867" max="4867" width="12.83203125" style="555" bestFit="1" customWidth="1"/>
    <col min="4868" max="4868" width="8.1640625" style="555" bestFit="1" customWidth="1"/>
    <col min="4869" max="4869" width="14.5" style="555" bestFit="1" customWidth="1"/>
    <col min="4870" max="4870" width="51.33203125" style="555" customWidth="1"/>
    <col min="4871" max="4871" width="21.6640625" style="555" bestFit="1" customWidth="1"/>
    <col min="4872" max="4872" width="18" style="555" bestFit="1" customWidth="1"/>
    <col min="4873" max="4873" width="18.5" style="555" customWidth="1"/>
    <col min="4874" max="4875" width="14.5" style="555" customWidth="1"/>
    <col min="4876" max="4876" width="16.5" style="555" customWidth="1"/>
    <col min="4877" max="4877" width="18.5" style="555" customWidth="1"/>
    <col min="4878" max="4878" width="12.33203125" style="555" customWidth="1"/>
    <col min="4879" max="5120" width="13.33203125" style="555"/>
    <col min="5121" max="5121" width="17" style="555" bestFit="1" customWidth="1"/>
    <col min="5122" max="5122" width="10.5" style="555" bestFit="1" customWidth="1"/>
    <col min="5123" max="5123" width="12.83203125" style="555" bestFit="1" customWidth="1"/>
    <col min="5124" max="5124" width="8.1640625" style="555" bestFit="1" customWidth="1"/>
    <col min="5125" max="5125" width="14.5" style="555" bestFit="1" customWidth="1"/>
    <col min="5126" max="5126" width="51.33203125" style="555" customWidth="1"/>
    <col min="5127" max="5127" width="21.6640625" style="555" bestFit="1" customWidth="1"/>
    <col min="5128" max="5128" width="18" style="555" bestFit="1" customWidth="1"/>
    <col min="5129" max="5129" width="18.5" style="555" customWidth="1"/>
    <col min="5130" max="5131" width="14.5" style="555" customWidth="1"/>
    <col min="5132" max="5132" width="16.5" style="555" customWidth="1"/>
    <col min="5133" max="5133" width="18.5" style="555" customWidth="1"/>
    <col min="5134" max="5134" width="12.33203125" style="555" customWidth="1"/>
    <col min="5135" max="5376" width="13.33203125" style="555"/>
    <col min="5377" max="5377" width="17" style="555" bestFit="1" customWidth="1"/>
    <col min="5378" max="5378" width="10.5" style="555" bestFit="1" customWidth="1"/>
    <col min="5379" max="5379" width="12.83203125" style="555" bestFit="1" customWidth="1"/>
    <col min="5380" max="5380" width="8.1640625" style="555" bestFit="1" customWidth="1"/>
    <col min="5381" max="5381" width="14.5" style="555" bestFit="1" customWidth="1"/>
    <col min="5382" max="5382" width="51.33203125" style="555" customWidth="1"/>
    <col min="5383" max="5383" width="21.6640625" style="555" bestFit="1" customWidth="1"/>
    <col min="5384" max="5384" width="18" style="555" bestFit="1" customWidth="1"/>
    <col min="5385" max="5385" width="18.5" style="555" customWidth="1"/>
    <col min="5386" max="5387" width="14.5" style="555" customWidth="1"/>
    <col min="5388" max="5388" width="16.5" style="555" customWidth="1"/>
    <col min="5389" max="5389" width="18.5" style="555" customWidth="1"/>
    <col min="5390" max="5390" width="12.33203125" style="555" customWidth="1"/>
    <col min="5391" max="5632" width="13.33203125" style="555"/>
    <col min="5633" max="5633" width="17" style="555" bestFit="1" customWidth="1"/>
    <col min="5634" max="5634" width="10.5" style="555" bestFit="1" customWidth="1"/>
    <col min="5635" max="5635" width="12.83203125" style="555" bestFit="1" customWidth="1"/>
    <col min="5636" max="5636" width="8.1640625" style="555" bestFit="1" customWidth="1"/>
    <col min="5637" max="5637" width="14.5" style="555" bestFit="1" customWidth="1"/>
    <col min="5638" max="5638" width="51.33203125" style="555" customWidth="1"/>
    <col min="5639" max="5639" width="21.6640625" style="555" bestFit="1" customWidth="1"/>
    <col min="5640" max="5640" width="18" style="555" bestFit="1" customWidth="1"/>
    <col min="5641" max="5641" width="18.5" style="555" customWidth="1"/>
    <col min="5642" max="5643" width="14.5" style="555" customWidth="1"/>
    <col min="5644" max="5644" width="16.5" style="555" customWidth="1"/>
    <col min="5645" max="5645" width="18.5" style="555" customWidth="1"/>
    <col min="5646" max="5646" width="12.33203125" style="555" customWidth="1"/>
    <col min="5647" max="5888" width="13.33203125" style="555"/>
    <col min="5889" max="5889" width="17" style="555" bestFit="1" customWidth="1"/>
    <col min="5890" max="5890" width="10.5" style="555" bestFit="1" customWidth="1"/>
    <col min="5891" max="5891" width="12.83203125" style="555" bestFit="1" customWidth="1"/>
    <col min="5892" max="5892" width="8.1640625" style="555" bestFit="1" customWidth="1"/>
    <col min="5893" max="5893" width="14.5" style="555" bestFit="1" customWidth="1"/>
    <col min="5894" max="5894" width="51.33203125" style="555" customWidth="1"/>
    <col min="5895" max="5895" width="21.6640625" style="555" bestFit="1" customWidth="1"/>
    <col min="5896" max="5896" width="18" style="555" bestFit="1" customWidth="1"/>
    <col min="5897" max="5897" width="18.5" style="555" customWidth="1"/>
    <col min="5898" max="5899" width="14.5" style="555" customWidth="1"/>
    <col min="5900" max="5900" width="16.5" style="555" customWidth="1"/>
    <col min="5901" max="5901" width="18.5" style="555" customWidth="1"/>
    <col min="5902" max="5902" width="12.33203125" style="555" customWidth="1"/>
    <col min="5903" max="6144" width="13.33203125" style="555"/>
    <col min="6145" max="6145" width="17" style="555" bestFit="1" customWidth="1"/>
    <col min="6146" max="6146" width="10.5" style="555" bestFit="1" customWidth="1"/>
    <col min="6147" max="6147" width="12.83203125" style="555" bestFit="1" customWidth="1"/>
    <col min="6148" max="6148" width="8.1640625" style="555" bestFit="1" customWidth="1"/>
    <col min="6149" max="6149" width="14.5" style="555" bestFit="1" customWidth="1"/>
    <col min="6150" max="6150" width="51.33203125" style="555" customWidth="1"/>
    <col min="6151" max="6151" width="21.6640625" style="555" bestFit="1" customWidth="1"/>
    <col min="6152" max="6152" width="18" style="555" bestFit="1" customWidth="1"/>
    <col min="6153" max="6153" width="18.5" style="555" customWidth="1"/>
    <col min="6154" max="6155" width="14.5" style="555" customWidth="1"/>
    <col min="6156" max="6156" width="16.5" style="555" customWidth="1"/>
    <col min="6157" max="6157" width="18.5" style="555" customWidth="1"/>
    <col min="6158" max="6158" width="12.33203125" style="555" customWidth="1"/>
    <col min="6159" max="6400" width="13.33203125" style="555"/>
    <col min="6401" max="6401" width="17" style="555" bestFit="1" customWidth="1"/>
    <col min="6402" max="6402" width="10.5" style="555" bestFit="1" customWidth="1"/>
    <col min="6403" max="6403" width="12.83203125" style="555" bestFit="1" customWidth="1"/>
    <col min="6404" max="6404" width="8.1640625" style="555" bestFit="1" customWidth="1"/>
    <col min="6405" max="6405" width="14.5" style="555" bestFit="1" customWidth="1"/>
    <col min="6406" max="6406" width="51.33203125" style="555" customWidth="1"/>
    <col min="6407" max="6407" width="21.6640625" style="555" bestFit="1" customWidth="1"/>
    <col min="6408" max="6408" width="18" style="555" bestFit="1" customWidth="1"/>
    <col min="6409" max="6409" width="18.5" style="555" customWidth="1"/>
    <col min="6410" max="6411" width="14.5" style="555" customWidth="1"/>
    <col min="6412" max="6412" width="16.5" style="555" customWidth="1"/>
    <col min="6413" max="6413" width="18.5" style="555" customWidth="1"/>
    <col min="6414" max="6414" width="12.33203125" style="555" customWidth="1"/>
    <col min="6415" max="6656" width="13.33203125" style="555"/>
    <col min="6657" max="6657" width="17" style="555" bestFit="1" customWidth="1"/>
    <col min="6658" max="6658" width="10.5" style="555" bestFit="1" customWidth="1"/>
    <col min="6659" max="6659" width="12.83203125" style="555" bestFit="1" customWidth="1"/>
    <col min="6660" max="6660" width="8.1640625" style="555" bestFit="1" customWidth="1"/>
    <col min="6661" max="6661" width="14.5" style="555" bestFit="1" customWidth="1"/>
    <col min="6662" max="6662" width="51.33203125" style="555" customWidth="1"/>
    <col min="6663" max="6663" width="21.6640625" style="555" bestFit="1" customWidth="1"/>
    <col min="6664" max="6664" width="18" style="555" bestFit="1" customWidth="1"/>
    <col min="6665" max="6665" width="18.5" style="555" customWidth="1"/>
    <col min="6666" max="6667" width="14.5" style="555" customWidth="1"/>
    <col min="6668" max="6668" width="16.5" style="555" customWidth="1"/>
    <col min="6669" max="6669" width="18.5" style="555" customWidth="1"/>
    <col min="6670" max="6670" width="12.33203125" style="555" customWidth="1"/>
    <col min="6671" max="6912" width="13.33203125" style="555"/>
    <col min="6913" max="6913" width="17" style="555" bestFit="1" customWidth="1"/>
    <col min="6914" max="6914" width="10.5" style="555" bestFit="1" customWidth="1"/>
    <col min="6915" max="6915" width="12.83203125" style="555" bestFit="1" customWidth="1"/>
    <col min="6916" max="6916" width="8.1640625" style="555" bestFit="1" customWidth="1"/>
    <col min="6917" max="6917" width="14.5" style="555" bestFit="1" customWidth="1"/>
    <col min="6918" max="6918" width="51.33203125" style="555" customWidth="1"/>
    <col min="6919" max="6919" width="21.6640625" style="555" bestFit="1" customWidth="1"/>
    <col min="6920" max="6920" width="18" style="555" bestFit="1" customWidth="1"/>
    <col min="6921" max="6921" width="18.5" style="555" customWidth="1"/>
    <col min="6922" max="6923" width="14.5" style="555" customWidth="1"/>
    <col min="6924" max="6924" width="16.5" style="555" customWidth="1"/>
    <col min="6925" max="6925" width="18.5" style="555" customWidth="1"/>
    <col min="6926" max="6926" width="12.33203125" style="555" customWidth="1"/>
    <col min="6927" max="7168" width="13.33203125" style="555"/>
    <col min="7169" max="7169" width="17" style="555" bestFit="1" customWidth="1"/>
    <col min="7170" max="7170" width="10.5" style="555" bestFit="1" customWidth="1"/>
    <col min="7171" max="7171" width="12.83203125" style="555" bestFit="1" customWidth="1"/>
    <col min="7172" max="7172" width="8.1640625" style="555" bestFit="1" customWidth="1"/>
    <col min="7173" max="7173" width="14.5" style="555" bestFit="1" customWidth="1"/>
    <col min="7174" max="7174" width="51.33203125" style="555" customWidth="1"/>
    <col min="7175" max="7175" width="21.6640625" style="555" bestFit="1" customWidth="1"/>
    <col min="7176" max="7176" width="18" style="555" bestFit="1" customWidth="1"/>
    <col min="7177" max="7177" width="18.5" style="555" customWidth="1"/>
    <col min="7178" max="7179" width="14.5" style="555" customWidth="1"/>
    <col min="7180" max="7180" width="16.5" style="555" customWidth="1"/>
    <col min="7181" max="7181" width="18.5" style="555" customWidth="1"/>
    <col min="7182" max="7182" width="12.33203125" style="555" customWidth="1"/>
    <col min="7183" max="7424" width="13.33203125" style="555"/>
    <col min="7425" max="7425" width="17" style="555" bestFit="1" customWidth="1"/>
    <col min="7426" max="7426" width="10.5" style="555" bestFit="1" customWidth="1"/>
    <col min="7427" max="7427" width="12.83203125" style="555" bestFit="1" customWidth="1"/>
    <col min="7428" max="7428" width="8.1640625" style="555" bestFit="1" customWidth="1"/>
    <col min="7429" max="7429" width="14.5" style="555" bestFit="1" customWidth="1"/>
    <col min="7430" max="7430" width="51.33203125" style="555" customWidth="1"/>
    <col min="7431" max="7431" width="21.6640625" style="555" bestFit="1" customWidth="1"/>
    <col min="7432" max="7432" width="18" style="555" bestFit="1" customWidth="1"/>
    <col min="7433" max="7433" width="18.5" style="555" customWidth="1"/>
    <col min="7434" max="7435" width="14.5" style="555" customWidth="1"/>
    <col min="7436" max="7436" width="16.5" style="555" customWidth="1"/>
    <col min="7437" max="7437" width="18.5" style="555" customWidth="1"/>
    <col min="7438" max="7438" width="12.33203125" style="555" customWidth="1"/>
    <col min="7439" max="7680" width="13.33203125" style="555"/>
    <col min="7681" max="7681" width="17" style="555" bestFit="1" customWidth="1"/>
    <col min="7682" max="7682" width="10.5" style="555" bestFit="1" customWidth="1"/>
    <col min="7683" max="7683" width="12.83203125" style="555" bestFit="1" customWidth="1"/>
    <col min="7684" max="7684" width="8.1640625" style="555" bestFit="1" customWidth="1"/>
    <col min="7685" max="7685" width="14.5" style="555" bestFit="1" customWidth="1"/>
    <col min="7686" max="7686" width="51.33203125" style="555" customWidth="1"/>
    <col min="7687" max="7687" width="21.6640625" style="555" bestFit="1" customWidth="1"/>
    <col min="7688" max="7688" width="18" style="555" bestFit="1" customWidth="1"/>
    <col min="7689" max="7689" width="18.5" style="555" customWidth="1"/>
    <col min="7690" max="7691" width="14.5" style="555" customWidth="1"/>
    <col min="7692" max="7692" width="16.5" style="555" customWidth="1"/>
    <col min="7693" max="7693" width="18.5" style="555" customWidth="1"/>
    <col min="7694" max="7694" width="12.33203125" style="555" customWidth="1"/>
    <col min="7695" max="7936" width="13.33203125" style="555"/>
    <col min="7937" max="7937" width="17" style="555" bestFit="1" customWidth="1"/>
    <col min="7938" max="7938" width="10.5" style="555" bestFit="1" customWidth="1"/>
    <col min="7939" max="7939" width="12.83203125" style="555" bestFit="1" customWidth="1"/>
    <col min="7940" max="7940" width="8.1640625" style="555" bestFit="1" customWidth="1"/>
    <col min="7941" max="7941" width="14.5" style="555" bestFit="1" customWidth="1"/>
    <col min="7942" max="7942" width="51.33203125" style="555" customWidth="1"/>
    <col min="7943" max="7943" width="21.6640625" style="555" bestFit="1" customWidth="1"/>
    <col min="7944" max="7944" width="18" style="555" bestFit="1" customWidth="1"/>
    <col min="7945" max="7945" width="18.5" style="555" customWidth="1"/>
    <col min="7946" max="7947" width="14.5" style="555" customWidth="1"/>
    <col min="7948" max="7948" width="16.5" style="555" customWidth="1"/>
    <col min="7949" max="7949" width="18.5" style="555" customWidth="1"/>
    <col min="7950" max="7950" width="12.33203125" style="555" customWidth="1"/>
    <col min="7951" max="8192" width="13.33203125" style="555"/>
    <col min="8193" max="8193" width="17" style="555" bestFit="1" customWidth="1"/>
    <col min="8194" max="8194" width="10.5" style="555" bestFit="1" customWidth="1"/>
    <col min="8195" max="8195" width="12.83203125" style="555" bestFit="1" customWidth="1"/>
    <col min="8196" max="8196" width="8.1640625" style="555" bestFit="1" customWidth="1"/>
    <col min="8197" max="8197" width="14.5" style="555" bestFit="1" customWidth="1"/>
    <col min="8198" max="8198" width="51.33203125" style="555" customWidth="1"/>
    <col min="8199" max="8199" width="21.6640625" style="555" bestFit="1" customWidth="1"/>
    <col min="8200" max="8200" width="18" style="555" bestFit="1" customWidth="1"/>
    <col min="8201" max="8201" width="18.5" style="555" customWidth="1"/>
    <col min="8202" max="8203" width="14.5" style="555" customWidth="1"/>
    <col min="8204" max="8204" width="16.5" style="555" customWidth="1"/>
    <col min="8205" max="8205" width="18.5" style="555" customWidth="1"/>
    <col min="8206" max="8206" width="12.33203125" style="555" customWidth="1"/>
    <col min="8207" max="8448" width="13.33203125" style="555"/>
    <col min="8449" max="8449" width="17" style="555" bestFit="1" customWidth="1"/>
    <col min="8450" max="8450" width="10.5" style="555" bestFit="1" customWidth="1"/>
    <col min="8451" max="8451" width="12.83203125" style="555" bestFit="1" customWidth="1"/>
    <col min="8452" max="8452" width="8.1640625" style="555" bestFit="1" customWidth="1"/>
    <col min="8453" max="8453" width="14.5" style="555" bestFit="1" customWidth="1"/>
    <col min="8454" max="8454" width="51.33203125" style="555" customWidth="1"/>
    <col min="8455" max="8455" width="21.6640625" style="555" bestFit="1" customWidth="1"/>
    <col min="8456" max="8456" width="18" style="555" bestFit="1" customWidth="1"/>
    <col min="8457" max="8457" width="18.5" style="555" customWidth="1"/>
    <col min="8458" max="8459" width="14.5" style="555" customWidth="1"/>
    <col min="8460" max="8460" width="16.5" style="555" customWidth="1"/>
    <col min="8461" max="8461" width="18.5" style="555" customWidth="1"/>
    <col min="8462" max="8462" width="12.33203125" style="555" customWidth="1"/>
    <col min="8463" max="8704" width="13.33203125" style="555"/>
    <col min="8705" max="8705" width="17" style="555" bestFit="1" customWidth="1"/>
    <col min="8706" max="8706" width="10.5" style="555" bestFit="1" customWidth="1"/>
    <col min="8707" max="8707" width="12.83203125" style="555" bestFit="1" customWidth="1"/>
    <col min="8708" max="8708" width="8.1640625" style="555" bestFit="1" customWidth="1"/>
    <col min="8709" max="8709" width="14.5" style="555" bestFit="1" customWidth="1"/>
    <col min="8710" max="8710" width="51.33203125" style="555" customWidth="1"/>
    <col min="8711" max="8711" width="21.6640625" style="555" bestFit="1" customWidth="1"/>
    <col min="8712" max="8712" width="18" style="555" bestFit="1" customWidth="1"/>
    <col min="8713" max="8713" width="18.5" style="555" customWidth="1"/>
    <col min="8714" max="8715" width="14.5" style="555" customWidth="1"/>
    <col min="8716" max="8716" width="16.5" style="555" customWidth="1"/>
    <col min="8717" max="8717" width="18.5" style="555" customWidth="1"/>
    <col min="8718" max="8718" width="12.33203125" style="555" customWidth="1"/>
    <col min="8719" max="8960" width="13.33203125" style="555"/>
    <col min="8961" max="8961" width="17" style="555" bestFit="1" customWidth="1"/>
    <col min="8962" max="8962" width="10.5" style="555" bestFit="1" customWidth="1"/>
    <col min="8963" max="8963" width="12.83203125" style="555" bestFit="1" customWidth="1"/>
    <col min="8964" max="8964" width="8.1640625" style="555" bestFit="1" customWidth="1"/>
    <col min="8965" max="8965" width="14.5" style="555" bestFit="1" customWidth="1"/>
    <col min="8966" max="8966" width="51.33203125" style="555" customWidth="1"/>
    <col min="8967" max="8967" width="21.6640625" style="555" bestFit="1" customWidth="1"/>
    <col min="8968" max="8968" width="18" style="555" bestFit="1" customWidth="1"/>
    <col min="8969" max="8969" width="18.5" style="555" customWidth="1"/>
    <col min="8970" max="8971" width="14.5" style="555" customWidth="1"/>
    <col min="8972" max="8972" width="16.5" style="555" customWidth="1"/>
    <col min="8973" max="8973" width="18.5" style="555" customWidth="1"/>
    <col min="8974" max="8974" width="12.33203125" style="555" customWidth="1"/>
    <col min="8975" max="9216" width="13.33203125" style="555"/>
    <col min="9217" max="9217" width="17" style="555" bestFit="1" customWidth="1"/>
    <col min="9218" max="9218" width="10.5" style="555" bestFit="1" customWidth="1"/>
    <col min="9219" max="9219" width="12.83203125" style="555" bestFit="1" customWidth="1"/>
    <col min="9220" max="9220" width="8.1640625" style="555" bestFit="1" customWidth="1"/>
    <col min="9221" max="9221" width="14.5" style="555" bestFit="1" customWidth="1"/>
    <col min="9222" max="9222" width="51.33203125" style="555" customWidth="1"/>
    <col min="9223" max="9223" width="21.6640625" style="555" bestFit="1" customWidth="1"/>
    <col min="9224" max="9224" width="18" style="555" bestFit="1" customWidth="1"/>
    <col min="9225" max="9225" width="18.5" style="555" customWidth="1"/>
    <col min="9226" max="9227" width="14.5" style="555" customWidth="1"/>
    <col min="9228" max="9228" width="16.5" style="555" customWidth="1"/>
    <col min="9229" max="9229" width="18.5" style="555" customWidth="1"/>
    <col min="9230" max="9230" width="12.33203125" style="555" customWidth="1"/>
    <col min="9231" max="9472" width="13.33203125" style="555"/>
    <col min="9473" max="9473" width="17" style="555" bestFit="1" customWidth="1"/>
    <col min="9474" max="9474" width="10.5" style="555" bestFit="1" customWidth="1"/>
    <col min="9475" max="9475" width="12.83203125" style="555" bestFit="1" customWidth="1"/>
    <col min="9476" max="9476" width="8.1640625" style="555" bestFit="1" customWidth="1"/>
    <col min="9477" max="9477" width="14.5" style="555" bestFit="1" customWidth="1"/>
    <col min="9478" max="9478" width="51.33203125" style="555" customWidth="1"/>
    <col min="9479" max="9479" width="21.6640625" style="555" bestFit="1" customWidth="1"/>
    <col min="9480" max="9480" width="18" style="555" bestFit="1" customWidth="1"/>
    <col min="9481" max="9481" width="18.5" style="555" customWidth="1"/>
    <col min="9482" max="9483" width="14.5" style="555" customWidth="1"/>
    <col min="9484" max="9484" width="16.5" style="555" customWidth="1"/>
    <col min="9485" max="9485" width="18.5" style="555" customWidth="1"/>
    <col min="9486" max="9486" width="12.33203125" style="555" customWidth="1"/>
    <col min="9487" max="9728" width="13.33203125" style="555"/>
    <col min="9729" max="9729" width="17" style="555" bestFit="1" customWidth="1"/>
    <col min="9730" max="9730" width="10.5" style="555" bestFit="1" customWidth="1"/>
    <col min="9731" max="9731" width="12.83203125" style="555" bestFit="1" customWidth="1"/>
    <col min="9732" max="9732" width="8.1640625" style="555" bestFit="1" customWidth="1"/>
    <col min="9733" max="9733" width="14.5" style="555" bestFit="1" customWidth="1"/>
    <col min="9734" max="9734" width="51.33203125" style="555" customWidth="1"/>
    <col min="9735" max="9735" width="21.6640625" style="555" bestFit="1" customWidth="1"/>
    <col min="9736" max="9736" width="18" style="555" bestFit="1" customWidth="1"/>
    <col min="9737" max="9737" width="18.5" style="555" customWidth="1"/>
    <col min="9738" max="9739" width="14.5" style="555" customWidth="1"/>
    <col min="9740" max="9740" width="16.5" style="555" customWidth="1"/>
    <col min="9741" max="9741" width="18.5" style="555" customWidth="1"/>
    <col min="9742" max="9742" width="12.33203125" style="555" customWidth="1"/>
    <col min="9743" max="9984" width="13.33203125" style="555"/>
    <col min="9985" max="9985" width="17" style="555" bestFit="1" customWidth="1"/>
    <col min="9986" max="9986" width="10.5" style="555" bestFit="1" customWidth="1"/>
    <col min="9987" max="9987" width="12.83203125" style="555" bestFit="1" customWidth="1"/>
    <col min="9988" max="9988" width="8.1640625" style="555" bestFit="1" customWidth="1"/>
    <col min="9989" max="9989" width="14.5" style="555" bestFit="1" customWidth="1"/>
    <col min="9990" max="9990" width="51.33203125" style="555" customWidth="1"/>
    <col min="9991" max="9991" width="21.6640625" style="555" bestFit="1" customWidth="1"/>
    <col min="9992" max="9992" width="18" style="555" bestFit="1" customWidth="1"/>
    <col min="9993" max="9993" width="18.5" style="555" customWidth="1"/>
    <col min="9994" max="9995" width="14.5" style="555" customWidth="1"/>
    <col min="9996" max="9996" width="16.5" style="555" customWidth="1"/>
    <col min="9997" max="9997" width="18.5" style="555" customWidth="1"/>
    <col min="9998" max="9998" width="12.33203125" style="555" customWidth="1"/>
    <col min="9999" max="10240" width="13.33203125" style="555"/>
    <col min="10241" max="10241" width="17" style="555" bestFit="1" customWidth="1"/>
    <col min="10242" max="10242" width="10.5" style="555" bestFit="1" customWidth="1"/>
    <col min="10243" max="10243" width="12.83203125" style="555" bestFit="1" customWidth="1"/>
    <col min="10244" max="10244" width="8.1640625" style="555" bestFit="1" customWidth="1"/>
    <col min="10245" max="10245" width="14.5" style="555" bestFit="1" customWidth="1"/>
    <col min="10246" max="10246" width="51.33203125" style="555" customWidth="1"/>
    <col min="10247" max="10247" width="21.6640625" style="555" bestFit="1" customWidth="1"/>
    <col min="10248" max="10248" width="18" style="555" bestFit="1" customWidth="1"/>
    <col min="10249" max="10249" width="18.5" style="555" customWidth="1"/>
    <col min="10250" max="10251" width="14.5" style="555" customWidth="1"/>
    <col min="10252" max="10252" width="16.5" style="555" customWidth="1"/>
    <col min="10253" max="10253" width="18.5" style="555" customWidth="1"/>
    <col min="10254" max="10254" width="12.33203125" style="555" customWidth="1"/>
    <col min="10255" max="10496" width="13.33203125" style="555"/>
    <col min="10497" max="10497" width="17" style="555" bestFit="1" customWidth="1"/>
    <col min="10498" max="10498" width="10.5" style="555" bestFit="1" customWidth="1"/>
    <col min="10499" max="10499" width="12.83203125" style="555" bestFit="1" customWidth="1"/>
    <col min="10500" max="10500" width="8.1640625" style="555" bestFit="1" customWidth="1"/>
    <col min="10501" max="10501" width="14.5" style="555" bestFit="1" customWidth="1"/>
    <col min="10502" max="10502" width="51.33203125" style="555" customWidth="1"/>
    <col min="10503" max="10503" width="21.6640625" style="555" bestFit="1" customWidth="1"/>
    <col min="10504" max="10504" width="18" style="555" bestFit="1" customWidth="1"/>
    <col min="10505" max="10505" width="18.5" style="555" customWidth="1"/>
    <col min="10506" max="10507" width="14.5" style="555" customWidth="1"/>
    <col min="10508" max="10508" width="16.5" style="555" customWidth="1"/>
    <col min="10509" max="10509" width="18.5" style="555" customWidth="1"/>
    <col min="10510" max="10510" width="12.33203125" style="555" customWidth="1"/>
    <col min="10511" max="10752" width="13.33203125" style="555"/>
    <col min="10753" max="10753" width="17" style="555" bestFit="1" customWidth="1"/>
    <col min="10754" max="10754" width="10.5" style="555" bestFit="1" customWidth="1"/>
    <col min="10755" max="10755" width="12.83203125" style="555" bestFit="1" customWidth="1"/>
    <col min="10756" max="10756" width="8.1640625" style="555" bestFit="1" customWidth="1"/>
    <col min="10757" max="10757" width="14.5" style="555" bestFit="1" customWidth="1"/>
    <col min="10758" max="10758" width="51.33203125" style="555" customWidth="1"/>
    <col min="10759" max="10759" width="21.6640625" style="555" bestFit="1" customWidth="1"/>
    <col min="10760" max="10760" width="18" style="555" bestFit="1" customWidth="1"/>
    <col min="10761" max="10761" width="18.5" style="555" customWidth="1"/>
    <col min="10762" max="10763" width="14.5" style="555" customWidth="1"/>
    <col min="10764" max="10764" width="16.5" style="555" customWidth="1"/>
    <col min="10765" max="10765" width="18.5" style="555" customWidth="1"/>
    <col min="10766" max="10766" width="12.33203125" style="555" customWidth="1"/>
    <col min="10767" max="11008" width="13.33203125" style="555"/>
    <col min="11009" max="11009" width="17" style="555" bestFit="1" customWidth="1"/>
    <col min="11010" max="11010" width="10.5" style="555" bestFit="1" customWidth="1"/>
    <col min="11011" max="11011" width="12.83203125" style="555" bestFit="1" customWidth="1"/>
    <col min="11012" max="11012" width="8.1640625" style="555" bestFit="1" customWidth="1"/>
    <col min="11013" max="11013" width="14.5" style="555" bestFit="1" customWidth="1"/>
    <col min="11014" max="11014" width="51.33203125" style="555" customWidth="1"/>
    <col min="11015" max="11015" width="21.6640625" style="555" bestFit="1" customWidth="1"/>
    <col min="11016" max="11016" width="18" style="555" bestFit="1" customWidth="1"/>
    <col min="11017" max="11017" width="18.5" style="555" customWidth="1"/>
    <col min="11018" max="11019" width="14.5" style="555" customWidth="1"/>
    <col min="11020" max="11020" width="16.5" style="555" customWidth="1"/>
    <col min="11021" max="11021" width="18.5" style="555" customWidth="1"/>
    <col min="11022" max="11022" width="12.33203125" style="555" customWidth="1"/>
    <col min="11023" max="11264" width="13.33203125" style="555"/>
    <col min="11265" max="11265" width="17" style="555" bestFit="1" customWidth="1"/>
    <col min="11266" max="11266" width="10.5" style="555" bestFit="1" customWidth="1"/>
    <col min="11267" max="11267" width="12.83203125" style="555" bestFit="1" customWidth="1"/>
    <col min="11268" max="11268" width="8.1640625" style="555" bestFit="1" customWidth="1"/>
    <col min="11269" max="11269" width="14.5" style="555" bestFit="1" customWidth="1"/>
    <col min="11270" max="11270" width="51.33203125" style="555" customWidth="1"/>
    <col min="11271" max="11271" width="21.6640625" style="555" bestFit="1" customWidth="1"/>
    <col min="11272" max="11272" width="18" style="555" bestFit="1" customWidth="1"/>
    <col min="11273" max="11273" width="18.5" style="555" customWidth="1"/>
    <col min="11274" max="11275" width="14.5" style="555" customWidth="1"/>
    <col min="11276" max="11276" width="16.5" style="555" customWidth="1"/>
    <col min="11277" max="11277" width="18.5" style="555" customWidth="1"/>
    <col min="11278" max="11278" width="12.33203125" style="555" customWidth="1"/>
    <col min="11279" max="11520" width="13.33203125" style="555"/>
    <col min="11521" max="11521" width="17" style="555" bestFit="1" customWidth="1"/>
    <col min="11522" max="11522" width="10.5" style="555" bestFit="1" customWidth="1"/>
    <col min="11523" max="11523" width="12.83203125" style="555" bestFit="1" customWidth="1"/>
    <col min="11524" max="11524" width="8.1640625" style="555" bestFit="1" customWidth="1"/>
    <col min="11525" max="11525" width="14.5" style="555" bestFit="1" customWidth="1"/>
    <col min="11526" max="11526" width="51.33203125" style="555" customWidth="1"/>
    <col min="11527" max="11527" width="21.6640625" style="555" bestFit="1" customWidth="1"/>
    <col min="11528" max="11528" width="18" style="555" bestFit="1" customWidth="1"/>
    <col min="11529" max="11529" width="18.5" style="555" customWidth="1"/>
    <col min="11530" max="11531" width="14.5" style="555" customWidth="1"/>
    <col min="11532" max="11532" width="16.5" style="555" customWidth="1"/>
    <col min="11533" max="11533" width="18.5" style="555" customWidth="1"/>
    <col min="11534" max="11534" width="12.33203125" style="555" customWidth="1"/>
    <col min="11535" max="11776" width="13.33203125" style="555"/>
    <col min="11777" max="11777" width="17" style="555" bestFit="1" customWidth="1"/>
    <col min="11778" max="11778" width="10.5" style="555" bestFit="1" customWidth="1"/>
    <col min="11779" max="11779" width="12.83203125" style="555" bestFit="1" customWidth="1"/>
    <col min="11780" max="11780" width="8.1640625" style="555" bestFit="1" customWidth="1"/>
    <col min="11781" max="11781" width="14.5" style="555" bestFit="1" customWidth="1"/>
    <col min="11782" max="11782" width="51.33203125" style="555" customWidth="1"/>
    <col min="11783" max="11783" width="21.6640625" style="555" bestFit="1" customWidth="1"/>
    <col min="11784" max="11784" width="18" style="555" bestFit="1" customWidth="1"/>
    <col min="11785" max="11785" width="18.5" style="555" customWidth="1"/>
    <col min="11786" max="11787" width="14.5" style="555" customWidth="1"/>
    <col min="11788" max="11788" width="16.5" style="555" customWidth="1"/>
    <col min="11789" max="11789" width="18.5" style="555" customWidth="1"/>
    <col min="11790" max="11790" width="12.33203125" style="555" customWidth="1"/>
    <col min="11791" max="12032" width="13.33203125" style="555"/>
    <col min="12033" max="12033" width="17" style="555" bestFit="1" customWidth="1"/>
    <col min="12034" max="12034" width="10.5" style="555" bestFit="1" customWidth="1"/>
    <col min="12035" max="12035" width="12.83203125" style="555" bestFit="1" customWidth="1"/>
    <col min="12036" max="12036" width="8.1640625" style="555" bestFit="1" customWidth="1"/>
    <col min="12037" max="12037" width="14.5" style="555" bestFit="1" customWidth="1"/>
    <col min="12038" max="12038" width="51.33203125" style="555" customWidth="1"/>
    <col min="12039" max="12039" width="21.6640625" style="555" bestFit="1" customWidth="1"/>
    <col min="12040" max="12040" width="18" style="555" bestFit="1" customWidth="1"/>
    <col min="12041" max="12041" width="18.5" style="555" customWidth="1"/>
    <col min="12042" max="12043" width="14.5" style="555" customWidth="1"/>
    <col min="12044" max="12044" width="16.5" style="555" customWidth="1"/>
    <col min="12045" max="12045" width="18.5" style="555" customWidth="1"/>
    <col min="12046" max="12046" width="12.33203125" style="555" customWidth="1"/>
    <col min="12047" max="12288" width="13.33203125" style="555"/>
    <col min="12289" max="12289" width="17" style="555" bestFit="1" customWidth="1"/>
    <col min="12290" max="12290" width="10.5" style="555" bestFit="1" customWidth="1"/>
    <col min="12291" max="12291" width="12.83203125" style="555" bestFit="1" customWidth="1"/>
    <col min="12292" max="12292" width="8.1640625" style="555" bestFit="1" customWidth="1"/>
    <col min="12293" max="12293" width="14.5" style="555" bestFit="1" customWidth="1"/>
    <col min="12294" max="12294" width="51.33203125" style="555" customWidth="1"/>
    <col min="12295" max="12295" width="21.6640625" style="555" bestFit="1" customWidth="1"/>
    <col min="12296" max="12296" width="18" style="555" bestFit="1" customWidth="1"/>
    <col min="12297" max="12297" width="18.5" style="555" customWidth="1"/>
    <col min="12298" max="12299" width="14.5" style="555" customWidth="1"/>
    <col min="12300" max="12300" width="16.5" style="555" customWidth="1"/>
    <col min="12301" max="12301" width="18.5" style="555" customWidth="1"/>
    <col min="12302" max="12302" width="12.33203125" style="555" customWidth="1"/>
    <col min="12303" max="12544" width="13.33203125" style="555"/>
    <col min="12545" max="12545" width="17" style="555" bestFit="1" customWidth="1"/>
    <col min="12546" max="12546" width="10.5" style="555" bestFit="1" customWidth="1"/>
    <col min="12547" max="12547" width="12.83203125" style="555" bestFit="1" customWidth="1"/>
    <col min="12548" max="12548" width="8.1640625" style="555" bestFit="1" customWidth="1"/>
    <col min="12549" max="12549" width="14.5" style="555" bestFit="1" customWidth="1"/>
    <col min="12550" max="12550" width="51.33203125" style="555" customWidth="1"/>
    <col min="12551" max="12551" width="21.6640625" style="555" bestFit="1" customWidth="1"/>
    <col min="12552" max="12552" width="18" style="555" bestFit="1" customWidth="1"/>
    <col min="12553" max="12553" width="18.5" style="555" customWidth="1"/>
    <col min="12554" max="12555" width="14.5" style="555" customWidth="1"/>
    <col min="12556" max="12556" width="16.5" style="555" customWidth="1"/>
    <col min="12557" max="12557" width="18.5" style="555" customWidth="1"/>
    <col min="12558" max="12558" width="12.33203125" style="555" customWidth="1"/>
    <col min="12559" max="12800" width="13.33203125" style="555"/>
    <col min="12801" max="12801" width="17" style="555" bestFit="1" customWidth="1"/>
    <col min="12802" max="12802" width="10.5" style="555" bestFit="1" customWidth="1"/>
    <col min="12803" max="12803" width="12.83203125" style="555" bestFit="1" customWidth="1"/>
    <col min="12804" max="12804" width="8.1640625" style="555" bestFit="1" customWidth="1"/>
    <col min="12805" max="12805" width="14.5" style="555" bestFit="1" customWidth="1"/>
    <col min="12806" max="12806" width="51.33203125" style="555" customWidth="1"/>
    <col min="12807" max="12807" width="21.6640625" style="555" bestFit="1" customWidth="1"/>
    <col min="12808" max="12808" width="18" style="555" bestFit="1" customWidth="1"/>
    <col min="12809" max="12809" width="18.5" style="555" customWidth="1"/>
    <col min="12810" max="12811" width="14.5" style="555" customWidth="1"/>
    <col min="12812" max="12812" width="16.5" style="555" customWidth="1"/>
    <col min="12813" max="12813" width="18.5" style="555" customWidth="1"/>
    <col min="12814" max="12814" width="12.33203125" style="555" customWidth="1"/>
    <col min="12815" max="13056" width="13.33203125" style="555"/>
    <col min="13057" max="13057" width="17" style="555" bestFit="1" customWidth="1"/>
    <col min="13058" max="13058" width="10.5" style="555" bestFit="1" customWidth="1"/>
    <col min="13059" max="13059" width="12.83203125" style="555" bestFit="1" customWidth="1"/>
    <col min="13060" max="13060" width="8.1640625" style="555" bestFit="1" customWidth="1"/>
    <col min="13061" max="13061" width="14.5" style="555" bestFit="1" customWidth="1"/>
    <col min="13062" max="13062" width="51.33203125" style="555" customWidth="1"/>
    <col min="13063" max="13063" width="21.6640625" style="555" bestFit="1" customWidth="1"/>
    <col min="13064" max="13064" width="18" style="555" bestFit="1" customWidth="1"/>
    <col min="13065" max="13065" width="18.5" style="555" customWidth="1"/>
    <col min="13066" max="13067" width="14.5" style="555" customWidth="1"/>
    <col min="13068" max="13068" width="16.5" style="555" customWidth="1"/>
    <col min="13069" max="13069" width="18.5" style="555" customWidth="1"/>
    <col min="13070" max="13070" width="12.33203125" style="555" customWidth="1"/>
    <col min="13071" max="13312" width="13.33203125" style="555"/>
    <col min="13313" max="13313" width="17" style="555" bestFit="1" customWidth="1"/>
    <col min="13314" max="13314" width="10.5" style="555" bestFit="1" customWidth="1"/>
    <col min="13315" max="13315" width="12.83203125" style="555" bestFit="1" customWidth="1"/>
    <col min="13316" max="13316" width="8.1640625" style="555" bestFit="1" customWidth="1"/>
    <col min="13317" max="13317" width="14.5" style="555" bestFit="1" customWidth="1"/>
    <col min="13318" max="13318" width="51.33203125" style="555" customWidth="1"/>
    <col min="13319" max="13319" width="21.6640625" style="555" bestFit="1" customWidth="1"/>
    <col min="13320" max="13320" width="18" style="555" bestFit="1" customWidth="1"/>
    <col min="13321" max="13321" width="18.5" style="555" customWidth="1"/>
    <col min="13322" max="13323" width="14.5" style="555" customWidth="1"/>
    <col min="13324" max="13324" width="16.5" style="555" customWidth="1"/>
    <col min="13325" max="13325" width="18.5" style="555" customWidth="1"/>
    <col min="13326" max="13326" width="12.33203125" style="555" customWidth="1"/>
    <col min="13327" max="13568" width="13.33203125" style="555"/>
    <col min="13569" max="13569" width="17" style="555" bestFit="1" customWidth="1"/>
    <col min="13570" max="13570" width="10.5" style="555" bestFit="1" customWidth="1"/>
    <col min="13571" max="13571" width="12.83203125" style="555" bestFit="1" customWidth="1"/>
    <col min="13572" max="13572" width="8.1640625" style="555" bestFit="1" customWidth="1"/>
    <col min="13573" max="13573" width="14.5" style="555" bestFit="1" customWidth="1"/>
    <col min="13574" max="13574" width="51.33203125" style="555" customWidth="1"/>
    <col min="13575" max="13575" width="21.6640625" style="555" bestFit="1" customWidth="1"/>
    <col min="13576" max="13576" width="18" style="555" bestFit="1" customWidth="1"/>
    <col min="13577" max="13577" width="18.5" style="555" customWidth="1"/>
    <col min="13578" max="13579" width="14.5" style="555" customWidth="1"/>
    <col min="13580" max="13580" width="16.5" style="555" customWidth="1"/>
    <col min="13581" max="13581" width="18.5" style="555" customWidth="1"/>
    <col min="13582" max="13582" width="12.33203125" style="555" customWidth="1"/>
    <col min="13583" max="13824" width="13.33203125" style="555"/>
    <col min="13825" max="13825" width="17" style="555" bestFit="1" customWidth="1"/>
    <col min="13826" max="13826" width="10.5" style="555" bestFit="1" customWidth="1"/>
    <col min="13827" max="13827" width="12.83203125" style="555" bestFit="1" customWidth="1"/>
    <col min="13828" max="13828" width="8.1640625" style="555" bestFit="1" customWidth="1"/>
    <col min="13829" max="13829" width="14.5" style="555" bestFit="1" customWidth="1"/>
    <col min="13830" max="13830" width="51.33203125" style="555" customWidth="1"/>
    <col min="13831" max="13831" width="21.6640625" style="555" bestFit="1" customWidth="1"/>
    <col min="13832" max="13832" width="18" style="555" bestFit="1" customWidth="1"/>
    <col min="13833" max="13833" width="18.5" style="555" customWidth="1"/>
    <col min="13834" max="13835" width="14.5" style="555" customWidth="1"/>
    <col min="13836" max="13836" width="16.5" style="555" customWidth="1"/>
    <col min="13837" max="13837" width="18.5" style="555" customWidth="1"/>
    <col min="13838" max="13838" width="12.33203125" style="555" customWidth="1"/>
    <col min="13839" max="14080" width="13.33203125" style="555"/>
    <col min="14081" max="14081" width="17" style="555" bestFit="1" customWidth="1"/>
    <col min="14082" max="14082" width="10.5" style="555" bestFit="1" customWidth="1"/>
    <col min="14083" max="14083" width="12.83203125" style="555" bestFit="1" customWidth="1"/>
    <col min="14084" max="14084" width="8.1640625" style="555" bestFit="1" customWidth="1"/>
    <col min="14085" max="14085" width="14.5" style="555" bestFit="1" customWidth="1"/>
    <col min="14086" max="14086" width="51.33203125" style="555" customWidth="1"/>
    <col min="14087" max="14087" width="21.6640625" style="555" bestFit="1" customWidth="1"/>
    <col min="14088" max="14088" width="18" style="555" bestFit="1" customWidth="1"/>
    <col min="14089" max="14089" width="18.5" style="555" customWidth="1"/>
    <col min="14090" max="14091" width="14.5" style="555" customWidth="1"/>
    <col min="14092" max="14092" width="16.5" style="555" customWidth="1"/>
    <col min="14093" max="14093" width="18.5" style="555" customWidth="1"/>
    <col min="14094" max="14094" width="12.33203125" style="555" customWidth="1"/>
    <col min="14095" max="14336" width="13.33203125" style="555"/>
    <col min="14337" max="14337" width="17" style="555" bestFit="1" customWidth="1"/>
    <col min="14338" max="14338" width="10.5" style="555" bestFit="1" customWidth="1"/>
    <col min="14339" max="14339" width="12.83203125" style="555" bestFit="1" customWidth="1"/>
    <col min="14340" max="14340" width="8.1640625" style="555" bestFit="1" customWidth="1"/>
    <col min="14341" max="14341" width="14.5" style="555" bestFit="1" customWidth="1"/>
    <col min="14342" max="14342" width="51.33203125" style="555" customWidth="1"/>
    <col min="14343" max="14343" width="21.6640625" style="555" bestFit="1" customWidth="1"/>
    <col min="14344" max="14344" width="18" style="555" bestFit="1" customWidth="1"/>
    <col min="14345" max="14345" width="18.5" style="555" customWidth="1"/>
    <col min="14346" max="14347" width="14.5" style="555" customWidth="1"/>
    <col min="14348" max="14348" width="16.5" style="555" customWidth="1"/>
    <col min="14349" max="14349" width="18.5" style="555" customWidth="1"/>
    <col min="14350" max="14350" width="12.33203125" style="555" customWidth="1"/>
    <col min="14351" max="14592" width="13.33203125" style="555"/>
    <col min="14593" max="14593" width="17" style="555" bestFit="1" customWidth="1"/>
    <col min="14594" max="14594" width="10.5" style="555" bestFit="1" customWidth="1"/>
    <col min="14595" max="14595" width="12.83203125" style="555" bestFit="1" customWidth="1"/>
    <col min="14596" max="14596" width="8.1640625" style="555" bestFit="1" customWidth="1"/>
    <col min="14597" max="14597" width="14.5" style="555" bestFit="1" customWidth="1"/>
    <col min="14598" max="14598" width="51.33203125" style="555" customWidth="1"/>
    <col min="14599" max="14599" width="21.6640625" style="555" bestFit="1" customWidth="1"/>
    <col min="14600" max="14600" width="18" style="555" bestFit="1" customWidth="1"/>
    <col min="14601" max="14601" width="18.5" style="555" customWidth="1"/>
    <col min="14602" max="14603" width="14.5" style="555" customWidth="1"/>
    <col min="14604" max="14604" width="16.5" style="555" customWidth="1"/>
    <col min="14605" max="14605" width="18.5" style="555" customWidth="1"/>
    <col min="14606" max="14606" width="12.33203125" style="555" customWidth="1"/>
    <col min="14607" max="14848" width="13.33203125" style="555"/>
    <col min="14849" max="14849" width="17" style="555" bestFit="1" customWidth="1"/>
    <col min="14850" max="14850" width="10.5" style="555" bestFit="1" customWidth="1"/>
    <col min="14851" max="14851" width="12.83203125" style="555" bestFit="1" customWidth="1"/>
    <col min="14852" max="14852" width="8.1640625" style="555" bestFit="1" customWidth="1"/>
    <col min="14853" max="14853" width="14.5" style="555" bestFit="1" customWidth="1"/>
    <col min="14854" max="14854" width="51.33203125" style="555" customWidth="1"/>
    <col min="14855" max="14855" width="21.6640625" style="555" bestFit="1" customWidth="1"/>
    <col min="14856" max="14856" width="18" style="555" bestFit="1" customWidth="1"/>
    <col min="14857" max="14857" width="18.5" style="555" customWidth="1"/>
    <col min="14858" max="14859" width="14.5" style="555" customWidth="1"/>
    <col min="14860" max="14860" width="16.5" style="555" customWidth="1"/>
    <col min="14861" max="14861" width="18.5" style="555" customWidth="1"/>
    <col min="14862" max="14862" width="12.33203125" style="555" customWidth="1"/>
    <col min="14863" max="15104" width="13.33203125" style="555"/>
    <col min="15105" max="15105" width="17" style="555" bestFit="1" customWidth="1"/>
    <col min="15106" max="15106" width="10.5" style="555" bestFit="1" customWidth="1"/>
    <col min="15107" max="15107" width="12.83203125" style="555" bestFit="1" customWidth="1"/>
    <col min="15108" max="15108" width="8.1640625" style="555" bestFit="1" customWidth="1"/>
    <col min="15109" max="15109" width="14.5" style="555" bestFit="1" customWidth="1"/>
    <col min="15110" max="15110" width="51.33203125" style="555" customWidth="1"/>
    <col min="15111" max="15111" width="21.6640625" style="555" bestFit="1" customWidth="1"/>
    <col min="15112" max="15112" width="18" style="555" bestFit="1" customWidth="1"/>
    <col min="15113" max="15113" width="18.5" style="555" customWidth="1"/>
    <col min="15114" max="15115" width="14.5" style="555" customWidth="1"/>
    <col min="15116" max="15116" width="16.5" style="555" customWidth="1"/>
    <col min="15117" max="15117" width="18.5" style="555" customWidth="1"/>
    <col min="15118" max="15118" width="12.33203125" style="555" customWidth="1"/>
    <col min="15119" max="15360" width="13.33203125" style="555"/>
    <col min="15361" max="15361" width="17" style="555" bestFit="1" customWidth="1"/>
    <col min="15362" max="15362" width="10.5" style="555" bestFit="1" customWidth="1"/>
    <col min="15363" max="15363" width="12.83203125" style="555" bestFit="1" customWidth="1"/>
    <col min="15364" max="15364" width="8.1640625" style="555" bestFit="1" customWidth="1"/>
    <col min="15365" max="15365" width="14.5" style="555" bestFit="1" customWidth="1"/>
    <col min="15366" max="15366" width="51.33203125" style="555" customWidth="1"/>
    <col min="15367" max="15367" width="21.6640625" style="555" bestFit="1" customWidth="1"/>
    <col min="15368" max="15368" width="18" style="555" bestFit="1" customWidth="1"/>
    <col min="15369" max="15369" width="18.5" style="555" customWidth="1"/>
    <col min="15370" max="15371" width="14.5" style="555" customWidth="1"/>
    <col min="15372" max="15372" width="16.5" style="555" customWidth="1"/>
    <col min="15373" max="15373" width="18.5" style="555" customWidth="1"/>
    <col min="15374" max="15374" width="12.33203125" style="555" customWidth="1"/>
    <col min="15375" max="15616" width="13.33203125" style="555"/>
    <col min="15617" max="15617" width="17" style="555" bestFit="1" customWidth="1"/>
    <col min="15618" max="15618" width="10.5" style="555" bestFit="1" customWidth="1"/>
    <col min="15619" max="15619" width="12.83203125" style="555" bestFit="1" customWidth="1"/>
    <col min="15620" max="15620" width="8.1640625" style="555" bestFit="1" customWidth="1"/>
    <col min="15621" max="15621" width="14.5" style="555" bestFit="1" customWidth="1"/>
    <col min="15622" max="15622" width="51.33203125" style="555" customWidth="1"/>
    <col min="15623" max="15623" width="21.6640625" style="555" bestFit="1" customWidth="1"/>
    <col min="15624" max="15624" width="18" style="555" bestFit="1" customWidth="1"/>
    <col min="15625" max="15625" width="18.5" style="555" customWidth="1"/>
    <col min="15626" max="15627" width="14.5" style="555" customWidth="1"/>
    <col min="15628" max="15628" width="16.5" style="555" customWidth="1"/>
    <col min="15629" max="15629" width="18.5" style="555" customWidth="1"/>
    <col min="15630" max="15630" width="12.33203125" style="555" customWidth="1"/>
    <col min="15631" max="15872" width="13.33203125" style="555"/>
    <col min="15873" max="15873" width="17" style="555" bestFit="1" customWidth="1"/>
    <col min="15874" max="15874" width="10.5" style="555" bestFit="1" customWidth="1"/>
    <col min="15875" max="15875" width="12.83203125" style="555" bestFit="1" customWidth="1"/>
    <col min="15876" max="15876" width="8.1640625" style="555" bestFit="1" customWidth="1"/>
    <col min="15877" max="15877" width="14.5" style="555" bestFit="1" customWidth="1"/>
    <col min="15878" max="15878" width="51.33203125" style="555" customWidth="1"/>
    <col min="15879" max="15879" width="21.6640625" style="555" bestFit="1" customWidth="1"/>
    <col min="15880" max="15880" width="18" style="555" bestFit="1" customWidth="1"/>
    <col min="15881" max="15881" width="18.5" style="555" customWidth="1"/>
    <col min="15882" max="15883" width="14.5" style="555" customWidth="1"/>
    <col min="15884" max="15884" width="16.5" style="555" customWidth="1"/>
    <col min="15885" max="15885" width="18.5" style="555" customWidth="1"/>
    <col min="15886" max="15886" width="12.33203125" style="555" customWidth="1"/>
    <col min="15887" max="16128" width="13.33203125" style="555"/>
    <col min="16129" max="16129" width="17" style="555" bestFit="1" customWidth="1"/>
    <col min="16130" max="16130" width="10.5" style="555" bestFit="1" customWidth="1"/>
    <col min="16131" max="16131" width="12.83203125" style="555" bestFit="1" customWidth="1"/>
    <col min="16132" max="16132" width="8.1640625" style="555" bestFit="1" customWidth="1"/>
    <col min="16133" max="16133" width="14.5" style="555" bestFit="1" customWidth="1"/>
    <col min="16134" max="16134" width="51.33203125" style="555" customWidth="1"/>
    <col min="16135" max="16135" width="21.6640625" style="555" bestFit="1" customWidth="1"/>
    <col min="16136" max="16136" width="18" style="555" bestFit="1" customWidth="1"/>
    <col min="16137" max="16137" width="18.5" style="555" customWidth="1"/>
    <col min="16138" max="16139" width="14.5" style="555" customWidth="1"/>
    <col min="16140" max="16140" width="16.5" style="555" customWidth="1"/>
    <col min="16141" max="16141" width="18.5" style="555" customWidth="1"/>
    <col min="16142" max="16142" width="12.33203125" style="555" customWidth="1"/>
    <col min="16143" max="16384" width="13.33203125" style="555"/>
  </cols>
  <sheetData>
    <row r="1" spans="1:17">
      <c r="H1" s="566"/>
      <c r="I1" s="567"/>
      <c r="J1" s="568" t="s">
        <v>276</v>
      </c>
      <c r="K1" s="569"/>
      <c r="L1" s="570"/>
      <c r="M1" s="569"/>
    </row>
    <row r="2" spans="1:17">
      <c r="H2" s="572" t="s">
        <v>716</v>
      </c>
      <c r="I2" s="573"/>
      <c r="J2" s="572" t="s">
        <v>286</v>
      </c>
      <c r="K2" s="573"/>
      <c r="L2" s="572" t="s">
        <v>711</v>
      </c>
      <c r="M2" s="573"/>
    </row>
    <row r="3" spans="1:17">
      <c r="A3" s="553" t="s">
        <v>1022</v>
      </c>
      <c r="B3" s="553" t="s">
        <v>661</v>
      </c>
      <c r="C3" s="553" t="s">
        <v>1023</v>
      </c>
      <c r="D3" s="553" t="s">
        <v>683</v>
      </c>
      <c r="E3" s="553" t="s">
        <v>666</v>
      </c>
      <c r="F3" s="553" t="s">
        <v>664</v>
      </c>
      <c r="G3" s="554" t="s">
        <v>1024</v>
      </c>
      <c r="H3" s="574">
        <f>'3.05'!E35</f>
        <v>0.66510000000000002</v>
      </c>
      <c r="I3" s="575">
        <f>'3.05'!F35</f>
        <v>0.33489999999999998</v>
      </c>
      <c r="J3" s="574">
        <f>H3</f>
        <v>0.66510000000000002</v>
      </c>
      <c r="K3" s="575">
        <f>I3</f>
        <v>0.33489999999999998</v>
      </c>
      <c r="L3" s="574">
        <f>H3</f>
        <v>0.66510000000000002</v>
      </c>
      <c r="M3" s="575">
        <f>I3</f>
        <v>0.33489999999999998</v>
      </c>
      <c r="N3" s="576" t="s">
        <v>1025</v>
      </c>
    </row>
    <row r="4" spans="1:17">
      <c r="A4" s="577" t="s">
        <v>1026</v>
      </c>
      <c r="G4" s="555"/>
      <c r="H4" s="578" t="s">
        <v>1027</v>
      </c>
      <c r="I4" s="579" t="s">
        <v>1028</v>
      </c>
      <c r="J4" s="578" t="s">
        <v>1027</v>
      </c>
      <c r="K4" s="579" t="s">
        <v>1028</v>
      </c>
      <c r="L4" s="578" t="s">
        <v>1027</v>
      </c>
      <c r="M4" s="579" t="s">
        <v>1028</v>
      </c>
      <c r="N4" s="580" t="s">
        <v>287</v>
      </c>
      <c r="O4" s="580" t="s">
        <v>2896</v>
      </c>
      <c r="Q4" s="580" t="s">
        <v>2344</v>
      </c>
    </row>
    <row r="5" spans="1:17">
      <c r="A5" s="581" t="s">
        <v>1029</v>
      </c>
      <c r="B5" s="582" t="s">
        <v>1030</v>
      </c>
      <c r="C5" s="582" t="s">
        <v>1031</v>
      </c>
      <c r="D5" s="582" t="s">
        <v>57</v>
      </c>
      <c r="E5" s="583">
        <v>40207</v>
      </c>
      <c r="F5" s="2153" t="s">
        <v>1032</v>
      </c>
      <c r="G5" s="584">
        <v>-12378.82</v>
      </c>
      <c r="H5" s="585">
        <f>G5</f>
        <v>-12378.82</v>
      </c>
      <c r="I5" s="586"/>
      <c r="J5" s="585">
        <f>-H5</f>
        <v>12378.82</v>
      </c>
      <c r="K5" s="586"/>
      <c r="L5" s="587">
        <f t="shared" ref="L5:M47" si="0">H5+J5</f>
        <v>0</v>
      </c>
      <c r="M5" s="588"/>
      <c r="N5" s="589" t="s">
        <v>334</v>
      </c>
    </row>
    <row r="6" spans="1:17">
      <c r="A6" s="590" t="s">
        <v>1033</v>
      </c>
      <c r="B6" s="591" t="s">
        <v>1030</v>
      </c>
      <c r="C6" s="591" t="s">
        <v>1031</v>
      </c>
      <c r="D6" s="591" t="s">
        <v>57</v>
      </c>
      <c r="E6" s="592">
        <v>40203</v>
      </c>
      <c r="F6" s="591" t="s">
        <v>1034</v>
      </c>
      <c r="G6" s="593">
        <v>-5095174.57</v>
      </c>
      <c r="H6" s="594">
        <f t="shared" ref="H6:H27" si="1">G6</f>
        <v>-5095174.57</v>
      </c>
      <c r="I6" s="588"/>
      <c r="J6" s="594"/>
      <c r="K6" s="588"/>
      <c r="L6" s="595">
        <f t="shared" si="0"/>
        <v>-5095174.57</v>
      </c>
      <c r="M6" s="588"/>
      <c r="N6" s="596"/>
    </row>
    <row r="7" spans="1:17">
      <c r="A7" s="590" t="s">
        <v>1029</v>
      </c>
      <c r="B7" s="591" t="s">
        <v>1030</v>
      </c>
      <c r="C7" s="591" t="s">
        <v>1031</v>
      </c>
      <c r="D7" s="591" t="s">
        <v>57</v>
      </c>
      <c r="E7" s="592">
        <v>40207</v>
      </c>
      <c r="F7" s="591" t="s">
        <v>1035</v>
      </c>
      <c r="G7" s="2104">
        <v>7987940.5999999996</v>
      </c>
      <c r="H7" s="594">
        <f t="shared" si="1"/>
        <v>7987940.5999999996</v>
      </c>
      <c r="I7" s="588">
        <v>0</v>
      </c>
      <c r="J7" s="594"/>
      <c r="K7" s="588"/>
      <c r="L7" s="595">
        <f t="shared" si="0"/>
        <v>7987940.5999999996</v>
      </c>
      <c r="M7" s="588"/>
      <c r="N7" s="576"/>
      <c r="O7" s="2106">
        <v>7978277.8399999999</v>
      </c>
      <c r="Q7" s="2105">
        <f>O7-G7</f>
        <v>-9662.7599999997765</v>
      </c>
    </row>
    <row r="8" spans="1:17">
      <c r="A8" s="590" t="s">
        <v>1029</v>
      </c>
      <c r="B8" s="591" t="s">
        <v>1030</v>
      </c>
      <c r="C8" s="591" t="s">
        <v>1031</v>
      </c>
      <c r="D8" s="591" t="s">
        <v>689</v>
      </c>
      <c r="E8" s="592">
        <v>40235</v>
      </c>
      <c r="F8" s="591" t="s">
        <v>1032</v>
      </c>
      <c r="G8" s="593">
        <v>-9662.76</v>
      </c>
      <c r="H8" s="594">
        <f t="shared" si="1"/>
        <v>-9662.76</v>
      </c>
      <c r="I8" s="588">
        <v>0</v>
      </c>
      <c r="J8" s="595"/>
      <c r="K8" s="597"/>
      <c r="L8" s="595">
        <f t="shared" si="0"/>
        <v>-9662.76</v>
      </c>
      <c r="M8" s="597">
        <f t="shared" si="0"/>
        <v>0</v>
      </c>
      <c r="N8" s="576"/>
      <c r="Q8" s="2105"/>
    </row>
    <row r="9" spans="1:17">
      <c r="A9" s="590" t="s">
        <v>1029</v>
      </c>
      <c r="B9" s="591" t="s">
        <v>1030</v>
      </c>
      <c r="C9" s="591" t="s">
        <v>1031</v>
      </c>
      <c r="D9" s="591" t="s">
        <v>689</v>
      </c>
      <c r="E9" s="592">
        <v>40237</v>
      </c>
      <c r="F9" s="591" t="s">
        <v>1036</v>
      </c>
      <c r="G9" s="593">
        <v>-50733.78</v>
      </c>
      <c r="H9" s="594">
        <f t="shared" si="1"/>
        <v>-50733.78</v>
      </c>
      <c r="I9" s="588">
        <v>0</v>
      </c>
      <c r="J9" s="595">
        <v>0</v>
      </c>
      <c r="K9" s="597"/>
      <c r="L9" s="595">
        <f t="shared" si="0"/>
        <v>-50733.78</v>
      </c>
      <c r="M9" s="597">
        <f t="shared" si="0"/>
        <v>0</v>
      </c>
      <c r="N9" s="598"/>
      <c r="Q9" s="2105"/>
    </row>
    <row r="10" spans="1:17">
      <c r="A10" s="590" t="s">
        <v>1029</v>
      </c>
      <c r="B10" s="591" t="s">
        <v>1030</v>
      </c>
      <c r="C10" s="591" t="s">
        <v>1031</v>
      </c>
      <c r="D10" s="591" t="s">
        <v>689</v>
      </c>
      <c r="E10" s="592">
        <v>40237</v>
      </c>
      <c r="F10" s="591" t="s">
        <v>1035</v>
      </c>
      <c r="G10" s="2103">
        <v>7128080.25</v>
      </c>
      <c r="H10" s="594">
        <f t="shared" si="1"/>
        <v>7128080.25</v>
      </c>
      <c r="I10" s="588">
        <v>0</v>
      </c>
      <c r="J10" s="595"/>
      <c r="K10" s="597"/>
      <c r="L10" s="595">
        <f t="shared" si="0"/>
        <v>7128080.25</v>
      </c>
      <c r="M10" s="597">
        <f t="shared" si="0"/>
        <v>0</v>
      </c>
      <c r="N10" s="576"/>
      <c r="O10" s="2105">
        <v>7128080.25</v>
      </c>
      <c r="Q10" s="2105">
        <f t="shared" ref="Q10:Q26" si="2">O10-G10</f>
        <v>0</v>
      </c>
    </row>
    <row r="11" spans="1:17">
      <c r="A11" s="590" t="s">
        <v>1029</v>
      </c>
      <c r="B11" s="591" t="s">
        <v>1030</v>
      </c>
      <c r="C11" s="591" t="s">
        <v>1031</v>
      </c>
      <c r="D11" s="591" t="s">
        <v>690</v>
      </c>
      <c r="E11" s="592">
        <v>40268</v>
      </c>
      <c r="F11" s="591" t="s">
        <v>1037</v>
      </c>
      <c r="G11" s="593">
        <v>-62598.84</v>
      </c>
      <c r="H11" s="594">
        <f t="shared" si="1"/>
        <v>-62598.84</v>
      </c>
      <c r="I11" s="588">
        <v>0</v>
      </c>
      <c r="J11" s="595">
        <v>0</v>
      </c>
      <c r="K11" s="597"/>
      <c r="L11" s="595">
        <f t="shared" si="0"/>
        <v>-62598.84</v>
      </c>
      <c r="M11" s="597">
        <f t="shared" si="0"/>
        <v>0</v>
      </c>
      <c r="N11" s="598"/>
      <c r="O11" s="2105"/>
      <c r="Q11" s="2105"/>
    </row>
    <row r="12" spans="1:17">
      <c r="A12" s="590" t="s">
        <v>1029</v>
      </c>
      <c r="B12" s="591" t="s">
        <v>1030</v>
      </c>
      <c r="C12" s="591" t="s">
        <v>1031</v>
      </c>
      <c r="D12" s="591" t="s">
        <v>690</v>
      </c>
      <c r="E12" s="592">
        <v>40252</v>
      </c>
      <c r="F12" s="591" t="s">
        <v>1038</v>
      </c>
      <c r="G12" s="593">
        <v>50733.78</v>
      </c>
      <c r="H12" s="594">
        <f t="shared" si="1"/>
        <v>50733.78</v>
      </c>
      <c r="I12" s="588">
        <v>0</v>
      </c>
      <c r="J12" s="595">
        <v>0</v>
      </c>
      <c r="K12" s="597"/>
      <c r="L12" s="595">
        <f t="shared" si="0"/>
        <v>50733.78</v>
      </c>
      <c r="M12" s="597">
        <f t="shared" si="0"/>
        <v>0</v>
      </c>
      <c r="N12" s="598"/>
      <c r="O12" s="2105"/>
      <c r="Q12" s="2105"/>
    </row>
    <row r="13" spans="1:17">
      <c r="A13" s="590" t="s">
        <v>1029</v>
      </c>
      <c r="B13" s="591" t="s">
        <v>1030</v>
      </c>
      <c r="C13" s="591" t="s">
        <v>1031</v>
      </c>
      <c r="D13" s="591" t="s">
        <v>690</v>
      </c>
      <c r="E13" s="592">
        <v>40268</v>
      </c>
      <c r="F13" s="591" t="s">
        <v>1035</v>
      </c>
      <c r="G13" s="2104">
        <v>6841449.8499999996</v>
      </c>
      <c r="H13" s="594">
        <f t="shared" si="1"/>
        <v>6841449.8499999996</v>
      </c>
      <c r="I13" s="588">
        <v>0</v>
      </c>
      <c r="J13" s="595"/>
      <c r="K13" s="597"/>
      <c r="L13" s="595">
        <f t="shared" si="0"/>
        <v>6841449.8499999996</v>
      </c>
      <c r="M13" s="597">
        <f t="shared" si="0"/>
        <v>0</v>
      </c>
      <c r="N13" s="576"/>
      <c r="O13" s="2106">
        <v>6851874.9900000002</v>
      </c>
      <c r="Q13" s="2105">
        <f t="shared" si="2"/>
        <v>10425.140000000596</v>
      </c>
    </row>
    <row r="14" spans="1:17">
      <c r="A14" s="590" t="s">
        <v>1029</v>
      </c>
      <c r="B14" s="591" t="s">
        <v>1030</v>
      </c>
      <c r="C14" s="591" t="s">
        <v>1031</v>
      </c>
      <c r="D14" s="591" t="s">
        <v>691</v>
      </c>
      <c r="E14" s="592">
        <v>40298</v>
      </c>
      <c r="F14" s="591" t="s">
        <v>1035</v>
      </c>
      <c r="G14" s="2103">
        <v>6496357.9299999997</v>
      </c>
      <c r="H14" s="594">
        <f t="shared" si="1"/>
        <v>6496357.9299999997</v>
      </c>
      <c r="I14" s="588">
        <v>0</v>
      </c>
      <c r="J14" s="595"/>
      <c r="K14" s="597"/>
      <c r="L14" s="595">
        <f t="shared" si="0"/>
        <v>6496357.9299999997</v>
      </c>
      <c r="M14" s="597">
        <f t="shared" si="0"/>
        <v>0</v>
      </c>
      <c r="N14" s="576"/>
      <c r="O14" s="2105">
        <v>6496357.9299999997</v>
      </c>
      <c r="Q14" s="2105">
        <f t="shared" si="2"/>
        <v>0</v>
      </c>
    </row>
    <row r="15" spans="1:17">
      <c r="A15" s="590" t="s">
        <v>1029</v>
      </c>
      <c r="B15" s="591" t="s">
        <v>1030</v>
      </c>
      <c r="C15" s="591" t="s">
        <v>1031</v>
      </c>
      <c r="D15" s="591" t="s">
        <v>692</v>
      </c>
      <c r="E15" s="592">
        <v>40329</v>
      </c>
      <c r="F15" s="591" t="s">
        <v>1035</v>
      </c>
      <c r="G15" s="2103">
        <v>6254616.9199999999</v>
      </c>
      <c r="H15" s="594">
        <f t="shared" si="1"/>
        <v>6254616.9199999999</v>
      </c>
      <c r="I15" s="588">
        <v>0</v>
      </c>
      <c r="J15" s="595"/>
      <c r="K15" s="597"/>
      <c r="L15" s="595">
        <f t="shared" si="0"/>
        <v>6254616.9199999999</v>
      </c>
      <c r="M15" s="597">
        <f t="shared" si="0"/>
        <v>0</v>
      </c>
      <c r="N15" s="576"/>
      <c r="O15" s="2105">
        <v>6254616.9199999999</v>
      </c>
      <c r="Q15" s="2105">
        <f t="shared" si="2"/>
        <v>0</v>
      </c>
    </row>
    <row r="16" spans="1:17">
      <c r="A16" s="590" t="s">
        <v>1029</v>
      </c>
      <c r="B16" s="591" t="s">
        <v>1030</v>
      </c>
      <c r="C16" s="591" t="s">
        <v>1031</v>
      </c>
      <c r="D16" s="591" t="s">
        <v>693</v>
      </c>
      <c r="E16" s="592">
        <v>40359</v>
      </c>
      <c r="F16" s="591" t="s">
        <v>1035</v>
      </c>
      <c r="G16" s="2104">
        <v>5899744.0099999998</v>
      </c>
      <c r="H16" s="594">
        <f t="shared" si="1"/>
        <v>5899744.0099999998</v>
      </c>
      <c r="I16" s="588">
        <v>0</v>
      </c>
      <c r="J16" s="595"/>
      <c r="K16" s="597"/>
      <c r="L16" s="595">
        <f t="shared" si="0"/>
        <v>5899744.0099999998</v>
      </c>
      <c r="M16" s="597">
        <f t="shared" si="0"/>
        <v>0</v>
      </c>
      <c r="N16" s="576"/>
      <c r="O16" s="2106">
        <v>5885413.5</v>
      </c>
      <c r="Q16" s="2105">
        <f t="shared" si="2"/>
        <v>-14330.509999999776</v>
      </c>
    </row>
    <row r="17" spans="1:17">
      <c r="A17" s="590" t="s">
        <v>1029</v>
      </c>
      <c r="B17" s="591" t="s">
        <v>1030</v>
      </c>
      <c r="C17" s="591" t="s">
        <v>1031</v>
      </c>
      <c r="D17" s="591" t="s">
        <v>694</v>
      </c>
      <c r="E17" s="592">
        <v>40390</v>
      </c>
      <c r="F17" s="2152" t="s">
        <v>1039</v>
      </c>
      <c r="G17" s="599">
        <v>-222789.21</v>
      </c>
      <c r="H17" s="585">
        <f t="shared" si="1"/>
        <v>-222789.21</v>
      </c>
      <c r="I17" s="586">
        <v>0</v>
      </c>
      <c r="J17" s="587">
        <f>-H17</f>
        <v>222789.21</v>
      </c>
      <c r="K17" s="600"/>
      <c r="L17" s="587">
        <f t="shared" si="0"/>
        <v>0</v>
      </c>
      <c r="M17" s="597">
        <f t="shared" si="0"/>
        <v>0</v>
      </c>
      <c r="N17" s="598" t="s">
        <v>332</v>
      </c>
      <c r="O17" s="2105"/>
      <c r="Q17" s="2105"/>
    </row>
    <row r="18" spans="1:17">
      <c r="A18" s="590" t="s">
        <v>1029</v>
      </c>
      <c r="B18" s="591" t="s">
        <v>1030</v>
      </c>
      <c r="C18" s="591" t="s">
        <v>1031</v>
      </c>
      <c r="D18" s="591" t="s">
        <v>694</v>
      </c>
      <c r="E18" s="592">
        <v>40390</v>
      </c>
      <c r="F18" s="591" t="s">
        <v>1032</v>
      </c>
      <c r="G18" s="593">
        <v>-14330.51</v>
      </c>
      <c r="H18" s="594">
        <f t="shared" si="1"/>
        <v>-14330.51</v>
      </c>
      <c r="I18" s="588">
        <v>0</v>
      </c>
      <c r="J18" s="595"/>
      <c r="K18" s="597"/>
      <c r="L18" s="595">
        <f t="shared" si="0"/>
        <v>-14330.51</v>
      </c>
      <c r="M18" s="597">
        <f t="shared" si="0"/>
        <v>0</v>
      </c>
      <c r="N18" s="576" t="s">
        <v>18</v>
      </c>
      <c r="O18" s="2105"/>
      <c r="Q18" s="2105"/>
    </row>
    <row r="19" spans="1:17">
      <c r="A19" s="590" t="s">
        <v>1029</v>
      </c>
      <c r="B19" s="591" t="s">
        <v>1030</v>
      </c>
      <c r="C19" s="591" t="s">
        <v>1031</v>
      </c>
      <c r="D19" s="591" t="s">
        <v>694</v>
      </c>
      <c r="E19" s="592">
        <v>40390</v>
      </c>
      <c r="F19" s="591" t="s">
        <v>1035</v>
      </c>
      <c r="G19" s="2103">
        <v>5741906.3200000003</v>
      </c>
      <c r="H19" s="594">
        <f t="shared" si="1"/>
        <v>5741906.3200000003</v>
      </c>
      <c r="I19" s="588">
        <v>0</v>
      </c>
      <c r="J19" s="595"/>
      <c r="K19" s="597"/>
      <c r="L19" s="595">
        <f t="shared" si="0"/>
        <v>5741906.3200000003</v>
      </c>
      <c r="M19" s="597">
        <f t="shared" si="0"/>
        <v>0</v>
      </c>
      <c r="N19" s="576"/>
      <c r="O19" s="2105">
        <v>5741906.3200000003</v>
      </c>
      <c r="Q19" s="2105">
        <f t="shared" si="2"/>
        <v>0</v>
      </c>
    </row>
    <row r="20" spans="1:17">
      <c r="A20" s="590" t="s">
        <v>1029</v>
      </c>
      <c r="B20" s="591" t="s">
        <v>1030</v>
      </c>
      <c r="C20" s="591" t="s">
        <v>1031</v>
      </c>
      <c r="D20" s="591" t="s">
        <v>695</v>
      </c>
      <c r="E20" s="592">
        <v>40421</v>
      </c>
      <c r="F20" s="591" t="s">
        <v>1035</v>
      </c>
      <c r="G20" s="2103">
        <v>5782991.7699999996</v>
      </c>
      <c r="H20" s="594">
        <f t="shared" si="1"/>
        <v>5782991.7699999996</v>
      </c>
      <c r="I20" s="588">
        <v>0</v>
      </c>
      <c r="J20" s="595"/>
      <c r="K20" s="597"/>
      <c r="L20" s="595">
        <f t="shared" si="0"/>
        <v>5782991.7699999996</v>
      </c>
      <c r="M20" s="597">
        <f t="shared" si="0"/>
        <v>0</v>
      </c>
      <c r="N20" s="576"/>
      <c r="O20" s="2105">
        <v>5782991.7699999996</v>
      </c>
      <c r="Q20" s="2105">
        <f t="shared" si="2"/>
        <v>0</v>
      </c>
    </row>
    <row r="21" spans="1:17">
      <c r="A21" s="590" t="s">
        <v>1029</v>
      </c>
      <c r="B21" s="591" t="s">
        <v>1030</v>
      </c>
      <c r="C21" s="591" t="s">
        <v>1031</v>
      </c>
      <c r="D21" s="591" t="s">
        <v>696</v>
      </c>
      <c r="E21" s="592">
        <v>40451</v>
      </c>
      <c r="F21" s="591" t="s">
        <v>1035</v>
      </c>
      <c r="G21" s="2103">
        <v>5952765.1500000004</v>
      </c>
      <c r="H21" s="594">
        <f t="shared" si="1"/>
        <v>5952765.1500000004</v>
      </c>
      <c r="I21" s="588">
        <v>0</v>
      </c>
      <c r="J21" s="595">
        <v>0</v>
      </c>
      <c r="K21" s="597">
        <v>0</v>
      </c>
      <c r="L21" s="595">
        <f t="shared" si="0"/>
        <v>5952765.1500000004</v>
      </c>
      <c r="M21" s="597">
        <f t="shared" si="0"/>
        <v>0</v>
      </c>
      <c r="N21" s="576" t="s">
        <v>18</v>
      </c>
      <c r="O21" s="2105">
        <v>5952765.1500000004</v>
      </c>
      <c r="Q21" s="2105">
        <f t="shared" si="2"/>
        <v>0</v>
      </c>
    </row>
    <row r="22" spans="1:17">
      <c r="A22" s="590" t="s">
        <v>1029</v>
      </c>
      <c r="B22" s="591" t="s">
        <v>1030</v>
      </c>
      <c r="C22" s="591" t="s">
        <v>1031</v>
      </c>
      <c r="D22" s="591" t="s">
        <v>697</v>
      </c>
      <c r="E22" s="592">
        <v>40480</v>
      </c>
      <c r="F22" s="591" t="s">
        <v>1035</v>
      </c>
      <c r="G22" s="2104">
        <v>5699910.7400000002</v>
      </c>
      <c r="H22" s="594">
        <f t="shared" si="1"/>
        <v>5699910.7400000002</v>
      </c>
      <c r="I22" s="588">
        <v>0</v>
      </c>
      <c r="J22" s="595"/>
      <c r="K22" s="597"/>
      <c r="L22" s="595">
        <f t="shared" si="0"/>
        <v>5699910.7400000002</v>
      </c>
      <c r="M22" s="597">
        <f t="shared" si="0"/>
        <v>0</v>
      </c>
      <c r="N22" s="576"/>
      <c r="O22" s="2106">
        <v>5965611.9500000002</v>
      </c>
      <c r="Q22" s="2105">
        <f t="shared" si="2"/>
        <v>265701.20999999996</v>
      </c>
    </row>
    <row r="23" spans="1:17">
      <c r="A23" s="590" t="s">
        <v>1029</v>
      </c>
      <c r="B23" s="591" t="s">
        <v>1030</v>
      </c>
      <c r="C23" s="591" t="s">
        <v>1031</v>
      </c>
      <c r="D23" s="591" t="s">
        <v>698</v>
      </c>
      <c r="E23" s="592">
        <v>40512</v>
      </c>
      <c r="F23" s="591" t="s">
        <v>1032</v>
      </c>
      <c r="G23" s="593">
        <v>265701.21000000002</v>
      </c>
      <c r="H23" s="594">
        <f t="shared" si="1"/>
        <v>265701.21000000002</v>
      </c>
      <c r="I23" s="588">
        <v>0</v>
      </c>
      <c r="J23" s="595"/>
      <c r="K23" s="597"/>
      <c r="L23" s="595">
        <f t="shared" si="0"/>
        <v>265701.21000000002</v>
      </c>
      <c r="M23" s="597">
        <f t="shared" si="0"/>
        <v>0</v>
      </c>
      <c r="N23" s="576"/>
      <c r="O23" s="2105"/>
      <c r="Q23" s="2105"/>
    </row>
    <row r="24" spans="1:17">
      <c r="A24" s="590" t="s">
        <v>1029</v>
      </c>
      <c r="B24" s="591" t="s">
        <v>1030</v>
      </c>
      <c r="C24" s="591" t="s">
        <v>1031</v>
      </c>
      <c r="D24" s="591" t="s">
        <v>698</v>
      </c>
      <c r="E24" s="592">
        <v>40512</v>
      </c>
      <c r="F24" s="591" t="s">
        <v>1035</v>
      </c>
      <c r="G24" s="2104">
        <v>6701172.7300000004</v>
      </c>
      <c r="H24" s="594">
        <f t="shared" si="1"/>
        <v>6701172.7300000004</v>
      </c>
      <c r="I24" s="588">
        <v>0</v>
      </c>
      <c r="J24" s="595"/>
      <c r="K24" s="597"/>
      <c r="L24" s="595">
        <f t="shared" si="0"/>
        <v>6701172.7300000004</v>
      </c>
      <c r="M24" s="597">
        <f t="shared" si="0"/>
        <v>0</v>
      </c>
      <c r="N24" s="576"/>
      <c r="O24" s="2106">
        <v>6687928.9900000002</v>
      </c>
      <c r="Q24" s="2105">
        <f t="shared" si="2"/>
        <v>-13243.740000000224</v>
      </c>
    </row>
    <row r="25" spans="1:17">
      <c r="A25" s="590" t="s">
        <v>1029</v>
      </c>
      <c r="B25" s="591" t="s">
        <v>1030</v>
      </c>
      <c r="C25" s="591" t="s">
        <v>1031</v>
      </c>
      <c r="D25" s="591" t="s">
        <v>699</v>
      </c>
      <c r="E25" s="592">
        <v>40542</v>
      </c>
      <c r="F25" s="591" t="s">
        <v>1032</v>
      </c>
      <c r="G25" s="593">
        <v>-10539.87</v>
      </c>
      <c r="H25" s="594">
        <f t="shared" si="1"/>
        <v>-10539.87</v>
      </c>
      <c r="I25" s="588">
        <v>0</v>
      </c>
      <c r="J25" s="595"/>
      <c r="K25" s="597"/>
      <c r="L25" s="595">
        <f t="shared" si="0"/>
        <v>-10539.87</v>
      </c>
      <c r="M25" s="597">
        <f t="shared" si="0"/>
        <v>0</v>
      </c>
      <c r="N25" s="576"/>
      <c r="O25" s="2105"/>
      <c r="Q25" s="2105"/>
    </row>
    <row r="26" spans="1:17">
      <c r="A26" s="590" t="s">
        <v>1029</v>
      </c>
      <c r="B26" s="591" t="s">
        <v>1030</v>
      </c>
      <c r="C26" s="591" t="s">
        <v>1031</v>
      </c>
      <c r="D26" s="591" t="s">
        <v>699</v>
      </c>
      <c r="E26" s="592">
        <v>40542</v>
      </c>
      <c r="F26" s="591" t="s">
        <v>1035</v>
      </c>
      <c r="G26" s="2104">
        <v>8232364.0800000001</v>
      </c>
      <c r="H26" s="594">
        <f t="shared" si="1"/>
        <v>8232364.0800000001</v>
      </c>
      <c r="I26" s="588">
        <v>0</v>
      </c>
      <c r="J26" s="595"/>
      <c r="K26" s="597"/>
      <c r="L26" s="595">
        <f t="shared" si="0"/>
        <v>8232364.0800000001</v>
      </c>
      <c r="M26" s="597">
        <f t="shared" si="0"/>
        <v>0</v>
      </c>
      <c r="N26" s="576"/>
      <c r="O26" s="2106">
        <v>8225179.7599999998</v>
      </c>
      <c r="Q26" s="2105">
        <f t="shared" si="2"/>
        <v>-7184.320000000298</v>
      </c>
    </row>
    <row r="27" spans="1:17">
      <c r="A27" s="601" t="s">
        <v>1040</v>
      </c>
      <c r="B27" s="602" t="s">
        <v>1030</v>
      </c>
      <c r="C27" s="602" t="s">
        <v>1031</v>
      </c>
      <c r="D27" s="602" t="s">
        <v>699</v>
      </c>
      <c r="E27" s="603">
        <v>40542</v>
      </c>
      <c r="F27" s="602" t="s">
        <v>1034</v>
      </c>
      <c r="G27" s="604">
        <v>4864383.7699999996</v>
      </c>
      <c r="H27" s="594">
        <f t="shared" si="1"/>
        <v>4864383.7699999996</v>
      </c>
      <c r="I27" s="588">
        <v>0</v>
      </c>
      <c r="J27" s="595"/>
      <c r="K27" s="597"/>
      <c r="L27" s="595">
        <f t="shared" si="0"/>
        <v>4864383.7699999996</v>
      </c>
      <c r="M27" s="597">
        <f t="shared" si="0"/>
        <v>0</v>
      </c>
      <c r="N27" s="576"/>
      <c r="O27" s="2105"/>
    </row>
    <row r="28" spans="1:17">
      <c r="A28" s="605" t="s">
        <v>279</v>
      </c>
      <c r="B28" s="606" t="s">
        <v>1030</v>
      </c>
      <c r="C28" s="605"/>
      <c r="D28" s="605"/>
      <c r="E28" s="607"/>
      <c r="F28" s="605"/>
      <c r="G28" s="608">
        <f t="shared" ref="G28:M28" si="3">SUM(G5:G27)</f>
        <v>78421910.75</v>
      </c>
      <c r="H28" s="609">
        <f t="shared" si="3"/>
        <v>78421910.75</v>
      </c>
      <c r="I28" s="609">
        <f t="shared" si="3"/>
        <v>0</v>
      </c>
      <c r="J28" s="609">
        <f t="shared" si="3"/>
        <v>235168.03</v>
      </c>
      <c r="K28" s="609">
        <f t="shared" si="3"/>
        <v>0</v>
      </c>
      <c r="L28" s="609">
        <f t="shared" si="3"/>
        <v>78657078.780000001</v>
      </c>
      <c r="M28" s="609">
        <f t="shared" si="3"/>
        <v>0</v>
      </c>
      <c r="N28" s="576"/>
      <c r="Q28" s="2105">
        <f>SUM(Q7:Q26)</f>
        <v>231705.02000000048</v>
      </c>
    </row>
    <row r="29" spans="1:17">
      <c r="A29" s="610" t="s">
        <v>1041</v>
      </c>
      <c r="B29" s="611"/>
      <c r="C29" s="561"/>
      <c r="D29" s="561"/>
      <c r="E29" s="612"/>
      <c r="F29" s="561"/>
      <c r="G29" s="613"/>
      <c r="H29" s="614"/>
      <c r="I29" s="615"/>
      <c r="J29" s="615"/>
      <c r="K29" s="615"/>
      <c r="L29" s="615"/>
      <c r="M29" s="615"/>
      <c r="N29" s="576"/>
    </row>
    <row r="30" spans="1:17">
      <c r="A30" s="581" t="s">
        <v>1033</v>
      </c>
      <c r="B30" s="582" t="s">
        <v>1042</v>
      </c>
      <c r="C30" s="582" t="s">
        <v>1031</v>
      </c>
      <c r="D30" s="582" t="s">
        <v>57</v>
      </c>
      <c r="E30" s="583">
        <v>40203</v>
      </c>
      <c r="F30" s="582" t="s">
        <v>1043</v>
      </c>
      <c r="G30" s="616">
        <v>-2981144.69</v>
      </c>
      <c r="H30" s="595" t="s">
        <v>18</v>
      </c>
      <c r="I30" s="597">
        <f>G30</f>
        <v>-2981144.69</v>
      </c>
      <c r="J30" s="595"/>
      <c r="K30" s="597"/>
      <c r="L30" s="595" t="s">
        <v>18</v>
      </c>
      <c r="M30" s="597">
        <f>I30+K30</f>
        <v>-2981144.69</v>
      </c>
      <c r="N30" s="576"/>
    </row>
    <row r="31" spans="1:17">
      <c r="A31" s="590" t="s">
        <v>1029</v>
      </c>
      <c r="B31" s="591" t="s">
        <v>1042</v>
      </c>
      <c r="C31" s="591" t="s">
        <v>1031</v>
      </c>
      <c r="D31" s="591" t="s">
        <v>57</v>
      </c>
      <c r="E31" s="592">
        <v>40207</v>
      </c>
      <c r="F31" s="591" t="s">
        <v>1044</v>
      </c>
      <c r="G31" s="2103">
        <v>5276298.07</v>
      </c>
      <c r="H31" s="595"/>
      <c r="I31" s="597">
        <f>G31</f>
        <v>5276298.07</v>
      </c>
      <c r="J31" s="595"/>
      <c r="K31" s="597"/>
      <c r="L31" s="595">
        <f t="shared" si="0"/>
        <v>0</v>
      </c>
      <c r="M31" s="597">
        <f t="shared" si="0"/>
        <v>5276298.07</v>
      </c>
      <c r="N31" s="576"/>
      <c r="O31" s="2105">
        <v>5276298.07</v>
      </c>
      <c r="P31" s="2105">
        <f>O31</f>
        <v>5276298.07</v>
      </c>
      <c r="Q31" s="2105">
        <f>O31-G31</f>
        <v>0</v>
      </c>
    </row>
    <row r="32" spans="1:17">
      <c r="A32" s="590" t="s">
        <v>1029</v>
      </c>
      <c r="B32" s="591" t="s">
        <v>1042</v>
      </c>
      <c r="C32" s="591" t="s">
        <v>1031</v>
      </c>
      <c r="D32" s="591" t="s">
        <v>689</v>
      </c>
      <c r="E32" s="592">
        <v>40235</v>
      </c>
      <c r="F32" s="591" t="s">
        <v>1045</v>
      </c>
      <c r="G32" s="593">
        <v>-802.27</v>
      </c>
      <c r="H32" s="595"/>
      <c r="I32" s="597">
        <f t="shared" ref="I32:I54" si="4">G32</f>
        <v>-802.27</v>
      </c>
      <c r="J32" s="595"/>
      <c r="K32" s="597"/>
      <c r="L32" s="595">
        <f t="shared" si="0"/>
        <v>0</v>
      </c>
      <c r="M32" s="597">
        <f t="shared" si="0"/>
        <v>-802.27</v>
      </c>
      <c r="N32" s="576" t="s">
        <v>18</v>
      </c>
    </row>
    <row r="33" spans="1:17">
      <c r="A33" s="590" t="s">
        <v>1029</v>
      </c>
      <c r="B33" s="591" t="s">
        <v>1042</v>
      </c>
      <c r="C33" s="591" t="s">
        <v>1031</v>
      </c>
      <c r="D33" s="591" t="s">
        <v>689</v>
      </c>
      <c r="E33" s="592">
        <v>40237</v>
      </c>
      <c r="F33" s="591" t="s">
        <v>1044</v>
      </c>
      <c r="G33" s="2103">
        <v>4415901.25</v>
      </c>
      <c r="H33" s="595"/>
      <c r="I33" s="597">
        <f t="shared" si="4"/>
        <v>4415901.25</v>
      </c>
      <c r="J33" s="595">
        <v>0</v>
      </c>
      <c r="K33" s="597">
        <v>0</v>
      </c>
      <c r="L33" s="595">
        <f t="shared" si="0"/>
        <v>0</v>
      </c>
      <c r="M33" s="597">
        <f t="shared" si="0"/>
        <v>4415901.25</v>
      </c>
      <c r="N33" s="576"/>
      <c r="O33" s="2105">
        <v>4415901.25</v>
      </c>
      <c r="P33" s="2105">
        <f>O33</f>
        <v>4415901.25</v>
      </c>
      <c r="Q33" s="2105">
        <f>O33-G33</f>
        <v>0</v>
      </c>
    </row>
    <row r="34" spans="1:17">
      <c r="A34" s="590" t="s">
        <v>1029</v>
      </c>
      <c r="B34" s="591" t="s">
        <v>1042</v>
      </c>
      <c r="C34" s="591" t="s">
        <v>1031</v>
      </c>
      <c r="D34" s="591" t="s">
        <v>690</v>
      </c>
      <c r="E34" s="592">
        <v>40268</v>
      </c>
      <c r="F34" s="591" t="s">
        <v>1045</v>
      </c>
      <c r="G34" s="593">
        <v>-738</v>
      </c>
      <c r="H34" s="595"/>
      <c r="I34" s="597">
        <f t="shared" si="4"/>
        <v>-738</v>
      </c>
      <c r="J34" s="595"/>
      <c r="K34" s="597"/>
      <c r="L34" s="595">
        <f t="shared" si="0"/>
        <v>0</v>
      </c>
      <c r="M34" s="597">
        <f t="shared" si="0"/>
        <v>-738</v>
      </c>
      <c r="N34" s="576"/>
    </row>
    <row r="35" spans="1:17">
      <c r="A35" s="590" t="s">
        <v>1029</v>
      </c>
      <c r="B35" s="591" t="s">
        <v>1042</v>
      </c>
      <c r="C35" s="591" t="s">
        <v>1031</v>
      </c>
      <c r="D35" s="591" t="s">
        <v>690</v>
      </c>
      <c r="E35" s="592">
        <v>40268</v>
      </c>
      <c r="F35" s="591" t="s">
        <v>1044</v>
      </c>
      <c r="G35" s="2104">
        <v>4000438.03</v>
      </c>
      <c r="H35" s="595"/>
      <c r="I35" s="597">
        <f t="shared" si="4"/>
        <v>4000438.03</v>
      </c>
      <c r="J35" s="595"/>
      <c r="K35" s="597"/>
      <c r="L35" s="595">
        <f t="shared" si="0"/>
        <v>0</v>
      </c>
      <c r="M35" s="597">
        <f t="shared" si="0"/>
        <v>4000438.03</v>
      </c>
      <c r="N35" s="576"/>
      <c r="O35" s="2106">
        <v>4006051.56</v>
      </c>
      <c r="P35" s="2105">
        <f>O35</f>
        <v>4006051.56</v>
      </c>
      <c r="Q35" s="2105">
        <f>O35-G35</f>
        <v>5613.5300000002608</v>
      </c>
    </row>
    <row r="36" spans="1:17">
      <c r="A36" s="590" t="s">
        <v>1029</v>
      </c>
      <c r="B36" s="591" t="s">
        <v>1042</v>
      </c>
      <c r="C36" s="591" t="s">
        <v>1031</v>
      </c>
      <c r="D36" s="591" t="s">
        <v>691</v>
      </c>
      <c r="E36" s="592">
        <v>40298</v>
      </c>
      <c r="F36" s="591" t="s">
        <v>1045</v>
      </c>
      <c r="G36" s="593">
        <v>-1156.67</v>
      </c>
      <c r="H36" s="595"/>
      <c r="I36" s="597">
        <f t="shared" si="4"/>
        <v>-1156.67</v>
      </c>
      <c r="J36" s="595"/>
      <c r="K36" s="597"/>
      <c r="L36" s="595">
        <f t="shared" si="0"/>
        <v>0</v>
      </c>
      <c r="M36" s="597">
        <f t="shared" si="0"/>
        <v>-1156.67</v>
      </c>
      <c r="N36" s="576"/>
    </row>
    <row r="37" spans="1:17">
      <c r="A37" s="590" t="s">
        <v>1029</v>
      </c>
      <c r="B37" s="591" t="s">
        <v>1042</v>
      </c>
      <c r="C37" s="591" t="s">
        <v>1031</v>
      </c>
      <c r="D37" s="591" t="s">
        <v>691</v>
      </c>
      <c r="E37" s="592">
        <v>40298</v>
      </c>
      <c r="F37" s="591" t="s">
        <v>1044</v>
      </c>
      <c r="G37" s="2103">
        <v>3713942.5</v>
      </c>
      <c r="H37" s="595"/>
      <c r="I37" s="597">
        <f t="shared" si="4"/>
        <v>3713942.5</v>
      </c>
      <c r="J37" s="595"/>
      <c r="K37" s="597"/>
      <c r="L37" s="595">
        <f t="shared" si="0"/>
        <v>0</v>
      </c>
      <c r="M37" s="597">
        <f t="shared" si="0"/>
        <v>3713942.5</v>
      </c>
      <c r="N37" s="576"/>
      <c r="O37" s="2105">
        <v>3713942.5</v>
      </c>
      <c r="P37" s="2105">
        <f>O37</f>
        <v>3713942.5</v>
      </c>
      <c r="Q37" s="2105">
        <f>O37-G37</f>
        <v>0</v>
      </c>
    </row>
    <row r="38" spans="1:17">
      <c r="A38" s="590" t="s">
        <v>1029</v>
      </c>
      <c r="B38" s="591" t="s">
        <v>1042</v>
      </c>
      <c r="C38" s="591" t="s">
        <v>1031</v>
      </c>
      <c r="D38" s="591" t="s">
        <v>692</v>
      </c>
      <c r="E38" s="592">
        <v>40329</v>
      </c>
      <c r="F38" s="591" t="s">
        <v>1045</v>
      </c>
      <c r="G38" s="593">
        <v>-347.71</v>
      </c>
      <c r="H38" s="595"/>
      <c r="I38" s="597">
        <f t="shared" si="4"/>
        <v>-347.71</v>
      </c>
      <c r="J38" s="595"/>
      <c r="K38" s="597"/>
      <c r="L38" s="595">
        <f t="shared" si="0"/>
        <v>0</v>
      </c>
      <c r="M38" s="597">
        <f t="shared" si="0"/>
        <v>-347.71</v>
      </c>
      <c r="N38" s="576" t="s">
        <v>18</v>
      </c>
      <c r="O38" s="2105"/>
    </row>
    <row r="39" spans="1:17">
      <c r="A39" s="590" t="s">
        <v>1029</v>
      </c>
      <c r="B39" s="591" t="s">
        <v>1042</v>
      </c>
      <c r="C39" s="591" t="s">
        <v>1031</v>
      </c>
      <c r="D39" s="591" t="s">
        <v>692</v>
      </c>
      <c r="E39" s="592">
        <v>40329</v>
      </c>
      <c r="F39" s="591" t="s">
        <v>1044</v>
      </c>
      <c r="G39" s="2103">
        <v>2945094.1</v>
      </c>
      <c r="H39" s="595"/>
      <c r="I39" s="597">
        <f t="shared" si="4"/>
        <v>2945094.1</v>
      </c>
      <c r="J39" s="595">
        <v>0</v>
      </c>
      <c r="K39" s="597">
        <v>0</v>
      </c>
      <c r="L39" s="595">
        <f t="shared" si="0"/>
        <v>0</v>
      </c>
      <c r="M39" s="597">
        <f t="shared" si="0"/>
        <v>2945094.1</v>
      </c>
      <c r="N39" s="576"/>
      <c r="O39" s="2105">
        <v>2945094.1</v>
      </c>
      <c r="P39" s="2105">
        <f>O39</f>
        <v>2945094.1</v>
      </c>
      <c r="Q39" s="2105">
        <f>O39-G39</f>
        <v>0</v>
      </c>
    </row>
    <row r="40" spans="1:17">
      <c r="A40" s="590" t="s">
        <v>1029</v>
      </c>
      <c r="B40" s="591" t="s">
        <v>1042</v>
      </c>
      <c r="C40" s="591" t="s">
        <v>1031</v>
      </c>
      <c r="D40" s="591" t="s">
        <v>693</v>
      </c>
      <c r="E40" s="592">
        <v>40359</v>
      </c>
      <c r="F40" s="591" t="s">
        <v>1044</v>
      </c>
      <c r="G40" s="2103">
        <v>2346064.14</v>
      </c>
      <c r="H40" s="595"/>
      <c r="I40" s="597">
        <f t="shared" si="4"/>
        <v>2346064.14</v>
      </c>
      <c r="J40" s="595"/>
      <c r="K40" s="597"/>
      <c r="L40" s="595">
        <f t="shared" si="0"/>
        <v>0</v>
      </c>
      <c r="M40" s="597">
        <f t="shared" si="0"/>
        <v>2346064.14</v>
      </c>
      <c r="N40" s="576"/>
      <c r="O40" s="2105">
        <v>2346064.14</v>
      </c>
      <c r="P40" s="2105">
        <f>O40</f>
        <v>2346064.14</v>
      </c>
      <c r="Q40" s="2105">
        <f>O40-G40</f>
        <v>0</v>
      </c>
    </row>
    <row r="41" spans="1:17">
      <c r="A41" s="590" t="s">
        <v>1029</v>
      </c>
      <c r="B41" s="591" t="s">
        <v>1042</v>
      </c>
      <c r="C41" s="591" t="s">
        <v>1031</v>
      </c>
      <c r="D41" s="591" t="s">
        <v>694</v>
      </c>
      <c r="E41" s="592">
        <v>40390</v>
      </c>
      <c r="F41" s="2152" t="s">
        <v>1046</v>
      </c>
      <c r="G41" s="593">
        <v>-38501.86</v>
      </c>
      <c r="H41" s="595"/>
      <c r="I41" s="597">
        <f t="shared" si="4"/>
        <v>-38501.86</v>
      </c>
      <c r="J41" s="595"/>
      <c r="K41" s="597">
        <v>38501.86</v>
      </c>
      <c r="L41" s="595">
        <f t="shared" si="0"/>
        <v>0</v>
      </c>
      <c r="M41" s="597">
        <f t="shared" si="0"/>
        <v>0</v>
      </c>
      <c r="N41" s="598" t="s">
        <v>332</v>
      </c>
      <c r="O41" s="2105"/>
    </row>
    <row r="42" spans="1:17">
      <c r="A42" s="590" t="s">
        <v>1029</v>
      </c>
      <c r="B42" s="591" t="s">
        <v>1042</v>
      </c>
      <c r="C42" s="591" t="s">
        <v>1031</v>
      </c>
      <c r="D42" s="591" t="s">
        <v>694</v>
      </c>
      <c r="E42" s="592">
        <v>40390</v>
      </c>
      <c r="F42" s="591" t="s">
        <v>1045</v>
      </c>
      <c r="G42" s="593">
        <v>-455.28</v>
      </c>
      <c r="H42" s="595"/>
      <c r="I42" s="597">
        <f t="shared" si="4"/>
        <v>-455.28</v>
      </c>
      <c r="J42" s="595"/>
      <c r="K42" s="597"/>
      <c r="L42" s="595">
        <f t="shared" si="0"/>
        <v>0</v>
      </c>
      <c r="M42" s="597">
        <f t="shared" si="0"/>
        <v>-455.28</v>
      </c>
      <c r="N42" s="576" t="s">
        <v>18</v>
      </c>
      <c r="O42" s="2105"/>
    </row>
    <row r="43" spans="1:17">
      <c r="A43" s="590" t="s">
        <v>1029</v>
      </c>
      <c r="B43" s="591" t="s">
        <v>1042</v>
      </c>
      <c r="C43" s="591" t="s">
        <v>1031</v>
      </c>
      <c r="D43" s="591" t="s">
        <v>694</v>
      </c>
      <c r="E43" s="592">
        <v>40390</v>
      </c>
      <c r="F43" s="591" t="s">
        <v>1044</v>
      </c>
      <c r="G43" s="2104">
        <v>1754468.76</v>
      </c>
      <c r="H43" s="595"/>
      <c r="I43" s="597">
        <f t="shared" si="4"/>
        <v>1754468.76</v>
      </c>
      <c r="J43" s="595"/>
      <c r="K43" s="597"/>
      <c r="L43" s="595">
        <f t="shared" si="0"/>
        <v>0</v>
      </c>
      <c r="M43" s="597">
        <f t="shared" si="0"/>
        <v>1754468.76</v>
      </c>
      <c r="N43" s="576"/>
      <c r="O43" s="2106">
        <v>1754639.91</v>
      </c>
      <c r="P43" s="2105">
        <f>O43</f>
        <v>1754639.91</v>
      </c>
      <c r="Q43" s="2105">
        <f>O43-G43</f>
        <v>171.14999999990687</v>
      </c>
    </row>
    <row r="44" spans="1:17">
      <c r="A44" s="590" t="s">
        <v>1029</v>
      </c>
      <c r="B44" s="591" t="s">
        <v>1042</v>
      </c>
      <c r="C44" s="591" t="s">
        <v>1031</v>
      </c>
      <c r="D44" s="591" t="s">
        <v>695</v>
      </c>
      <c r="E44" s="592">
        <v>40421</v>
      </c>
      <c r="F44" s="591" t="s">
        <v>1045</v>
      </c>
      <c r="G44" s="593">
        <v>50.63</v>
      </c>
      <c r="H44" s="595"/>
      <c r="I44" s="597">
        <f t="shared" si="4"/>
        <v>50.63</v>
      </c>
      <c r="J44" s="595">
        <v>0</v>
      </c>
      <c r="K44" s="597">
        <v>0</v>
      </c>
      <c r="L44" s="595">
        <f t="shared" si="0"/>
        <v>0</v>
      </c>
      <c r="M44" s="597">
        <f t="shared" si="0"/>
        <v>50.63</v>
      </c>
      <c r="N44" s="576"/>
      <c r="O44" s="2105"/>
    </row>
    <row r="45" spans="1:17">
      <c r="A45" s="590" t="s">
        <v>1029</v>
      </c>
      <c r="B45" s="591" t="s">
        <v>1042</v>
      </c>
      <c r="C45" s="591" t="s">
        <v>1031</v>
      </c>
      <c r="D45" s="591" t="s">
        <v>695</v>
      </c>
      <c r="E45" s="592">
        <v>40421</v>
      </c>
      <c r="F45" s="591" t="s">
        <v>1044</v>
      </c>
      <c r="G45" s="2103">
        <v>1488524.02</v>
      </c>
      <c r="H45" s="595"/>
      <c r="I45" s="597">
        <f t="shared" si="4"/>
        <v>1488524.02</v>
      </c>
      <c r="J45" s="595"/>
      <c r="K45" s="597"/>
      <c r="L45" s="595">
        <f t="shared" si="0"/>
        <v>0</v>
      </c>
      <c r="M45" s="597">
        <f t="shared" si="0"/>
        <v>1488524.02</v>
      </c>
      <c r="N45" s="576"/>
      <c r="O45" s="2105">
        <v>1488524.02</v>
      </c>
      <c r="P45" s="2105">
        <f>O45</f>
        <v>1488524.02</v>
      </c>
      <c r="Q45" s="2105">
        <f>O45-G45</f>
        <v>0</v>
      </c>
    </row>
    <row r="46" spans="1:17">
      <c r="A46" s="590" t="s">
        <v>1029</v>
      </c>
      <c r="B46" s="591" t="s">
        <v>1042</v>
      </c>
      <c r="C46" s="591" t="s">
        <v>1031</v>
      </c>
      <c r="D46" s="591" t="s">
        <v>696</v>
      </c>
      <c r="E46" s="592">
        <v>40451</v>
      </c>
      <c r="F46" s="591" t="s">
        <v>1045</v>
      </c>
      <c r="G46" s="593">
        <v>-155.72999999999999</v>
      </c>
      <c r="H46" s="595"/>
      <c r="I46" s="597">
        <f t="shared" si="4"/>
        <v>-155.72999999999999</v>
      </c>
      <c r="J46" s="595"/>
      <c r="K46" s="597"/>
      <c r="L46" s="595">
        <f t="shared" si="0"/>
        <v>0</v>
      </c>
      <c r="M46" s="597">
        <f t="shared" si="0"/>
        <v>-155.72999999999999</v>
      </c>
      <c r="N46" s="576"/>
      <c r="O46" s="2105"/>
    </row>
    <row r="47" spans="1:17">
      <c r="A47" s="590" t="s">
        <v>1029</v>
      </c>
      <c r="B47" s="591" t="s">
        <v>1042</v>
      </c>
      <c r="C47" s="591" t="s">
        <v>1031</v>
      </c>
      <c r="D47" s="591" t="s">
        <v>696</v>
      </c>
      <c r="E47" s="592">
        <v>40451</v>
      </c>
      <c r="F47" s="591" t="s">
        <v>1044</v>
      </c>
      <c r="G47" s="2104">
        <v>1675671.19</v>
      </c>
      <c r="H47" s="595"/>
      <c r="I47" s="597">
        <f t="shared" si="4"/>
        <v>1675671.19</v>
      </c>
      <c r="J47" s="595"/>
      <c r="K47" s="597"/>
      <c r="L47" s="595"/>
      <c r="M47" s="597">
        <f t="shared" si="0"/>
        <v>1675671.19</v>
      </c>
      <c r="N47" s="576"/>
      <c r="O47" s="2106">
        <v>1675981.84</v>
      </c>
      <c r="P47" s="2105">
        <f>O47</f>
        <v>1675981.84</v>
      </c>
      <c r="Q47" s="2105">
        <f>O47-G47</f>
        <v>310.6500000001397</v>
      </c>
    </row>
    <row r="48" spans="1:17">
      <c r="A48" s="590" t="s">
        <v>1029</v>
      </c>
      <c r="B48" s="591" t="s">
        <v>1042</v>
      </c>
      <c r="C48" s="591" t="s">
        <v>1031</v>
      </c>
      <c r="D48" s="591" t="s">
        <v>697</v>
      </c>
      <c r="E48" s="592">
        <v>40480</v>
      </c>
      <c r="F48" s="591" t="s">
        <v>1045</v>
      </c>
      <c r="G48" s="593">
        <v>310.64999999999998</v>
      </c>
      <c r="H48" s="595"/>
      <c r="I48" s="597">
        <f t="shared" si="4"/>
        <v>310.64999999999998</v>
      </c>
      <c r="J48" s="595"/>
      <c r="K48" s="597"/>
      <c r="L48" s="595">
        <f t="shared" ref="L48:M77" si="5">H48+J48</f>
        <v>0</v>
      </c>
      <c r="M48" s="597">
        <f t="shared" si="5"/>
        <v>310.64999999999998</v>
      </c>
      <c r="N48" s="576" t="s">
        <v>18</v>
      </c>
      <c r="O48" s="2105"/>
    </row>
    <row r="49" spans="1:17">
      <c r="A49" s="590" t="s">
        <v>1029</v>
      </c>
      <c r="B49" s="591" t="s">
        <v>1042</v>
      </c>
      <c r="C49" s="591" t="s">
        <v>1031</v>
      </c>
      <c r="D49" s="591" t="s">
        <v>697</v>
      </c>
      <c r="E49" s="592">
        <v>40480</v>
      </c>
      <c r="F49" s="591" t="s">
        <v>1044</v>
      </c>
      <c r="G49" s="2103">
        <v>2055106.81</v>
      </c>
      <c r="H49" s="595"/>
      <c r="I49" s="597">
        <f t="shared" si="4"/>
        <v>2055106.81</v>
      </c>
      <c r="J49" s="595">
        <f>-H49</f>
        <v>0</v>
      </c>
      <c r="K49" s="597"/>
      <c r="L49" s="595">
        <f t="shared" si="5"/>
        <v>0</v>
      </c>
      <c r="M49" s="597">
        <f t="shared" si="5"/>
        <v>2055106.81</v>
      </c>
      <c r="N49" s="576"/>
      <c r="O49" s="2105">
        <v>2055106.81</v>
      </c>
      <c r="P49" s="2105">
        <f>O49</f>
        <v>2055106.81</v>
      </c>
      <c r="Q49" s="2105">
        <f>O49-G49</f>
        <v>0</v>
      </c>
    </row>
    <row r="50" spans="1:17">
      <c r="A50" s="590" t="s">
        <v>1029</v>
      </c>
      <c r="B50" s="591" t="s">
        <v>1042</v>
      </c>
      <c r="C50" s="591" t="s">
        <v>1031</v>
      </c>
      <c r="D50" s="591" t="s">
        <v>698</v>
      </c>
      <c r="E50" s="592">
        <v>40512</v>
      </c>
      <c r="F50" s="591" t="s">
        <v>1045</v>
      </c>
      <c r="G50" s="593">
        <v>-228.3</v>
      </c>
      <c r="H50" s="595"/>
      <c r="I50" s="597">
        <f t="shared" si="4"/>
        <v>-228.3</v>
      </c>
      <c r="J50" s="595"/>
      <c r="K50" s="597"/>
      <c r="L50" s="595">
        <f t="shared" si="5"/>
        <v>0</v>
      </c>
      <c r="M50" s="597">
        <f t="shared" si="5"/>
        <v>-228.3</v>
      </c>
      <c r="N50" s="576"/>
      <c r="O50" s="2105"/>
    </row>
    <row r="51" spans="1:17">
      <c r="A51" s="590" t="s">
        <v>1029</v>
      </c>
      <c r="B51" s="591" t="s">
        <v>1042</v>
      </c>
      <c r="C51" s="591" t="s">
        <v>1031</v>
      </c>
      <c r="D51" s="591" t="s">
        <v>698</v>
      </c>
      <c r="E51" s="592">
        <v>40512</v>
      </c>
      <c r="F51" s="591" t="s">
        <v>1044</v>
      </c>
      <c r="G51" s="2103">
        <v>3534363.52</v>
      </c>
      <c r="H51" s="617"/>
      <c r="I51" s="597">
        <f t="shared" si="4"/>
        <v>3534363.52</v>
      </c>
      <c r="J51" s="617"/>
      <c r="K51" s="617"/>
      <c r="L51" s="617"/>
      <c r="M51" s="597">
        <f t="shared" si="5"/>
        <v>3534363.52</v>
      </c>
      <c r="N51" s="576"/>
      <c r="O51" s="2105">
        <v>3534363.52</v>
      </c>
      <c r="P51" s="2105">
        <f>O51</f>
        <v>3534363.52</v>
      </c>
      <c r="Q51" s="2105">
        <f>O51-G51</f>
        <v>0</v>
      </c>
    </row>
    <row r="52" spans="1:17">
      <c r="A52" s="590" t="s">
        <v>1029</v>
      </c>
      <c r="B52" s="591" t="s">
        <v>1042</v>
      </c>
      <c r="C52" s="591" t="s">
        <v>1031</v>
      </c>
      <c r="D52" s="591" t="s">
        <v>699</v>
      </c>
      <c r="E52" s="592">
        <v>40542</v>
      </c>
      <c r="F52" s="591" t="s">
        <v>1045</v>
      </c>
      <c r="G52" s="593">
        <v>-407.21</v>
      </c>
      <c r="H52" s="617"/>
      <c r="I52" s="597">
        <f t="shared" si="4"/>
        <v>-407.21</v>
      </c>
      <c r="J52" s="617"/>
      <c r="K52" s="617"/>
      <c r="L52" s="617"/>
      <c r="M52" s="597">
        <f t="shared" si="5"/>
        <v>-407.21</v>
      </c>
      <c r="N52" s="576"/>
      <c r="O52" s="2105"/>
    </row>
    <row r="53" spans="1:17">
      <c r="A53" s="590" t="s">
        <v>1029</v>
      </c>
      <c r="B53" s="591" t="s">
        <v>1042</v>
      </c>
      <c r="C53" s="591" t="s">
        <v>1031</v>
      </c>
      <c r="D53" s="591" t="s">
        <v>699</v>
      </c>
      <c r="E53" s="592">
        <v>40542</v>
      </c>
      <c r="F53" s="591" t="s">
        <v>1044</v>
      </c>
      <c r="G53" s="2103">
        <v>5624464.5999999996</v>
      </c>
      <c r="H53" s="617"/>
      <c r="I53" s="597">
        <f t="shared" si="4"/>
        <v>5624464.5999999996</v>
      </c>
      <c r="J53" s="617"/>
      <c r="K53" s="617"/>
      <c r="L53" s="617"/>
      <c r="M53" s="597">
        <f t="shared" si="5"/>
        <v>5624464.5999999996</v>
      </c>
      <c r="N53" s="576"/>
      <c r="O53" s="2105">
        <v>5624464.5999999996</v>
      </c>
      <c r="P53" s="2105">
        <f>O53</f>
        <v>5624464.5999999996</v>
      </c>
      <c r="Q53" s="2105">
        <f>O53-G53</f>
        <v>0</v>
      </c>
    </row>
    <row r="54" spans="1:17">
      <c r="A54" s="601" t="s">
        <v>1040</v>
      </c>
      <c r="B54" s="602" t="s">
        <v>1042</v>
      </c>
      <c r="C54" s="602" t="s">
        <v>1031</v>
      </c>
      <c r="D54" s="602" t="s">
        <v>699</v>
      </c>
      <c r="E54" s="603">
        <v>40542</v>
      </c>
      <c r="F54" s="602" t="s">
        <v>1043</v>
      </c>
      <c r="G54" s="604">
        <v>2638264.5</v>
      </c>
      <c r="H54" s="617"/>
      <c r="I54" s="597">
        <f t="shared" si="4"/>
        <v>2638264.5</v>
      </c>
      <c r="J54" s="617"/>
      <c r="K54" s="617"/>
      <c r="L54" s="617"/>
      <c r="M54" s="597">
        <f t="shared" si="5"/>
        <v>2638264.5</v>
      </c>
      <c r="N54" s="576"/>
      <c r="O54" s="2105"/>
    </row>
    <row r="55" spans="1:17">
      <c r="A55" s="561" t="s">
        <v>279</v>
      </c>
      <c r="B55" s="561" t="s">
        <v>18</v>
      </c>
      <c r="C55" s="561"/>
      <c r="D55" s="561"/>
      <c r="E55" s="612"/>
      <c r="F55" s="561"/>
      <c r="G55" s="618">
        <f t="shared" ref="G55:M55" si="6">SUM(G30:G54)</f>
        <v>38445025.049999997</v>
      </c>
      <c r="H55" s="608">
        <f t="shared" si="6"/>
        <v>0</v>
      </c>
      <c r="I55" s="608">
        <f t="shared" si="6"/>
        <v>38445025.049999997</v>
      </c>
      <c r="J55" s="608">
        <f t="shared" si="6"/>
        <v>0</v>
      </c>
      <c r="K55" s="608">
        <f t="shared" si="6"/>
        <v>38501.86</v>
      </c>
      <c r="L55" s="608">
        <f t="shared" si="6"/>
        <v>0</v>
      </c>
      <c r="M55" s="608">
        <f t="shared" si="6"/>
        <v>38483526.909999996</v>
      </c>
      <c r="N55" s="576"/>
      <c r="Q55" s="2105">
        <f>SUM(Q31:Q53)</f>
        <v>6095.3300000003073</v>
      </c>
    </row>
    <row r="56" spans="1:17">
      <c r="A56" s="610" t="s">
        <v>1047</v>
      </c>
      <c r="B56" s="561"/>
      <c r="C56" s="561"/>
      <c r="D56" s="561"/>
      <c r="E56" s="612"/>
      <c r="F56" s="561"/>
      <c r="G56" s="619"/>
      <c r="H56" s="620"/>
      <c r="I56" s="621"/>
      <c r="J56" s="621"/>
      <c r="K56" s="621"/>
      <c r="L56" s="621"/>
      <c r="M56" s="621"/>
      <c r="N56" s="576"/>
    </row>
    <row r="57" spans="1:17">
      <c r="A57" s="581" t="s">
        <v>1029</v>
      </c>
      <c r="B57" s="582" t="s">
        <v>1048</v>
      </c>
      <c r="C57" s="582" t="s">
        <v>1031</v>
      </c>
      <c r="D57" s="582" t="s">
        <v>57</v>
      </c>
      <c r="E57" s="583">
        <v>40207</v>
      </c>
      <c r="F57" s="582" t="s">
        <v>1049</v>
      </c>
      <c r="G57" s="616">
        <v>-41133.660000000003</v>
      </c>
      <c r="H57" s="595">
        <f>G57*$H$3</f>
        <v>-27357.997266000002</v>
      </c>
      <c r="I57" s="597">
        <f>G57*$I$3</f>
        <v>-13775.662734</v>
      </c>
      <c r="J57" s="622">
        <v>0</v>
      </c>
      <c r="K57" s="622">
        <v>0</v>
      </c>
      <c r="L57" s="595">
        <f>H57+J57</f>
        <v>-27357.997266000002</v>
      </c>
      <c r="M57" s="597">
        <f>I57+K57</f>
        <v>-13775.662734</v>
      </c>
      <c r="N57" s="598"/>
    </row>
    <row r="58" spans="1:17">
      <c r="A58" s="590" t="s">
        <v>1029</v>
      </c>
      <c r="B58" s="591" t="s">
        <v>1048</v>
      </c>
      <c r="C58" s="591" t="s">
        <v>1031</v>
      </c>
      <c r="D58" s="591" t="s">
        <v>57</v>
      </c>
      <c r="E58" s="592">
        <v>40207</v>
      </c>
      <c r="F58" s="591" t="s">
        <v>1050</v>
      </c>
      <c r="G58" s="593">
        <v>-0.03</v>
      </c>
      <c r="H58" s="595">
        <f>G58*$H$3</f>
        <v>-1.9952999999999999E-2</v>
      </c>
      <c r="I58" s="597">
        <f>G58*$I$3</f>
        <v>-1.0046999999999999E-2</v>
      </c>
      <c r="J58" s="595"/>
      <c r="K58" s="597"/>
      <c r="L58" s="595">
        <f>H58+J58</f>
        <v>-1.9952999999999999E-2</v>
      </c>
      <c r="M58" s="597">
        <f>I58+K58</f>
        <v>-1.0046999999999999E-2</v>
      </c>
      <c r="N58" s="576"/>
    </row>
    <row r="59" spans="1:17">
      <c r="A59" s="590" t="s">
        <v>1029</v>
      </c>
      <c r="B59" s="591" t="s">
        <v>1048</v>
      </c>
      <c r="C59" s="591" t="s">
        <v>1031</v>
      </c>
      <c r="D59" s="591" t="s">
        <v>57</v>
      </c>
      <c r="E59" s="592">
        <v>40207</v>
      </c>
      <c r="F59" s="591" t="s">
        <v>1051</v>
      </c>
      <c r="G59" s="2104">
        <v>91782.03</v>
      </c>
      <c r="H59" s="595">
        <f>G59*$H$3</f>
        <v>61044.228153000004</v>
      </c>
      <c r="I59" s="597">
        <f>G59*$I$3</f>
        <v>30737.801846999999</v>
      </c>
      <c r="J59" s="595"/>
      <c r="K59" s="597"/>
      <c r="L59" s="595">
        <f t="shared" si="5"/>
        <v>61044.228153000004</v>
      </c>
      <c r="M59" s="597">
        <f t="shared" si="5"/>
        <v>30737.801846999999</v>
      </c>
      <c r="N59" s="576"/>
      <c r="O59" s="2106">
        <v>91781.83</v>
      </c>
      <c r="P59" s="2105">
        <f>O59*$I$3</f>
        <v>30737.734866999999</v>
      </c>
      <c r="Q59" s="2105">
        <f>O59-G59</f>
        <v>-0.19999999999708962</v>
      </c>
    </row>
    <row r="60" spans="1:17">
      <c r="A60" s="590" t="s">
        <v>1029</v>
      </c>
      <c r="B60" s="591" t="s">
        <v>1048</v>
      </c>
      <c r="C60" s="591" t="s">
        <v>1031</v>
      </c>
      <c r="D60" s="591" t="s">
        <v>57</v>
      </c>
      <c r="E60" s="592">
        <v>40207</v>
      </c>
      <c r="F60" s="591" t="s">
        <v>1052</v>
      </c>
      <c r="G60" s="593">
        <v>7000</v>
      </c>
      <c r="H60" s="595">
        <f t="shared" ref="H60:H96" si="7">G60*$H$3</f>
        <v>4655.7</v>
      </c>
      <c r="I60" s="597">
        <f t="shared" ref="I60:I96" si="8">G60*$I$3</f>
        <v>2344.2999999999997</v>
      </c>
      <c r="J60" s="595"/>
      <c r="K60" s="597"/>
      <c r="L60" s="595">
        <f t="shared" si="5"/>
        <v>4655.7</v>
      </c>
      <c r="M60" s="597">
        <f t="shared" si="5"/>
        <v>2344.2999999999997</v>
      </c>
      <c r="N60" s="576"/>
    </row>
    <row r="61" spans="1:17">
      <c r="A61" s="590" t="s">
        <v>1029</v>
      </c>
      <c r="B61" s="591" t="s">
        <v>1048</v>
      </c>
      <c r="C61" s="591" t="s">
        <v>1031</v>
      </c>
      <c r="D61" s="591" t="s">
        <v>689</v>
      </c>
      <c r="E61" s="592">
        <v>40235</v>
      </c>
      <c r="F61" s="591" t="s">
        <v>1050</v>
      </c>
      <c r="G61" s="593">
        <v>-0.3</v>
      </c>
      <c r="H61" s="595">
        <f t="shared" si="7"/>
        <v>-0.19953000000000001</v>
      </c>
      <c r="I61" s="597">
        <f t="shared" si="8"/>
        <v>-0.10046999999999999</v>
      </c>
      <c r="J61" s="595"/>
      <c r="K61" s="597"/>
      <c r="L61" s="595">
        <f t="shared" si="5"/>
        <v>-0.19953000000000001</v>
      </c>
      <c r="M61" s="597">
        <f t="shared" si="5"/>
        <v>-0.10046999999999999</v>
      </c>
      <c r="N61" s="576"/>
    </row>
    <row r="62" spans="1:17">
      <c r="A62" s="590" t="s">
        <v>1029</v>
      </c>
      <c r="B62" s="591" t="s">
        <v>1048</v>
      </c>
      <c r="C62" s="591" t="s">
        <v>1031</v>
      </c>
      <c r="D62" s="591" t="s">
        <v>689</v>
      </c>
      <c r="E62" s="592">
        <v>40234</v>
      </c>
      <c r="F62" s="591" t="s">
        <v>1052</v>
      </c>
      <c r="G62" s="593">
        <v>4000</v>
      </c>
      <c r="H62" s="595">
        <f t="shared" si="7"/>
        <v>2660.4</v>
      </c>
      <c r="I62" s="597">
        <f t="shared" si="8"/>
        <v>1339.6</v>
      </c>
      <c r="J62" s="595"/>
      <c r="K62" s="597"/>
      <c r="L62" s="595">
        <f t="shared" si="5"/>
        <v>2660.4</v>
      </c>
      <c r="M62" s="597">
        <f t="shared" si="5"/>
        <v>1339.6</v>
      </c>
      <c r="N62" s="576"/>
    </row>
    <row r="63" spans="1:17">
      <c r="A63" s="590" t="s">
        <v>1053</v>
      </c>
      <c r="B63" s="591" t="s">
        <v>1048</v>
      </c>
      <c r="C63" s="591" t="s">
        <v>1031</v>
      </c>
      <c r="D63" s="591" t="s">
        <v>689</v>
      </c>
      <c r="E63" s="592">
        <v>40231</v>
      </c>
      <c r="F63" s="623">
        <v>400455</v>
      </c>
      <c r="G63" s="593">
        <v>90</v>
      </c>
      <c r="H63" s="595">
        <f t="shared" si="7"/>
        <v>59.859000000000002</v>
      </c>
      <c r="I63" s="597">
        <f t="shared" si="8"/>
        <v>30.140999999999998</v>
      </c>
      <c r="J63" s="595"/>
      <c r="K63" s="597"/>
      <c r="L63" s="595">
        <f t="shared" si="5"/>
        <v>59.859000000000002</v>
      </c>
      <c r="M63" s="597">
        <f t="shared" si="5"/>
        <v>30.140999999999998</v>
      </c>
      <c r="N63" s="576"/>
    </row>
    <row r="64" spans="1:17">
      <c r="A64" s="590" t="s">
        <v>1029</v>
      </c>
      <c r="B64" s="591" t="s">
        <v>1048</v>
      </c>
      <c r="C64" s="591" t="s">
        <v>1031</v>
      </c>
      <c r="D64" s="591" t="s">
        <v>689</v>
      </c>
      <c r="E64" s="592">
        <v>40237</v>
      </c>
      <c r="F64" s="591" t="s">
        <v>1051</v>
      </c>
      <c r="G64" s="2103">
        <v>89652.93</v>
      </c>
      <c r="H64" s="595">
        <f t="shared" si="7"/>
        <v>59628.163742999997</v>
      </c>
      <c r="I64" s="597">
        <f t="shared" si="8"/>
        <v>30024.766256999996</v>
      </c>
      <c r="J64" s="595"/>
      <c r="K64" s="597"/>
      <c r="L64" s="595">
        <f t="shared" si="5"/>
        <v>59628.163742999997</v>
      </c>
      <c r="M64" s="597">
        <f t="shared" si="5"/>
        <v>30024.766256999996</v>
      </c>
      <c r="N64" s="576"/>
      <c r="O64" s="2105">
        <v>89652.93</v>
      </c>
      <c r="P64" s="2105">
        <f>O64*$I$3</f>
        <v>30024.766256999996</v>
      </c>
      <c r="Q64" s="2105">
        <f>O64-G64</f>
        <v>0</v>
      </c>
    </row>
    <row r="65" spans="1:17">
      <c r="A65" s="590" t="s">
        <v>1029</v>
      </c>
      <c r="B65" s="591" t="s">
        <v>1048</v>
      </c>
      <c r="C65" s="591" t="s">
        <v>1031</v>
      </c>
      <c r="D65" s="591" t="s">
        <v>690</v>
      </c>
      <c r="E65" s="592">
        <v>40252</v>
      </c>
      <c r="F65" s="591" t="s">
        <v>1038</v>
      </c>
      <c r="G65" s="593">
        <v>-50733.78</v>
      </c>
      <c r="H65" s="595">
        <f t="shared" si="7"/>
        <v>-33743.037078000001</v>
      </c>
      <c r="I65" s="597">
        <f t="shared" si="8"/>
        <v>-16990.742921999998</v>
      </c>
      <c r="J65" s="595">
        <v>0</v>
      </c>
      <c r="K65" s="597">
        <v>0</v>
      </c>
      <c r="L65" s="595">
        <f t="shared" si="5"/>
        <v>-33743.037078000001</v>
      </c>
      <c r="M65" s="597">
        <f t="shared" si="5"/>
        <v>-16990.742921999998</v>
      </c>
      <c r="N65" s="598"/>
    </row>
    <row r="66" spans="1:17">
      <c r="A66" s="590" t="s">
        <v>1029</v>
      </c>
      <c r="B66" s="591" t="s">
        <v>1048</v>
      </c>
      <c r="C66" s="591" t="s">
        <v>1031</v>
      </c>
      <c r="D66" s="591" t="s">
        <v>690</v>
      </c>
      <c r="E66" s="592">
        <v>40268</v>
      </c>
      <c r="F66" s="591" t="s">
        <v>1050</v>
      </c>
      <c r="G66" s="593">
        <v>-0.01</v>
      </c>
      <c r="H66" s="595">
        <f t="shared" si="7"/>
        <v>-6.6510000000000007E-3</v>
      </c>
      <c r="I66" s="597">
        <f t="shared" si="8"/>
        <v>-3.349E-3</v>
      </c>
      <c r="J66" s="595"/>
      <c r="K66" s="597"/>
      <c r="L66" s="595">
        <f t="shared" si="5"/>
        <v>-6.6510000000000007E-3</v>
      </c>
      <c r="M66" s="597">
        <f t="shared" si="5"/>
        <v>-3.349E-3</v>
      </c>
      <c r="N66" s="576"/>
    </row>
    <row r="67" spans="1:17">
      <c r="A67" s="590" t="s">
        <v>1029</v>
      </c>
      <c r="B67" s="591" t="s">
        <v>1048</v>
      </c>
      <c r="C67" s="591" t="s">
        <v>1031</v>
      </c>
      <c r="D67" s="591" t="s">
        <v>690</v>
      </c>
      <c r="E67" s="592">
        <v>40268</v>
      </c>
      <c r="F67" s="591" t="s">
        <v>1052</v>
      </c>
      <c r="G67" s="593">
        <v>6000</v>
      </c>
      <c r="H67" s="595">
        <f t="shared" si="7"/>
        <v>3990.6000000000004</v>
      </c>
      <c r="I67" s="597">
        <f t="shared" si="8"/>
        <v>2009.3999999999999</v>
      </c>
      <c r="J67" s="595"/>
      <c r="K67" s="597"/>
      <c r="L67" s="595">
        <f t="shared" si="5"/>
        <v>3990.6000000000004</v>
      </c>
      <c r="M67" s="597">
        <f t="shared" si="5"/>
        <v>2009.3999999999999</v>
      </c>
      <c r="N67" s="576"/>
    </row>
    <row r="68" spans="1:17">
      <c r="A68" s="590" t="s">
        <v>1029</v>
      </c>
      <c r="B68" s="591" t="s">
        <v>1048</v>
      </c>
      <c r="C68" s="591" t="s">
        <v>1031</v>
      </c>
      <c r="D68" s="591" t="s">
        <v>690</v>
      </c>
      <c r="E68" s="592">
        <v>40268</v>
      </c>
      <c r="F68" s="591" t="s">
        <v>1051</v>
      </c>
      <c r="G68" s="2104">
        <v>103461.86</v>
      </c>
      <c r="H68" s="595">
        <f t="shared" si="7"/>
        <v>68812.483086000007</v>
      </c>
      <c r="I68" s="597">
        <f t="shared" si="8"/>
        <v>34649.376914</v>
      </c>
      <c r="J68" s="595"/>
      <c r="K68" s="597"/>
      <c r="L68" s="595">
        <f t="shared" si="5"/>
        <v>68812.483086000007</v>
      </c>
      <c r="M68" s="597">
        <f t="shared" si="5"/>
        <v>34649.376914</v>
      </c>
      <c r="N68" s="576"/>
      <c r="O68" s="2106">
        <v>103461.87</v>
      </c>
      <c r="P68" s="2105">
        <f>O68*$I$3</f>
        <v>34649.380262999999</v>
      </c>
      <c r="Q68" s="2105">
        <f>O68-G68</f>
        <v>9.9999999947613105E-3</v>
      </c>
    </row>
    <row r="69" spans="1:17">
      <c r="A69" s="590" t="s">
        <v>1029</v>
      </c>
      <c r="B69" s="591" t="s">
        <v>1048</v>
      </c>
      <c r="C69" s="591" t="s">
        <v>1031</v>
      </c>
      <c r="D69" s="591" t="s">
        <v>691</v>
      </c>
      <c r="E69" s="592">
        <v>40298</v>
      </c>
      <c r="F69" s="591" t="s">
        <v>1050</v>
      </c>
      <c r="G69" s="593">
        <v>-0.15</v>
      </c>
      <c r="H69" s="595">
        <f t="shared" si="7"/>
        <v>-9.9765000000000006E-2</v>
      </c>
      <c r="I69" s="597">
        <f t="shared" si="8"/>
        <v>-5.0234999999999995E-2</v>
      </c>
      <c r="J69" s="595"/>
      <c r="K69" s="597"/>
      <c r="L69" s="595">
        <f t="shared" si="5"/>
        <v>-9.9765000000000006E-2</v>
      </c>
      <c r="M69" s="597">
        <f t="shared" si="5"/>
        <v>-5.0234999999999995E-2</v>
      </c>
      <c r="N69" s="576"/>
    </row>
    <row r="70" spans="1:17">
      <c r="A70" s="590" t="s">
        <v>1029</v>
      </c>
      <c r="B70" s="591" t="s">
        <v>1048</v>
      </c>
      <c r="C70" s="591" t="s">
        <v>1031</v>
      </c>
      <c r="D70" s="591" t="s">
        <v>691</v>
      </c>
      <c r="E70" s="592">
        <v>40298</v>
      </c>
      <c r="F70" s="591" t="s">
        <v>1054</v>
      </c>
      <c r="G70" s="593">
        <v>-29649.87</v>
      </c>
      <c r="H70" s="595">
        <f t="shared" si="7"/>
        <v>-19720.128537000001</v>
      </c>
      <c r="I70" s="597">
        <f t="shared" si="8"/>
        <v>-9929.7414629999985</v>
      </c>
      <c r="J70" s="595">
        <v>0</v>
      </c>
      <c r="K70" s="597">
        <v>0</v>
      </c>
      <c r="L70" s="595">
        <f t="shared" si="5"/>
        <v>-19720.128537000001</v>
      </c>
      <c r="M70" s="597">
        <f t="shared" si="5"/>
        <v>-9929.7414629999985</v>
      </c>
      <c r="N70" s="598"/>
    </row>
    <row r="71" spans="1:17">
      <c r="A71" s="590" t="s">
        <v>1029</v>
      </c>
      <c r="B71" s="591" t="s">
        <v>1048</v>
      </c>
      <c r="C71" s="591" t="s">
        <v>1031</v>
      </c>
      <c r="D71" s="591" t="s">
        <v>691</v>
      </c>
      <c r="E71" s="592">
        <v>40298</v>
      </c>
      <c r="F71" s="591" t="s">
        <v>1052</v>
      </c>
      <c r="G71" s="593">
        <v>9000</v>
      </c>
      <c r="H71" s="595">
        <f t="shared" si="7"/>
        <v>5985.9000000000005</v>
      </c>
      <c r="I71" s="597">
        <f t="shared" si="8"/>
        <v>3014.1</v>
      </c>
      <c r="J71" s="595"/>
      <c r="K71" s="597"/>
      <c r="L71" s="595">
        <f t="shared" si="5"/>
        <v>5985.9000000000005</v>
      </c>
      <c r="M71" s="597">
        <f t="shared" si="5"/>
        <v>3014.1</v>
      </c>
      <c r="N71" s="576"/>
    </row>
    <row r="72" spans="1:17">
      <c r="A72" s="590" t="s">
        <v>1029</v>
      </c>
      <c r="B72" s="591" t="s">
        <v>1048</v>
      </c>
      <c r="C72" s="591" t="s">
        <v>1031</v>
      </c>
      <c r="D72" s="591" t="s">
        <v>691</v>
      </c>
      <c r="E72" s="592">
        <v>40298</v>
      </c>
      <c r="F72" s="591" t="s">
        <v>1051</v>
      </c>
      <c r="G72" s="2103">
        <v>59012.43</v>
      </c>
      <c r="H72" s="595">
        <f t="shared" si="7"/>
        <v>39249.167193000001</v>
      </c>
      <c r="I72" s="597">
        <f t="shared" si="8"/>
        <v>19763.262806999999</v>
      </c>
      <c r="J72" s="595"/>
      <c r="K72" s="597"/>
      <c r="L72" s="595">
        <f t="shared" si="5"/>
        <v>39249.167193000001</v>
      </c>
      <c r="M72" s="597">
        <f t="shared" si="5"/>
        <v>19763.262806999999</v>
      </c>
      <c r="N72" s="576"/>
      <c r="O72" s="2105">
        <v>59012.43</v>
      </c>
      <c r="P72" s="2105">
        <f>O72*$I$3</f>
        <v>19763.262806999999</v>
      </c>
      <c r="Q72" s="2105">
        <f>O72-G72</f>
        <v>0</v>
      </c>
    </row>
    <row r="73" spans="1:17">
      <c r="A73" s="590" t="s">
        <v>1029</v>
      </c>
      <c r="B73" s="591" t="s">
        <v>1048</v>
      </c>
      <c r="C73" s="591" t="s">
        <v>1031</v>
      </c>
      <c r="D73" s="591" t="s">
        <v>692</v>
      </c>
      <c r="E73" s="592">
        <v>40329</v>
      </c>
      <c r="F73" s="591" t="s">
        <v>1055</v>
      </c>
      <c r="G73" s="593">
        <v>-41167.49</v>
      </c>
      <c r="H73" s="595">
        <f t="shared" si="7"/>
        <v>-27380.497598999998</v>
      </c>
      <c r="I73" s="597">
        <f t="shared" si="8"/>
        <v>-13786.992400999998</v>
      </c>
      <c r="J73" s="595">
        <v>0</v>
      </c>
      <c r="K73" s="597">
        <v>0</v>
      </c>
      <c r="L73" s="595">
        <f t="shared" si="5"/>
        <v>-27380.497598999998</v>
      </c>
      <c r="M73" s="597">
        <f t="shared" si="5"/>
        <v>-13786.992400999998</v>
      </c>
      <c r="N73" s="598"/>
      <c r="O73" s="2105"/>
    </row>
    <row r="74" spans="1:17">
      <c r="A74" s="590" t="s">
        <v>1029</v>
      </c>
      <c r="B74" s="591" t="s">
        <v>1048</v>
      </c>
      <c r="C74" s="591" t="s">
        <v>1031</v>
      </c>
      <c r="D74" s="591" t="s">
        <v>692</v>
      </c>
      <c r="E74" s="592">
        <v>40329</v>
      </c>
      <c r="F74" s="591" t="s">
        <v>1052</v>
      </c>
      <c r="G74" s="593">
        <v>7000</v>
      </c>
      <c r="H74" s="595">
        <f t="shared" si="7"/>
        <v>4655.7</v>
      </c>
      <c r="I74" s="597">
        <f t="shared" si="8"/>
        <v>2344.2999999999997</v>
      </c>
      <c r="J74" s="595"/>
      <c r="K74" s="597"/>
      <c r="L74" s="595">
        <f t="shared" si="5"/>
        <v>4655.7</v>
      </c>
      <c r="M74" s="597">
        <f t="shared" si="5"/>
        <v>2344.2999999999997</v>
      </c>
      <c r="N74" s="576"/>
      <c r="O74" s="2105"/>
    </row>
    <row r="75" spans="1:17">
      <c r="A75" s="590" t="s">
        <v>1029</v>
      </c>
      <c r="B75" s="591" t="s">
        <v>1048</v>
      </c>
      <c r="C75" s="591" t="s">
        <v>1031</v>
      </c>
      <c r="D75" s="591" t="s">
        <v>692</v>
      </c>
      <c r="E75" s="592">
        <v>40329</v>
      </c>
      <c r="F75" s="591" t="s">
        <v>1051</v>
      </c>
      <c r="G75" s="2103">
        <v>101442.95</v>
      </c>
      <c r="H75" s="595">
        <f t="shared" si="7"/>
        <v>67469.706044999999</v>
      </c>
      <c r="I75" s="597">
        <f t="shared" si="8"/>
        <v>33973.243954999998</v>
      </c>
      <c r="J75" s="595"/>
      <c r="K75" s="597"/>
      <c r="L75" s="595">
        <f t="shared" si="5"/>
        <v>67469.706044999999</v>
      </c>
      <c r="M75" s="597">
        <f t="shared" si="5"/>
        <v>33973.243954999998</v>
      </c>
      <c r="N75" s="576"/>
      <c r="O75" s="2105">
        <v>101442.95</v>
      </c>
      <c r="P75" s="2105">
        <f>O75*$I$3</f>
        <v>33973.243954999998</v>
      </c>
      <c r="Q75" s="2105">
        <f>O75-G75</f>
        <v>0</v>
      </c>
    </row>
    <row r="76" spans="1:17">
      <c r="A76" s="590" t="s">
        <v>1029</v>
      </c>
      <c r="B76" s="591" t="s">
        <v>1048</v>
      </c>
      <c r="C76" s="591" t="s">
        <v>1031</v>
      </c>
      <c r="D76" s="591" t="s">
        <v>693</v>
      </c>
      <c r="E76" s="592">
        <v>40359</v>
      </c>
      <c r="F76" s="2152" t="s">
        <v>1056</v>
      </c>
      <c r="G76" s="593">
        <v>-111307.89</v>
      </c>
      <c r="H76" s="595">
        <f t="shared" si="7"/>
        <v>-74030.877638999998</v>
      </c>
      <c r="I76" s="597">
        <f t="shared" si="8"/>
        <v>-37277.012360999994</v>
      </c>
      <c r="J76" s="595">
        <f>-H76</f>
        <v>74030.877638999998</v>
      </c>
      <c r="K76" s="597">
        <f>-I76</f>
        <v>37277.012360999994</v>
      </c>
      <c r="L76" s="595">
        <f t="shared" si="5"/>
        <v>0</v>
      </c>
      <c r="M76" s="597">
        <f t="shared" si="5"/>
        <v>0</v>
      </c>
      <c r="N76" s="576" t="s">
        <v>1057</v>
      </c>
      <c r="O76" s="2105"/>
    </row>
    <row r="77" spans="1:17">
      <c r="A77" s="590" t="s">
        <v>1029</v>
      </c>
      <c r="B77" s="591" t="s">
        <v>1048</v>
      </c>
      <c r="C77" s="591" t="s">
        <v>1031</v>
      </c>
      <c r="D77" s="591" t="s">
        <v>693</v>
      </c>
      <c r="E77" s="592">
        <v>40359</v>
      </c>
      <c r="F77" s="591" t="s">
        <v>1051</v>
      </c>
      <c r="G77" s="2103">
        <v>43649.18</v>
      </c>
      <c r="H77" s="595">
        <f t="shared" si="7"/>
        <v>29031.069618000001</v>
      </c>
      <c r="I77" s="597">
        <f t="shared" si="8"/>
        <v>14618.110381999999</v>
      </c>
      <c r="J77" s="595"/>
      <c r="K77" s="597"/>
      <c r="L77" s="595">
        <f t="shared" si="5"/>
        <v>29031.069618000001</v>
      </c>
      <c r="M77" s="597">
        <f t="shared" si="5"/>
        <v>14618.110381999999</v>
      </c>
      <c r="N77" s="576"/>
      <c r="O77" s="2105">
        <v>43649.18</v>
      </c>
      <c r="P77" s="2105">
        <f>O77*$I$3</f>
        <v>14618.110381999999</v>
      </c>
      <c r="Q77" s="2105">
        <f>O77-G77</f>
        <v>0</v>
      </c>
    </row>
    <row r="78" spans="1:17">
      <c r="A78" s="590" t="s">
        <v>1029</v>
      </c>
      <c r="B78" s="591" t="s">
        <v>1048</v>
      </c>
      <c r="C78" s="591" t="s">
        <v>1031</v>
      </c>
      <c r="D78" s="591" t="s">
        <v>693</v>
      </c>
      <c r="E78" s="592">
        <v>40359</v>
      </c>
      <c r="F78" s="591" t="s">
        <v>1052</v>
      </c>
      <c r="G78" s="593">
        <v>7000</v>
      </c>
      <c r="H78" s="595">
        <f t="shared" si="7"/>
        <v>4655.7</v>
      </c>
      <c r="I78" s="597">
        <f t="shared" si="8"/>
        <v>2344.2999999999997</v>
      </c>
      <c r="J78" s="595"/>
      <c r="K78" s="597"/>
      <c r="L78" s="595">
        <f t="shared" ref="L78:M93" si="9">H78+J78</f>
        <v>4655.7</v>
      </c>
      <c r="M78" s="597">
        <f t="shared" si="9"/>
        <v>2344.2999999999997</v>
      </c>
      <c r="N78" s="576"/>
      <c r="O78" s="2105"/>
    </row>
    <row r="79" spans="1:17">
      <c r="A79" s="590" t="s">
        <v>1029</v>
      </c>
      <c r="B79" s="591" t="s">
        <v>1048</v>
      </c>
      <c r="C79" s="591" t="s">
        <v>1031</v>
      </c>
      <c r="D79" s="591" t="s">
        <v>694</v>
      </c>
      <c r="E79" s="592">
        <v>40390</v>
      </c>
      <c r="F79" s="591" t="s">
        <v>1050</v>
      </c>
      <c r="G79" s="593">
        <v>-0.25</v>
      </c>
      <c r="H79" s="595">
        <f t="shared" si="7"/>
        <v>-0.16627500000000001</v>
      </c>
      <c r="I79" s="597">
        <f t="shared" si="8"/>
        <v>-8.3724999999999994E-2</v>
      </c>
      <c r="J79" s="595"/>
      <c r="K79" s="597"/>
      <c r="L79" s="595">
        <f t="shared" si="9"/>
        <v>-0.16627500000000001</v>
      </c>
      <c r="M79" s="597">
        <f t="shared" si="9"/>
        <v>-8.3724999999999994E-2</v>
      </c>
      <c r="N79" s="576"/>
      <c r="O79" s="2105"/>
    </row>
    <row r="80" spans="1:17">
      <c r="A80" s="590" t="s">
        <v>1029</v>
      </c>
      <c r="B80" s="591" t="s">
        <v>1048</v>
      </c>
      <c r="C80" s="591" t="s">
        <v>1031</v>
      </c>
      <c r="D80" s="591" t="s">
        <v>694</v>
      </c>
      <c r="E80" s="592">
        <v>40389</v>
      </c>
      <c r="F80" s="591" t="s">
        <v>1052</v>
      </c>
      <c r="G80" s="593">
        <v>5000</v>
      </c>
      <c r="H80" s="595">
        <f t="shared" si="7"/>
        <v>3325.5</v>
      </c>
      <c r="I80" s="597">
        <f t="shared" si="8"/>
        <v>1674.4999999999998</v>
      </c>
      <c r="J80" s="595"/>
      <c r="K80" s="597"/>
      <c r="L80" s="595">
        <f t="shared" si="9"/>
        <v>3325.5</v>
      </c>
      <c r="M80" s="597">
        <f t="shared" si="9"/>
        <v>1674.4999999999998</v>
      </c>
      <c r="N80" s="576"/>
      <c r="O80" s="2105"/>
    </row>
    <row r="81" spans="1:17">
      <c r="A81" s="590" t="s">
        <v>1029</v>
      </c>
      <c r="B81" s="591" t="s">
        <v>1048</v>
      </c>
      <c r="C81" s="591" t="s">
        <v>1031</v>
      </c>
      <c r="D81" s="591" t="s">
        <v>694</v>
      </c>
      <c r="E81" s="592">
        <v>40390</v>
      </c>
      <c r="F81" s="591" t="s">
        <v>1051</v>
      </c>
      <c r="G81" s="2104">
        <v>62245.37</v>
      </c>
      <c r="H81" s="595">
        <f t="shared" si="7"/>
        <v>41399.395587000006</v>
      </c>
      <c r="I81" s="597">
        <f t="shared" si="8"/>
        <v>20845.974413</v>
      </c>
      <c r="J81" s="595"/>
      <c r="K81" s="597">
        <v>0</v>
      </c>
      <c r="L81" s="595">
        <f t="shared" si="9"/>
        <v>41399.395587000006</v>
      </c>
      <c r="M81" s="597">
        <f t="shared" si="9"/>
        <v>20845.974413</v>
      </c>
      <c r="N81" s="576"/>
      <c r="O81" s="2106">
        <v>61567.199999999997</v>
      </c>
      <c r="P81" s="2105">
        <f>O81*$I$3</f>
        <v>20618.855279999996</v>
      </c>
      <c r="Q81" s="2105">
        <f>O81-G81</f>
        <v>-678.17000000000553</v>
      </c>
    </row>
    <row r="82" spans="1:17">
      <c r="A82" s="590" t="s">
        <v>1029</v>
      </c>
      <c r="B82" s="591" t="s">
        <v>1048</v>
      </c>
      <c r="C82" s="591" t="s">
        <v>1031</v>
      </c>
      <c r="D82" s="591" t="s">
        <v>695</v>
      </c>
      <c r="E82" s="592">
        <v>40421</v>
      </c>
      <c r="F82" s="591" t="s">
        <v>1058</v>
      </c>
      <c r="G82" s="593">
        <v>-678.12</v>
      </c>
      <c r="H82" s="595">
        <f t="shared" si="7"/>
        <v>-451.01761200000004</v>
      </c>
      <c r="I82" s="597">
        <f t="shared" si="8"/>
        <v>-227.10238799999999</v>
      </c>
      <c r="J82" s="595"/>
      <c r="K82" s="597"/>
      <c r="L82" s="595">
        <f t="shared" si="9"/>
        <v>-451.01761200000004</v>
      </c>
      <c r="M82" s="597">
        <f t="shared" si="9"/>
        <v>-227.10238799999999</v>
      </c>
      <c r="N82" s="576"/>
      <c r="O82" s="2105"/>
    </row>
    <row r="83" spans="1:17">
      <c r="A83" s="590" t="s">
        <v>1029</v>
      </c>
      <c r="B83" s="591" t="s">
        <v>1048</v>
      </c>
      <c r="C83" s="591" t="s">
        <v>1031</v>
      </c>
      <c r="D83" s="591" t="s">
        <v>695</v>
      </c>
      <c r="E83" s="592">
        <v>40421</v>
      </c>
      <c r="F83" s="591" t="s">
        <v>1052</v>
      </c>
      <c r="G83" s="593">
        <v>4000</v>
      </c>
      <c r="H83" s="595">
        <f t="shared" si="7"/>
        <v>2660.4</v>
      </c>
      <c r="I83" s="597">
        <f t="shared" si="8"/>
        <v>1339.6</v>
      </c>
      <c r="J83" s="595"/>
      <c r="K83" s="597"/>
      <c r="L83" s="595">
        <f t="shared" si="9"/>
        <v>2660.4</v>
      </c>
      <c r="M83" s="597">
        <f t="shared" si="9"/>
        <v>1339.6</v>
      </c>
      <c r="N83" s="576"/>
      <c r="O83" s="2105"/>
    </row>
    <row r="84" spans="1:17">
      <c r="A84" s="590" t="s">
        <v>1029</v>
      </c>
      <c r="B84" s="591" t="s">
        <v>1048</v>
      </c>
      <c r="C84" s="591" t="s">
        <v>1031</v>
      </c>
      <c r="D84" s="591" t="s">
        <v>695</v>
      </c>
      <c r="E84" s="592">
        <v>40421</v>
      </c>
      <c r="F84" s="591" t="s">
        <v>1051</v>
      </c>
      <c r="G84" s="2103">
        <v>55965.21</v>
      </c>
      <c r="H84" s="595">
        <f t="shared" si="7"/>
        <v>37222.461171000003</v>
      </c>
      <c r="I84" s="597">
        <f t="shared" si="8"/>
        <v>18742.748829</v>
      </c>
      <c r="J84" s="595"/>
      <c r="K84" s="597"/>
      <c r="L84" s="595">
        <f t="shared" si="9"/>
        <v>37222.461171000003</v>
      </c>
      <c r="M84" s="597">
        <f t="shared" si="9"/>
        <v>18742.748829</v>
      </c>
      <c r="N84" s="576"/>
      <c r="O84" s="2105">
        <v>55965.21</v>
      </c>
      <c r="P84" s="2105">
        <f>O84*$I$3</f>
        <v>18742.748829</v>
      </c>
      <c r="Q84" s="2105">
        <f>O84-G84</f>
        <v>0</v>
      </c>
    </row>
    <row r="85" spans="1:17">
      <c r="A85" s="590" t="s">
        <v>1029</v>
      </c>
      <c r="B85" s="591" t="s">
        <v>1048</v>
      </c>
      <c r="C85" s="591" t="s">
        <v>1031</v>
      </c>
      <c r="D85" s="591" t="s">
        <v>696</v>
      </c>
      <c r="E85" s="592">
        <v>40451</v>
      </c>
      <c r="F85" s="591" t="s">
        <v>1050</v>
      </c>
      <c r="G85" s="593">
        <v>-0.09</v>
      </c>
      <c r="H85" s="595">
        <f t="shared" si="7"/>
        <v>-5.9859000000000002E-2</v>
      </c>
      <c r="I85" s="597">
        <f t="shared" si="8"/>
        <v>-3.0140999999999998E-2</v>
      </c>
      <c r="J85" s="595"/>
      <c r="K85" s="597"/>
      <c r="L85" s="595">
        <f t="shared" si="9"/>
        <v>-5.9859000000000002E-2</v>
      </c>
      <c r="M85" s="597">
        <f t="shared" si="9"/>
        <v>-3.0140999999999998E-2</v>
      </c>
      <c r="N85" s="576"/>
      <c r="O85" s="2105"/>
    </row>
    <row r="86" spans="1:17">
      <c r="A86" s="590" t="s">
        <v>1029</v>
      </c>
      <c r="B86" s="591" t="s">
        <v>1048</v>
      </c>
      <c r="C86" s="591" t="s">
        <v>1031</v>
      </c>
      <c r="D86" s="591" t="s">
        <v>696</v>
      </c>
      <c r="E86" s="592">
        <v>40451</v>
      </c>
      <c r="F86" s="591" t="s">
        <v>1052</v>
      </c>
      <c r="G86" s="593">
        <v>7000</v>
      </c>
      <c r="H86" s="595">
        <f t="shared" si="7"/>
        <v>4655.7</v>
      </c>
      <c r="I86" s="597">
        <f t="shared" si="8"/>
        <v>2344.2999999999997</v>
      </c>
      <c r="J86" s="595"/>
      <c r="K86" s="597"/>
      <c r="L86" s="595">
        <f t="shared" si="9"/>
        <v>4655.7</v>
      </c>
      <c r="M86" s="597">
        <f t="shared" si="9"/>
        <v>2344.2999999999997</v>
      </c>
      <c r="N86" s="576"/>
      <c r="O86" s="2105"/>
    </row>
    <row r="87" spans="1:17">
      <c r="A87" s="590" t="s">
        <v>1029</v>
      </c>
      <c r="B87" s="591" t="s">
        <v>1048</v>
      </c>
      <c r="C87" s="591" t="s">
        <v>1031</v>
      </c>
      <c r="D87" s="591" t="s">
        <v>696</v>
      </c>
      <c r="E87" s="592">
        <v>40451</v>
      </c>
      <c r="F87" s="591" t="s">
        <v>1051</v>
      </c>
      <c r="G87" s="2104">
        <v>50852.22</v>
      </c>
      <c r="H87" s="595">
        <f t="shared" si="7"/>
        <v>33821.811522000004</v>
      </c>
      <c r="I87" s="597">
        <f t="shared" si="8"/>
        <v>17030.408477999998</v>
      </c>
      <c r="J87" s="595"/>
      <c r="K87" s="597"/>
      <c r="L87" s="595">
        <f t="shared" si="9"/>
        <v>33821.811522000004</v>
      </c>
      <c r="M87" s="597">
        <f t="shared" si="9"/>
        <v>17030.408477999998</v>
      </c>
      <c r="N87" s="576"/>
      <c r="O87" s="2106">
        <v>51851.17</v>
      </c>
      <c r="P87" s="2105">
        <f>O87*$I$3</f>
        <v>17364.956832999997</v>
      </c>
      <c r="Q87" s="2105">
        <f>O87-G87</f>
        <v>998.94999999999709</v>
      </c>
    </row>
    <row r="88" spans="1:17">
      <c r="A88" s="590" t="s">
        <v>1029</v>
      </c>
      <c r="B88" s="591" t="s">
        <v>1048</v>
      </c>
      <c r="C88" s="591" t="s">
        <v>1031</v>
      </c>
      <c r="D88" s="591" t="s">
        <v>697</v>
      </c>
      <c r="E88" s="592">
        <v>40480</v>
      </c>
      <c r="F88" s="591" t="s">
        <v>1052</v>
      </c>
      <c r="G88" s="593">
        <v>4000</v>
      </c>
      <c r="H88" s="595">
        <f t="shared" si="7"/>
        <v>2660.4</v>
      </c>
      <c r="I88" s="597">
        <f t="shared" si="8"/>
        <v>1339.6</v>
      </c>
      <c r="J88" s="595"/>
      <c r="K88" s="597"/>
      <c r="L88" s="595">
        <f t="shared" si="9"/>
        <v>2660.4</v>
      </c>
      <c r="M88" s="597">
        <f t="shared" si="9"/>
        <v>1339.6</v>
      </c>
      <c r="N88" s="576"/>
      <c r="O88" s="2105"/>
    </row>
    <row r="89" spans="1:17">
      <c r="A89" s="590" t="s">
        <v>1029</v>
      </c>
      <c r="B89" s="591" t="s">
        <v>1048</v>
      </c>
      <c r="C89" s="591" t="s">
        <v>1031</v>
      </c>
      <c r="D89" s="591" t="s">
        <v>697</v>
      </c>
      <c r="E89" s="592">
        <v>40480</v>
      </c>
      <c r="F89" s="591" t="s">
        <v>1050</v>
      </c>
      <c r="G89" s="593">
        <v>998.77</v>
      </c>
      <c r="H89" s="595">
        <f t="shared" si="7"/>
        <v>664.281927</v>
      </c>
      <c r="I89" s="597">
        <f t="shared" si="8"/>
        <v>334.48807299999999</v>
      </c>
      <c r="J89" s="595"/>
      <c r="K89" s="597"/>
      <c r="L89" s="595">
        <f t="shared" si="9"/>
        <v>664.281927</v>
      </c>
      <c r="M89" s="597">
        <f t="shared" si="9"/>
        <v>334.48807299999999</v>
      </c>
      <c r="N89" s="576"/>
      <c r="O89" s="2105"/>
    </row>
    <row r="90" spans="1:17">
      <c r="A90" s="590" t="s">
        <v>1029</v>
      </c>
      <c r="B90" s="591" t="s">
        <v>1048</v>
      </c>
      <c r="C90" s="591" t="s">
        <v>1031</v>
      </c>
      <c r="D90" s="591" t="s">
        <v>697</v>
      </c>
      <c r="E90" s="592">
        <v>40480</v>
      </c>
      <c r="F90" s="591" t="s">
        <v>1051</v>
      </c>
      <c r="G90" s="2104">
        <v>61168.18</v>
      </c>
      <c r="H90" s="595">
        <f t="shared" si="7"/>
        <v>40682.956517999999</v>
      </c>
      <c r="I90" s="597">
        <f t="shared" si="8"/>
        <v>20485.223481999998</v>
      </c>
      <c r="J90" s="595"/>
      <c r="K90" s="597"/>
      <c r="L90" s="595">
        <f t="shared" si="9"/>
        <v>40682.956517999999</v>
      </c>
      <c r="M90" s="597">
        <f t="shared" si="9"/>
        <v>20485.223481999998</v>
      </c>
      <c r="N90" s="576"/>
      <c r="O90" s="2105">
        <v>61168.18</v>
      </c>
      <c r="P90" s="2105">
        <f>O90*$I$3</f>
        <v>20485.223481999998</v>
      </c>
      <c r="Q90" s="2105">
        <f>O90-G90</f>
        <v>0</v>
      </c>
    </row>
    <row r="91" spans="1:17">
      <c r="A91" s="590" t="s">
        <v>1029</v>
      </c>
      <c r="B91" s="591" t="s">
        <v>1048</v>
      </c>
      <c r="C91" s="591" t="s">
        <v>1031</v>
      </c>
      <c r="D91" s="591" t="s">
        <v>698</v>
      </c>
      <c r="E91" s="592">
        <v>40512</v>
      </c>
      <c r="F91" s="591" t="s">
        <v>1050</v>
      </c>
      <c r="G91" s="593">
        <v>-0.02</v>
      </c>
      <c r="H91" s="595">
        <f t="shared" si="7"/>
        <v>-1.3302000000000001E-2</v>
      </c>
      <c r="I91" s="597">
        <f t="shared" si="8"/>
        <v>-6.698E-3</v>
      </c>
      <c r="J91" s="595"/>
      <c r="K91" s="597"/>
      <c r="L91" s="595">
        <f t="shared" si="9"/>
        <v>-1.3302000000000001E-2</v>
      </c>
      <c r="M91" s="597">
        <f t="shared" si="9"/>
        <v>-6.698E-3</v>
      </c>
      <c r="N91" s="576"/>
      <c r="O91" s="2105"/>
    </row>
    <row r="92" spans="1:17">
      <c r="A92" s="590" t="s">
        <v>1029</v>
      </c>
      <c r="B92" s="591" t="s">
        <v>1048</v>
      </c>
      <c r="C92" s="591" t="s">
        <v>1031</v>
      </c>
      <c r="D92" s="591" t="s">
        <v>698</v>
      </c>
      <c r="E92" s="592">
        <v>40512</v>
      </c>
      <c r="F92" s="591" t="s">
        <v>1052</v>
      </c>
      <c r="G92" s="593">
        <v>7000</v>
      </c>
      <c r="H92" s="595">
        <f t="shared" si="7"/>
        <v>4655.7</v>
      </c>
      <c r="I92" s="597">
        <f t="shared" si="8"/>
        <v>2344.2999999999997</v>
      </c>
      <c r="J92" s="595"/>
      <c r="K92" s="597"/>
      <c r="L92" s="595">
        <f t="shared" si="9"/>
        <v>4655.7</v>
      </c>
      <c r="M92" s="597">
        <f t="shared" si="9"/>
        <v>2344.2999999999997</v>
      </c>
      <c r="N92" s="576"/>
      <c r="O92" s="2105"/>
    </row>
    <row r="93" spans="1:17">
      <c r="A93" s="590" t="s">
        <v>1029</v>
      </c>
      <c r="B93" s="591" t="s">
        <v>1048</v>
      </c>
      <c r="C93" s="591" t="s">
        <v>1031</v>
      </c>
      <c r="D93" s="591" t="s">
        <v>698</v>
      </c>
      <c r="E93" s="592">
        <v>40512</v>
      </c>
      <c r="F93" s="591" t="s">
        <v>1051</v>
      </c>
      <c r="G93" s="2103">
        <v>36939.199999999997</v>
      </c>
      <c r="H93" s="595">
        <f t="shared" si="7"/>
        <v>24568.261919999997</v>
      </c>
      <c r="I93" s="597">
        <f t="shared" si="8"/>
        <v>12370.938079999998</v>
      </c>
      <c r="J93" s="595"/>
      <c r="K93" s="597"/>
      <c r="L93" s="595">
        <f t="shared" si="9"/>
        <v>24568.261919999997</v>
      </c>
      <c r="M93" s="597">
        <f t="shared" si="9"/>
        <v>12370.938079999998</v>
      </c>
      <c r="N93" s="624"/>
      <c r="O93" s="2105">
        <v>36939.199999999997</v>
      </c>
      <c r="P93" s="2105">
        <f>O93*$I$3</f>
        <v>12370.938079999998</v>
      </c>
      <c r="Q93" s="2105">
        <f>O93-G93</f>
        <v>0</v>
      </c>
    </row>
    <row r="94" spans="1:17">
      <c r="A94" s="590" t="s">
        <v>1029</v>
      </c>
      <c r="B94" s="591" t="s">
        <v>1048</v>
      </c>
      <c r="C94" s="591" t="s">
        <v>1031</v>
      </c>
      <c r="D94" s="591" t="s">
        <v>699</v>
      </c>
      <c r="E94" s="592">
        <v>40542</v>
      </c>
      <c r="F94" s="591" t="s">
        <v>1050</v>
      </c>
      <c r="G94" s="593">
        <v>-0.09</v>
      </c>
      <c r="H94" s="595">
        <f t="shared" si="7"/>
        <v>-5.9859000000000002E-2</v>
      </c>
      <c r="I94" s="597">
        <f t="shared" si="8"/>
        <v>-3.0140999999999998E-2</v>
      </c>
      <c r="J94" s="595"/>
      <c r="K94" s="597"/>
      <c r="L94" s="595">
        <f t="shared" ref="L94:M96" si="10">H94+J94</f>
        <v>-5.9859000000000002E-2</v>
      </c>
      <c r="M94" s="597">
        <f t="shared" si="10"/>
        <v>-3.0140999999999998E-2</v>
      </c>
      <c r="N94" s="576"/>
      <c r="O94" s="2105"/>
    </row>
    <row r="95" spans="1:17">
      <c r="A95" s="590" t="s">
        <v>1029</v>
      </c>
      <c r="B95" s="591" t="s">
        <v>1048</v>
      </c>
      <c r="C95" s="591" t="s">
        <v>1031</v>
      </c>
      <c r="D95" s="591" t="s">
        <v>699</v>
      </c>
      <c r="E95" s="592">
        <v>40542</v>
      </c>
      <c r="F95" s="591" t="s">
        <v>1052</v>
      </c>
      <c r="G95" s="593">
        <v>20000</v>
      </c>
      <c r="H95" s="595">
        <f t="shared" si="7"/>
        <v>13302</v>
      </c>
      <c r="I95" s="597">
        <f t="shared" si="8"/>
        <v>6697.9999999999991</v>
      </c>
      <c r="J95" s="595"/>
      <c r="K95" s="597"/>
      <c r="L95" s="595">
        <f t="shared" si="10"/>
        <v>13302</v>
      </c>
      <c r="M95" s="597">
        <f t="shared" si="10"/>
        <v>6697.9999999999991</v>
      </c>
      <c r="N95" s="576"/>
      <c r="O95" s="2105"/>
    </row>
    <row r="96" spans="1:17">
      <c r="A96" s="601" t="s">
        <v>1029</v>
      </c>
      <c r="B96" s="602" t="s">
        <v>1048</v>
      </c>
      <c r="C96" s="602" t="s">
        <v>1031</v>
      </c>
      <c r="D96" s="602" t="s">
        <v>699</v>
      </c>
      <c r="E96" s="603">
        <v>40542</v>
      </c>
      <c r="F96" s="602" t="s">
        <v>1051</v>
      </c>
      <c r="G96" s="2107">
        <v>61011.07</v>
      </c>
      <c r="H96" s="595">
        <f t="shared" si="7"/>
        <v>40578.462657000004</v>
      </c>
      <c r="I96" s="597">
        <f t="shared" si="8"/>
        <v>20432.607343</v>
      </c>
      <c r="J96" s="595"/>
      <c r="K96" s="597"/>
      <c r="L96" s="595">
        <f t="shared" si="10"/>
        <v>40578.462657000004</v>
      </c>
      <c r="M96" s="597">
        <f t="shared" si="10"/>
        <v>20432.607343</v>
      </c>
      <c r="N96" s="576"/>
      <c r="O96" s="2105">
        <v>61011.07</v>
      </c>
      <c r="P96" s="2105">
        <f>O96*$I$3</f>
        <v>20432.607343</v>
      </c>
      <c r="Q96" s="2105">
        <f>O96-G96</f>
        <v>0</v>
      </c>
    </row>
    <row r="97" spans="1:17">
      <c r="A97" s="561" t="s">
        <v>279</v>
      </c>
      <c r="B97" s="561" t="s">
        <v>18</v>
      </c>
      <c r="C97" s="561"/>
      <c r="D97" s="561"/>
      <c r="E97" s="612"/>
      <c r="F97" s="561"/>
      <c r="G97" s="625">
        <f t="shared" ref="G97:M97" si="11">SUM(G57:G96)</f>
        <v>630599.64999999991</v>
      </c>
      <c r="H97" s="609">
        <f t="shared" si="11"/>
        <v>419411.82721500011</v>
      </c>
      <c r="I97" s="609">
        <f t="shared" si="11"/>
        <v>211187.822785</v>
      </c>
      <c r="J97" s="609">
        <f t="shared" si="11"/>
        <v>74030.877638999998</v>
      </c>
      <c r="K97" s="609">
        <f t="shared" si="11"/>
        <v>37277.012360999994</v>
      </c>
      <c r="L97" s="609">
        <f t="shared" si="11"/>
        <v>493442.70485400019</v>
      </c>
      <c r="M97" s="609">
        <f t="shared" si="11"/>
        <v>248464.83514599997</v>
      </c>
      <c r="N97" s="576"/>
    </row>
    <row r="98" spans="1:17" ht="13.5" thickBot="1">
      <c r="H98" s="626">
        <f t="shared" ref="H98:L98" si="12">H28+H55+H97</f>
        <v>78841322.577215001</v>
      </c>
      <c r="I98" s="2102">
        <f t="shared" si="12"/>
        <v>38656212.872784995</v>
      </c>
      <c r="J98" s="626">
        <f t="shared" si="12"/>
        <v>309198.90763899998</v>
      </c>
      <c r="K98" s="626">
        <f>K28+K55+K97</f>
        <v>75778.872360999987</v>
      </c>
      <c r="L98" s="626">
        <f t="shared" si="12"/>
        <v>79150521.484853998</v>
      </c>
      <c r="M98" s="2102">
        <f>M28+M55+M97</f>
        <v>38731991.745145999</v>
      </c>
      <c r="Q98" s="2105">
        <f>SUM(Q59:Q96)</f>
        <v>320.58999999998923</v>
      </c>
    </row>
    <row r="99" spans="1:17" ht="13.5" thickTop="1">
      <c r="E99" s="571" t="s">
        <v>1059</v>
      </c>
      <c r="O99" s="2105">
        <f>SUM(O31:O96)</f>
        <v>39653935.540000007</v>
      </c>
      <c r="P99" s="2105">
        <f>SUM(P31:P96)</f>
        <v>39110214.148377992</v>
      </c>
    </row>
    <row r="100" spans="1:17">
      <c r="E100" s="555" t="s">
        <v>1060</v>
      </c>
      <c r="M100" s="628"/>
      <c r="O100" s="2108"/>
      <c r="P100" s="2108">
        <f>I96+I93+I90+I87+I84+I81+I77+I75+I72+I68+I64+I59+I53+I51+I49+I47+I45+I43+I40+I39+I37+I35+I33+I31</f>
        <v>39104011.452787004</v>
      </c>
    </row>
    <row r="101" spans="1:17">
      <c r="E101" s="555" t="s">
        <v>1061</v>
      </c>
      <c r="O101" s="2105"/>
      <c r="P101" s="2105">
        <f>P99-P100</f>
        <v>6202.6955909878016</v>
      </c>
    </row>
    <row r="103" spans="1:17">
      <c r="O103" s="2105"/>
      <c r="Q103" s="2105">
        <f>Q98+Q55+Q28</f>
        <v>238120.94000000079</v>
      </c>
    </row>
  </sheetData>
  <autoFilter ref="F1:F103"/>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S37"/>
  <sheetViews>
    <sheetView workbookViewId="0">
      <selection activeCell="D13" sqref="D13"/>
    </sheetView>
  </sheetViews>
  <sheetFormatPr defaultRowHeight="12.75"/>
  <cols>
    <col min="1" max="1" width="6.33203125" style="429" customWidth="1"/>
    <col min="2" max="2" width="63.6640625" style="429" customWidth="1"/>
    <col min="3" max="3" width="12.5" style="429" customWidth="1"/>
    <col min="4" max="4" width="22.5" style="429" customWidth="1"/>
    <col min="5" max="5" width="10.33203125" style="429" customWidth="1"/>
    <col min="6" max="256" width="9.33203125" style="428"/>
    <col min="257" max="257" width="6.33203125" style="428" customWidth="1"/>
    <col min="258" max="258" width="63.6640625" style="428" customWidth="1"/>
    <col min="259" max="259" width="12.5" style="428" customWidth="1"/>
    <col min="260" max="260" width="22.5" style="428" customWidth="1"/>
    <col min="261" max="261" width="10.33203125" style="428" customWidth="1"/>
    <col min="262" max="512" width="9.33203125" style="428"/>
    <col min="513" max="513" width="6.33203125" style="428" customWidth="1"/>
    <col min="514" max="514" width="63.6640625" style="428" customWidth="1"/>
    <col min="515" max="515" width="12.5" style="428" customWidth="1"/>
    <col min="516" max="516" width="22.5" style="428" customWidth="1"/>
    <col min="517" max="517" width="10.33203125" style="428" customWidth="1"/>
    <col min="518" max="768" width="9.33203125" style="428"/>
    <col min="769" max="769" width="6.33203125" style="428" customWidth="1"/>
    <col min="770" max="770" width="63.6640625" style="428" customWidth="1"/>
    <col min="771" max="771" width="12.5" style="428" customWidth="1"/>
    <col min="772" max="772" width="22.5" style="428" customWidth="1"/>
    <col min="773" max="773" width="10.33203125" style="428" customWidth="1"/>
    <col min="774" max="1024" width="9.33203125" style="428"/>
    <col min="1025" max="1025" width="6.33203125" style="428" customWidth="1"/>
    <col min="1026" max="1026" width="63.6640625" style="428" customWidth="1"/>
    <col min="1027" max="1027" width="12.5" style="428" customWidth="1"/>
    <col min="1028" max="1028" width="22.5" style="428" customWidth="1"/>
    <col min="1029" max="1029" width="10.33203125" style="428" customWidth="1"/>
    <col min="1030" max="1280" width="9.33203125" style="428"/>
    <col min="1281" max="1281" width="6.33203125" style="428" customWidth="1"/>
    <col min="1282" max="1282" width="63.6640625" style="428" customWidth="1"/>
    <col min="1283" max="1283" width="12.5" style="428" customWidth="1"/>
    <col min="1284" max="1284" width="22.5" style="428" customWidth="1"/>
    <col min="1285" max="1285" width="10.33203125" style="428" customWidth="1"/>
    <col min="1286" max="1536" width="9.33203125" style="428"/>
    <col min="1537" max="1537" width="6.33203125" style="428" customWidth="1"/>
    <col min="1538" max="1538" width="63.6640625" style="428" customWidth="1"/>
    <col min="1539" max="1539" width="12.5" style="428" customWidth="1"/>
    <col min="1540" max="1540" width="22.5" style="428" customWidth="1"/>
    <col min="1541" max="1541" width="10.33203125" style="428" customWidth="1"/>
    <col min="1542" max="1792" width="9.33203125" style="428"/>
    <col min="1793" max="1793" width="6.33203125" style="428" customWidth="1"/>
    <col min="1794" max="1794" width="63.6640625" style="428" customWidth="1"/>
    <col min="1795" max="1795" width="12.5" style="428" customWidth="1"/>
    <col min="1796" max="1796" width="22.5" style="428" customWidth="1"/>
    <col min="1797" max="1797" width="10.33203125" style="428" customWidth="1"/>
    <col min="1798" max="2048" width="9.33203125" style="428"/>
    <col min="2049" max="2049" width="6.33203125" style="428" customWidth="1"/>
    <col min="2050" max="2050" width="63.6640625" style="428" customWidth="1"/>
    <col min="2051" max="2051" width="12.5" style="428" customWidth="1"/>
    <col min="2052" max="2052" width="22.5" style="428" customWidth="1"/>
    <col min="2053" max="2053" width="10.33203125" style="428" customWidth="1"/>
    <col min="2054" max="2304" width="9.33203125" style="428"/>
    <col min="2305" max="2305" width="6.33203125" style="428" customWidth="1"/>
    <col min="2306" max="2306" width="63.6640625" style="428" customWidth="1"/>
    <col min="2307" max="2307" width="12.5" style="428" customWidth="1"/>
    <col min="2308" max="2308" width="22.5" style="428" customWidth="1"/>
    <col min="2309" max="2309" width="10.33203125" style="428" customWidth="1"/>
    <col min="2310" max="2560" width="9.33203125" style="428"/>
    <col min="2561" max="2561" width="6.33203125" style="428" customWidth="1"/>
    <col min="2562" max="2562" width="63.6640625" style="428" customWidth="1"/>
    <col min="2563" max="2563" width="12.5" style="428" customWidth="1"/>
    <col min="2564" max="2564" width="22.5" style="428" customWidth="1"/>
    <col min="2565" max="2565" width="10.33203125" style="428" customWidth="1"/>
    <col min="2566" max="2816" width="9.33203125" style="428"/>
    <col min="2817" max="2817" width="6.33203125" style="428" customWidth="1"/>
    <col min="2818" max="2818" width="63.6640625" style="428" customWidth="1"/>
    <col min="2819" max="2819" width="12.5" style="428" customWidth="1"/>
    <col min="2820" max="2820" width="22.5" style="428" customWidth="1"/>
    <col min="2821" max="2821" width="10.33203125" style="428" customWidth="1"/>
    <col min="2822" max="3072" width="9.33203125" style="428"/>
    <col min="3073" max="3073" width="6.33203125" style="428" customWidth="1"/>
    <col min="3074" max="3074" width="63.6640625" style="428" customWidth="1"/>
    <col min="3075" max="3075" width="12.5" style="428" customWidth="1"/>
    <col min="3076" max="3076" width="22.5" style="428" customWidth="1"/>
    <col min="3077" max="3077" width="10.33203125" style="428" customWidth="1"/>
    <col min="3078" max="3328" width="9.33203125" style="428"/>
    <col min="3329" max="3329" width="6.33203125" style="428" customWidth="1"/>
    <col min="3330" max="3330" width="63.6640625" style="428" customWidth="1"/>
    <col min="3331" max="3331" width="12.5" style="428" customWidth="1"/>
    <col min="3332" max="3332" width="22.5" style="428" customWidth="1"/>
    <col min="3333" max="3333" width="10.33203125" style="428" customWidth="1"/>
    <col min="3334" max="3584" width="9.33203125" style="428"/>
    <col min="3585" max="3585" width="6.33203125" style="428" customWidth="1"/>
    <col min="3586" max="3586" width="63.6640625" style="428" customWidth="1"/>
    <col min="3587" max="3587" width="12.5" style="428" customWidth="1"/>
    <col min="3588" max="3588" width="22.5" style="428" customWidth="1"/>
    <col min="3589" max="3589" width="10.33203125" style="428" customWidth="1"/>
    <col min="3590" max="3840" width="9.33203125" style="428"/>
    <col min="3841" max="3841" width="6.33203125" style="428" customWidth="1"/>
    <col min="3842" max="3842" width="63.6640625" style="428" customWidth="1"/>
    <col min="3843" max="3843" width="12.5" style="428" customWidth="1"/>
    <col min="3844" max="3844" width="22.5" style="428" customWidth="1"/>
    <col min="3845" max="3845" width="10.33203125" style="428" customWidth="1"/>
    <col min="3846" max="4096" width="9.33203125" style="428"/>
    <col min="4097" max="4097" width="6.33203125" style="428" customWidth="1"/>
    <col min="4098" max="4098" width="63.6640625" style="428" customWidth="1"/>
    <col min="4099" max="4099" width="12.5" style="428" customWidth="1"/>
    <col min="4100" max="4100" width="22.5" style="428" customWidth="1"/>
    <col min="4101" max="4101" width="10.33203125" style="428" customWidth="1"/>
    <col min="4102" max="4352" width="9.33203125" style="428"/>
    <col min="4353" max="4353" width="6.33203125" style="428" customWidth="1"/>
    <col min="4354" max="4354" width="63.6640625" style="428" customWidth="1"/>
    <col min="4355" max="4355" width="12.5" style="428" customWidth="1"/>
    <col min="4356" max="4356" width="22.5" style="428" customWidth="1"/>
    <col min="4357" max="4357" width="10.33203125" style="428" customWidth="1"/>
    <col min="4358" max="4608" width="9.33203125" style="428"/>
    <col min="4609" max="4609" width="6.33203125" style="428" customWidth="1"/>
    <col min="4610" max="4610" width="63.6640625" style="428" customWidth="1"/>
    <col min="4611" max="4611" width="12.5" style="428" customWidth="1"/>
    <col min="4612" max="4612" width="22.5" style="428" customWidth="1"/>
    <col min="4613" max="4613" width="10.33203125" style="428" customWidth="1"/>
    <col min="4614" max="4864" width="9.33203125" style="428"/>
    <col min="4865" max="4865" width="6.33203125" style="428" customWidth="1"/>
    <col min="4866" max="4866" width="63.6640625" style="428" customWidth="1"/>
    <col min="4867" max="4867" width="12.5" style="428" customWidth="1"/>
    <col min="4868" max="4868" width="22.5" style="428" customWidth="1"/>
    <col min="4869" max="4869" width="10.33203125" style="428" customWidth="1"/>
    <col min="4870" max="5120" width="9.33203125" style="428"/>
    <col min="5121" max="5121" width="6.33203125" style="428" customWidth="1"/>
    <col min="5122" max="5122" width="63.6640625" style="428" customWidth="1"/>
    <col min="5123" max="5123" width="12.5" style="428" customWidth="1"/>
    <col min="5124" max="5124" width="22.5" style="428" customWidth="1"/>
    <col min="5125" max="5125" width="10.33203125" style="428" customWidth="1"/>
    <col min="5126" max="5376" width="9.33203125" style="428"/>
    <col min="5377" max="5377" width="6.33203125" style="428" customWidth="1"/>
    <col min="5378" max="5378" width="63.6640625" style="428" customWidth="1"/>
    <col min="5379" max="5379" width="12.5" style="428" customWidth="1"/>
    <col min="5380" max="5380" width="22.5" style="428" customWidth="1"/>
    <col min="5381" max="5381" width="10.33203125" style="428" customWidth="1"/>
    <col min="5382" max="5632" width="9.33203125" style="428"/>
    <col min="5633" max="5633" width="6.33203125" style="428" customWidth="1"/>
    <col min="5634" max="5634" width="63.6640625" style="428" customWidth="1"/>
    <col min="5635" max="5635" width="12.5" style="428" customWidth="1"/>
    <col min="5636" max="5636" width="22.5" style="428" customWidth="1"/>
    <col min="5637" max="5637" width="10.33203125" style="428" customWidth="1"/>
    <col min="5638" max="5888" width="9.33203125" style="428"/>
    <col min="5889" max="5889" width="6.33203125" style="428" customWidth="1"/>
    <col min="5890" max="5890" width="63.6640625" style="428" customWidth="1"/>
    <col min="5891" max="5891" width="12.5" style="428" customWidth="1"/>
    <col min="5892" max="5892" width="22.5" style="428" customWidth="1"/>
    <col min="5893" max="5893" width="10.33203125" style="428" customWidth="1"/>
    <col min="5894" max="6144" width="9.33203125" style="428"/>
    <col min="6145" max="6145" width="6.33203125" style="428" customWidth="1"/>
    <col min="6146" max="6146" width="63.6640625" style="428" customWidth="1"/>
    <col min="6147" max="6147" width="12.5" style="428" customWidth="1"/>
    <col min="6148" max="6148" width="22.5" style="428" customWidth="1"/>
    <col min="6149" max="6149" width="10.33203125" style="428" customWidth="1"/>
    <col min="6150" max="6400" width="9.33203125" style="428"/>
    <col min="6401" max="6401" width="6.33203125" style="428" customWidth="1"/>
    <col min="6402" max="6402" width="63.6640625" style="428" customWidth="1"/>
    <col min="6403" max="6403" width="12.5" style="428" customWidth="1"/>
    <col min="6404" max="6404" width="22.5" style="428" customWidth="1"/>
    <col min="6405" max="6405" width="10.33203125" style="428" customWidth="1"/>
    <col min="6406" max="6656" width="9.33203125" style="428"/>
    <col min="6657" max="6657" width="6.33203125" style="428" customWidth="1"/>
    <col min="6658" max="6658" width="63.6640625" style="428" customWidth="1"/>
    <col min="6659" max="6659" width="12.5" style="428" customWidth="1"/>
    <col min="6660" max="6660" width="22.5" style="428" customWidth="1"/>
    <col min="6661" max="6661" width="10.33203125" style="428" customWidth="1"/>
    <col min="6662" max="6912" width="9.33203125" style="428"/>
    <col min="6913" max="6913" width="6.33203125" style="428" customWidth="1"/>
    <col min="6914" max="6914" width="63.6640625" style="428" customWidth="1"/>
    <col min="6915" max="6915" width="12.5" style="428" customWidth="1"/>
    <col min="6916" max="6916" width="22.5" style="428" customWidth="1"/>
    <col min="6917" max="6917" width="10.33203125" style="428" customWidth="1"/>
    <col min="6918" max="7168" width="9.33203125" style="428"/>
    <col min="7169" max="7169" width="6.33203125" style="428" customWidth="1"/>
    <col min="7170" max="7170" width="63.6640625" style="428" customWidth="1"/>
    <col min="7171" max="7171" width="12.5" style="428" customWidth="1"/>
    <col min="7172" max="7172" width="22.5" style="428" customWidth="1"/>
    <col min="7173" max="7173" width="10.33203125" style="428" customWidth="1"/>
    <col min="7174" max="7424" width="9.33203125" style="428"/>
    <col min="7425" max="7425" width="6.33203125" style="428" customWidth="1"/>
    <col min="7426" max="7426" width="63.6640625" style="428" customWidth="1"/>
    <col min="7427" max="7427" width="12.5" style="428" customWidth="1"/>
    <col min="7428" max="7428" width="22.5" style="428" customWidth="1"/>
    <col min="7429" max="7429" width="10.33203125" style="428" customWidth="1"/>
    <col min="7430" max="7680" width="9.33203125" style="428"/>
    <col min="7681" max="7681" width="6.33203125" style="428" customWidth="1"/>
    <col min="7682" max="7682" width="63.6640625" style="428" customWidth="1"/>
    <col min="7683" max="7683" width="12.5" style="428" customWidth="1"/>
    <col min="7684" max="7684" width="22.5" style="428" customWidth="1"/>
    <col min="7685" max="7685" width="10.33203125" style="428" customWidth="1"/>
    <col min="7686" max="7936" width="9.33203125" style="428"/>
    <col min="7937" max="7937" width="6.33203125" style="428" customWidth="1"/>
    <col min="7938" max="7938" width="63.6640625" style="428" customWidth="1"/>
    <col min="7939" max="7939" width="12.5" style="428" customWidth="1"/>
    <col min="7940" max="7940" width="22.5" style="428" customWidth="1"/>
    <col min="7941" max="7941" width="10.33203125" style="428" customWidth="1"/>
    <col min="7942" max="8192" width="9.33203125" style="428"/>
    <col min="8193" max="8193" width="6.33203125" style="428" customWidth="1"/>
    <col min="8194" max="8194" width="63.6640625" style="428" customWidth="1"/>
    <col min="8195" max="8195" width="12.5" style="428" customWidth="1"/>
    <col min="8196" max="8196" width="22.5" style="428" customWidth="1"/>
    <col min="8197" max="8197" width="10.33203125" style="428" customWidth="1"/>
    <col min="8198" max="8448" width="9.33203125" style="428"/>
    <col min="8449" max="8449" width="6.33203125" style="428" customWidth="1"/>
    <col min="8450" max="8450" width="63.6640625" style="428" customWidth="1"/>
    <col min="8451" max="8451" width="12.5" style="428" customWidth="1"/>
    <col min="8452" max="8452" width="22.5" style="428" customWidth="1"/>
    <col min="8453" max="8453" width="10.33203125" style="428" customWidth="1"/>
    <col min="8454" max="8704" width="9.33203125" style="428"/>
    <col min="8705" max="8705" width="6.33203125" style="428" customWidth="1"/>
    <col min="8706" max="8706" width="63.6640625" style="428" customWidth="1"/>
    <col min="8707" max="8707" width="12.5" style="428" customWidth="1"/>
    <col min="8708" max="8708" width="22.5" style="428" customWidth="1"/>
    <col min="8709" max="8709" width="10.33203125" style="428" customWidth="1"/>
    <col min="8710" max="8960" width="9.33203125" style="428"/>
    <col min="8961" max="8961" width="6.33203125" style="428" customWidth="1"/>
    <col min="8962" max="8962" width="63.6640625" style="428" customWidth="1"/>
    <col min="8963" max="8963" width="12.5" style="428" customWidth="1"/>
    <col min="8964" max="8964" width="22.5" style="428" customWidth="1"/>
    <col min="8965" max="8965" width="10.33203125" style="428" customWidth="1"/>
    <col min="8966" max="9216" width="9.33203125" style="428"/>
    <col min="9217" max="9217" width="6.33203125" style="428" customWidth="1"/>
    <col min="9218" max="9218" width="63.6640625" style="428" customWidth="1"/>
    <col min="9219" max="9219" width="12.5" style="428" customWidth="1"/>
    <col min="9220" max="9220" width="22.5" style="428" customWidth="1"/>
    <col min="9221" max="9221" width="10.33203125" style="428" customWidth="1"/>
    <col min="9222" max="9472" width="9.33203125" style="428"/>
    <col min="9473" max="9473" width="6.33203125" style="428" customWidth="1"/>
    <col min="9474" max="9474" width="63.6640625" style="428" customWidth="1"/>
    <col min="9475" max="9475" width="12.5" style="428" customWidth="1"/>
    <col min="9476" max="9476" width="22.5" style="428" customWidth="1"/>
    <col min="9477" max="9477" width="10.33203125" style="428" customWidth="1"/>
    <col min="9478" max="9728" width="9.33203125" style="428"/>
    <col min="9729" max="9729" width="6.33203125" style="428" customWidth="1"/>
    <col min="9730" max="9730" width="63.6640625" style="428" customWidth="1"/>
    <col min="9731" max="9731" width="12.5" style="428" customWidth="1"/>
    <col min="9732" max="9732" width="22.5" style="428" customWidth="1"/>
    <col min="9733" max="9733" width="10.33203125" style="428" customWidth="1"/>
    <col min="9734" max="9984" width="9.33203125" style="428"/>
    <col min="9985" max="9985" width="6.33203125" style="428" customWidth="1"/>
    <col min="9986" max="9986" width="63.6640625" style="428" customWidth="1"/>
    <col min="9987" max="9987" width="12.5" style="428" customWidth="1"/>
    <col min="9988" max="9988" width="22.5" style="428" customWidth="1"/>
    <col min="9989" max="9989" width="10.33203125" style="428" customWidth="1"/>
    <col min="9990" max="10240" width="9.33203125" style="428"/>
    <col min="10241" max="10241" width="6.33203125" style="428" customWidth="1"/>
    <col min="10242" max="10242" width="63.6640625" style="428" customWidth="1"/>
    <col min="10243" max="10243" width="12.5" style="428" customWidth="1"/>
    <col min="10244" max="10244" width="22.5" style="428" customWidth="1"/>
    <col min="10245" max="10245" width="10.33203125" style="428" customWidth="1"/>
    <col min="10246" max="10496" width="9.33203125" style="428"/>
    <col min="10497" max="10497" width="6.33203125" style="428" customWidth="1"/>
    <col min="10498" max="10498" width="63.6640625" style="428" customWidth="1"/>
    <col min="10499" max="10499" width="12.5" style="428" customWidth="1"/>
    <col min="10500" max="10500" width="22.5" style="428" customWidth="1"/>
    <col min="10501" max="10501" width="10.33203125" style="428" customWidth="1"/>
    <col min="10502" max="10752" width="9.33203125" style="428"/>
    <col min="10753" max="10753" width="6.33203125" style="428" customWidth="1"/>
    <col min="10754" max="10754" width="63.6640625" style="428" customWidth="1"/>
    <col min="10755" max="10755" width="12.5" style="428" customWidth="1"/>
    <col min="10756" max="10756" width="22.5" style="428" customWidth="1"/>
    <col min="10757" max="10757" width="10.33203125" style="428" customWidth="1"/>
    <col min="10758" max="11008" width="9.33203125" style="428"/>
    <col min="11009" max="11009" width="6.33203125" style="428" customWidth="1"/>
    <col min="11010" max="11010" width="63.6640625" style="428" customWidth="1"/>
    <col min="11011" max="11011" width="12.5" style="428" customWidth="1"/>
    <col min="11012" max="11012" width="22.5" style="428" customWidth="1"/>
    <col min="11013" max="11013" width="10.33203125" style="428" customWidth="1"/>
    <col min="11014" max="11264" width="9.33203125" style="428"/>
    <col min="11265" max="11265" width="6.33203125" style="428" customWidth="1"/>
    <col min="11266" max="11266" width="63.6640625" style="428" customWidth="1"/>
    <col min="11267" max="11267" width="12.5" style="428" customWidth="1"/>
    <col min="11268" max="11268" width="22.5" style="428" customWidth="1"/>
    <col min="11269" max="11269" width="10.33203125" style="428" customWidth="1"/>
    <col min="11270" max="11520" width="9.33203125" style="428"/>
    <col min="11521" max="11521" width="6.33203125" style="428" customWidth="1"/>
    <col min="11522" max="11522" width="63.6640625" style="428" customWidth="1"/>
    <col min="11523" max="11523" width="12.5" style="428" customWidth="1"/>
    <col min="11524" max="11524" width="22.5" style="428" customWidth="1"/>
    <col min="11525" max="11525" width="10.33203125" style="428" customWidth="1"/>
    <col min="11526" max="11776" width="9.33203125" style="428"/>
    <col min="11777" max="11777" width="6.33203125" style="428" customWidth="1"/>
    <col min="11778" max="11778" width="63.6640625" style="428" customWidth="1"/>
    <col min="11779" max="11779" width="12.5" style="428" customWidth="1"/>
    <col min="11780" max="11780" width="22.5" style="428" customWidth="1"/>
    <col min="11781" max="11781" width="10.33203125" style="428" customWidth="1"/>
    <col min="11782" max="12032" width="9.33203125" style="428"/>
    <col min="12033" max="12033" width="6.33203125" style="428" customWidth="1"/>
    <col min="12034" max="12034" width="63.6640625" style="428" customWidth="1"/>
    <col min="12035" max="12035" width="12.5" style="428" customWidth="1"/>
    <col min="12036" max="12036" width="22.5" style="428" customWidth="1"/>
    <col min="12037" max="12037" width="10.33203125" style="428" customWidth="1"/>
    <col min="12038" max="12288" width="9.33203125" style="428"/>
    <col min="12289" max="12289" width="6.33203125" style="428" customWidth="1"/>
    <col min="12290" max="12290" width="63.6640625" style="428" customWidth="1"/>
    <col min="12291" max="12291" width="12.5" style="428" customWidth="1"/>
    <col min="12292" max="12292" width="22.5" style="428" customWidth="1"/>
    <col min="12293" max="12293" width="10.33203125" style="428" customWidth="1"/>
    <col min="12294" max="12544" width="9.33203125" style="428"/>
    <col min="12545" max="12545" width="6.33203125" style="428" customWidth="1"/>
    <col min="12546" max="12546" width="63.6640625" style="428" customWidth="1"/>
    <col min="12547" max="12547" width="12.5" style="428" customWidth="1"/>
    <col min="12548" max="12548" width="22.5" style="428" customWidth="1"/>
    <col min="12549" max="12549" width="10.33203125" style="428" customWidth="1"/>
    <col min="12550" max="12800" width="9.33203125" style="428"/>
    <col min="12801" max="12801" width="6.33203125" style="428" customWidth="1"/>
    <col min="12802" max="12802" width="63.6640625" style="428" customWidth="1"/>
    <col min="12803" max="12803" width="12.5" style="428" customWidth="1"/>
    <col min="12804" max="12804" width="22.5" style="428" customWidth="1"/>
    <col min="12805" max="12805" width="10.33203125" style="428" customWidth="1"/>
    <col min="12806" max="13056" width="9.33203125" style="428"/>
    <col min="13057" max="13057" width="6.33203125" style="428" customWidth="1"/>
    <col min="13058" max="13058" width="63.6640625" style="428" customWidth="1"/>
    <col min="13059" max="13059" width="12.5" style="428" customWidth="1"/>
    <col min="13060" max="13060" width="22.5" style="428" customWidth="1"/>
    <col min="13061" max="13061" width="10.33203125" style="428" customWidth="1"/>
    <col min="13062" max="13312" width="9.33203125" style="428"/>
    <col min="13313" max="13313" width="6.33203125" style="428" customWidth="1"/>
    <col min="13314" max="13314" width="63.6640625" style="428" customWidth="1"/>
    <col min="13315" max="13315" width="12.5" style="428" customWidth="1"/>
    <col min="13316" max="13316" width="22.5" style="428" customWidth="1"/>
    <col min="13317" max="13317" width="10.33203125" style="428" customWidth="1"/>
    <col min="13318" max="13568" width="9.33203125" style="428"/>
    <col min="13569" max="13569" width="6.33203125" style="428" customWidth="1"/>
    <col min="13570" max="13570" width="63.6640625" style="428" customWidth="1"/>
    <col min="13571" max="13571" width="12.5" style="428" customWidth="1"/>
    <col min="13572" max="13572" width="22.5" style="428" customWidth="1"/>
    <col min="13573" max="13573" width="10.33203125" style="428" customWidth="1"/>
    <col min="13574" max="13824" width="9.33203125" style="428"/>
    <col min="13825" max="13825" width="6.33203125" style="428" customWidth="1"/>
    <col min="13826" max="13826" width="63.6640625" style="428" customWidth="1"/>
    <col min="13827" max="13827" width="12.5" style="428" customWidth="1"/>
    <col min="13828" max="13828" width="22.5" style="428" customWidth="1"/>
    <col min="13829" max="13829" width="10.33203125" style="428" customWidth="1"/>
    <col min="13830" max="14080" width="9.33203125" style="428"/>
    <col min="14081" max="14081" width="6.33203125" style="428" customWidth="1"/>
    <col min="14082" max="14082" width="63.6640625" style="428" customWidth="1"/>
    <col min="14083" max="14083" width="12.5" style="428" customWidth="1"/>
    <col min="14084" max="14084" width="22.5" style="428" customWidth="1"/>
    <col min="14085" max="14085" width="10.33203125" style="428" customWidth="1"/>
    <col min="14086" max="14336" width="9.33203125" style="428"/>
    <col min="14337" max="14337" width="6.33203125" style="428" customWidth="1"/>
    <col min="14338" max="14338" width="63.6640625" style="428" customWidth="1"/>
    <col min="14339" max="14339" width="12.5" style="428" customWidth="1"/>
    <col min="14340" max="14340" width="22.5" style="428" customWidth="1"/>
    <col min="14341" max="14341" width="10.33203125" style="428" customWidth="1"/>
    <col min="14342" max="14592" width="9.33203125" style="428"/>
    <col min="14593" max="14593" width="6.33203125" style="428" customWidth="1"/>
    <col min="14594" max="14594" width="63.6640625" style="428" customWidth="1"/>
    <col min="14595" max="14595" width="12.5" style="428" customWidth="1"/>
    <col min="14596" max="14596" width="22.5" style="428" customWidth="1"/>
    <col min="14597" max="14597" width="10.33203125" style="428" customWidth="1"/>
    <col min="14598" max="14848" width="9.33203125" style="428"/>
    <col min="14849" max="14849" width="6.33203125" style="428" customWidth="1"/>
    <col min="14850" max="14850" width="63.6640625" style="428" customWidth="1"/>
    <col min="14851" max="14851" width="12.5" style="428" customWidth="1"/>
    <col min="14852" max="14852" width="22.5" style="428" customWidth="1"/>
    <col min="14853" max="14853" width="10.33203125" style="428" customWidth="1"/>
    <col min="14854" max="15104" width="9.33203125" style="428"/>
    <col min="15105" max="15105" width="6.33203125" style="428" customWidth="1"/>
    <col min="15106" max="15106" width="63.6640625" style="428" customWidth="1"/>
    <col min="15107" max="15107" width="12.5" style="428" customWidth="1"/>
    <col min="15108" max="15108" width="22.5" style="428" customWidth="1"/>
    <col min="15109" max="15109" width="10.33203125" style="428" customWidth="1"/>
    <col min="15110" max="15360" width="9.33203125" style="428"/>
    <col min="15361" max="15361" width="6.33203125" style="428" customWidth="1"/>
    <col min="15362" max="15362" width="63.6640625" style="428" customWidth="1"/>
    <col min="15363" max="15363" width="12.5" style="428" customWidth="1"/>
    <col min="15364" max="15364" width="22.5" style="428" customWidth="1"/>
    <col min="15365" max="15365" width="10.33203125" style="428" customWidth="1"/>
    <col min="15366" max="15616" width="9.33203125" style="428"/>
    <col min="15617" max="15617" width="6.33203125" style="428" customWidth="1"/>
    <col min="15618" max="15618" width="63.6640625" style="428" customWidth="1"/>
    <col min="15619" max="15619" width="12.5" style="428" customWidth="1"/>
    <col min="15620" max="15620" width="22.5" style="428" customWidth="1"/>
    <col min="15621" max="15621" width="10.33203125" style="428" customWidth="1"/>
    <col min="15622" max="15872" width="9.33203125" style="428"/>
    <col min="15873" max="15873" width="6.33203125" style="428" customWidth="1"/>
    <col min="15874" max="15874" width="63.6640625" style="428" customWidth="1"/>
    <col min="15875" max="15875" width="12.5" style="428" customWidth="1"/>
    <col min="15876" max="15876" width="22.5" style="428" customWidth="1"/>
    <col min="15877" max="15877" width="10.33203125" style="428" customWidth="1"/>
    <col min="15878" max="16128" width="9.33203125" style="428"/>
    <col min="16129" max="16129" width="6.33203125" style="428" customWidth="1"/>
    <col min="16130" max="16130" width="63.6640625" style="428" customWidth="1"/>
    <col min="16131" max="16131" width="12.5" style="428" customWidth="1"/>
    <col min="16132" max="16132" width="22.5" style="428" customWidth="1"/>
    <col min="16133" max="16133" width="10.33203125" style="428" customWidth="1"/>
    <col min="16134" max="16384" width="9.33203125" style="428"/>
  </cols>
  <sheetData>
    <row r="1" spans="1:71">
      <c r="D1" s="430" t="str">
        <f>'Exhibit No._(CTM-2), Pg. 10-30'!BP2</f>
        <v>Exhibit No.__ (CTM-2) revised per Bench Request No. 26</v>
      </c>
    </row>
    <row r="2" spans="1:71" ht="13.5" thickBot="1">
      <c r="D2" s="430" t="str">
        <f>'Exhibit No._(CTM-2), Pg. 10-30'!BP3</f>
        <v>Dockets UE-111048/UG-111049</v>
      </c>
    </row>
    <row r="3" spans="1:71" ht="14.25" thickTop="1" thickBot="1">
      <c r="D3" s="432" t="s">
        <v>983</v>
      </c>
      <c r="E3" s="428"/>
    </row>
    <row r="4" spans="1:71" ht="13.5" thickTop="1">
      <c r="A4" s="431" t="s">
        <v>18</v>
      </c>
      <c r="B4" s="431"/>
      <c r="C4" s="431"/>
      <c r="D4" s="428"/>
      <c r="E4" s="428"/>
    </row>
    <row r="5" spans="1:71">
      <c r="A5" s="433" t="str">
        <f>'Exhibit No._(CTM-2), Pg. 10-30'!BM5</f>
        <v>Puget Sound Energy - Gas</v>
      </c>
      <c r="B5" s="433"/>
      <c r="C5" s="433"/>
      <c r="D5" s="433"/>
      <c r="E5" s="428"/>
    </row>
    <row r="6" spans="1:71">
      <c r="A6" s="433" t="str">
        <f>'Exhibit No._(CTM-2), Pg. 10-30'!BM6</f>
        <v>INTEREST ON CUSTOMER DEPOSITS</v>
      </c>
      <c r="B6" s="433"/>
      <c r="C6" s="433"/>
      <c r="D6" s="433"/>
      <c r="E6" s="428"/>
    </row>
    <row r="7" spans="1:71">
      <c r="A7" s="433" t="str">
        <f>'Exhibit No._(CTM-2), Pg. 10-30'!BM7</f>
        <v>For the Twelve Months Ended December 31, 2010</v>
      </c>
      <c r="B7" s="433"/>
      <c r="C7" s="433"/>
      <c r="D7" s="433"/>
      <c r="E7" s="428"/>
    </row>
    <row r="8" spans="1:71">
      <c r="A8" s="433" t="str">
        <f>'Exhibit No._(CTM-2), Pg. 10-30'!BM8</f>
        <v>Adjustment Number - 6.14</v>
      </c>
      <c r="B8" s="433"/>
      <c r="C8" s="433"/>
      <c r="D8" s="433"/>
      <c r="E8" s="428"/>
      <c r="BS8" s="428" t="s">
        <v>978</v>
      </c>
    </row>
    <row r="9" spans="1:71">
      <c r="A9" s="431"/>
      <c r="B9" s="434"/>
      <c r="C9" s="431"/>
      <c r="D9" s="431"/>
      <c r="E9" s="428"/>
    </row>
    <row r="10" spans="1:71">
      <c r="A10" s="435" t="s">
        <v>24</v>
      </c>
      <c r="B10" s="431"/>
      <c r="C10" s="431"/>
      <c r="D10" s="431"/>
      <c r="E10" s="428"/>
    </row>
    <row r="11" spans="1:71">
      <c r="A11" s="436" t="s">
        <v>38</v>
      </c>
      <c r="B11" s="437" t="s">
        <v>39</v>
      </c>
      <c r="C11" s="438"/>
      <c r="D11" s="436" t="s">
        <v>41</v>
      </c>
      <c r="E11" s="428"/>
    </row>
    <row r="12" spans="1:71">
      <c r="A12" s="439"/>
      <c r="B12" s="439"/>
      <c r="C12" s="439"/>
      <c r="D12" s="439"/>
      <c r="E12" s="428"/>
    </row>
    <row r="13" spans="1:71">
      <c r="A13" s="440">
        <v>1</v>
      </c>
      <c r="B13" s="441" t="s">
        <v>705</v>
      </c>
      <c r="C13" s="441"/>
      <c r="D13" s="442">
        <f>'6.14G - Decrease in Interest'!I21</f>
        <v>21705.010131999999</v>
      </c>
      <c r="E13" s="428"/>
    </row>
    <row r="14" spans="1:71">
      <c r="A14" s="447">
        <v>2</v>
      </c>
      <c r="E14" s="428"/>
    </row>
    <row r="15" spans="1:71" ht="13.5" thickBot="1">
      <c r="A15" s="440">
        <v>3</v>
      </c>
      <c r="B15" s="443" t="s">
        <v>74</v>
      </c>
      <c r="C15" s="444"/>
      <c r="D15" s="448">
        <f>-D13</f>
        <v>-21705.010131999999</v>
      </c>
      <c r="E15" s="428"/>
    </row>
    <row r="16" spans="1:71" ht="13.5" thickTop="1">
      <c r="A16" s="444"/>
      <c r="B16" s="444"/>
      <c r="C16" s="444"/>
      <c r="D16" s="444"/>
      <c r="E16" s="428"/>
    </row>
    <row r="17" spans="1:5">
      <c r="A17" s="449"/>
      <c r="B17" s="449"/>
      <c r="C17" s="449"/>
      <c r="D17" s="449"/>
      <c r="E17" s="428"/>
    </row>
    <row r="18" spans="1:5">
      <c r="A18" s="450"/>
      <c r="B18" s="450"/>
      <c r="C18" s="450"/>
      <c r="D18" s="450"/>
      <c r="E18" s="428"/>
    </row>
    <row r="19" spans="1:5">
      <c r="A19" s="450"/>
      <c r="B19" s="450"/>
      <c r="C19" s="450"/>
      <c r="D19" s="450"/>
      <c r="E19" s="428"/>
    </row>
    <row r="20" spans="1:5">
      <c r="A20" s="450"/>
      <c r="B20" s="450"/>
      <c r="C20" s="450"/>
      <c r="D20" s="450"/>
      <c r="E20" s="428"/>
    </row>
    <row r="21" spans="1:5">
      <c r="A21" s="450"/>
      <c r="B21" s="450"/>
      <c r="C21" s="450"/>
      <c r="D21" s="450"/>
      <c r="E21" s="428"/>
    </row>
    <row r="22" spans="1:5">
      <c r="A22" s="450"/>
      <c r="B22" s="450"/>
      <c r="C22" s="450"/>
      <c r="D22" s="450"/>
      <c r="E22" s="428"/>
    </row>
    <row r="23" spans="1:5">
      <c r="A23" s="450"/>
      <c r="B23" s="450"/>
      <c r="C23" s="450"/>
      <c r="D23" s="450"/>
      <c r="E23" s="428"/>
    </row>
    <row r="28" spans="1:5">
      <c r="E28" s="428"/>
    </row>
    <row r="29" spans="1:5">
      <c r="E29" s="428"/>
    </row>
    <row r="30" spans="1:5">
      <c r="E30" s="428"/>
    </row>
    <row r="31" spans="1:5">
      <c r="D31" s="445"/>
      <c r="E31" s="428"/>
    </row>
    <row r="37" spans="1:5">
      <c r="A37" s="446"/>
      <c r="E37" s="428"/>
    </row>
  </sheetData>
  <pageMargins left="0.75" right="0.75" top="1" bottom="1" header="0.5" footer="0.5"/>
  <pageSetup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J37"/>
  <sheetViews>
    <sheetView workbookViewId="0">
      <pane xSplit="2" ySplit="7" topLeftCell="C8" activePane="bottomRight" state="frozen"/>
      <selection activeCell="C45" sqref="C45"/>
      <selection pane="topRight" activeCell="C45" sqref="C45"/>
      <selection pane="bottomLeft" activeCell="C45" sqref="C45"/>
      <selection pane="bottomRight" activeCell="K24" sqref="K24"/>
    </sheetView>
  </sheetViews>
  <sheetFormatPr defaultRowHeight="12.75"/>
  <cols>
    <col min="1" max="1" width="9.33203125" style="428"/>
    <col min="2" max="2" width="13.83203125" style="428" bestFit="1" customWidth="1"/>
    <col min="3" max="3" width="14.33203125" style="428" bestFit="1" customWidth="1"/>
    <col min="4" max="4" width="9.33203125" style="428"/>
    <col min="5" max="5" width="10.6640625" style="428" hidden="1" customWidth="1"/>
    <col min="6" max="6" width="21.83203125" style="428" customWidth="1"/>
    <col min="7" max="8" width="9.33203125" style="428"/>
    <col min="9" max="9" width="14.33203125" style="428" customWidth="1"/>
    <col min="10" max="257" width="9.33203125" style="428"/>
    <col min="258" max="258" width="13.83203125" style="428" bestFit="1" customWidth="1"/>
    <col min="259" max="259" width="14.33203125" style="428" bestFit="1" customWidth="1"/>
    <col min="260" max="260" width="9.33203125" style="428"/>
    <col min="261" max="261" width="0" style="428" hidden="1" customWidth="1"/>
    <col min="262" max="262" width="21.83203125" style="428" customWidth="1"/>
    <col min="263" max="264" width="9.33203125" style="428"/>
    <col min="265" max="265" width="14.33203125" style="428" customWidth="1"/>
    <col min="266" max="513" width="9.33203125" style="428"/>
    <col min="514" max="514" width="13.83203125" style="428" bestFit="1" customWidth="1"/>
    <col min="515" max="515" width="14.33203125" style="428" bestFit="1" customWidth="1"/>
    <col min="516" max="516" width="9.33203125" style="428"/>
    <col min="517" max="517" width="0" style="428" hidden="1" customWidth="1"/>
    <col min="518" max="518" width="21.83203125" style="428" customWidth="1"/>
    <col min="519" max="520" width="9.33203125" style="428"/>
    <col min="521" max="521" width="14.33203125" style="428" customWidth="1"/>
    <col min="522" max="769" width="9.33203125" style="428"/>
    <col min="770" max="770" width="13.83203125" style="428" bestFit="1" customWidth="1"/>
    <col min="771" max="771" width="14.33203125" style="428" bestFit="1" customWidth="1"/>
    <col min="772" max="772" width="9.33203125" style="428"/>
    <col min="773" max="773" width="0" style="428" hidden="1" customWidth="1"/>
    <col min="774" max="774" width="21.83203125" style="428" customWidth="1"/>
    <col min="775" max="776" width="9.33203125" style="428"/>
    <col min="777" max="777" width="14.33203125" style="428" customWidth="1"/>
    <col min="778" max="1025" width="9.33203125" style="428"/>
    <col min="1026" max="1026" width="13.83203125" style="428" bestFit="1" customWidth="1"/>
    <col min="1027" max="1027" width="14.33203125" style="428" bestFit="1" customWidth="1"/>
    <col min="1028" max="1028" width="9.33203125" style="428"/>
    <col min="1029" max="1029" width="0" style="428" hidden="1" customWidth="1"/>
    <col min="1030" max="1030" width="21.83203125" style="428" customWidth="1"/>
    <col min="1031" max="1032" width="9.33203125" style="428"/>
    <col min="1033" max="1033" width="14.33203125" style="428" customWidth="1"/>
    <col min="1034" max="1281" width="9.33203125" style="428"/>
    <col min="1282" max="1282" width="13.83203125" style="428" bestFit="1" customWidth="1"/>
    <col min="1283" max="1283" width="14.33203125" style="428" bestFit="1" customWidth="1"/>
    <col min="1284" max="1284" width="9.33203125" style="428"/>
    <col min="1285" max="1285" width="0" style="428" hidden="1" customWidth="1"/>
    <col min="1286" max="1286" width="21.83203125" style="428" customWidth="1"/>
    <col min="1287" max="1288" width="9.33203125" style="428"/>
    <col min="1289" max="1289" width="14.33203125" style="428" customWidth="1"/>
    <col min="1290" max="1537" width="9.33203125" style="428"/>
    <col min="1538" max="1538" width="13.83203125" style="428" bestFit="1" customWidth="1"/>
    <col min="1539" max="1539" width="14.33203125" style="428" bestFit="1" customWidth="1"/>
    <col min="1540" max="1540" width="9.33203125" style="428"/>
    <col min="1541" max="1541" width="0" style="428" hidden="1" customWidth="1"/>
    <col min="1542" max="1542" width="21.83203125" style="428" customWidth="1"/>
    <col min="1543" max="1544" width="9.33203125" style="428"/>
    <col min="1545" max="1545" width="14.33203125" style="428" customWidth="1"/>
    <col min="1546" max="1793" width="9.33203125" style="428"/>
    <col min="1794" max="1794" width="13.83203125" style="428" bestFit="1" customWidth="1"/>
    <col min="1795" max="1795" width="14.33203125" style="428" bestFit="1" customWidth="1"/>
    <col min="1796" max="1796" width="9.33203125" style="428"/>
    <col min="1797" max="1797" width="0" style="428" hidden="1" customWidth="1"/>
    <col min="1798" max="1798" width="21.83203125" style="428" customWidth="1"/>
    <col min="1799" max="1800" width="9.33203125" style="428"/>
    <col min="1801" max="1801" width="14.33203125" style="428" customWidth="1"/>
    <col min="1802" max="2049" width="9.33203125" style="428"/>
    <col min="2050" max="2050" width="13.83203125" style="428" bestFit="1" customWidth="1"/>
    <col min="2051" max="2051" width="14.33203125" style="428" bestFit="1" customWidth="1"/>
    <col min="2052" max="2052" width="9.33203125" style="428"/>
    <col min="2053" max="2053" width="0" style="428" hidden="1" customWidth="1"/>
    <col min="2054" max="2054" width="21.83203125" style="428" customWidth="1"/>
    <col min="2055" max="2056" width="9.33203125" style="428"/>
    <col min="2057" max="2057" width="14.33203125" style="428" customWidth="1"/>
    <col min="2058" max="2305" width="9.33203125" style="428"/>
    <col min="2306" max="2306" width="13.83203125" style="428" bestFit="1" customWidth="1"/>
    <col min="2307" max="2307" width="14.33203125" style="428" bestFit="1" customWidth="1"/>
    <col min="2308" max="2308" width="9.33203125" style="428"/>
    <col min="2309" max="2309" width="0" style="428" hidden="1" customWidth="1"/>
    <col min="2310" max="2310" width="21.83203125" style="428" customWidth="1"/>
    <col min="2311" max="2312" width="9.33203125" style="428"/>
    <col min="2313" max="2313" width="14.33203125" style="428" customWidth="1"/>
    <col min="2314" max="2561" width="9.33203125" style="428"/>
    <col min="2562" max="2562" width="13.83203125" style="428" bestFit="1" customWidth="1"/>
    <col min="2563" max="2563" width="14.33203125" style="428" bestFit="1" customWidth="1"/>
    <col min="2564" max="2564" width="9.33203125" style="428"/>
    <col min="2565" max="2565" width="0" style="428" hidden="1" customWidth="1"/>
    <col min="2566" max="2566" width="21.83203125" style="428" customWidth="1"/>
    <col min="2567" max="2568" width="9.33203125" style="428"/>
    <col min="2569" max="2569" width="14.33203125" style="428" customWidth="1"/>
    <col min="2570" max="2817" width="9.33203125" style="428"/>
    <col min="2818" max="2818" width="13.83203125" style="428" bestFit="1" customWidth="1"/>
    <col min="2819" max="2819" width="14.33203125" style="428" bestFit="1" customWidth="1"/>
    <col min="2820" max="2820" width="9.33203125" style="428"/>
    <col min="2821" max="2821" width="0" style="428" hidden="1" customWidth="1"/>
    <col min="2822" max="2822" width="21.83203125" style="428" customWidth="1"/>
    <col min="2823" max="2824" width="9.33203125" style="428"/>
    <col min="2825" max="2825" width="14.33203125" style="428" customWidth="1"/>
    <col min="2826" max="3073" width="9.33203125" style="428"/>
    <col min="3074" max="3074" width="13.83203125" style="428" bestFit="1" customWidth="1"/>
    <col min="3075" max="3075" width="14.33203125" style="428" bestFit="1" customWidth="1"/>
    <col min="3076" max="3076" width="9.33203125" style="428"/>
    <col min="3077" max="3077" width="0" style="428" hidden="1" customWidth="1"/>
    <col min="3078" max="3078" width="21.83203125" style="428" customWidth="1"/>
    <col min="3079" max="3080" width="9.33203125" style="428"/>
    <col min="3081" max="3081" width="14.33203125" style="428" customWidth="1"/>
    <col min="3082" max="3329" width="9.33203125" style="428"/>
    <col min="3330" max="3330" width="13.83203125" style="428" bestFit="1" customWidth="1"/>
    <col min="3331" max="3331" width="14.33203125" style="428" bestFit="1" customWidth="1"/>
    <col min="3332" max="3332" width="9.33203125" style="428"/>
    <col min="3333" max="3333" width="0" style="428" hidden="1" customWidth="1"/>
    <col min="3334" max="3334" width="21.83203125" style="428" customWidth="1"/>
    <col min="3335" max="3336" width="9.33203125" style="428"/>
    <col min="3337" max="3337" width="14.33203125" style="428" customWidth="1"/>
    <col min="3338" max="3585" width="9.33203125" style="428"/>
    <col min="3586" max="3586" width="13.83203125" style="428" bestFit="1" customWidth="1"/>
    <col min="3587" max="3587" width="14.33203125" style="428" bestFit="1" customWidth="1"/>
    <col min="3588" max="3588" width="9.33203125" style="428"/>
    <col min="3589" max="3589" width="0" style="428" hidden="1" customWidth="1"/>
    <col min="3590" max="3590" width="21.83203125" style="428" customWidth="1"/>
    <col min="3591" max="3592" width="9.33203125" style="428"/>
    <col min="3593" max="3593" width="14.33203125" style="428" customWidth="1"/>
    <col min="3594" max="3841" width="9.33203125" style="428"/>
    <col min="3842" max="3842" width="13.83203125" style="428" bestFit="1" customWidth="1"/>
    <col min="3843" max="3843" width="14.33203125" style="428" bestFit="1" customWidth="1"/>
    <col min="3844" max="3844" width="9.33203125" style="428"/>
    <col min="3845" max="3845" width="0" style="428" hidden="1" customWidth="1"/>
    <col min="3846" max="3846" width="21.83203125" style="428" customWidth="1"/>
    <col min="3847" max="3848" width="9.33203125" style="428"/>
    <col min="3849" max="3849" width="14.33203125" style="428" customWidth="1"/>
    <col min="3850" max="4097" width="9.33203125" style="428"/>
    <col min="4098" max="4098" width="13.83203125" style="428" bestFit="1" customWidth="1"/>
    <col min="4099" max="4099" width="14.33203125" style="428" bestFit="1" customWidth="1"/>
    <col min="4100" max="4100" width="9.33203125" style="428"/>
    <col min="4101" max="4101" width="0" style="428" hidden="1" customWidth="1"/>
    <col min="4102" max="4102" width="21.83203125" style="428" customWidth="1"/>
    <col min="4103" max="4104" width="9.33203125" style="428"/>
    <col min="4105" max="4105" width="14.33203125" style="428" customWidth="1"/>
    <col min="4106" max="4353" width="9.33203125" style="428"/>
    <col min="4354" max="4354" width="13.83203125" style="428" bestFit="1" customWidth="1"/>
    <col min="4355" max="4355" width="14.33203125" style="428" bestFit="1" customWidth="1"/>
    <col min="4356" max="4356" width="9.33203125" style="428"/>
    <col min="4357" max="4357" width="0" style="428" hidden="1" customWidth="1"/>
    <col min="4358" max="4358" width="21.83203125" style="428" customWidth="1"/>
    <col min="4359" max="4360" width="9.33203125" style="428"/>
    <col min="4361" max="4361" width="14.33203125" style="428" customWidth="1"/>
    <col min="4362" max="4609" width="9.33203125" style="428"/>
    <col min="4610" max="4610" width="13.83203125" style="428" bestFit="1" customWidth="1"/>
    <col min="4611" max="4611" width="14.33203125" style="428" bestFit="1" customWidth="1"/>
    <col min="4612" max="4612" width="9.33203125" style="428"/>
    <col min="4613" max="4613" width="0" style="428" hidden="1" customWidth="1"/>
    <col min="4614" max="4614" width="21.83203125" style="428" customWidth="1"/>
    <col min="4615" max="4616" width="9.33203125" style="428"/>
    <col min="4617" max="4617" width="14.33203125" style="428" customWidth="1"/>
    <col min="4618" max="4865" width="9.33203125" style="428"/>
    <col min="4866" max="4866" width="13.83203125" style="428" bestFit="1" customWidth="1"/>
    <col min="4867" max="4867" width="14.33203125" style="428" bestFit="1" customWidth="1"/>
    <col min="4868" max="4868" width="9.33203125" style="428"/>
    <col min="4869" max="4869" width="0" style="428" hidden="1" customWidth="1"/>
    <col min="4870" max="4870" width="21.83203125" style="428" customWidth="1"/>
    <col min="4871" max="4872" width="9.33203125" style="428"/>
    <col min="4873" max="4873" width="14.33203125" style="428" customWidth="1"/>
    <col min="4874" max="5121" width="9.33203125" style="428"/>
    <col min="5122" max="5122" width="13.83203125" style="428" bestFit="1" customWidth="1"/>
    <col min="5123" max="5123" width="14.33203125" style="428" bestFit="1" customWidth="1"/>
    <col min="5124" max="5124" width="9.33203125" style="428"/>
    <col min="5125" max="5125" width="0" style="428" hidden="1" customWidth="1"/>
    <col min="5126" max="5126" width="21.83203125" style="428" customWidth="1"/>
    <col min="5127" max="5128" width="9.33203125" style="428"/>
    <col min="5129" max="5129" width="14.33203125" style="428" customWidth="1"/>
    <col min="5130" max="5377" width="9.33203125" style="428"/>
    <col min="5378" max="5378" width="13.83203125" style="428" bestFit="1" customWidth="1"/>
    <col min="5379" max="5379" width="14.33203125" style="428" bestFit="1" customWidth="1"/>
    <col min="5380" max="5380" width="9.33203125" style="428"/>
    <col min="5381" max="5381" width="0" style="428" hidden="1" customWidth="1"/>
    <col min="5382" max="5382" width="21.83203125" style="428" customWidth="1"/>
    <col min="5383" max="5384" width="9.33203125" style="428"/>
    <col min="5385" max="5385" width="14.33203125" style="428" customWidth="1"/>
    <col min="5386" max="5633" width="9.33203125" style="428"/>
    <col min="5634" max="5634" width="13.83203125" style="428" bestFit="1" customWidth="1"/>
    <col min="5635" max="5635" width="14.33203125" style="428" bestFit="1" customWidth="1"/>
    <col min="5636" max="5636" width="9.33203125" style="428"/>
    <col min="5637" max="5637" width="0" style="428" hidden="1" customWidth="1"/>
    <col min="5638" max="5638" width="21.83203125" style="428" customWidth="1"/>
    <col min="5639" max="5640" width="9.33203125" style="428"/>
    <col min="5641" max="5641" width="14.33203125" style="428" customWidth="1"/>
    <col min="5642" max="5889" width="9.33203125" style="428"/>
    <col min="5890" max="5890" width="13.83203125" style="428" bestFit="1" customWidth="1"/>
    <col min="5891" max="5891" width="14.33203125" style="428" bestFit="1" customWidth="1"/>
    <col min="5892" max="5892" width="9.33203125" style="428"/>
    <col min="5893" max="5893" width="0" style="428" hidden="1" customWidth="1"/>
    <col min="5894" max="5894" width="21.83203125" style="428" customWidth="1"/>
    <col min="5895" max="5896" width="9.33203125" style="428"/>
    <col min="5897" max="5897" width="14.33203125" style="428" customWidth="1"/>
    <col min="5898" max="6145" width="9.33203125" style="428"/>
    <col min="6146" max="6146" width="13.83203125" style="428" bestFit="1" customWidth="1"/>
    <col min="6147" max="6147" width="14.33203125" style="428" bestFit="1" customWidth="1"/>
    <col min="6148" max="6148" width="9.33203125" style="428"/>
    <col min="6149" max="6149" width="0" style="428" hidden="1" customWidth="1"/>
    <col min="6150" max="6150" width="21.83203125" style="428" customWidth="1"/>
    <col min="6151" max="6152" width="9.33203125" style="428"/>
    <col min="6153" max="6153" width="14.33203125" style="428" customWidth="1"/>
    <col min="6154" max="6401" width="9.33203125" style="428"/>
    <col min="6402" max="6402" width="13.83203125" style="428" bestFit="1" customWidth="1"/>
    <col min="6403" max="6403" width="14.33203125" style="428" bestFit="1" customWidth="1"/>
    <col min="6404" max="6404" width="9.33203125" style="428"/>
    <col min="6405" max="6405" width="0" style="428" hidden="1" customWidth="1"/>
    <col min="6406" max="6406" width="21.83203125" style="428" customWidth="1"/>
    <col min="6407" max="6408" width="9.33203125" style="428"/>
    <col min="6409" max="6409" width="14.33203125" style="428" customWidth="1"/>
    <col min="6410" max="6657" width="9.33203125" style="428"/>
    <col min="6658" max="6658" width="13.83203125" style="428" bestFit="1" customWidth="1"/>
    <col min="6659" max="6659" width="14.33203125" style="428" bestFit="1" customWidth="1"/>
    <col min="6660" max="6660" width="9.33203125" style="428"/>
    <col min="6661" max="6661" width="0" style="428" hidden="1" customWidth="1"/>
    <col min="6662" max="6662" width="21.83203125" style="428" customWidth="1"/>
    <col min="6663" max="6664" width="9.33203125" style="428"/>
    <col min="6665" max="6665" width="14.33203125" style="428" customWidth="1"/>
    <col min="6666" max="6913" width="9.33203125" style="428"/>
    <col min="6914" max="6914" width="13.83203125" style="428" bestFit="1" customWidth="1"/>
    <col min="6915" max="6915" width="14.33203125" style="428" bestFit="1" customWidth="1"/>
    <col min="6916" max="6916" width="9.33203125" style="428"/>
    <col min="6917" max="6917" width="0" style="428" hidden="1" customWidth="1"/>
    <col min="6918" max="6918" width="21.83203125" style="428" customWidth="1"/>
    <col min="6919" max="6920" width="9.33203125" style="428"/>
    <col min="6921" max="6921" width="14.33203125" style="428" customWidth="1"/>
    <col min="6922" max="7169" width="9.33203125" style="428"/>
    <col min="7170" max="7170" width="13.83203125" style="428" bestFit="1" customWidth="1"/>
    <col min="7171" max="7171" width="14.33203125" style="428" bestFit="1" customWidth="1"/>
    <col min="7172" max="7172" width="9.33203125" style="428"/>
    <col min="7173" max="7173" width="0" style="428" hidden="1" customWidth="1"/>
    <col min="7174" max="7174" width="21.83203125" style="428" customWidth="1"/>
    <col min="7175" max="7176" width="9.33203125" style="428"/>
    <col min="7177" max="7177" width="14.33203125" style="428" customWidth="1"/>
    <col min="7178" max="7425" width="9.33203125" style="428"/>
    <col min="7426" max="7426" width="13.83203125" style="428" bestFit="1" customWidth="1"/>
    <col min="7427" max="7427" width="14.33203125" style="428" bestFit="1" customWidth="1"/>
    <col min="7428" max="7428" width="9.33203125" style="428"/>
    <col min="7429" max="7429" width="0" style="428" hidden="1" customWidth="1"/>
    <col min="7430" max="7430" width="21.83203125" style="428" customWidth="1"/>
    <col min="7431" max="7432" width="9.33203125" style="428"/>
    <col min="7433" max="7433" width="14.33203125" style="428" customWidth="1"/>
    <col min="7434" max="7681" width="9.33203125" style="428"/>
    <col min="7682" max="7682" width="13.83203125" style="428" bestFit="1" customWidth="1"/>
    <col min="7683" max="7683" width="14.33203125" style="428" bestFit="1" customWidth="1"/>
    <col min="7684" max="7684" width="9.33203125" style="428"/>
    <col min="7685" max="7685" width="0" style="428" hidden="1" customWidth="1"/>
    <col min="7686" max="7686" width="21.83203125" style="428" customWidth="1"/>
    <col min="7687" max="7688" width="9.33203125" style="428"/>
    <col min="7689" max="7689" width="14.33203125" style="428" customWidth="1"/>
    <col min="7690" max="7937" width="9.33203125" style="428"/>
    <col min="7938" max="7938" width="13.83203125" style="428" bestFit="1" customWidth="1"/>
    <col min="7939" max="7939" width="14.33203125" style="428" bestFit="1" customWidth="1"/>
    <col min="7940" max="7940" width="9.33203125" style="428"/>
    <col min="7941" max="7941" width="0" style="428" hidden="1" customWidth="1"/>
    <col min="7942" max="7942" width="21.83203125" style="428" customWidth="1"/>
    <col min="7943" max="7944" width="9.33203125" style="428"/>
    <col min="7945" max="7945" width="14.33203125" style="428" customWidth="1"/>
    <col min="7946" max="8193" width="9.33203125" style="428"/>
    <col min="8194" max="8194" width="13.83203125" style="428" bestFit="1" customWidth="1"/>
    <col min="8195" max="8195" width="14.33203125" style="428" bestFit="1" customWidth="1"/>
    <col min="8196" max="8196" width="9.33203125" style="428"/>
    <col min="8197" max="8197" width="0" style="428" hidden="1" customWidth="1"/>
    <col min="8198" max="8198" width="21.83203125" style="428" customWidth="1"/>
    <col min="8199" max="8200" width="9.33203125" style="428"/>
    <col min="8201" max="8201" width="14.33203125" style="428" customWidth="1"/>
    <col min="8202" max="8449" width="9.33203125" style="428"/>
    <col min="8450" max="8450" width="13.83203125" style="428" bestFit="1" customWidth="1"/>
    <col min="8451" max="8451" width="14.33203125" style="428" bestFit="1" customWidth="1"/>
    <col min="8452" max="8452" width="9.33203125" style="428"/>
    <col min="8453" max="8453" width="0" style="428" hidden="1" customWidth="1"/>
    <col min="8454" max="8454" width="21.83203125" style="428" customWidth="1"/>
    <col min="8455" max="8456" width="9.33203125" style="428"/>
    <col min="8457" max="8457" width="14.33203125" style="428" customWidth="1"/>
    <col min="8458" max="8705" width="9.33203125" style="428"/>
    <col min="8706" max="8706" width="13.83203125" style="428" bestFit="1" customWidth="1"/>
    <col min="8707" max="8707" width="14.33203125" style="428" bestFit="1" customWidth="1"/>
    <col min="8708" max="8708" width="9.33203125" style="428"/>
    <col min="8709" max="8709" width="0" style="428" hidden="1" customWidth="1"/>
    <col min="8710" max="8710" width="21.83203125" style="428" customWidth="1"/>
    <col min="8711" max="8712" width="9.33203125" style="428"/>
    <col min="8713" max="8713" width="14.33203125" style="428" customWidth="1"/>
    <col min="8714" max="8961" width="9.33203125" style="428"/>
    <col min="8962" max="8962" width="13.83203125" style="428" bestFit="1" customWidth="1"/>
    <col min="8963" max="8963" width="14.33203125" style="428" bestFit="1" customWidth="1"/>
    <col min="8964" max="8964" width="9.33203125" style="428"/>
    <col min="8965" max="8965" width="0" style="428" hidden="1" customWidth="1"/>
    <col min="8966" max="8966" width="21.83203125" style="428" customWidth="1"/>
    <col min="8967" max="8968" width="9.33203125" style="428"/>
    <col min="8969" max="8969" width="14.33203125" style="428" customWidth="1"/>
    <col min="8970" max="9217" width="9.33203125" style="428"/>
    <col min="9218" max="9218" width="13.83203125" style="428" bestFit="1" customWidth="1"/>
    <col min="9219" max="9219" width="14.33203125" style="428" bestFit="1" customWidth="1"/>
    <col min="9220" max="9220" width="9.33203125" style="428"/>
    <col min="9221" max="9221" width="0" style="428" hidden="1" customWidth="1"/>
    <col min="9222" max="9222" width="21.83203125" style="428" customWidth="1"/>
    <col min="9223" max="9224" width="9.33203125" style="428"/>
    <col min="9225" max="9225" width="14.33203125" style="428" customWidth="1"/>
    <col min="9226" max="9473" width="9.33203125" style="428"/>
    <col min="9474" max="9474" width="13.83203125" style="428" bestFit="1" customWidth="1"/>
    <col min="9475" max="9475" width="14.33203125" style="428" bestFit="1" customWidth="1"/>
    <col min="9476" max="9476" width="9.33203125" style="428"/>
    <col min="9477" max="9477" width="0" style="428" hidden="1" customWidth="1"/>
    <col min="9478" max="9478" width="21.83203125" style="428" customWidth="1"/>
    <col min="9479" max="9480" width="9.33203125" style="428"/>
    <col min="9481" max="9481" width="14.33203125" style="428" customWidth="1"/>
    <col min="9482" max="9729" width="9.33203125" style="428"/>
    <col min="9730" max="9730" width="13.83203125" style="428" bestFit="1" customWidth="1"/>
    <col min="9731" max="9731" width="14.33203125" style="428" bestFit="1" customWidth="1"/>
    <col min="9732" max="9732" width="9.33203125" style="428"/>
    <col min="9733" max="9733" width="0" style="428" hidden="1" customWidth="1"/>
    <col min="9734" max="9734" width="21.83203125" style="428" customWidth="1"/>
    <col min="9735" max="9736" width="9.33203125" style="428"/>
    <col min="9737" max="9737" width="14.33203125" style="428" customWidth="1"/>
    <col min="9738" max="9985" width="9.33203125" style="428"/>
    <col min="9986" max="9986" width="13.83203125" style="428" bestFit="1" customWidth="1"/>
    <col min="9987" max="9987" width="14.33203125" style="428" bestFit="1" customWidth="1"/>
    <col min="9988" max="9988" width="9.33203125" style="428"/>
    <col min="9989" max="9989" width="0" style="428" hidden="1" customWidth="1"/>
    <col min="9990" max="9990" width="21.83203125" style="428" customWidth="1"/>
    <col min="9991" max="9992" width="9.33203125" style="428"/>
    <col min="9993" max="9993" width="14.33203125" style="428" customWidth="1"/>
    <col min="9994" max="10241" width="9.33203125" style="428"/>
    <col min="10242" max="10242" width="13.83203125" style="428" bestFit="1" customWidth="1"/>
    <col min="10243" max="10243" width="14.33203125" style="428" bestFit="1" customWidth="1"/>
    <col min="10244" max="10244" width="9.33203125" style="428"/>
    <col min="10245" max="10245" width="0" style="428" hidden="1" customWidth="1"/>
    <col min="10246" max="10246" width="21.83203125" style="428" customWidth="1"/>
    <col min="10247" max="10248" width="9.33203125" style="428"/>
    <col min="10249" max="10249" width="14.33203125" style="428" customWidth="1"/>
    <col min="10250" max="10497" width="9.33203125" style="428"/>
    <col min="10498" max="10498" width="13.83203125" style="428" bestFit="1" customWidth="1"/>
    <col min="10499" max="10499" width="14.33203125" style="428" bestFit="1" customWidth="1"/>
    <col min="10500" max="10500" width="9.33203125" style="428"/>
    <col min="10501" max="10501" width="0" style="428" hidden="1" customWidth="1"/>
    <col min="10502" max="10502" width="21.83203125" style="428" customWidth="1"/>
    <col min="10503" max="10504" width="9.33203125" style="428"/>
    <col min="10505" max="10505" width="14.33203125" style="428" customWidth="1"/>
    <col min="10506" max="10753" width="9.33203125" style="428"/>
    <col min="10754" max="10754" width="13.83203125" style="428" bestFit="1" customWidth="1"/>
    <col min="10755" max="10755" width="14.33203125" style="428" bestFit="1" customWidth="1"/>
    <col min="10756" max="10756" width="9.33203125" style="428"/>
    <col min="10757" max="10757" width="0" style="428" hidden="1" customWidth="1"/>
    <col min="10758" max="10758" width="21.83203125" style="428" customWidth="1"/>
    <col min="10759" max="10760" width="9.33203125" style="428"/>
    <col min="10761" max="10761" width="14.33203125" style="428" customWidth="1"/>
    <col min="10762" max="11009" width="9.33203125" style="428"/>
    <col min="11010" max="11010" width="13.83203125" style="428" bestFit="1" customWidth="1"/>
    <col min="11011" max="11011" width="14.33203125" style="428" bestFit="1" customWidth="1"/>
    <col min="11012" max="11012" width="9.33203125" style="428"/>
    <col min="11013" max="11013" width="0" style="428" hidden="1" customWidth="1"/>
    <col min="11014" max="11014" width="21.83203125" style="428" customWidth="1"/>
    <col min="11015" max="11016" width="9.33203125" style="428"/>
    <col min="11017" max="11017" width="14.33203125" style="428" customWidth="1"/>
    <col min="11018" max="11265" width="9.33203125" style="428"/>
    <col min="11266" max="11266" width="13.83203125" style="428" bestFit="1" customWidth="1"/>
    <col min="11267" max="11267" width="14.33203125" style="428" bestFit="1" customWidth="1"/>
    <col min="11268" max="11268" width="9.33203125" style="428"/>
    <col min="11269" max="11269" width="0" style="428" hidden="1" customWidth="1"/>
    <col min="11270" max="11270" width="21.83203125" style="428" customWidth="1"/>
    <col min="11271" max="11272" width="9.33203125" style="428"/>
    <col min="11273" max="11273" width="14.33203125" style="428" customWidth="1"/>
    <col min="11274" max="11521" width="9.33203125" style="428"/>
    <col min="11522" max="11522" width="13.83203125" style="428" bestFit="1" customWidth="1"/>
    <col min="11523" max="11523" width="14.33203125" style="428" bestFit="1" customWidth="1"/>
    <col min="11524" max="11524" width="9.33203125" style="428"/>
    <col min="11525" max="11525" width="0" style="428" hidden="1" customWidth="1"/>
    <col min="11526" max="11526" width="21.83203125" style="428" customWidth="1"/>
    <col min="11527" max="11528" width="9.33203125" style="428"/>
    <col min="11529" max="11529" width="14.33203125" style="428" customWidth="1"/>
    <col min="11530" max="11777" width="9.33203125" style="428"/>
    <col min="11778" max="11778" width="13.83203125" style="428" bestFit="1" customWidth="1"/>
    <col min="11779" max="11779" width="14.33203125" style="428" bestFit="1" customWidth="1"/>
    <col min="11780" max="11780" width="9.33203125" style="428"/>
    <col min="11781" max="11781" width="0" style="428" hidden="1" customWidth="1"/>
    <col min="11782" max="11782" width="21.83203125" style="428" customWidth="1"/>
    <col min="11783" max="11784" width="9.33203125" style="428"/>
    <col min="11785" max="11785" width="14.33203125" style="428" customWidth="1"/>
    <col min="11786" max="12033" width="9.33203125" style="428"/>
    <col min="12034" max="12034" width="13.83203125" style="428" bestFit="1" customWidth="1"/>
    <col min="12035" max="12035" width="14.33203125" style="428" bestFit="1" customWidth="1"/>
    <col min="12036" max="12036" width="9.33203125" style="428"/>
    <col min="12037" max="12037" width="0" style="428" hidden="1" customWidth="1"/>
    <col min="12038" max="12038" width="21.83203125" style="428" customWidth="1"/>
    <col min="12039" max="12040" width="9.33203125" style="428"/>
    <col min="12041" max="12041" width="14.33203125" style="428" customWidth="1"/>
    <col min="12042" max="12289" width="9.33203125" style="428"/>
    <col min="12290" max="12290" width="13.83203125" style="428" bestFit="1" customWidth="1"/>
    <col min="12291" max="12291" width="14.33203125" style="428" bestFit="1" customWidth="1"/>
    <col min="12292" max="12292" width="9.33203125" style="428"/>
    <col min="12293" max="12293" width="0" style="428" hidden="1" customWidth="1"/>
    <col min="12294" max="12294" width="21.83203125" style="428" customWidth="1"/>
    <col min="12295" max="12296" width="9.33203125" style="428"/>
    <col min="12297" max="12297" width="14.33203125" style="428" customWidth="1"/>
    <col min="12298" max="12545" width="9.33203125" style="428"/>
    <col min="12546" max="12546" width="13.83203125" style="428" bestFit="1" customWidth="1"/>
    <col min="12547" max="12547" width="14.33203125" style="428" bestFit="1" customWidth="1"/>
    <col min="12548" max="12548" width="9.33203125" style="428"/>
    <col min="12549" max="12549" width="0" style="428" hidden="1" customWidth="1"/>
    <col min="12550" max="12550" width="21.83203125" style="428" customWidth="1"/>
    <col min="12551" max="12552" width="9.33203125" style="428"/>
    <col min="12553" max="12553" width="14.33203125" style="428" customWidth="1"/>
    <col min="12554" max="12801" width="9.33203125" style="428"/>
    <col min="12802" max="12802" width="13.83203125" style="428" bestFit="1" customWidth="1"/>
    <col min="12803" max="12803" width="14.33203125" style="428" bestFit="1" customWidth="1"/>
    <col min="12804" max="12804" width="9.33203125" style="428"/>
    <col min="12805" max="12805" width="0" style="428" hidden="1" customWidth="1"/>
    <col min="12806" max="12806" width="21.83203125" style="428" customWidth="1"/>
    <col min="12807" max="12808" width="9.33203125" style="428"/>
    <col min="12809" max="12809" width="14.33203125" style="428" customWidth="1"/>
    <col min="12810" max="13057" width="9.33203125" style="428"/>
    <col min="13058" max="13058" width="13.83203125" style="428" bestFit="1" customWidth="1"/>
    <col min="13059" max="13059" width="14.33203125" style="428" bestFit="1" customWidth="1"/>
    <col min="13060" max="13060" width="9.33203125" style="428"/>
    <col min="13061" max="13061" width="0" style="428" hidden="1" customWidth="1"/>
    <col min="13062" max="13062" width="21.83203125" style="428" customWidth="1"/>
    <col min="13063" max="13064" width="9.33203125" style="428"/>
    <col min="13065" max="13065" width="14.33203125" style="428" customWidth="1"/>
    <col min="13066" max="13313" width="9.33203125" style="428"/>
    <col min="13314" max="13314" width="13.83203125" style="428" bestFit="1" customWidth="1"/>
    <col min="13315" max="13315" width="14.33203125" style="428" bestFit="1" customWidth="1"/>
    <col min="13316" max="13316" width="9.33203125" style="428"/>
    <col min="13317" max="13317" width="0" style="428" hidden="1" customWidth="1"/>
    <col min="13318" max="13318" width="21.83203125" style="428" customWidth="1"/>
    <col min="13319" max="13320" width="9.33203125" style="428"/>
    <col min="13321" max="13321" width="14.33203125" style="428" customWidth="1"/>
    <col min="13322" max="13569" width="9.33203125" style="428"/>
    <col min="13570" max="13570" width="13.83203125" style="428" bestFit="1" customWidth="1"/>
    <col min="13571" max="13571" width="14.33203125" style="428" bestFit="1" customWidth="1"/>
    <col min="13572" max="13572" width="9.33203125" style="428"/>
    <col min="13573" max="13573" width="0" style="428" hidden="1" customWidth="1"/>
    <col min="13574" max="13574" width="21.83203125" style="428" customWidth="1"/>
    <col min="13575" max="13576" width="9.33203125" style="428"/>
    <col min="13577" max="13577" width="14.33203125" style="428" customWidth="1"/>
    <col min="13578" max="13825" width="9.33203125" style="428"/>
    <col min="13826" max="13826" width="13.83203125" style="428" bestFit="1" customWidth="1"/>
    <col min="13827" max="13827" width="14.33203125" style="428" bestFit="1" customWidth="1"/>
    <col min="13828" max="13828" width="9.33203125" style="428"/>
    <col min="13829" max="13829" width="0" style="428" hidden="1" customWidth="1"/>
    <col min="13830" max="13830" width="21.83203125" style="428" customWidth="1"/>
    <col min="13831" max="13832" width="9.33203125" style="428"/>
    <col min="13833" max="13833" width="14.33203125" style="428" customWidth="1"/>
    <col min="13834" max="14081" width="9.33203125" style="428"/>
    <col min="14082" max="14082" width="13.83203125" style="428" bestFit="1" customWidth="1"/>
    <col min="14083" max="14083" width="14.33203125" style="428" bestFit="1" customWidth="1"/>
    <col min="14084" max="14084" width="9.33203125" style="428"/>
    <col min="14085" max="14085" width="0" style="428" hidden="1" customWidth="1"/>
    <col min="14086" max="14086" width="21.83203125" style="428" customWidth="1"/>
    <col min="14087" max="14088" width="9.33203125" style="428"/>
    <col min="14089" max="14089" width="14.33203125" style="428" customWidth="1"/>
    <col min="14090" max="14337" width="9.33203125" style="428"/>
    <col min="14338" max="14338" width="13.83203125" style="428" bestFit="1" customWidth="1"/>
    <col min="14339" max="14339" width="14.33203125" style="428" bestFit="1" customWidth="1"/>
    <col min="14340" max="14340" width="9.33203125" style="428"/>
    <col min="14341" max="14341" width="0" style="428" hidden="1" customWidth="1"/>
    <col min="14342" max="14342" width="21.83203125" style="428" customWidth="1"/>
    <col min="14343" max="14344" width="9.33203125" style="428"/>
    <col min="14345" max="14345" width="14.33203125" style="428" customWidth="1"/>
    <col min="14346" max="14593" width="9.33203125" style="428"/>
    <col min="14594" max="14594" width="13.83203125" style="428" bestFit="1" customWidth="1"/>
    <col min="14595" max="14595" width="14.33203125" style="428" bestFit="1" customWidth="1"/>
    <col min="14596" max="14596" width="9.33203125" style="428"/>
    <col min="14597" max="14597" width="0" style="428" hidden="1" customWidth="1"/>
    <col min="14598" max="14598" width="21.83203125" style="428" customWidth="1"/>
    <col min="14599" max="14600" width="9.33203125" style="428"/>
    <col min="14601" max="14601" width="14.33203125" style="428" customWidth="1"/>
    <col min="14602" max="14849" width="9.33203125" style="428"/>
    <col min="14850" max="14850" width="13.83203125" style="428" bestFit="1" customWidth="1"/>
    <col min="14851" max="14851" width="14.33203125" style="428" bestFit="1" customWidth="1"/>
    <col min="14852" max="14852" width="9.33203125" style="428"/>
    <col min="14853" max="14853" width="0" style="428" hidden="1" customWidth="1"/>
    <col min="14854" max="14854" width="21.83203125" style="428" customWidth="1"/>
    <col min="14855" max="14856" width="9.33203125" style="428"/>
    <col min="14857" max="14857" width="14.33203125" style="428" customWidth="1"/>
    <col min="14858" max="15105" width="9.33203125" style="428"/>
    <col min="15106" max="15106" width="13.83203125" style="428" bestFit="1" customWidth="1"/>
    <col min="15107" max="15107" width="14.33203125" style="428" bestFit="1" customWidth="1"/>
    <col min="15108" max="15108" width="9.33203125" style="428"/>
    <col min="15109" max="15109" width="0" style="428" hidden="1" customWidth="1"/>
    <col min="15110" max="15110" width="21.83203125" style="428" customWidth="1"/>
    <col min="15111" max="15112" width="9.33203125" style="428"/>
    <col min="15113" max="15113" width="14.33203125" style="428" customWidth="1"/>
    <col min="15114" max="15361" width="9.33203125" style="428"/>
    <col min="15362" max="15362" width="13.83203125" style="428" bestFit="1" customWidth="1"/>
    <col min="15363" max="15363" width="14.33203125" style="428" bestFit="1" customWidth="1"/>
    <col min="15364" max="15364" width="9.33203125" style="428"/>
    <col min="15365" max="15365" width="0" style="428" hidden="1" customWidth="1"/>
    <col min="15366" max="15366" width="21.83203125" style="428" customWidth="1"/>
    <col min="15367" max="15368" width="9.33203125" style="428"/>
    <col min="15369" max="15369" width="14.33203125" style="428" customWidth="1"/>
    <col min="15370" max="15617" width="9.33203125" style="428"/>
    <col min="15618" max="15618" width="13.83203125" style="428" bestFit="1" customWidth="1"/>
    <col min="15619" max="15619" width="14.33203125" style="428" bestFit="1" customWidth="1"/>
    <col min="15620" max="15620" width="9.33203125" style="428"/>
    <col min="15621" max="15621" width="0" style="428" hidden="1" customWidth="1"/>
    <col min="15622" max="15622" width="21.83203125" style="428" customWidth="1"/>
    <col min="15623" max="15624" width="9.33203125" style="428"/>
    <col min="15625" max="15625" width="14.33203125" style="428" customWidth="1"/>
    <col min="15626" max="15873" width="9.33203125" style="428"/>
    <col min="15874" max="15874" width="13.83203125" style="428" bestFit="1" customWidth="1"/>
    <col min="15875" max="15875" width="14.33203125" style="428" bestFit="1" customWidth="1"/>
    <col min="15876" max="15876" width="9.33203125" style="428"/>
    <col min="15877" max="15877" width="0" style="428" hidden="1" customWidth="1"/>
    <col min="15878" max="15878" width="21.83203125" style="428" customWidth="1"/>
    <col min="15879" max="15880" width="9.33203125" style="428"/>
    <col min="15881" max="15881" width="14.33203125" style="428" customWidth="1"/>
    <col min="15882" max="16129" width="9.33203125" style="428"/>
    <col min="16130" max="16130" width="13.83203125" style="428" bestFit="1" customWidth="1"/>
    <col min="16131" max="16131" width="14.33203125" style="428" bestFit="1" customWidth="1"/>
    <col min="16132" max="16132" width="9.33203125" style="428"/>
    <col min="16133" max="16133" width="0" style="428" hidden="1" customWidth="1"/>
    <col min="16134" max="16134" width="21.83203125" style="428" customWidth="1"/>
    <col min="16135" max="16136" width="9.33203125" style="428"/>
    <col min="16137" max="16137" width="14.33203125" style="428" customWidth="1"/>
    <col min="16138" max="16384" width="9.33203125" style="428"/>
  </cols>
  <sheetData>
    <row r="1" spans="1:10">
      <c r="A1" s="428" t="s">
        <v>706</v>
      </c>
    </row>
    <row r="3" spans="1:10">
      <c r="B3" s="457" t="s">
        <v>707</v>
      </c>
      <c r="C3" s="455" t="s">
        <v>708</v>
      </c>
      <c r="D3" s="452"/>
      <c r="E3" s="452"/>
      <c r="F3" s="452" t="s">
        <v>709</v>
      </c>
      <c r="G3" s="452" t="s">
        <v>710</v>
      </c>
      <c r="H3" s="452" t="s">
        <v>710</v>
      </c>
      <c r="I3" s="452" t="s">
        <v>711</v>
      </c>
    </row>
    <row r="4" spans="1:10">
      <c r="B4" s="458" t="s">
        <v>683</v>
      </c>
      <c r="C4" s="456" t="s">
        <v>712</v>
      </c>
      <c r="D4" s="453" t="s">
        <v>713</v>
      </c>
      <c r="E4" s="453" t="s">
        <v>714</v>
      </c>
      <c r="F4" s="453" t="s">
        <v>715</v>
      </c>
      <c r="G4" s="453" t="s">
        <v>713</v>
      </c>
      <c r="H4" s="453" t="s">
        <v>714</v>
      </c>
      <c r="I4" s="453" t="s">
        <v>716</v>
      </c>
    </row>
    <row r="5" spans="1:10">
      <c r="B5" s="458"/>
      <c r="C5" s="456" t="s">
        <v>717</v>
      </c>
      <c r="D5" s="453" t="s">
        <v>717</v>
      </c>
      <c r="E5" s="453" t="s">
        <v>717</v>
      </c>
      <c r="F5" s="453" t="s">
        <v>718</v>
      </c>
      <c r="G5" s="453" t="s">
        <v>717</v>
      </c>
      <c r="H5" s="453" t="s">
        <v>717</v>
      </c>
      <c r="I5" s="453" t="s">
        <v>719</v>
      </c>
    </row>
    <row r="6" spans="1:10">
      <c r="B6" s="458"/>
      <c r="C6" s="456" t="s">
        <v>720</v>
      </c>
      <c r="D6" s="453" t="s">
        <v>721</v>
      </c>
      <c r="E6" s="453" t="s">
        <v>721</v>
      </c>
      <c r="F6" s="453" t="s">
        <v>686</v>
      </c>
      <c r="G6" s="453" t="s">
        <v>721</v>
      </c>
      <c r="H6" s="453" t="s">
        <v>721</v>
      </c>
      <c r="I6" s="453" t="s">
        <v>722</v>
      </c>
    </row>
    <row r="7" spans="1:10" s="498" customFormat="1">
      <c r="B7" s="453" t="s">
        <v>723</v>
      </c>
      <c r="C7" s="456" t="s">
        <v>724</v>
      </c>
      <c r="D7" s="453" t="s">
        <v>725</v>
      </c>
      <c r="E7" s="453" t="s">
        <v>726</v>
      </c>
      <c r="F7" s="453" t="s">
        <v>727</v>
      </c>
      <c r="G7" s="453" t="s">
        <v>728</v>
      </c>
      <c r="H7" s="454" t="s">
        <v>729</v>
      </c>
      <c r="I7" s="454" t="s">
        <v>730</v>
      </c>
    </row>
    <row r="8" spans="1:10">
      <c r="B8" s="465">
        <v>40179</v>
      </c>
      <c r="C8" s="466">
        <f>'6.14G - SAP'!H7</f>
        <v>2710.8</v>
      </c>
      <c r="D8" s="459">
        <f>'6.14G - 2010 Rates'!$B$44/100</f>
        <v>3.3E-3</v>
      </c>
      <c r="E8" s="459">
        <f t="shared" ref="E8:E19" si="0">+D8/12</f>
        <v>2.7500000000000002E-4</v>
      </c>
      <c r="F8" s="460">
        <f>-'6.14G - Balance Calculation'!G5</f>
        <v>8445723.8949999996</v>
      </c>
      <c r="G8" s="459">
        <f>'6.14G - 2011 Rates'!$B$37/100</f>
        <v>2.5999999999999999E-3</v>
      </c>
      <c r="H8" s="463">
        <f t="shared" ref="H8:H19" si="1">+G8/12</f>
        <v>2.1666666666666666E-4</v>
      </c>
      <c r="I8" s="464">
        <f t="shared" ref="I8:I19" si="2">+F8*H8</f>
        <v>1829.9068439166665</v>
      </c>
      <c r="J8" s="451"/>
    </row>
    <row r="9" spans="1:10">
      <c r="B9" s="465">
        <v>40210</v>
      </c>
      <c r="C9" s="466">
        <f>'6.14G - SAP'!H8</f>
        <v>2329.11</v>
      </c>
      <c r="D9" s="459">
        <f>'6.14G - 2010 Rates'!$B$44/100</f>
        <v>3.3E-3</v>
      </c>
      <c r="E9" s="459">
        <f t="shared" si="0"/>
        <v>2.7500000000000002E-4</v>
      </c>
      <c r="F9" s="460">
        <f>-'6.14G - Balance Calculation'!G6</f>
        <v>8469499.4050000012</v>
      </c>
      <c r="G9" s="459">
        <f>'6.14G - 2011 Rates'!$B$37/100</f>
        <v>2.5999999999999999E-3</v>
      </c>
      <c r="H9" s="459">
        <f t="shared" si="1"/>
        <v>2.1666666666666666E-4</v>
      </c>
      <c r="I9" s="461">
        <f t="shared" si="2"/>
        <v>1835.0582044166667</v>
      </c>
      <c r="J9" s="451"/>
    </row>
    <row r="10" spans="1:10">
      <c r="B10" s="465">
        <v>40238</v>
      </c>
      <c r="C10" s="466">
        <f>'6.14G - SAP'!H9</f>
        <v>2330.34</v>
      </c>
      <c r="D10" s="459">
        <f>'6.14G - 2010 Rates'!$B$44/100</f>
        <v>3.3E-3</v>
      </c>
      <c r="E10" s="459">
        <f t="shared" si="0"/>
        <v>2.7500000000000002E-4</v>
      </c>
      <c r="F10" s="460">
        <f>-'6.14G - Balance Calculation'!G7</f>
        <v>8473974.9350000005</v>
      </c>
      <c r="G10" s="459">
        <f>'6.14G - 2011 Rates'!$B$37/100</f>
        <v>2.5999999999999999E-3</v>
      </c>
      <c r="H10" s="459">
        <f t="shared" si="1"/>
        <v>2.1666666666666666E-4</v>
      </c>
      <c r="I10" s="461">
        <f t="shared" si="2"/>
        <v>1836.0279025833333</v>
      </c>
      <c r="J10" s="451"/>
    </row>
    <row r="11" spans="1:10">
      <c r="B11" s="465">
        <v>40269</v>
      </c>
      <c r="C11" s="466">
        <f>'6.14G - SAP'!H10</f>
        <v>2332.84</v>
      </c>
      <c r="D11" s="459">
        <f>'6.14G - 2010 Rates'!$B$44/100</f>
        <v>3.3E-3</v>
      </c>
      <c r="E11" s="459">
        <f t="shared" si="0"/>
        <v>2.7500000000000002E-4</v>
      </c>
      <c r="F11" s="460">
        <f>-'6.14G - Balance Calculation'!G8</f>
        <v>8483072.5399999991</v>
      </c>
      <c r="G11" s="459">
        <f>'6.14G - 2011 Rates'!$B$37/100</f>
        <v>2.5999999999999999E-3</v>
      </c>
      <c r="H11" s="459">
        <f t="shared" si="1"/>
        <v>2.1666666666666666E-4</v>
      </c>
      <c r="I11" s="461">
        <f t="shared" si="2"/>
        <v>1837.9990503333331</v>
      </c>
      <c r="J11" s="451"/>
    </row>
    <row r="12" spans="1:10">
      <c r="B12" s="465">
        <v>40299</v>
      </c>
      <c r="C12" s="466">
        <f>'6.14G - SAP'!H11</f>
        <v>2329.79</v>
      </c>
      <c r="D12" s="459">
        <f>'6.14G - 2010 Rates'!$B$44/100</f>
        <v>3.3E-3</v>
      </c>
      <c r="E12" s="459">
        <f t="shared" si="0"/>
        <v>2.7500000000000002E-4</v>
      </c>
      <c r="F12" s="460">
        <f>-'6.14G - Balance Calculation'!G9</f>
        <v>8471958.2850000001</v>
      </c>
      <c r="G12" s="459">
        <f>'6.14G - 2011 Rates'!$B$37/100</f>
        <v>2.5999999999999999E-3</v>
      </c>
      <c r="H12" s="459">
        <f t="shared" si="1"/>
        <v>2.1666666666666666E-4</v>
      </c>
      <c r="I12" s="461">
        <f t="shared" si="2"/>
        <v>1835.5909617499999</v>
      </c>
      <c r="J12" s="451"/>
    </row>
    <row r="13" spans="1:10">
      <c r="B13" s="465">
        <v>40330</v>
      </c>
      <c r="C13" s="466">
        <f>'6.14G - SAP'!H12</f>
        <v>2303.02</v>
      </c>
      <c r="D13" s="459">
        <f>'6.14G - 2010 Rates'!$B$44/100</f>
        <v>3.3E-3</v>
      </c>
      <c r="E13" s="459">
        <f t="shared" si="0"/>
        <v>2.7500000000000002E-4</v>
      </c>
      <c r="F13" s="460">
        <f>-'6.14G - Balance Calculation'!G10</f>
        <v>8374619.0900000008</v>
      </c>
      <c r="G13" s="459">
        <f>'6.14G - 2011 Rates'!$B$37/100</f>
        <v>2.5999999999999999E-3</v>
      </c>
      <c r="H13" s="459">
        <f t="shared" si="1"/>
        <v>2.1666666666666666E-4</v>
      </c>
      <c r="I13" s="461">
        <f t="shared" si="2"/>
        <v>1814.5008028333334</v>
      </c>
      <c r="J13" s="451"/>
    </row>
    <row r="14" spans="1:10">
      <c r="B14" s="465">
        <v>40360</v>
      </c>
      <c r="C14" s="466">
        <f>'6.14G - SAP'!H13</f>
        <v>2267.4699999999998</v>
      </c>
      <c r="D14" s="459">
        <f>'6.14G - 2010 Rates'!$B$44/100</f>
        <v>3.3E-3</v>
      </c>
      <c r="E14" s="459">
        <f t="shared" si="0"/>
        <v>2.7500000000000002E-4</v>
      </c>
      <c r="F14" s="460">
        <f>-'6.14G - Balance Calculation'!G11</f>
        <v>8245330.7350000013</v>
      </c>
      <c r="G14" s="459">
        <f>'6.14G - 2011 Rates'!$B$37/100</f>
        <v>2.5999999999999999E-3</v>
      </c>
      <c r="H14" s="459">
        <f t="shared" si="1"/>
        <v>2.1666666666666666E-4</v>
      </c>
      <c r="I14" s="461">
        <f t="shared" si="2"/>
        <v>1786.4883259166668</v>
      </c>
      <c r="J14" s="451"/>
    </row>
    <row r="15" spans="1:10">
      <c r="B15" s="465">
        <v>40391</v>
      </c>
      <c r="C15" s="466">
        <f>'6.14G - SAP'!H14</f>
        <v>2244.23</v>
      </c>
      <c r="D15" s="459">
        <f>'6.14G - 2010 Rates'!$B$44/100</f>
        <v>3.3E-3</v>
      </c>
      <c r="E15" s="459">
        <f t="shared" si="0"/>
        <v>2.7500000000000002E-4</v>
      </c>
      <c r="F15" s="460">
        <f>-'6.14G - Balance Calculation'!G12</f>
        <v>8160847.5500000007</v>
      </c>
      <c r="G15" s="459">
        <f>'6.14G - 2011 Rates'!$B$37/100</f>
        <v>2.5999999999999999E-3</v>
      </c>
      <c r="H15" s="459">
        <f t="shared" si="1"/>
        <v>2.1666666666666666E-4</v>
      </c>
      <c r="I15" s="461">
        <f t="shared" si="2"/>
        <v>1768.1836358333335</v>
      </c>
      <c r="J15" s="451"/>
    </row>
    <row r="16" spans="1:10">
      <c r="B16" s="465">
        <v>40422</v>
      </c>
      <c r="C16" s="466">
        <f>'6.14G - SAP'!H15</f>
        <v>2238.7800000000002</v>
      </c>
      <c r="D16" s="459">
        <f>'6.14G - 2010 Rates'!$B$44/100</f>
        <v>3.3E-3</v>
      </c>
      <c r="E16" s="459">
        <f t="shared" si="0"/>
        <v>2.7500000000000002E-4</v>
      </c>
      <c r="F16" s="460">
        <f>-'6.14G - Balance Calculation'!G13</f>
        <v>8141006.3800000008</v>
      </c>
      <c r="G16" s="459">
        <f>'6.14G - 2011 Rates'!$B$37/100</f>
        <v>2.5999999999999999E-3</v>
      </c>
      <c r="H16" s="459">
        <f t="shared" si="1"/>
        <v>2.1666666666666666E-4</v>
      </c>
      <c r="I16" s="461">
        <f t="shared" si="2"/>
        <v>1763.8847156666668</v>
      </c>
      <c r="J16" s="451"/>
    </row>
    <row r="17" spans="2:10">
      <c r="B17" s="2019">
        <v>40452</v>
      </c>
      <c r="C17" s="2020">
        <f>'6.14G - SAP'!H16+'6.14G - SAP'!H17</f>
        <v>-16919.010000000002</v>
      </c>
      <c r="D17" s="2021">
        <f>'6.14G - 2010 Rates'!$B$44/100</f>
        <v>3.3E-3</v>
      </c>
      <c r="E17" s="2022">
        <f t="shared" si="0"/>
        <v>2.7500000000000002E-4</v>
      </c>
      <c r="F17" s="2023">
        <f>-'6.14G - Balance Calculation'!G14</f>
        <v>8198306.3000000007</v>
      </c>
      <c r="G17" s="2021">
        <f>'6.14G - 2011 Rates'!$B$37/100</f>
        <v>2.5999999999999999E-3</v>
      </c>
      <c r="H17" s="2021">
        <f t="shared" si="1"/>
        <v>2.1666666666666666E-4</v>
      </c>
      <c r="I17" s="2024">
        <f t="shared" si="2"/>
        <v>1776.2996983333335</v>
      </c>
      <c r="J17" s="451"/>
    </row>
    <row r="18" spans="2:10">
      <c r="B18" s="465">
        <v>40483</v>
      </c>
      <c r="C18" s="466">
        <f>'6.14G - SAP'!H18</f>
        <v>2283.15</v>
      </c>
      <c r="D18" s="459">
        <f>'6.14G - 2010 Rates'!$B$44/100</f>
        <v>3.3E-3</v>
      </c>
      <c r="E18" s="462">
        <f t="shared" si="0"/>
        <v>2.7500000000000002E-4</v>
      </c>
      <c r="F18" s="460">
        <f>-'6.14G - Balance Calculation'!G15</f>
        <v>8302381.7000000011</v>
      </c>
      <c r="G18" s="459">
        <f>'6.14G - 2011 Rates'!$B$37/100</f>
        <v>2.5999999999999999E-3</v>
      </c>
      <c r="H18" s="459">
        <f t="shared" si="1"/>
        <v>2.1666666666666666E-4</v>
      </c>
      <c r="I18" s="461">
        <f t="shared" si="2"/>
        <v>1798.8493683333336</v>
      </c>
      <c r="J18" s="451"/>
    </row>
    <row r="19" spans="2:10">
      <c r="B19" s="465">
        <v>40513</v>
      </c>
      <c r="C19" s="466">
        <f>'6.14G - SAP'!H19+'6.14G - SAP'!H20</f>
        <v>2939.8</v>
      </c>
      <c r="D19" s="459">
        <f>'6.14G - 2010 Rates'!$B$44/100</f>
        <v>3.3E-3</v>
      </c>
      <c r="E19" s="462">
        <f t="shared" si="0"/>
        <v>2.7500000000000002E-4</v>
      </c>
      <c r="F19" s="460">
        <f>-'6.14G - Balance Calculation'!G16</f>
        <v>8410249.0250000004</v>
      </c>
      <c r="G19" s="459">
        <f>'6.14G - 2011 Rates'!$B$37/100</f>
        <v>2.5999999999999999E-3</v>
      </c>
      <c r="H19" s="459">
        <f t="shared" si="1"/>
        <v>2.1666666666666666E-4</v>
      </c>
      <c r="I19" s="461">
        <f t="shared" si="2"/>
        <v>1822.2206220833334</v>
      </c>
      <c r="J19" s="451"/>
    </row>
    <row r="20" spans="2:10">
      <c r="B20" s="467"/>
      <c r="C20" s="468"/>
      <c r="D20" s="459"/>
      <c r="E20" s="459"/>
      <c r="F20" s="459"/>
      <c r="G20" s="459"/>
      <c r="H20" s="459"/>
      <c r="I20" s="469"/>
      <c r="J20" s="451"/>
    </row>
    <row r="21" spans="2:10">
      <c r="B21" s="489" t="s">
        <v>731</v>
      </c>
      <c r="C21" s="492">
        <f>SUM(C8:C19)</f>
        <v>9390.32</v>
      </c>
      <c r="D21" s="490"/>
      <c r="E21" s="490"/>
      <c r="F21" s="490"/>
      <c r="G21" s="491"/>
      <c r="H21" s="491"/>
      <c r="I21" s="493">
        <f>SUM(I8:I20)</f>
        <v>21705.010131999999</v>
      </c>
    </row>
    <row r="22" spans="2:10">
      <c r="G22" s="451"/>
      <c r="H22" s="451"/>
    </row>
    <row r="23" spans="2:10">
      <c r="B23" s="2947" t="s">
        <v>984</v>
      </c>
      <c r="C23" s="2947"/>
      <c r="D23" s="2947"/>
      <c r="E23" s="2947"/>
      <c r="F23" s="2947"/>
      <c r="G23" s="2947"/>
      <c r="H23" s="2947"/>
      <c r="I23" s="2947"/>
    </row>
    <row r="24" spans="2:10">
      <c r="B24" s="465">
        <v>40179</v>
      </c>
      <c r="C24" s="466">
        <f>F24*(D24/12)</f>
        <v>2322.574071125</v>
      </c>
      <c r="D24" s="459">
        <f>'6.14G - 2010 Rates'!$B$44/100</f>
        <v>3.3E-3</v>
      </c>
      <c r="E24" s="459">
        <f t="shared" ref="E24:E35" si="3">+D24/12</f>
        <v>2.7500000000000002E-4</v>
      </c>
      <c r="F24" s="460">
        <f>F8</f>
        <v>8445723.8949999996</v>
      </c>
      <c r="G24" s="459">
        <f>'6.14G - 2011 Rates'!$B$37/100</f>
        <v>2.5999999999999999E-3</v>
      </c>
      <c r="H24" s="459">
        <f t="shared" ref="H24:H35" si="4">+G24/12</f>
        <v>2.1666666666666666E-4</v>
      </c>
      <c r="I24" s="461">
        <f t="shared" ref="I24:I35" si="5">+F24*H24</f>
        <v>1829.9068439166665</v>
      </c>
    </row>
    <row r="25" spans="2:10">
      <c r="B25" s="465">
        <v>40210</v>
      </c>
      <c r="C25" s="466">
        <f t="shared" ref="C25:C35" si="6">F25*(D25/12)</f>
        <v>2329.1123363750003</v>
      </c>
      <c r="D25" s="459">
        <f>'6.14G - 2010 Rates'!$B$44/100</f>
        <v>3.3E-3</v>
      </c>
      <c r="E25" s="459">
        <f t="shared" si="3"/>
        <v>2.7500000000000002E-4</v>
      </c>
      <c r="F25" s="460">
        <f t="shared" ref="F25:F35" si="7">F9</f>
        <v>8469499.4050000012</v>
      </c>
      <c r="G25" s="459">
        <f>'6.14G - 2011 Rates'!$B$37/100</f>
        <v>2.5999999999999999E-3</v>
      </c>
      <c r="H25" s="459">
        <f t="shared" si="4"/>
        <v>2.1666666666666666E-4</v>
      </c>
      <c r="I25" s="461">
        <f t="shared" si="5"/>
        <v>1835.0582044166667</v>
      </c>
    </row>
    <row r="26" spans="2:10">
      <c r="B26" s="465">
        <v>40238</v>
      </c>
      <c r="C26" s="466">
        <f t="shared" si="6"/>
        <v>2330.3431071250002</v>
      </c>
      <c r="D26" s="459">
        <f>'6.14G - 2010 Rates'!$B$44/100</f>
        <v>3.3E-3</v>
      </c>
      <c r="E26" s="459">
        <f t="shared" si="3"/>
        <v>2.7500000000000002E-4</v>
      </c>
      <c r="F26" s="460">
        <f t="shared" si="7"/>
        <v>8473974.9350000005</v>
      </c>
      <c r="G26" s="459">
        <f>'6.14G - 2011 Rates'!$B$37/100</f>
        <v>2.5999999999999999E-3</v>
      </c>
      <c r="H26" s="459">
        <f t="shared" si="4"/>
        <v>2.1666666666666666E-4</v>
      </c>
      <c r="I26" s="461">
        <f t="shared" si="5"/>
        <v>1836.0279025833333</v>
      </c>
    </row>
    <row r="27" spans="2:10">
      <c r="B27" s="465">
        <v>40269</v>
      </c>
      <c r="C27" s="466">
        <f t="shared" si="6"/>
        <v>2332.8449485000001</v>
      </c>
      <c r="D27" s="459">
        <f>'6.14G - 2010 Rates'!$B$44/100</f>
        <v>3.3E-3</v>
      </c>
      <c r="E27" s="459">
        <f t="shared" si="3"/>
        <v>2.7500000000000002E-4</v>
      </c>
      <c r="F27" s="460">
        <f t="shared" si="7"/>
        <v>8483072.5399999991</v>
      </c>
      <c r="G27" s="459">
        <f>'6.14G - 2011 Rates'!$B$37/100</f>
        <v>2.5999999999999999E-3</v>
      </c>
      <c r="H27" s="459">
        <f t="shared" si="4"/>
        <v>2.1666666666666666E-4</v>
      </c>
      <c r="I27" s="461">
        <f t="shared" si="5"/>
        <v>1837.9990503333331</v>
      </c>
    </row>
    <row r="28" spans="2:10">
      <c r="B28" s="465">
        <v>40299</v>
      </c>
      <c r="C28" s="466">
        <f t="shared" si="6"/>
        <v>2329.7885283750002</v>
      </c>
      <c r="D28" s="459">
        <f>'6.14G - 2010 Rates'!$B$44/100</f>
        <v>3.3E-3</v>
      </c>
      <c r="E28" s="459">
        <f t="shared" si="3"/>
        <v>2.7500000000000002E-4</v>
      </c>
      <c r="F28" s="460">
        <f t="shared" si="7"/>
        <v>8471958.2850000001</v>
      </c>
      <c r="G28" s="459">
        <f>'6.14G - 2011 Rates'!$B$37/100</f>
        <v>2.5999999999999999E-3</v>
      </c>
      <c r="H28" s="459">
        <f t="shared" si="4"/>
        <v>2.1666666666666666E-4</v>
      </c>
      <c r="I28" s="461">
        <f t="shared" si="5"/>
        <v>1835.5909617499999</v>
      </c>
    </row>
    <row r="29" spans="2:10">
      <c r="B29" s="465">
        <v>40330</v>
      </c>
      <c r="C29" s="466">
        <f t="shared" si="6"/>
        <v>2303.0202497500004</v>
      </c>
      <c r="D29" s="459">
        <f>'6.14G - 2010 Rates'!$B$44/100</f>
        <v>3.3E-3</v>
      </c>
      <c r="E29" s="459">
        <f t="shared" si="3"/>
        <v>2.7500000000000002E-4</v>
      </c>
      <c r="F29" s="460">
        <f t="shared" si="7"/>
        <v>8374619.0900000008</v>
      </c>
      <c r="G29" s="459">
        <f>'6.14G - 2011 Rates'!$B$37/100</f>
        <v>2.5999999999999999E-3</v>
      </c>
      <c r="H29" s="459">
        <f t="shared" si="4"/>
        <v>2.1666666666666666E-4</v>
      </c>
      <c r="I29" s="461">
        <f t="shared" si="5"/>
        <v>1814.5008028333334</v>
      </c>
    </row>
    <row r="30" spans="2:10">
      <c r="B30" s="465">
        <v>40360</v>
      </c>
      <c r="C30" s="466">
        <f t="shared" si="6"/>
        <v>2267.4659521250005</v>
      </c>
      <c r="D30" s="459">
        <f>'6.14G - 2010 Rates'!$B$44/100</f>
        <v>3.3E-3</v>
      </c>
      <c r="E30" s="459">
        <f t="shared" si="3"/>
        <v>2.7500000000000002E-4</v>
      </c>
      <c r="F30" s="460">
        <f t="shared" si="7"/>
        <v>8245330.7350000013</v>
      </c>
      <c r="G30" s="459">
        <f>'6.14G - 2011 Rates'!$B$37/100</f>
        <v>2.5999999999999999E-3</v>
      </c>
      <c r="H30" s="459">
        <f t="shared" si="4"/>
        <v>2.1666666666666666E-4</v>
      </c>
      <c r="I30" s="461">
        <f t="shared" si="5"/>
        <v>1786.4883259166668</v>
      </c>
    </row>
    <row r="31" spans="2:10">
      <c r="B31" s="465">
        <v>40391</v>
      </c>
      <c r="C31" s="466">
        <f t="shared" si="6"/>
        <v>2244.2330762500005</v>
      </c>
      <c r="D31" s="459">
        <f>'6.14G - 2010 Rates'!$B$44/100</f>
        <v>3.3E-3</v>
      </c>
      <c r="E31" s="459">
        <f t="shared" si="3"/>
        <v>2.7500000000000002E-4</v>
      </c>
      <c r="F31" s="460">
        <f t="shared" si="7"/>
        <v>8160847.5500000007</v>
      </c>
      <c r="G31" s="459">
        <f>'6.14G - 2011 Rates'!$B$37/100</f>
        <v>2.5999999999999999E-3</v>
      </c>
      <c r="H31" s="459">
        <f t="shared" si="4"/>
        <v>2.1666666666666666E-4</v>
      </c>
      <c r="I31" s="461">
        <f t="shared" si="5"/>
        <v>1768.1836358333335</v>
      </c>
    </row>
    <row r="32" spans="2:10">
      <c r="B32" s="465">
        <v>40422</v>
      </c>
      <c r="C32" s="466">
        <f t="shared" si="6"/>
        <v>2238.7767545000002</v>
      </c>
      <c r="D32" s="459">
        <f>'6.14G - 2010 Rates'!$B$44/100</f>
        <v>3.3E-3</v>
      </c>
      <c r="E32" s="459">
        <f t="shared" si="3"/>
        <v>2.7500000000000002E-4</v>
      </c>
      <c r="F32" s="460">
        <f t="shared" si="7"/>
        <v>8141006.3800000008</v>
      </c>
      <c r="G32" s="459">
        <f>'6.14G - 2011 Rates'!$B$37/100</f>
        <v>2.5999999999999999E-3</v>
      </c>
      <c r="H32" s="459">
        <f t="shared" si="4"/>
        <v>2.1666666666666666E-4</v>
      </c>
      <c r="I32" s="461">
        <f t="shared" si="5"/>
        <v>1763.8847156666668</v>
      </c>
    </row>
    <row r="33" spans="2:9">
      <c r="B33" s="465">
        <v>40452</v>
      </c>
      <c r="C33" s="466">
        <f t="shared" si="6"/>
        <v>2254.5342325000001</v>
      </c>
      <c r="D33" s="459">
        <f>'6.14G - 2010 Rates'!$B$44/100</f>
        <v>3.3E-3</v>
      </c>
      <c r="E33" s="462">
        <f t="shared" si="3"/>
        <v>2.7500000000000002E-4</v>
      </c>
      <c r="F33" s="460">
        <f t="shared" si="7"/>
        <v>8198306.3000000007</v>
      </c>
      <c r="G33" s="459">
        <f>'6.14G - 2011 Rates'!$B$37/100</f>
        <v>2.5999999999999999E-3</v>
      </c>
      <c r="H33" s="459">
        <f t="shared" si="4"/>
        <v>2.1666666666666666E-4</v>
      </c>
      <c r="I33" s="461">
        <f t="shared" si="5"/>
        <v>1776.2996983333335</v>
      </c>
    </row>
    <row r="34" spans="2:9">
      <c r="B34" s="465">
        <v>40483</v>
      </c>
      <c r="C34" s="466">
        <f t="shared" si="6"/>
        <v>2283.1549675000006</v>
      </c>
      <c r="D34" s="459">
        <f>'6.14G - 2010 Rates'!$B$44/100</f>
        <v>3.3E-3</v>
      </c>
      <c r="E34" s="462">
        <f t="shared" si="3"/>
        <v>2.7500000000000002E-4</v>
      </c>
      <c r="F34" s="460">
        <f t="shared" si="7"/>
        <v>8302381.7000000011</v>
      </c>
      <c r="G34" s="459">
        <f>'6.14G - 2011 Rates'!$B$37/100</f>
        <v>2.5999999999999999E-3</v>
      </c>
      <c r="H34" s="459">
        <f t="shared" si="4"/>
        <v>2.1666666666666666E-4</v>
      </c>
      <c r="I34" s="461">
        <f t="shared" si="5"/>
        <v>1798.8493683333336</v>
      </c>
    </row>
    <row r="35" spans="2:9">
      <c r="B35" s="465">
        <v>40513</v>
      </c>
      <c r="C35" s="466">
        <f t="shared" si="6"/>
        <v>2312.8184818750001</v>
      </c>
      <c r="D35" s="459">
        <f>'6.14G - 2010 Rates'!$B$44/100</f>
        <v>3.3E-3</v>
      </c>
      <c r="E35" s="462">
        <f t="shared" si="3"/>
        <v>2.7500000000000002E-4</v>
      </c>
      <c r="F35" s="460">
        <f t="shared" si="7"/>
        <v>8410249.0250000004</v>
      </c>
      <c r="G35" s="459">
        <f>'6.14G - 2011 Rates'!$B$37/100</f>
        <v>2.5999999999999999E-3</v>
      </c>
      <c r="H35" s="459">
        <f t="shared" si="4"/>
        <v>2.1666666666666666E-4</v>
      </c>
      <c r="I35" s="461">
        <f t="shared" si="5"/>
        <v>1822.2206220833334</v>
      </c>
    </row>
    <row r="36" spans="2:9">
      <c r="B36" s="467"/>
      <c r="C36" s="468"/>
      <c r="D36" s="459"/>
      <c r="E36" s="459"/>
      <c r="F36" s="459"/>
      <c r="G36" s="459"/>
      <c r="H36" s="459"/>
      <c r="I36" s="469"/>
    </row>
    <row r="37" spans="2:9">
      <c r="B37" s="489" t="s">
        <v>731</v>
      </c>
      <c r="C37" s="492">
        <f>SUM(C24:C35)</f>
        <v>27548.666705999996</v>
      </c>
      <c r="D37" s="490"/>
      <c r="E37" s="490"/>
      <c r="F37" s="490"/>
      <c r="G37" s="491"/>
      <c r="H37" s="491"/>
      <c r="I37" s="493">
        <f>SUM(I24:I36)</f>
        <v>21705.010131999999</v>
      </c>
    </row>
  </sheetData>
  <mergeCells count="1">
    <mergeCell ref="B23:I23"/>
  </mergeCells>
  <pageMargins left="0.75" right="0.75" top="0.82" bottom="0.76" header="0.5" footer="0.5"/>
  <pageSetup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AQ128"/>
  <sheetViews>
    <sheetView zoomScale="90" zoomScaleNormal="90" workbookViewId="0">
      <pane xSplit="2" ySplit="13" topLeftCell="C14" activePane="bottomRight" state="frozen"/>
      <selection activeCell="A2" sqref="A2"/>
      <selection pane="topRight" activeCell="A2" sqref="A2"/>
      <selection pane="bottomLeft" activeCell="A2" sqref="A2"/>
      <selection pane="bottomRight" activeCell="I21" sqref="I21"/>
    </sheetView>
  </sheetViews>
  <sheetFormatPr defaultRowHeight="15.75"/>
  <cols>
    <col min="1" max="1" width="7.5" style="2231" bestFit="1" customWidth="1"/>
    <col min="2" max="2" width="53.1640625" style="2231" bestFit="1" customWidth="1"/>
    <col min="3" max="3" width="4" style="2231" customWidth="1"/>
    <col min="4" max="7" width="21.1640625" style="2231" customWidth="1"/>
    <col min="8" max="8" width="24.1640625" style="2231" bestFit="1" customWidth="1"/>
    <col min="9" max="9" width="21.83203125" style="2231" bestFit="1" customWidth="1"/>
    <col min="10" max="10" width="20.5" style="2231" customWidth="1"/>
    <col min="11" max="11" width="2.83203125" style="2231" customWidth="1"/>
    <col min="12" max="12" width="14.83203125" style="2231" customWidth="1"/>
    <col min="13" max="13" width="31.83203125" style="2231" bestFit="1" customWidth="1"/>
    <col min="14" max="14" width="22.83203125" style="2231" bestFit="1" customWidth="1"/>
    <col min="15" max="15" width="26.1640625" style="2231" bestFit="1" customWidth="1"/>
    <col min="16" max="16" width="21.6640625" style="2231" bestFit="1" customWidth="1"/>
    <col min="17" max="17" width="24.83203125" style="2231" bestFit="1" customWidth="1"/>
    <col min="18" max="18" width="22.1640625" style="2231" customWidth="1"/>
    <col min="19" max="19" width="30" style="2231" bestFit="1" customWidth="1"/>
    <col min="20" max="20" width="18.6640625" style="2231" customWidth="1"/>
    <col min="21" max="21" width="32" style="2231" bestFit="1" customWidth="1"/>
    <col min="22" max="22" width="30.1640625" style="2231" bestFit="1" customWidth="1"/>
    <col min="23" max="23" width="23.83203125" style="2231" bestFit="1" customWidth="1"/>
    <col min="24" max="24" width="30.1640625" style="2231" customWidth="1"/>
    <col min="25" max="25" width="21.6640625" style="2231" bestFit="1" customWidth="1"/>
    <col min="26" max="27" width="17.6640625" style="2231" bestFit="1" customWidth="1"/>
    <col min="28" max="28" width="21.6640625" style="2231" bestFit="1" customWidth="1"/>
    <col min="29" max="29" width="18.5" style="2231" bestFit="1" customWidth="1"/>
    <col min="30" max="30" width="30.6640625" style="2231" bestFit="1" customWidth="1"/>
    <col min="31" max="31" width="17.6640625" style="2231" bestFit="1" customWidth="1"/>
    <col min="32" max="32" width="30" style="2231" customWidth="1"/>
    <col min="33" max="34" width="21.6640625" style="2231" bestFit="1" customWidth="1"/>
    <col min="35" max="36" width="21.33203125" style="2231" bestFit="1" customWidth="1"/>
    <col min="37" max="37" width="21.6640625" style="2231" bestFit="1" customWidth="1"/>
    <col min="38" max="38" width="27.33203125" style="2231" bestFit="1" customWidth="1"/>
    <col min="39" max="39" width="21.1640625" style="2231" bestFit="1" customWidth="1"/>
    <col min="40" max="40" width="20.5" style="2231" bestFit="1" customWidth="1"/>
    <col min="41" max="16384" width="9.33203125" style="2775"/>
  </cols>
  <sheetData>
    <row r="1" spans="1:43" hidden="1">
      <c r="A1" s="2227"/>
      <c r="B1" s="2227"/>
      <c r="C1" s="2227"/>
      <c r="D1" s="2227"/>
      <c r="E1" s="2227"/>
      <c r="F1" s="2227"/>
      <c r="G1" s="2227"/>
      <c r="H1" s="2227"/>
      <c r="I1" s="2825">
        <f>I16+I17-'Exhibit No._(CTM-2), Pg. 32-34'!E27</f>
        <v>0</v>
      </c>
      <c r="J1" s="2227"/>
      <c r="K1" s="2227"/>
      <c r="L1" s="2227">
        <f>'Exhibit No._(CTM-2), Pg. 1 (D)'!M1+1</f>
        <v>2</v>
      </c>
      <c r="M1" s="2227"/>
      <c r="N1" s="2227"/>
      <c r="O1" s="2227"/>
      <c r="P1" s="2227"/>
      <c r="Q1" s="2227"/>
      <c r="R1" s="2227">
        <f>L1+1</f>
        <v>3</v>
      </c>
      <c r="S1" s="2227"/>
      <c r="T1" s="2227"/>
      <c r="U1" s="2227"/>
      <c r="V1" s="2227"/>
      <c r="W1" s="2227"/>
      <c r="X1" s="2227">
        <f>R1+1</f>
        <v>4</v>
      </c>
      <c r="Y1" s="2227"/>
      <c r="Z1" s="2227"/>
      <c r="AA1" s="2227"/>
      <c r="AB1" s="2227"/>
      <c r="AC1" s="2227"/>
      <c r="AD1" s="2227"/>
      <c r="AE1" s="2227"/>
      <c r="AF1" s="2227">
        <f>X1+1</f>
        <v>5</v>
      </c>
      <c r="AG1" s="2227"/>
      <c r="AH1" s="2227"/>
      <c r="AI1" s="2227"/>
      <c r="AJ1" s="2227"/>
      <c r="AK1" s="2227"/>
      <c r="AL1" s="2227"/>
      <c r="AM1" s="2227"/>
      <c r="AN1" s="2227">
        <f>AF1+1</f>
        <v>6</v>
      </c>
    </row>
    <row r="2" spans="1:43">
      <c r="A2" s="2277"/>
      <c r="F2" s="2228"/>
      <c r="G2" s="2228"/>
      <c r="H2" s="2228"/>
      <c r="I2" s="2281"/>
      <c r="L2" s="2222" t="s">
        <v>3014</v>
      </c>
      <c r="M2" s="2346"/>
      <c r="O2" s="2346"/>
      <c r="P2" s="2346"/>
      <c r="R2" s="2222" t="s">
        <v>3014</v>
      </c>
      <c r="X2" s="2222" t="s">
        <v>3014</v>
      </c>
      <c r="AB2" s="2346"/>
      <c r="AF2" s="2222" t="s">
        <v>3014</v>
      </c>
      <c r="AN2" s="2222" t="s">
        <v>3014</v>
      </c>
    </row>
    <row r="3" spans="1:43" ht="16.5" thickBot="1">
      <c r="F3" s="2336"/>
      <c r="G3" s="2336"/>
      <c r="H3" s="2336"/>
      <c r="K3" s="2281"/>
      <c r="L3" s="2223" t="s">
        <v>2889</v>
      </c>
      <c r="M3" s="2487"/>
      <c r="O3" s="2487"/>
      <c r="P3" s="2487"/>
      <c r="R3" s="2222" t="str">
        <f>$L3</f>
        <v>Dockets UE-111048/UG-111049</v>
      </c>
      <c r="X3" s="2222" t="str">
        <f>$L3</f>
        <v>Dockets UE-111048/UG-111049</v>
      </c>
      <c r="AB3" s="2487"/>
      <c r="AF3" s="2222" t="str">
        <f>$L3</f>
        <v>Dockets UE-111048/UG-111049</v>
      </c>
      <c r="AM3" s="2236"/>
      <c r="AN3" s="2222" t="str">
        <f>$L3</f>
        <v>Dockets UE-111048/UG-111049</v>
      </c>
    </row>
    <row r="4" spans="1:43" s="2827" customFormat="1" ht="17.25" thickTop="1" thickBot="1">
      <c r="A4" s="2267"/>
      <c r="B4" s="2267"/>
      <c r="C4" s="2267"/>
      <c r="D4" s="2267"/>
      <c r="E4" s="2267"/>
      <c r="F4" s="2267"/>
      <c r="G4" s="2267"/>
      <c r="H4" s="2267"/>
      <c r="I4" s="2267"/>
      <c r="J4" s="2267"/>
      <c r="K4" s="2289"/>
      <c r="L4" s="2224" t="str">
        <f>"Page "&amp;L1&amp;" of "&amp;'Exhibit No._(CTM-2), Pg. 32-34'!$N$1</f>
        <v>Page 2 of 34</v>
      </c>
      <c r="M4" s="2826"/>
      <c r="N4" s="2267"/>
      <c r="O4" s="2826"/>
      <c r="P4" s="2826"/>
      <c r="Q4" s="2267"/>
      <c r="R4" s="2224" t="str">
        <f>"Page "&amp;R1&amp;" of "&amp;'Exhibit No._(CTM-2), Pg. 32-34'!$N$1</f>
        <v>Page 3 of 34</v>
      </c>
      <c r="S4" s="2267"/>
      <c r="T4" s="2267"/>
      <c r="U4" s="2267"/>
      <c r="V4" s="2267"/>
      <c r="W4" s="2267"/>
      <c r="X4" s="2224" t="str">
        <f>"Page "&amp;X1&amp;" of "&amp;'Exhibit No._(CTM-2), Pg. 32-34'!$N$1</f>
        <v>Page 4 of 34</v>
      </c>
      <c r="Y4" s="2267"/>
      <c r="Z4" s="2267"/>
      <c r="AA4" s="2267"/>
      <c r="AB4" s="2826"/>
      <c r="AC4" s="2267"/>
      <c r="AD4" s="2267"/>
      <c r="AE4" s="2267"/>
      <c r="AF4" s="2224" t="str">
        <f>"Page "&amp;AF1&amp;" of "&amp;'Exhibit No._(CTM-2), Pg. 32-34'!$N$1</f>
        <v>Page 5 of 34</v>
      </c>
      <c r="AG4" s="2267"/>
      <c r="AH4" s="2267"/>
      <c r="AI4" s="2267"/>
      <c r="AJ4" s="2267"/>
      <c r="AK4" s="2267"/>
      <c r="AL4" s="2267"/>
      <c r="AM4" s="2267"/>
      <c r="AN4" s="2224" t="str">
        <f>"Page "&amp;AN1&amp;" of "&amp;'Exhibit No._(CTM-2), Pg. 32-34'!$N$1</f>
        <v>Page 6 of 34</v>
      </c>
    </row>
    <row r="5" spans="1:43" ht="16.5" thickTop="1">
      <c r="A5" s="2235" t="s">
        <v>976</v>
      </c>
      <c r="B5" s="2828"/>
      <c r="C5" s="2828"/>
      <c r="D5" s="2828"/>
      <c r="E5" s="2828"/>
      <c r="F5" s="2829"/>
      <c r="G5" s="2829"/>
      <c r="H5" s="2829"/>
      <c r="I5" s="2828"/>
      <c r="J5" s="2828"/>
      <c r="K5" s="2237"/>
      <c r="L5" s="2311"/>
      <c r="M5" s="2830" t="s">
        <v>19</v>
      </c>
      <c r="N5" s="2828"/>
      <c r="O5" s="2828"/>
      <c r="P5" s="2828"/>
      <c r="Q5" s="2828"/>
      <c r="R5" s="2828"/>
      <c r="S5" s="2830" t="s">
        <v>19</v>
      </c>
      <c r="T5" s="2236"/>
      <c r="U5" s="2236"/>
      <c r="V5" s="2236"/>
      <c r="W5" s="2828"/>
      <c r="X5" s="2828"/>
      <c r="Y5" s="2830" t="s">
        <v>19</v>
      </c>
      <c r="Z5" s="2828"/>
      <c r="AA5" s="2828"/>
      <c r="AB5" s="2828"/>
      <c r="AC5" s="2828"/>
      <c r="AD5" s="2236"/>
      <c r="AE5" s="2828"/>
      <c r="AF5" s="2828"/>
      <c r="AG5" s="2830" t="s">
        <v>19</v>
      </c>
      <c r="AH5" s="2830"/>
      <c r="AI5" s="2828"/>
      <c r="AJ5" s="2236"/>
      <c r="AK5" s="2828"/>
      <c r="AL5" s="2828"/>
      <c r="AM5" s="2828"/>
      <c r="AN5" s="2828"/>
    </row>
    <row r="6" spans="1:43">
      <c r="A6" s="2830" t="s">
        <v>23</v>
      </c>
      <c r="B6" s="2830"/>
      <c r="C6" s="2830"/>
      <c r="D6" s="2830"/>
      <c r="E6" s="2830"/>
      <c r="F6" s="2830"/>
      <c r="G6" s="2830"/>
      <c r="H6" s="2830"/>
      <c r="I6" s="2828"/>
      <c r="J6" s="2828"/>
      <c r="K6" s="2237"/>
      <c r="L6" s="2223"/>
      <c r="M6" s="2830" t="s">
        <v>104</v>
      </c>
      <c r="N6" s="2830"/>
      <c r="O6" s="2828"/>
      <c r="P6" s="2828"/>
      <c r="Q6" s="2831"/>
      <c r="R6" s="2828"/>
      <c r="S6" s="2830" t="s">
        <v>104</v>
      </c>
      <c r="T6" s="2236"/>
      <c r="U6" s="2236"/>
      <c r="V6" s="2236"/>
      <c r="W6" s="2828"/>
      <c r="X6" s="2830"/>
      <c r="Y6" s="2830" t="s">
        <v>104</v>
      </c>
      <c r="Z6" s="2828"/>
      <c r="AA6" s="2831"/>
      <c r="AB6" s="2828"/>
      <c r="AC6" s="2828"/>
      <c r="AD6" s="2236"/>
      <c r="AE6" s="2830"/>
      <c r="AF6" s="2828"/>
      <c r="AG6" s="2830" t="s">
        <v>104</v>
      </c>
      <c r="AH6" s="2830"/>
      <c r="AI6" s="2828"/>
      <c r="AJ6" s="2236"/>
      <c r="AK6" s="2828"/>
      <c r="AL6" s="2828"/>
      <c r="AM6" s="2830"/>
      <c r="AN6" s="2828"/>
    </row>
    <row r="7" spans="1:43">
      <c r="A7" s="2828" t="s">
        <v>978</v>
      </c>
      <c r="B7" s="2830"/>
      <c r="C7" s="2830"/>
      <c r="D7" s="2830"/>
      <c r="E7" s="2830"/>
      <c r="F7" s="2830"/>
      <c r="G7" s="2830"/>
      <c r="H7" s="2830"/>
      <c r="I7" s="2828"/>
      <c r="J7" s="2828"/>
      <c r="K7" s="2237"/>
      <c r="L7" s="2832" t="s">
        <v>17</v>
      </c>
      <c r="M7" s="2828" t="s">
        <v>978</v>
      </c>
      <c r="N7" s="2830"/>
      <c r="O7" s="2828"/>
      <c r="P7" s="2828"/>
      <c r="Q7" s="2828"/>
      <c r="R7" s="2828"/>
      <c r="S7" s="2828" t="s">
        <v>978</v>
      </c>
      <c r="T7" s="2236"/>
      <c r="U7" s="2236"/>
      <c r="V7" s="2236"/>
      <c r="W7" s="2828"/>
      <c r="X7" s="2830"/>
      <c r="Y7" s="2828" t="s">
        <v>978</v>
      </c>
      <c r="Z7" s="2828"/>
      <c r="AA7" s="2828"/>
      <c r="AB7" s="2828"/>
      <c r="AC7" s="2828"/>
      <c r="AD7" s="2236"/>
      <c r="AE7" s="2830"/>
      <c r="AF7" s="2828"/>
      <c r="AG7" s="2828" t="s">
        <v>978</v>
      </c>
      <c r="AH7" s="2828"/>
      <c r="AI7" s="2828"/>
      <c r="AJ7" s="2236"/>
      <c r="AK7" s="2828"/>
      <c r="AL7" s="2828"/>
      <c r="AM7" s="2830"/>
      <c r="AN7" s="2828"/>
    </row>
    <row r="8" spans="1:43">
      <c r="A8" s="2828" t="s">
        <v>977</v>
      </c>
      <c r="B8" s="2828"/>
      <c r="C8" s="2828"/>
      <c r="D8" s="2828"/>
      <c r="E8" s="2828"/>
      <c r="F8" s="2828"/>
      <c r="G8" s="2828"/>
      <c r="H8" s="2828"/>
      <c r="I8" s="2828"/>
      <c r="J8" s="2828"/>
      <c r="K8" s="2237"/>
      <c r="L8" s="2832" t="s">
        <v>17</v>
      </c>
      <c r="M8" s="2828" t="s">
        <v>2893</v>
      </c>
      <c r="N8" s="2828"/>
      <c r="O8" s="2828"/>
      <c r="P8" s="2828"/>
      <c r="Q8" s="2828"/>
      <c r="R8" s="2828"/>
      <c r="S8" s="2828" t="s">
        <v>2892</v>
      </c>
      <c r="T8" s="2236"/>
      <c r="U8" s="2236"/>
      <c r="V8" s="2236"/>
      <c r="W8" s="2828"/>
      <c r="X8" s="2828"/>
      <c r="Y8" s="2828" t="s">
        <v>2891</v>
      </c>
      <c r="Z8" s="2828"/>
      <c r="AA8" s="2828"/>
      <c r="AB8" s="2828"/>
      <c r="AC8" s="2828"/>
      <c r="AD8" s="2236"/>
      <c r="AE8" s="2828"/>
      <c r="AF8" s="2828"/>
      <c r="AG8" s="2828" t="s">
        <v>2890</v>
      </c>
      <c r="AH8" s="2830"/>
      <c r="AI8" s="2828"/>
      <c r="AJ8" s="2236"/>
      <c r="AK8" s="2828"/>
      <c r="AL8" s="2828"/>
      <c r="AM8" s="2828"/>
      <c r="AN8" s="2828"/>
    </row>
    <row r="9" spans="1:43">
      <c r="A9" s="2311"/>
      <c r="B9" s="2311"/>
      <c r="C9" s="2311"/>
      <c r="D9" s="2311"/>
      <c r="E9" s="2332"/>
      <c r="F9" s="2332"/>
      <c r="G9" s="2332"/>
      <c r="H9" s="2332"/>
      <c r="I9" s="2332"/>
      <c r="J9" s="2332"/>
      <c r="K9" s="2634"/>
      <c r="L9" s="2833"/>
      <c r="M9" s="2237"/>
      <c r="N9" s="2237"/>
      <c r="O9" s="2237"/>
      <c r="P9" s="2237"/>
      <c r="Q9" s="2237"/>
      <c r="R9" s="2237"/>
      <c r="S9" s="2237"/>
      <c r="T9" s="2237"/>
      <c r="U9" s="2237"/>
      <c r="V9" s="2237"/>
      <c r="W9" s="2237"/>
      <c r="X9" s="2237"/>
      <c r="Y9" s="2237"/>
      <c r="Z9" s="2237"/>
      <c r="AA9" s="2237"/>
      <c r="AB9" s="2237"/>
      <c r="AC9" s="2237"/>
      <c r="AD9" s="2237"/>
      <c r="AE9" s="2237"/>
      <c r="AF9" s="2237"/>
      <c r="AG9" s="2237"/>
      <c r="AH9" s="2237"/>
      <c r="AI9" s="2237"/>
      <c r="AJ9" s="2237"/>
      <c r="AK9" s="2237"/>
      <c r="AL9" s="2237"/>
      <c r="AM9" s="2237"/>
      <c r="AN9" s="2332"/>
      <c r="AQ9" s="2834"/>
    </row>
    <row r="10" spans="1:43">
      <c r="A10" s="2228"/>
      <c r="B10" s="2228"/>
      <c r="C10" s="2228"/>
      <c r="D10" s="2835"/>
      <c r="E10" s="2835"/>
      <c r="F10" s="2835"/>
      <c r="G10" s="2835"/>
      <c r="H10" s="2835"/>
      <c r="I10" s="2835"/>
      <c r="J10" s="2835"/>
      <c r="K10" s="2228"/>
      <c r="L10" s="2228"/>
      <c r="M10" s="34"/>
      <c r="N10" s="2834" t="s">
        <v>2894</v>
      </c>
      <c r="O10" s="2834" t="s">
        <v>2894</v>
      </c>
      <c r="P10" s="2834" t="s">
        <v>2895</v>
      </c>
      <c r="Q10" s="2834" t="s">
        <v>2895</v>
      </c>
      <c r="R10" s="2834" t="s">
        <v>2895</v>
      </c>
      <c r="S10" s="2834" t="s">
        <v>2895</v>
      </c>
      <c r="T10" s="2834" t="s">
        <v>2894</v>
      </c>
      <c r="U10" s="2834" t="s">
        <v>2894</v>
      </c>
      <c r="V10" s="2834" t="s">
        <v>2894</v>
      </c>
      <c r="W10" s="2834" t="s">
        <v>2894</v>
      </c>
      <c r="X10" s="2834" t="s">
        <v>2895</v>
      </c>
      <c r="Y10" s="2834" t="s">
        <v>2895</v>
      </c>
      <c r="Z10" s="2834" t="s">
        <v>2894</v>
      </c>
      <c r="AA10" s="2834" t="s">
        <v>2894</v>
      </c>
      <c r="AB10" s="2834" t="s">
        <v>2895</v>
      </c>
      <c r="AC10" s="2834" t="s">
        <v>2894</v>
      </c>
      <c r="AD10" s="2834" t="s">
        <v>2895</v>
      </c>
      <c r="AE10" s="2834" t="s">
        <v>2894</v>
      </c>
      <c r="AF10" s="2834" t="s">
        <v>2895</v>
      </c>
      <c r="AG10" s="2834" t="s">
        <v>2895</v>
      </c>
      <c r="AH10" s="2834" t="s">
        <v>2895</v>
      </c>
      <c r="AI10" s="2834" t="s">
        <v>2895</v>
      </c>
      <c r="AJ10" s="2834" t="s">
        <v>2895</v>
      </c>
      <c r="AK10" s="2834" t="s">
        <v>2895</v>
      </c>
      <c r="AL10" s="2834" t="s">
        <v>2894</v>
      </c>
      <c r="AM10" s="2835"/>
      <c r="AN10" s="2835"/>
      <c r="AQ10" s="2834"/>
    </row>
    <row r="11" spans="1:43">
      <c r="A11" s="2228"/>
      <c r="B11" s="2228"/>
      <c r="C11" s="2228"/>
      <c r="D11" s="34" t="s">
        <v>36</v>
      </c>
      <c r="E11" s="34"/>
      <c r="F11" s="34" t="s">
        <v>123</v>
      </c>
      <c r="G11" s="34" t="s">
        <v>2908</v>
      </c>
      <c r="H11" s="34" t="s">
        <v>123</v>
      </c>
      <c r="I11" s="34" t="s">
        <v>124</v>
      </c>
      <c r="J11" s="34" t="s">
        <v>125</v>
      </c>
      <c r="K11" s="34"/>
      <c r="L11" s="34"/>
      <c r="M11" s="34" t="s">
        <v>27</v>
      </c>
      <c r="N11" s="34" t="s">
        <v>389</v>
      </c>
      <c r="O11" s="34" t="s">
        <v>454</v>
      </c>
      <c r="P11" s="34" t="s">
        <v>456</v>
      </c>
      <c r="Q11" s="34" t="s">
        <v>210</v>
      </c>
      <c r="R11" s="34" t="s">
        <v>141</v>
      </c>
      <c r="S11" s="34" t="s">
        <v>230</v>
      </c>
      <c r="T11" s="34" t="s">
        <v>28</v>
      </c>
      <c r="U11" s="34" t="s">
        <v>29</v>
      </c>
      <c r="V11" s="34" t="s">
        <v>31</v>
      </c>
      <c r="W11" s="34" t="s">
        <v>376</v>
      </c>
      <c r="X11" s="34" t="s">
        <v>383</v>
      </c>
      <c r="Y11" s="34" t="s">
        <v>30</v>
      </c>
      <c r="Z11" s="34" t="s">
        <v>459</v>
      </c>
      <c r="AA11" s="34" t="s">
        <v>32</v>
      </c>
      <c r="AB11" s="34" t="s">
        <v>460</v>
      </c>
      <c r="AC11" s="34" t="s">
        <v>172</v>
      </c>
      <c r="AD11" s="34" t="s">
        <v>177</v>
      </c>
      <c r="AE11" s="34" t="s">
        <v>35</v>
      </c>
      <c r="AF11" s="34" t="s">
        <v>168</v>
      </c>
      <c r="AG11" s="34" t="s">
        <v>130</v>
      </c>
      <c r="AH11" s="34" t="s">
        <v>144</v>
      </c>
      <c r="AI11" s="34" t="s">
        <v>117</v>
      </c>
      <c r="AJ11" s="34" t="s">
        <v>34</v>
      </c>
      <c r="AK11" s="34" t="s">
        <v>33</v>
      </c>
      <c r="AL11" s="34" t="s">
        <v>2902</v>
      </c>
      <c r="AM11" s="34" t="s">
        <v>37</v>
      </c>
      <c r="AN11" s="34" t="s">
        <v>123</v>
      </c>
    </row>
    <row r="12" spans="1:43">
      <c r="A12" s="34" t="s">
        <v>24</v>
      </c>
      <c r="B12" s="2228"/>
      <c r="C12" s="2228"/>
      <c r="D12" s="34" t="s">
        <v>55</v>
      </c>
      <c r="E12" s="34" t="s">
        <v>37</v>
      </c>
      <c r="F12" s="34" t="s">
        <v>55</v>
      </c>
      <c r="G12" s="34" t="s">
        <v>2905</v>
      </c>
      <c r="H12" s="34" t="s">
        <v>2907</v>
      </c>
      <c r="I12" s="34" t="s">
        <v>126</v>
      </c>
      <c r="J12" s="34" t="s">
        <v>56</v>
      </c>
      <c r="K12" s="34"/>
      <c r="L12" s="34"/>
      <c r="M12" s="34" t="s">
        <v>45</v>
      </c>
      <c r="N12" s="34" t="s">
        <v>154</v>
      </c>
      <c r="O12" s="34" t="s">
        <v>455</v>
      </c>
      <c r="P12" s="34" t="s">
        <v>457</v>
      </c>
      <c r="Q12" s="34" t="s">
        <v>211</v>
      </c>
      <c r="R12" s="34" t="s">
        <v>54</v>
      </c>
      <c r="S12" s="34" t="s">
        <v>231</v>
      </c>
      <c r="T12" s="34" t="s">
        <v>47</v>
      </c>
      <c r="U12" s="34" t="s">
        <v>142</v>
      </c>
      <c r="V12" s="34" t="s">
        <v>77</v>
      </c>
      <c r="W12" s="34" t="s">
        <v>154</v>
      </c>
      <c r="X12" s="34" t="s">
        <v>384</v>
      </c>
      <c r="Y12" s="34" t="s">
        <v>48</v>
      </c>
      <c r="Z12" s="34" t="s">
        <v>458</v>
      </c>
      <c r="AA12" s="34" t="s">
        <v>50</v>
      </c>
      <c r="AB12" s="34" t="s">
        <v>50</v>
      </c>
      <c r="AC12" s="34" t="s">
        <v>52</v>
      </c>
      <c r="AD12" s="34" t="s">
        <v>178</v>
      </c>
      <c r="AE12" s="34" t="s">
        <v>54</v>
      </c>
      <c r="AF12" s="34" t="s">
        <v>169</v>
      </c>
      <c r="AG12" s="34" t="s">
        <v>131</v>
      </c>
      <c r="AH12" s="34" t="s">
        <v>53</v>
      </c>
      <c r="AI12" s="34" t="s">
        <v>25</v>
      </c>
      <c r="AJ12" s="34" t="s">
        <v>53</v>
      </c>
      <c r="AK12" s="34" t="s">
        <v>52</v>
      </c>
      <c r="AL12" s="34" t="s">
        <v>2903</v>
      </c>
      <c r="AM12" s="2311" t="s">
        <v>49</v>
      </c>
      <c r="AN12" s="34" t="s">
        <v>55</v>
      </c>
    </row>
    <row r="13" spans="1:43">
      <c r="A13" s="2311" t="s">
        <v>38</v>
      </c>
      <c r="B13" s="2311" t="s">
        <v>39</v>
      </c>
      <c r="C13" s="2232"/>
      <c r="D13" s="2311" t="s">
        <v>45</v>
      </c>
      <c r="E13" s="2311" t="s">
        <v>49</v>
      </c>
      <c r="F13" s="2311" t="s">
        <v>45</v>
      </c>
      <c r="G13" s="2311" t="s">
        <v>2906</v>
      </c>
      <c r="H13" s="2311" t="s">
        <v>127</v>
      </c>
      <c r="I13" s="2311" t="s">
        <v>127</v>
      </c>
      <c r="J13" s="2311" t="s">
        <v>25</v>
      </c>
      <c r="K13" s="34"/>
      <c r="L13" s="34"/>
      <c r="M13" s="34" t="s">
        <v>449</v>
      </c>
      <c r="N13" s="2836">
        <v>5.01</v>
      </c>
      <c r="O13" s="2836">
        <f>N13+0.01</f>
        <v>5.0199999999999996</v>
      </c>
      <c r="P13" s="2836">
        <f>O13+0.01</f>
        <v>5.0299999999999994</v>
      </c>
      <c r="Q13" s="2836">
        <v>6.01</v>
      </c>
      <c r="R13" s="2836">
        <f t="shared" ref="R13:AI13" si="0">Q13+0.01</f>
        <v>6.02</v>
      </c>
      <c r="S13" s="2836">
        <f t="shared" si="0"/>
        <v>6.0299999999999994</v>
      </c>
      <c r="T13" s="2836">
        <f t="shared" si="0"/>
        <v>6.0399999999999991</v>
      </c>
      <c r="U13" s="2836">
        <f t="shared" si="0"/>
        <v>6.0499999999999989</v>
      </c>
      <c r="V13" s="2836">
        <f t="shared" si="0"/>
        <v>6.0599999999999987</v>
      </c>
      <c r="W13" s="2836">
        <f t="shared" si="0"/>
        <v>6.0699999999999985</v>
      </c>
      <c r="X13" s="2836">
        <f t="shared" si="0"/>
        <v>6.0799999999999983</v>
      </c>
      <c r="Y13" s="2836">
        <f t="shared" si="0"/>
        <v>6.0899999999999981</v>
      </c>
      <c r="Z13" s="2836">
        <f t="shared" si="0"/>
        <v>6.0999999999999979</v>
      </c>
      <c r="AA13" s="2836">
        <f t="shared" si="0"/>
        <v>6.1099999999999977</v>
      </c>
      <c r="AB13" s="2836">
        <f t="shared" si="0"/>
        <v>6.1199999999999974</v>
      </c>
      <c r="AC13" s="2836">
        <f t="shared" si="0"/>
        <v>6.1299999999999972</v>
      </c>
      <c r="AD13" s="2836">
        <f t="shared" si="0"/>
        <v>6.139999999999997</v>
      </c>
      <c r="AE13" s="2836">
        <f t="shared" si="0"/>
        <v>6.1499999999999968</v>
      </c>
      <c r="AF13" s="2836">
        <f t="shared" si="0"/>
        <v>6.1599999999999966</v>
      </c>
      <c r="AG13" s="2836">
        <f t="shared" si="0"/>
        <v>6.1699999999999964</v>
      </c>
      <c r="AH13" s="2836">
        <f t="shared" si="0"/>
        <v>6.1799999999999962</v>
      </c>
      <c r="AI13" s="2836">
        <f t="shared" si="0"/>
        <v>6.1899999999999959</v>
      </c>
      <c r="AJ13" s="2836">
        <f>AI13+0.01</f>
        <v>6.1999999999999957</v>
      </c>
      <c r="AK13" s="2836">
        <f>+AJ13+0.01</f>
        <v>6.2099999999999955</v>
      </c>
      <c r="AL13" s="2836">
        <f>+AK13+0.01</f>
        <v>6.2199999999999953</v>
      </c>
      <c r="AM13" s="2311"/>
      <c r="AN13" s="2311" t="s">
        <v>45</v>
      </c>
    </row>
    <row r="14" spans="1:43" ht="16.5" thickBot="1">
      <c r="A14" s="2248" t="s">
        <v>58</v>
      </c>
      <c r="B14" s="2248"/>
      <c r="C14" s="2248"/>
      <c r="D14" s="2248"/>
      <c r="E14" s="2248"/>
      <c r="F14" s="2248"/>
      <c r="G14" s="2248"/>
      <c r="H14" s="2248"/>
      <c r="I14" s="2248"/>
      <c r="J14" s="2248"/>
      <c r="K14" s="2248"/>
      <c r="L14" s="2248"/>
      <c r="M14" s="2248"/>
      <c r="N14" s="2248"/>
      <c r="O14" s="2248"/>
      <c r="P14" s="2248"/>
      <c r="Q14" s="2248"/>
      <c r="R14" s="2248"/>
      <c r="S14" s="2248"/>
      <c r="T14" s="2248"/>
      <c r="U14" s="2248"/>
      <c r="V14" s="2248"/>
      <c r="W14" s="2248"/>
      <c r="X14" s="2248"/>
      <c r="Y14" s="2248"/>
      <c r="Z14" s="2248"/>
      <c r="AA14" s="2248"/>
      <c r="AB14" s="2248"/>
      <c r="AC14" s="2248"/>
      <c r="AD14" s="2248"/>
      <c r="AE14" s="2248"/>
      <c r="AF14" s="2248"/>
      <c r="AG14" s="2248"/>
      <c r="AH14" s="2248"/>
      <c r="AI14" s="2248"/>
      <c r="AJ14" s="2248"/>
      <c r="AK14" s="2248"/>
      <c r="AL14" s="2248"/>
      <c r="AM14" s="2248"/>
      <c r="AN14" s="2248"/>
    </row>
    <row r="15" spans="1:43">
      <c r="A15" s="2239">
        <v>1</v>
      </c>
      <c r="B15" s="2645" t="s">
        <v>60</v>
      </c>
      <c r="C15" s="2645"/>
      <c r="D15" s="2426"/>
      <c r="L15" s="2837" t="s">
        <v>2899</v>
      </c>
      <c r="M15" s="2339"/>
      <c r="AM15" s="2259"/>
      <c r="AN15" s="2426"/>
    </row>
    <row r="16" spans="1:43">
      <c r="A16" s="2239">
        <f t="shared" ref="A16:A59" si="1">+A15+1</f>
        <v>2</v>
      </c>
      <c r="B16" s="2249" t="s">
        <v>1</v>
      </c>
      <c r="C16" s="2249"/>
      <c r="D16" s="2493">
        <f>'Exhibit No._(CTM-2), Pg. 2-6'!M16</f>
        <v>953445525.50999999</v>
      </c>
      <c r="E16" s="2956">
        <f>'Exhibit No._(CTM-2), Pg. 2-6'!AM16</f>
        <v>86342727.155601606</v>
      </c>
      <c r="F16" s="2956">
        <f>+D16+E16</f>
        <v>1039788252.6656016</v>
      </c>
      <c r="G16" s="2247">
        <v>0</v>
      </c>
      <c r="H16" s="2958">
        <f>F16+G16</f>
        <v>1039788252.6656016</v>
      </c>
      <c r="I16" s="2958">
        <f>+I19-I18</f>
        <v>2211414</v>
      </c>
      <c r="J16" s="2958">
        <f>H16+I16</f>
        <v>1041999666.6656016</v>
      </c>
      <c r="K16" s="2247"/>
      <c r="L16" s="2838">
        <f>I16/F16</f>
        <v>2.1267926371843671E-3</v>
      </c>
      <c r="M16" s="2346">
        <v>953445525.50999999</v>
      </c>
      <c r="N16" s="2259">
        <v>0</v>
      </c>
      <c r="O16" s="2259"/>
      <c r="P16" s="2259"/>
      <c r="Q16" s="2259">
        <f>+'Exhibit No._(CTM-2), Pg. 10-30'!F39</f>
        <v>33261442.322567675</v>
      </c>
      <c r="R16" s="2259">
        <f>'Exhibit No._(CTM-2), Pg. 10-30'!K27</f>
        <v>10718138.270520872</v>
      </c>
      <c r="S16" s="2259">
        <f>-SUM('Exhibit No._(CTM-2), Pg. 10-30'!O14:O16)</f>
        <v>42363146.562513061</v>
      </c>
      <c r="T16" s="2259">
        <v>0</v>
      </c>
      <c r="U16" s="2259">
        <v>0</v>
      </c>
      <c r="V16" s="2259">
        <v>0</v>
      </c>
      <c r="W16" s="2259">
        <v>0</v>
      </c>
      <c r="X16" s="2259">
        <v>0</v>
      </c>
      <c r="Y16" s="2259">
        <v>0</v>
      </c>
      <c r="Z16" s="2259">
        <v>0</v>
      </c>
      <c r="AA16" s="2259">
        <v>0</v>
      </c>
      <c r="AB16" s="2259"/>
      <c r="AC16" s="2259"/>
      <c r="AD16" s="2259">
        <v>0</v>
      </c>
      <c r="AE16" s="2259">
        <v>0</v>
      </c>
      <c r="AF16" s="2259"/>
      <c r="AG16" s="2259">
        <v>0</v>
      </c>
      <c r="AH16" s="2259">
        <v>0</v>
      </c>
      <c r="AI16" s="2259">
        <v>0</v>
      </c>
      <c r="AJ16" s="2259">
        <v>0</v>
      </c>
      <c r="AK16" s="2259">
        <v>0</v>
      </c>
      <c r="AL16" s="2259">
        <v>0</v>
      </c>
      <c r="AM16" s="2259">
        <f>SUM(N16:AL16)</f>
        <v>86342727.155601606</v>
      </c>
      <c r="AN16" s="2259">
        <f>M16+AM16</f>
        <v>1039788252.6656016</v>
      </c>
    </row>
    <row r="17" spans="1:40">
      <c r="A17" s="2239">
        <f t="shared" si="1"/>
        <v>3</v>
      </c>
      <c r="B17" s="2249" t="s">
        <v>66</v>
      </c>
      <c r="C17" s="2249"/>
      <c r="D17" s="2839">
        <f>'Exhibit No._(CTM-2), Pg. 2-6'!M17</f>
        <v>43761997</v>
      </c>
      <c r="E17" s="2378">
        <f>'Exhibit No._(CTM-2), Pg. 2-6'!AM17</f>
        <v>-43761996.879999995</v>
      </c>
      <c r="F17" s="2378">
        <f t="shared" ref="F17" si="2">+D17+E17</f>
        <v>0.12000000476837158</v>
      </c>
      <c r="G17" s="2293">
        <v>0</v>
      </c>
      <c r="H17" s="2293">
        <f t="shared" ref="H17:H18" si="3">F17+G17</f>
        <v>0.12000000476837158</v>
      </c>
      <c r="I17" s="2293"/>
      <c r="J17" s="2293">
        <f t="shared" ref="J17:J18" si="4">H17+I17</f>
        <v>0.12000000476837158</v>
      </c>
      <c r="K17" s="2293"/>
      <c r="L17" s="2840"/>
      <c r="M17" s="2487">
        <v>43761997</v>
      </c>
      <c r="N17" s="2278"/>
      <c r="O17" s="2278"/>
      <c r="P17" s="2278"/>
      <c r="Q17" s="2278"/>
      <c r="R17" s="2278"/>
      <c r="S17" s="2278">
        <f>-SUM('Exhibit No._(CTM-2), Pg. 10-30'!O17:O18)</f>
        <v>-43761996.879999995</v>
      </c>
      <c r="T17" s="2278"/>
      <c r="U17" s="2278"/>
      <c r="V17" s="2278"/>
      <c r="W17" s="2278"/>
      <c r="X17" s="2278"/>
      <c r="Y17" s="2278"/>
      <c r="Z17" s="2278"/>
      <c r="AA17" s="2278"/>
      <c r="AB17" s="2278"/>
      <c r="AC17" s="2278"/>
      <c r="AD17" s="2278"/>
      <c r="AE17" s="2278"/>
      <c r="AF17" s="2278"/>
      <c r="AG17" s="2278"/>
      <c r="AH17" s="2278"/>
      <c r="AI17" s="2278"/>
      <c r="AJ17" s="2278"/>
      <c r="AK17" s="2278"/>
      <c r="AL17" s="2278"/>
      <c r="AM17" s="2259">
        <f t="shared" ref="AM17:AM18" si="5">SUM(N17:AL17)</f>
        <v>-43761996.879999995</v>
      </c>
      <c r="AN17" s="2278">
        <f>M17+AM17</f>
        <v>0.12000000476837158</v>
      </c>
    </row>
    <row r="18" spans="1:40" ht="16.5" thickBot="1">
      <c r="A18" s="2239">
        <f t="shared" si="1"/>
        <v>4</v>
      </c>
      <c r="B18" s="2249" t="s">
        <v>2</v>
      </c>
      <c r="C18" s="2249"/>
      <c r="D18" s="2841">
        <f>'Exhibit No._(CTM-2), Pg. 2-6'!M18</f>
        <v>14322993.74</v>
      </c>
      <c r="E18" s="2842">
        <f>'Exhibit No._(CTM-2), Pg. 2-6'!AM18</f>
        <v>575830.26499999966</v>
      </c>
      <c r="F18" s="2842">
        <f>+D18+E18</f>
        <v>14898824.004999999</v>
      </c>
      <c r="G18" s="2843">
        <v>0</v>
      </c>
      <c r="H18" s="2843">
        <f t="shared" si="3"/>
        <v>14898824.004999999</v>
      </c>
      <c r="I18" s="2843">
        <f>'Exhibit No._(CTM-2), Pg. 32-34'!E25</f>
        <v>0</v>
      </c>
      <c r="J18" s="2843">
        <f t="shared" si="4"/>
        <v>14898824.004999999</v>
      </c>
      <c r="K18" s="2844"/>
      <c r="L18" s="2845">
        <f>+I18/F18</f>
        <v>0</v>
      </c>
      <c r="M18" s="2487">
        <v>14322993.74</v>
      </c>
      <c r="N18" s="2809"/>
      <c r="O18" s="2809"/>
      <c r="P18" s="2809"/>
      <c r="Q18" s="2809"/>
      <c r="R18" s="2809">
        <f>'Exhibit No._(CTM-2), Pg. 10-30'!K39</f>
        <v>575830.26499999966</v>
      </c>
      <c r="S18" s="2809"/>
      <c r="T18" s="2809"/>
      <c r="U18" s="2809"/>
      <c r="V18" s="2809"/>
      <c r="W18" s="2809"/>
      <c r="X18" s="2809"/>
      <c r="Y18" s="2809"/>
      <c r="Z18" s="2809"/>
      <c r="AA18" s="2809"/>
      <c r="AB18" s="2809"/>
      <c r="AC18" s="2809"/>
      <c r="AD18" s="2809" t="s">
        <v>18</v>
      </c>
      <c r="AE18" s="2809"/>
      <c r="AF18" s="2809"/>
      <c r="AG18" s="2809"/>
      <c r="AH18" s="2809"/>
      <c r="AI18" s="2809"/>
      <c r="AJ18" s="2809"/>
      <c r="AK18" s="2809"/>
      <c r="AL18" s="2809"/>
      <c r="AM18" s="2261">
        <f t="shared" si="5"/>
        <v>575830.26499999966</v>
      </c>
      <c r="AN18" s="2809">
        <f>M18+AM18</f>
        <v>14898824.004999999</v>
      </c>
    </row>
    <row r="19" spans="1:40" ht="16.5" thickBot="1">
      <c r="A19" s="2239">
        <f t="shared" si="1"/>
        <v>5</v>
      </c>
      <c r="B19" s="2249" t="s">
        <v>3</v>
      </c>
      <c r="C19" s="2249"/>
      <c r="D19" s="2493">
        <f>SUM(D16:D18)</f>
        <v>1011530516.25</v>
      </c>
      <c r="E19" s="2956">
        <f>SUM(E16:E18)</f>
        <v>43156560.540601611</v>
      </c>
      <c r="F19" s="2957">
        <f>SUM(F16:F18)</f>
        <v>1054687076.7906016</v>
      </c>
      <c r="G19" s="2413">
        <f>SUM(G16:G18)</f>
        <v>0</v>
      </c>
      <c r="H19" s="2957">
        <f>SUM(H16:H18)</f>
        <v>1054687076.7906016</v>
      </c>
      <c r="I19" s="2957">
        <f>'Exhibit No._(CTM-2), Pg. 32-34'!E24</f>
        <v>2211414</v>
      </c>
      <c r="J19" s="2957">
        <f>SUM(J16:J18)</f>
        <v>1056898490.7906016</v>
      </c>
      <c r="K19" s="2428"/>
      <c r="L19" s="2846">
        <f>+I19/F19</f>
        <v>2.0967489302412832E-3</v>
      </c>
      <c r="M19" s="2413">
        <f t="shared" ref="M19:U19" si="6">SUM(M16:M18)</f>
        <v>1011530516.25</v>
      </c>
      <c r="N19" s="2356">
        <f>SUM(N16:N18)</f>
        <v>0</v>
      </c>
      <c r="O19" s="2356">
        <f>SUM(O16:O18)</f>
        <v>0</v>
      </c>
      <c r="P19" s="2356">
        <f>SUM(P16:P18)</f>
        <v>0</v>
      </c>
      <c r="Q19" s="2356">
        <f t="shared" si="6"/>
        <v>33261442.322567675</v>
      </c>
      <c r="R19" s="2356">
        <f t="shared" si="6"/>
        <v>11293968.53552087</v>
      </c>
      <c r="S19" s="2356">
        <f>SUM(S16:S18)</f>
        <v>-1398850.3174869344</v>
      </c>
      <c r="T19" s="2356">
        <f t="shared" si="6"/>
        <v>0</v>
      </c>
      <c r="U19" s="2356">
        <f t="shared" si="6"/>
        <v>0</v>
      </c>
      <c r="V19" s="2356">
        <f t="shared" ref="V19:AB19" si="7">SUM(V16:V18)</f>
        <v>0</v>
      </c>
      <c r="W19" s="2356">
        <f t="shared" si="7"/>
        <v>0</v>
      </c>
      <c r="X19" s="2356">
        <f t="shared" si="7"/>
        <v>0</v>
      </c>
      <c r="Y19" s="2356">
        <f t="shared" si="7"/>
        <v>0</v>
      </c>
      <c r="Z19" s="2356">
        <f t="shared" si="7"/>
        <v>0</v>
      </c>
      <c r="AA19" s="2356">
        <f t="shared" si="7"/>
        <v>0</v>
      </c>
      <c r="AB19" s="2356">
        <f t="shared" si="7"/>
        <v>0</v>
      </c>
      <c r="AC19" s="2356">
        <f>SUM(AC15:AC18)</f>
        <v>0</v>
      </c>
      <c r="AD19" s="2356">
        <f t="shared" ref="AD19:AI19" si="8">SUM(AD16:AD18)</f>
        <v>0</v>
      </c>
      <c r="AE19" s="2356">
        <f t="shared" si="8"/>
        <v>0</v>
      </c>
      <c r="AF19" s="2356">
        <f t="shared" si="8"/>
        <v>0</v>
      </c>
      <c r="AG19" s="2356">
        <f t="shared" si="8"/>
        <v>0</v>
      </c>
      <c r="AH19" s="2356">
        <f t="shared" si="8"/>
        <v>0</v>
      </c>
      <c r="AI19" s="2356">
        <f t="shared" si="8"/>
        <v>0</v>
      </c>
      <c r="AJ19" s="2356">
        <f>SUM(AJ16:AJ18)</f>
        <v>0</v>
      </c>
      <c r="AK19" s="2356">
        <f>SUM(AK16:AK18)</f>
        <v>0</v>
      </c>
      <c r="AL19" s="2356">
        <f>SUM(AL16:AL18)</f>
        <v>0</v>
      </c>
      <c r="AM19" s="2259">
        <f>SUM(AM16:AM18)</f>
        <v>43156560.540601611</v>
      </c>
      <c r="AN19" s="2259">
        <f>M19+AM19</f>
        <v>1054687076.7906016</v>
      </c>
    </row>
    <row r="20" spans="1:40">
      <c r="A20" s="2239">
        <f t="shared" si="1"/>
        <v>6</v>
      </c>
      <c r="E20" s="2259"/>
      <c r="F20" s="2426"/>
      <c r="G20" s="2426"/>
      <c r="H20" s="2426"/>
      <c r="I20" s="2847"/>
      <c r="N20" s="2377"/>
      <c r="O20" s="2377"/>
      <c r="P20" s="2377"/>
      <c r="Q20" s="2377"/>
      <c r="R20" s="2377"/>
      <c r="S20" s="2377"/>
      <c r="T20" s="2377"/>
      <c r="U20" s="2377"/>
      <c r="V20" s="2377"/>
      <c r="W20" s="2377"/>
      <c r="X20" s="2377"/>
      <c r="Y20" s="2377"/>
      <c r="Z20" s="2377"/>
      <c r="AA20" s="2377"/>
      <c r="AB20" s="2377"/>
      <c r="AC20" s="2377"/>
      <c r="AD20" s="2377"/>
      <c r="AE20" s="2377"/>
      <c r="AF20" s="2377"/>
      <c r="AG20" s="2377"/>
      <c r="AH20" s="2377"/>
      <c r="AI20" s="2377"/>
      <c r="AJ20" s="2377"/>
      <c r="AK20" s="2377"/>
      <c r="AL20" s="2377"/>
      <c r="AM20" s="2426"/>
      <c r="AN20" s="2426"/>
    </row>
    <row r="21" spans="1:40">
      <c r="A21" s="2239">
        <f t="shared" si="1"/>
        <v>7</v>
      </c>
      <c r="D21" s="2426"/>
      <c r="E21" s="2426"/>
      <c r="F21" s="2426"/>
      <c r="G21" s="2426"/>
      <c r="H21" s="2426"/>
      <c r="I21" s="2276"/>
      <c r="J21" s="2426"/>
      <c r="K21" s="2426"/>
      <c r="L21" s="2426"/>
      <c r="M21" s="2339"/>
      <c r="S21" s="2231" t="s">
        <v>18</v>
      </c>
      <c r="T21" s="2231" t="s">
        <v>18</v>
      </c>
      <c r="U21" s="2231" t="s">
        <v>18</v>
      </c>
      <c r="V21" s="2231" t="s">
        <v>18</v>
      </c>
      <c r="X21" s="2231" t="s">
        <v>18</v>
      </c>
      <c r="Y21" s="2231" t="s">
        <v>18</v>
      </c>
      <c r="AI21" s="2231" t="s">
        <v>18</v>
      </c>
      <c r="AJ21" s="2231" t="s">
        <v>18</v>
      </c>
      <c r="AK21" s="2231" t="s">
        <v>18</v>
      </c>
      <c r="AL21" s="2231" t="s">
        <v>18</v>
      </c>
      <c r="AM21" s="2426"/>
      <c r="AN21" s="2426"/>
    </row>
    <row r="22" spans="1:40">
      <c r="A22" s="2239">
        <f t="shared" si="1"/>
        <v>8</v>
      </c>
      <c r="B22" s="2354" t="s">
        <v>4</v>
      </c>
      <c r="C22" s="2354"/>
      <c r="D22" s="2426"/>
      <c r="E22" s="2426"/>
      <c r="F22" s="2426"/>
      <c r="G22" s="2426"/>
      <c r="H22" s="2426"/>
      <c r="I22" s="2426"/>
      <c r="J22" s="2426"/>
      <c r="K22" s="2426"/>
      <c r="L22" s="2848"/>
      <c r="M22" s="2493"/>
      <c r="AM22" s="2426"/>
      <c r="AN22" s="2426"/>
    </row>
    <row r="23" spans="1:40">
      <c r="A23" s="2239">
        <f t="shared" si="1"/>
        <v>9</v>
      </c>
      <c r="D23" s="2426"/>
      <c r="E23" s="2426"/>
      <c r="F23" s="2426"/>
      <c r="G23" s="2426"/>
      <c r="H23" s="2426"/>
      <c r="I23" s="2426" t="s">
        <v>18</v>
      </c>
      <c r="J23" s="2426"/>
      <c r="K23" s="2426"/>
      <c r="L23" s="2486"/>
      <c r="AM23" s="2426"/>
      <c r="AN23" s="2426"/>
    </row>
    <row r="24" spans="1:40">
      <c r="A24" s="2239">
        <f t="shared" si="1"/>
        <v>10</v>
      </c>
      <c r="B24" s="2249" t="s">
        <v>145</v>
      </c>
      <c r="C24" s="2249"/>
      <c r="D24" s="2426"/>
      <c r="E24" s="2426"/>
      <c r="F24" s="2426"/>
      <c r="G24" s="2426"/>
      <c r="H24" s="2426"/>
      <c r="I24" s="2426" t="s">
        <v>18</v>
      </c>
      <c r="J24" s="2426"/>
      <c r="K24" s="2426"/>
      <c r="L24" s="2486"/>
      <c r="M24" s="2346"/>
      <c r="AM24" s="2426"/>
      <c r="AN24" s="2426"/>
    </row>
    <row r="25" spans="1:40">
      <c r="A25" s="2239">
        <f t="shared" si="1"/>
        <v>11</v>
      </c>
      <c r="B25" s="2249"/>
      <c r="C25" s="2249"/>
      <c r="D25" s="2849"/>
      <c r="E25" s="2849"/>
      <c r="F25" s="2850"/>
      <c r="G25" s="2850"/>
      <c r="H25" s="2850"/>
      <c r="I25" s="2850"/>
      <c r="J25" s="2850"/>
      <c r="K25" s="2850"/>
      <c r="L25" s="2571"/>
      <c r="M25" s="2851"/>
      <c r="N25" s="2259"/>
      <c r="O25" s="2259"/>
      <c r="P25" s="2259"/>
      <c r="Q25" s="2259"/>
      <c r="R25" s="2259"/>
      <c r="S25" s="2259"/>
      <c r="T25" s="2259"/>
      <c r="U25" s="2259"/>
      <c r="V25" s="2259"/>
      <c r="W25" s="2259"/>
      <c r="X25" s="2259"/>
      <c r="Y25" s="2259"/>
      <c r="Z25" s="2259"/>
      <c r="AA25" s="2259"/>
      <c r="AB25" s="2259"/>
      <c r="AC25" s="2259"/>
      <c r="AD25" s="2259"/>
      <c r="AE25" s="2259"/>
      <c r="AF25" s="2259"/>
      <c r="AG25" s="2259"/>
      <c r="AH25" s="2259"/>
      <c r="AI25" s="2259"/>
      <c r="AJ25" s="2259"/>
      <c r="AK25" s="2259"/>
      <c r="AL25" s="2259"/>
      <c r="AM25" s="2259"/>
      <c r="AN25" s="2259"/>
    </row>
    <row r="26" spans="1:40">
      <c r="A26" s="2239">
        <f t="shared" si="1"/>
        <v>12</v>
      </c>
      <c r="B26" s="2249" t="s">
        <v>146</v>
      </c>
      <c r="C26" s="2249"/>
      <c r="D26" s="2493">
        <f>'Exhibit No._(CTM-2), Pg. 2-6'!M26</f>
        <v>535932510.26999903</v>
      </c>
      <c r="E26" s="2956">
        <f>'Exhibit No._(CTM-2), Pg. 2-6'!AM26</f>
        <v>64990761.938795984</v>
      </c>
      <c r="F26" s="2956">
        <f>+D26+E26</f>
        <v>600923272.20879507</v>
      </c>
      <c r="G26" s="2247">
        <v>0</v>
      </c>
      <c r="H26" s="2958">
        <f>F26+G26</f>
        <v>600923272.20879507</v>
      </c>
      <c r="I26" s="2247">
        <v>0</v>
      </c>
      <c r="J26" s="2958">
        <f>H26+I26</f>
        <v>600923272.20879507</v>
      </c>
      <c r="K26" s="2247"/>
      <c r="L26" s="2293"/>
      <c r="M26" s="2346">
        <v>535932510.26999903</v>
      </c>
      <c r="N26" s="2259">
        <v>0</v>
      </c>
      <c r="O26" s="2259"/>
      <c r="P26" s="2259"/>
      <c r="Q26" s="2259">
        <f>'Exhibit No._(CTM-2), Pg. 10-30'!F43</f>
        <v>21569842.008104395</v>
      </c>
      <c r="R26" s="2259">
        <f>'Exhibit No._(CTM-2), Pg. 10-30'!J54</f>
        <v>-15221524.069308411</v>
      </c>
      <c r="S26" s="2259">
        <f>'Exhibit No._(CTM-2), Pg. 10-30'!O30</f>
        <v>58642444</v>
      </c>
      <c r="T26" s="2259">
        <v>0</v>
      </c>
      <c r="U26" s="2259">
        <v>0</v>
      </c>
      <c r="V26" s="2259">
        <v>0</v>
      </c>
      <c r="W26" s="2259">
        <v>0</v>
      </c>
      <c r="X26" s="2259">
        <v>0</v>
      </c>
      <c r="Y26" s="2259">
        <v>0</v>
      </c>
      <c r="Z26" s="2259">
        <v>0</v>
      </c>
      <c r="AA26" s="2259">
        <v>0</v>
      </c>
      <c r="AB26" s="2259"/>
      <c r="AC26" s="2259"/>
      <c r="AD26" s="2259">
        <v>0</v>
      </c>
      <c r="AE26" s="2259">
        <v>0</v>
      </c>
      <c r="AF26" s="2259"/>
      <c r="AG26" s="2259">
        <v>0</v>
      </c>
      <c r="AH26" s="2259">
        <v>0</v>
      </c>
      <c r="AI26" s="2259">
        <v>0</v>
      </c>
      <c r="AJ26" s="2259">
        <v>0</v>
      </c>
      <c r="AK26" s="2259">
        <v>0</v>
      </c>
      <c r="AL26" s="2259">
        <v>0</v>
      </c>
      <c r="AM26" s="2259">
        <f>SUM(N26:AL26)</f>
        <v>64990761.938795984</v>
      </c>
      <c r="AN26" s="2259">
        <f>M26+AM26</f>
        <v>600923272.20879507</v>
      </c>
    </row>
    <row r="27" spans="1:40">
      <c r="A27" s="2239">
        <f t="shared" si="1"/>
        <v>13</v>
      </c>
      <c r="B27" s="2249"/>
      <c r="C27" s="2249"/>
      <c r="D27" s="2809"/>
      <c r="E27" s="2278"/>
      <c r="F27" s="2293"/>
      <c r="G27" s="2293"/>
      <c r="H27" s="2293"/>
      <c r="I27" s="2293"/>
      <c r="J27" s="2843"/>
      <c r="K27" s="2844"/>
      <c r="L27" s="2293"/>
      <c r="M27" s="2487"/>
      <c r="N27" s="2809"/>
      <c r="O27" s="2809"/>
      <c r="P27" s="2809"/>
      <c r="Q27" s="2809"/>
      <c r="R27" s="2809"/>
      <c r="S27" s="2809"/>
      <c r="T27" s="2809"/>
      <c r="U27" s="2809"/>
      <c r="V27" s="2809"/>
      <c r="W27" s="2809"/>
      <c r="X27" s="2809"/>
      <c r="Y27" s="2809"/>
      <c r="Z27" s="2809"/>
      <c r="AA27" s="2809"/>
      <c r="AB27" s="2809"/>
      <c r="AC27" s="2809"/>
      <c r="AD27" s="2809"/>
      <c r="AE27" s="2809"/>
      <c r="AF27" s="2809"/>
      <c r="AG27" s="2809"/>
      <c r="AH27" s="2809"/>
      <c r="AI27" s="2809"/>
      <c r="AJ27" s="2809"/>
      <c r="AK27" s="2809"/>
      <c r="AL27" s="2809"/>
      <c r="AM27" s="2809"/>
      <c r="AN27" s="2809"/>
    </row>
    <row r="28" spans="1:40">
      <c r="A28" s="2239">
        <f t="shared" si="1"/>
        <v>14</v>
      </c>
      <c r="B28" s="2249" t="s">
        <v>5</v>
      </c>
      <c r="C28" s="2249"/>
      <c r="D28" s="2852">
        <f t="shared" ref="D28:J28" si="9">SUM(D24:D27)</f>
        <v>535932510.26999903</v>
      </c>
      <c r="E28" s="2959">
        <f t="shared" si="9"/>
        <v>64990761.938795984</v>
      </c>
      <c r="F28" s="2959">
        <f t="shared" si="9"/>
        <v>600923272.20879507</v>
      </c>
      <c r="G28" s="2852">
        <f t="shared" si="9"/>
        <v>0</v>
      </c>
      <c r="H28" s="2959">
        <f t="shared" si="9"/>
        <v>600923272.20879507</v>
      </c>
      <c r="I28" s="2852">
        <f t="shared" si="9"/>
        <v>0</v>
      </c>
      <c r="J28" s="2959">
        <f t="shared" si="9"/>
        <v>600923272.20879507</v>
      </c>
      <c r="K28" s="2604"/>
      <c r="L28" s="2604"/>
      <c r="M28" s="2852">
        <f t="shared" ref="M28:U28" si="10">SUM(M25:M27)</f>
        <v>535932510.26999903</v>
      </c>
      <c r="N28" s="2259">
        <f>SUM(N25:N27)</f>
        <v>0</v>
      </c>
      <c r="O28" s="2259">
        <f>SUM(O25:O27)</f>
        <v>0</v>
      </c>
      <c r="P28" s="2259">
        <f>SUM(P25:P27)</f>
        <v>0</v>
      </c>
      <c r="Q28" s="2259">
        <f t="shared" si="10"/>
        <v>21569842.008104395</v>
      </c>
      <c r="R28" s="2259">
        <f t="shared" si="10"/>
        <v>-15221524.069308411</v>
      </c>
      <c r="S28" s="2259">
        <f>SUM(S25:S27)</f>
        <v>58642444</v>
      </c>
      <c r="T28" s="2259">
        <f t="shared" si="10"/>
        <v>0</v>
      </c>
      <c r="U28" s="2259">
        <f t="shared" si="10"/>
        <v>0</v>
      </c>
      <c r="V28" s="2259">
        <f t="shared" ref="V28:AB28" si="11">SUM(V25:V27)</f>
        <v>0</v>
      </c>
      <c r="W28" s="2259">
        <f t="shared" si="11"/>
        <v>0</v>
      </c>
      <c r="X28" s="2259">
        <f t="shared" si="11"/>
        <v>0</v>
      </c>
      <c r="Y28" s="2259">
        <f t="shared" si="11"/>
        <v>0</v>
      </c>
      <c r="Z28" s="2259">
        <f t="shared" si="11"/>
        <v>0</v>
      </c>
      <c r="AA28" s="2259">
        <f t="shared" si="11"/>
        <v>0</v>
      </c>
      <c r="AB28" s="2259">
        <f t="shared" si="11"/>
        <v>0</v>
      </c>
      <c r="AC28" s="2259">
        <f>SUM(AC23:AC27)</f>
        <v>0</v>
      </c>
      <c r="AD28" s="2259">
        <f t="shared" ref="AD28:AI28" si="12">SUM(AD25:AD27)</f>
        <v>0</v>
      </c>
      <c r="AE28" s="2259">
        <f t="shared" si="12"/>
        <v>0</v>
      </c>
      <c r="AF28" s="2259">
        <f t="shared" si="12"/>
        <v>0</v>
      </c>
      <c r="AG28" s="2259">
        <f t="shared" si="12"/>
        <v>0</v>
      </c>
      <c r="AH28" s="2259">
        <f t="shared" si="12"/>
        <v>0</v>
      </c>
      <c r="AI28" s="2259">
        <f t="shared" si="12"/>
        <v>0</v>
      </c>
      <c r="AJ28" s="2259">
        <f>SUM(AJ25:AJ27)</f>
        <v>0</v>
      </c>
      <c r="AK28" s="2259">
        <f>SUM(AK25:AK27)</f>
        <v>0</v>
      </c>
      <c r="AL28" s="2259">
        <f>SUM(AL25:AL27)</f>
        <v>0</v>
      </c>
      <c r="AM28" s="2852">
        <f>SUM(AM25:AM27)</f>
        <v>64990761.938795984</v>
      </c>
      <c r="AN28" s="2259">
        <f>M28+AM28</f>
        <v>600923272.20879507</v>
      </c>
    </row>
    <row r="29" spans="1:40">
      <c r="A29" s="2239">
        <f t="shared" si="1"/>
        <v>15</v>
      </c>
      <c r="B29" s="2853"/>
      <c r="C29" s="2853"/>
      <c r="D29" s="2854"/>
      <c r="E29" s="2854"/>
      <c r="F29" s="2854"/>
      <c r="G29" s="2854"/>
      <c r="H29" s="2854"/>
      <c r="I29" s="2854"/>
      <c r="J29" s="2854"/>
      <c r="K29" s="2854"/>
      <c r="L29" s="2854"/>
      <c r="M29" s="2854"/>
      <c r="N29" s="2526"/>
      <c r="O29" s="2526"/>
      <c r="P29" s="2526"/>
      <c r="Q29" s="2526"/>
      <c r="R29" s="2526"/>
      <c r="S29" s="2526"/>
      <c r="T29" s="2526"/>
      <c r="U29" s="2526"/>
      <c r="V29" s="2526"/>
      <c r="W29" s="2526"/>
      <c r="X29" s="2526"/>
      <c r="Y29" s="2526"/>
      <c r="Z29" s="2526"/>
      <c r="AA29" s="2526"/>
      <c r="AB29" s="2526"/>
      <c r="AC29" s="2526"/>
      <c r="AD29" s="2526"/>
      <c r="AE29" s="2526"/>
      <c r="AF29" s="2526"/>
      <c r="AG29" s="2526"/>
      <c r="AH29" s="2526"/>
      <c r="AI29" s="2526"/>
      <c r="AJ29" s="2526"/>
      <c r="AK29" s="2526"/>
      <c r="AL29" s="2526"/>
      <c r="AM29" s="2854"/>
      <c r="AN29" s="2854"/>
    </row>
    <row r="30" spans="1:40">
      <c r="A30" s="2239">
        <f t="shared" si="1"/>
        <v>16</v>
      </c>
      <c r="B30" s="2354" t="s">
        <v>90</v>
      </c>
      <c r="C30" s="2354"/>
      <c r="D30" s="2493">
        <f>'Exhibit No._(CTM-2), Pg. 2-6'!M30</f>
        <v>1937121.8</v>
      </c>
      <c r="E30" s="2493">
        <f>'Exhibit No._(CTM-2), Pg. 2-6'!AM30</f>
        <v>-12183.608367001798</v>
      </c>
      <c r="F30" s="2855">
        <f>D30+E30</f>
        <v>1924938.1916329982</v>
      </c>
      <c r="G30" s="2247">
        <v>0</v>
      </c>
      <c r="H30" s="2247">
        <f>F30+G30</f>
        <v>1924938.1916329982</v>
      </c>
      <c r="I30" s="2247">
        <v>0</v>
      </c>
      <c r="J30" s="2247">
        <f>H30+I30</f>
        <v>1924938.1916329982</v>
      </c>
      <c r="K30" s="2247"/>
      <c r="L30" s="2247"/>
      <c r="M30" s="2604">
        <v>1937121.8</v>
      </c>
      <c r="N30" s="2268">
        <v>0</v>
      </c>
      <c r="O30" s="2268">
        <v>0</v>
      </c>
      <c r="P30" s="2268">
        <v>0</v>
      </c>
      <c r="Q30" s="2268">
        <v>0</v>
      </c>
      <c r="R30" s="2268">
        <v>0</v>
      </c>
      <c r="S30" s="2268">
        <v>0</v>
      </c>
      <c r="T30" s="2268">
        <v>0</v>
      </c>
      <c r="U30" s="2268">
        <v>0</v>
      </c>
      <c r="V30" s="2268">
        <v>0</v>
      </c>
      <c r="W30" s="2268">
        <v>0</v>
      </c>
      <c r="X30" s="2268">
        <v>0</v>
      </c>
      <c r="Y30" s="2268">
        <v>0</v>
      </c>
      <c r="Z30" s="2268">
        <f>SUM('Exhibit No._(CTM-2), Pg. 10-30'!AX14:AX16)</f>
        <v>-44092.609748966512</v>
      </c>
      <c r="AA30" s="2268">
        <v>0</v>
      </c>
      <c r="AB30" s="2268">
        <v>0</v>
      </c>
      <c r="AC30" s="2268">
        <v>0</v>
      </c>
      <c r="AD30" s="2268">
        <v>0</v>
      </c>
      <c r="AE30" s="2268">
        <v>0</v>
      </c>
      <c r="AF30" s="2268">
        <v>0</v>
      </c>
      <c r="AG30" s="2268">
        <v>0</v>
      </c>
      <c r="AH30" s="2268">
        <v>0</v>
      </c>
      <c r="AI30" s="2268">
        <f>+'Exhibit No._(CTM-2), Pg. 10-30'!CN15+'Exhibit No._(CTM-2), Pg. 10-30'!CN16+'Exhibit No._(CTM-2), Pg. 10-30'!CN14</f>
        <v>31909.001381964714</v>
      </c>
      <c r="AJ30" s="2268">
        <v>0</v>
      </c>
      <c r="AK30" s="2268">
        <v>0</v>
      </c>
      <c r="AL30" s="2268">
        <v>0</v>
      </c>
      <c r="AM30" s="2259">
        <f>SUM(N30:AL30)</f>
        <v>-12183.608367001798</v>
      </c>
      <c r="AN30" s="2259">
        <f t="shared" ref="AN30:AN44" si="13">M30+AM30</f>
        <v>1924938.1916329982</v>
      </c>
    </row>
    <row r="31" spans="1:40">
      <c r="A31" s="2239">
        <f t="shared" si="1"/>
        <v>17</v>
      </c>
      <c r="B31" s="2249" t="s">
        <v>6</v>
      </c>
      <c r="C31" s="2249"/>
      <c r="D31" s="2278">
        <f>'Exhibit No._(CTM-2), Pg. 2-6'!M31</f>
        <v>226853.49999999901</v>
      </c>
      <c r="E31" s="2293">
        <f>'Exhibit No._(CTM-2), Pg. 2-6'!AM31</f>
        <v>-1167.1990189814755</v>
      </c>
      <c r="F31" s="2293">
        <f t="shared" ref="F31:F44" si="14">D31+E31</f>
        <v>225686.30098101753</v>
      </c>
      <c r="G31" s="2293">
        <v>0</v>
      </c>
      <c r="H31" s="2293">
        <f t="shared" ref="H31:H44" si="15">F31+G31</f>
        <v>225686.30098101753</v>
      </c>
      <c r="I31" s="2293"/>
      <c r="J31" s="2293">
        <f t="shared" ref="J31:J44" si="16">H31+I31</f>
        <v>225686.30098101753</v>
      </c>
      <c r="K31" s="2293"/>
      <c r="L31" s="2293"/>
      <c r="M31" s="2486">
        <v>226853.49999999901</v>
      </c>
      <c r="N31" s="2278"/>
      <c r="O31" s="2278"/>
      <c r="P31" s="2278"/>
      <c r="Q31" s="2278"/>
      <c r="R31" s="2278"/>
      <c r="S31" s="2278"/>
      <c r="T31" s="2278"/>
      <c r="U31" s="2278"/>
      <c r="V31" s="2278"/>
      <c r="W31" s="2278"/>
      <c r="X31" s="2278"/>
      <c r="Y31" s="2278"/>
      <c r="Z31" s="2278">
        <f>'Exhibit No._(CTM-2), Pg. 10-30'!AX17</f>
        <v>-3474.1990189814755</v>
      </c>
      <c r="AA31" s="2278"/>
      <c r="AB31" s="2278"/>
      <c r="AC31" s="2278"/>
      <c r="AD31" s="2278"/>
      <c r="AE31" s="2278"/>
      <c r="AF31" s="2278"/>
      <c r="AG31" s="2278"/>
      <c r="AH31" s="2278"/>
      <c r="AI31" s="2278">
        <f>+'Exhibit No._(CTM-2), Pg. 10-30'!CN17</f>
        <v>2307</v>
      </c>
      <c r="AJ31" s="2278"/>
      <c r="AK31" s="2278"/>
      <c r="AL31" s="2278"/>
      <c r="AM31" s="2259">
        <f t="shared" ref="AM31:AM44" si="17">SUM(N31:AL31)</f>
        <v>-1167.1990189814755</v>
      </c>
      <c r="AN31" s="2278">
        <f t="shared" si="13"/>
        <v>225686.30098101753</v>
      </c>
    </row>
    <row r="32" spans="1:40">
      <c r="A32" s="2239">
        <f t="shared" si="1"/>
        <v>18</v>
      </c>
      <c r="B32" s="2249" t="s">
        <v>7</v>
      </c>
      <c r="C32" s="2249"/>
      <c r="D32" s="2278">
        <f>'Exhibit No._(CTM-2), Pg. 2-6'!M32</f>
        <v>50238405.469999999</v>
      </c>
      <c r="E32" s="2293">
        <f>'Exhibit No._(CTM-2), Pg. 2-6'!AM32</f>
        <v>-1324566.4874619185</v>
      </c>
      <c r="F32" s="2293">
        <f t="shared" si="14"/>
        <v>48913838.982538082</v>
      </c>
      <c r="G32" s="2293">
        <v>0</v>
      </c>
      <c r="H32" s="2293">
        <f t="shared" si="15"/>
        <v>48913838.982538082</v>
      </c>
      <c r="I32" s="2293"/>
      <c r="J32" s="2293">
        <f t="shared" si="16"/>
        <v>48913838.982538082</v>
      </c>
      <c r="K32" s="2293"/>
      <c r="L32" s="2293"/>
      <c r="M32" s="2486">
        <v>50238405.469999999</v>
      </c>
      <c r="N32" s="2278"/>
      <c r="O32" s="2278"/>
      <c r="P32" s="2278">
        <f>'Exhibit No._(CTM-2), Pg. 7-9'!O14</f>
        <v>-984861.10528138746</v>
      </c>
      <c r="Q32" s="2278"/>
      <c r="R32" s="2278"/>
      <c r="S32" s="2278"/>
      <c r="T32" s="2278"/>
      <c r="U32" s="2278"/>
      <c r="V32" s="2278">
        <f>'Exhibit No._(CTM-2), Pg. 10-30'!AB15</f>
        <v>-72884.584785279993</v>
      </c>
      <c r="W32" s="2278"/>
      <c r="X32" s="2278"/>
      <c r="Y32" s="2278"/>
      <c r="Z32" s="2278">
        <f>'Exhibit No._(CTM-2), Pg. 10-30'!AX18</f>
        <v>-816364.79739525088</v>
      </c>
      <c r="AA32" s="2278"/>
      <c r="AB32" s="2278"/>
      <c r="AC32" s="2278"/>
      <c r="AD32" s="2278"/>
      <c r="AE32" s="2278"/>
      <c r="AF32" s="2278"/>
      <c r="AG32" s="2278"/>
      <c r="AH32" s="2278"/>
      <c r="AI32" s="2278">
        <f>'Exhibit No._(CTM-2), Pg. 10-30'!CN18</f>
        <v>549544</v>
      </c>
      <c r="AJ32" s="2278"/>
      <c r="AK32" s="2278"/>
      <c r="AL32" s="2278"/>
      <c r="AM32" s="2259">
        <f t="shared" si="17"/>
        <v>-1324566.4874619185</v>
      </c>
      <c r="AN32" s="2278">
        <f t="shared" si="13"/>
        <v>48913838.982538082</v>
      </c>
    </row>
    <row r="33" spans="1:40">
      <c r="A33" s="2239">
        <f t="shared" si="1"/>
        <v>19</v>
      </c>
      <c r="B33" s="2536" t="s">
        <v>96</v>
      </c>
      <c r="C33" s="2536"/>
      <c r="D33" s="2278">
        <f>'Exhibit No._(CTM-2), Pg. 2-6'!M33</f>
        <v>32629594.350795999</v>
      </c>
      <c r="E33" s="2961">
        <f>'Exhibit No._(CTM-2), Pg. 2-6'!AM33</f>
        <v>-2364884.1682441453</v>
      </c>
      <c r="F33" s="2961">
        <f t="shared" si="14"/>
        <v>30264710.182551853</v>
      </c>
      <c r="G33" s="2293">
        <v>0</v>
      </c>
      <c r="H33" s="2961">
        <f t="shared" si="15"/>
        <v>30264710.182551853</v>
      </c>
      <c r="I33" s="2961">
        <f>I19*('Exhibit No._(CTM-2), Pg. 32-34'!N13)</f>
        <v>7684.6636499999995</v>
      </c>
      <c r="J33" s="2961">
        <f t="shared" si="16"/>
        <v>30272394.846201852</v>
      </c>
      <c r="K33" s="2293"/>
      <c r="L33" s="2293"/>
      <c r="M33" s="2856">
        <v>32629594.350795999</v>
      </c>
      <c r="N33" s="2278"/>
      <c r="O33" s="2278"/>
      <c r="P33" s="2278"/>
      <c r="Q33" s="2278">
        <f>+'Exhibit No._(CTM-2), Pg. 10-30'!E45</f>
        <v>115584</v>
      </c>
      <c r="R33" s="3023">
        <f>'Exhibit No._(CTM-2), Pg. 10-30'!J56</f>
        <v>39246.540660935025</v>
      </c>
      <c r="S33" s="2278">
        <f>'Exhibit No._(CTM-2), Pg. 10-30'!O22</f>
        <v>-4861.0048532670962</v>
      </c>
      <c r="T33" s="2278"/>
      <c r="U33" s="2278"/>
      <c r="V33" s="2278"/>
      <c r="W33" s="2278"/>
      <c r="X33" s="2278"/>
      <c r="Y33" s="2278">
        <f>'Exhibit No._(CTM-2), Pg. 10-30'!AS25</f>
        <v>-2422201</v>
      </c>
      <c r="Z33" s="2278">
        <f>'Exhibit No._(CTM-2), Pg. 10-30'!AX19</f>
        <v>-330321.71418381279</v>
      </c>
      <c r="AA33" s="2278"/>
      <c r="AB33" s="2278"/>
      <c r="AC33" s="2278"/>
      <c r="AD33" s="2278">
        <f>'Exhibit No._(CTM-2), Pg. 10-30'!BP13</f>
        <v>21705.010131999999</v>
      </c>
      <c r="AE33" s="2278"/>
      <c r="AF33" s="2278"/>
      <c r="AG33" s="2278"/>
      <c r="AH33" s="2278"/>
      <c r="AI33" s="2278">
        <f>+'Exhibit No._(CTM-2), Pg. 10-30'!CN19</f>
        <v>215964</v>
      </c>
      <c r="AJ33" s="2278"/>
      <c r="AK33" s="2278"/>
      <c r="AL33" s="2278"/>
      <c r="AM33" s="2318">
        <f t="shared" si="17"/>
        <v>-2364884.1682441453</v>
      </c>
      <c r="AN33" s="3023">
        <f t="shared" si="13"/>
        <v>30264710.182551853</v>
      </c>
    </row>
    <row r="34" spans="1:40">
      <c r="A34" s="2239">
        <f t="shared" si="1"/>
        <v>20</v>
      </c>
      <c r="B34" s="2249" t="s">
        <v>8</v>
      </c>
      <c r="C34" s="2249"/>
      <c r="D34" s="2278">
        <f>'Exhibit No._(CTM-2), Pg. 2-6'!M34</f>
        <v>4454345.868047989</v>
      </c>
      <c r="E34" s="2293">
        <f>'Exhibit No._(CTM-2), Pg. 2-6'!AM34</f>
        <v>-3346359.6706389124</v>
      </c>
      <c r="F34" s="2293">
        <f t="shared" si="14"/>
        <v>1107986.1974090766</v>
      </c>
      <c r="G34" s="2293">
        <v>0</v>
      </c>
      <c r="H34" s="2293">
        <f t="shared" si="15"/>
        <v>1107986.1974090766</v>
      </c>
      <c r="I34" s="2293"/>
      <c r="J34" s="2293">
        <f t="shared" si="16"/>
        <v>1107986.1974090766</v>
      </c>
      <c r="K34" s="2293"/>
      <c r="L34" s="2293"/>
      <c r="M34" s="2486">
        <v>4454345.868047989</v>
      </c>
      <c r="N34" s="2278"/>
      <c r="O34" s="2278"/>
      <c r="P34" s="2278"/>
      <c r="Q34" s="2278"/>
      <c r="R34" s="2278"/>
      <c r="S34" s="2278">
        <f>'Exhibit No._(CTM-2), Pg. 10-30'!O28</f>
        <v>-3337444</v>
      </c>
      <c r="T34" s="2278"/>
      <c r="U34" s="2278"/>
      <c r="V34" s="2278"/>
      <c r="W34" s="2278"/>
      <c r="X34" s="2278"/>
      <c r="Y34" s="2278"/>
      <c r="Z34" s="2278">
        <f>'Exhibit No._(CTM-2), Pg. 10-30'!AX20+'Exhibit No._(CTM-2), Pg. 10-30'!AX21</f>
        <v>-36338.670638912445</v>
      </c>
      <c r="AA34" s="2278"/>
      <c r="AB34" s="2278"/>
      <c r="AC34" s="2278"/>
      <c r="AD34" s="2278"/>
      <c r="AE34" s="2278"/>
      <c r="AF34" s="2278"/>
      <c r="AG34" s="2278"/>
      <c r="AH34" s="2278"/>
      <c r="AI34" s="2278">
        <f>+'Exhibit No._(CTM-2), Pg. 10-30'!CN20+'Exhibit No._(CTM-2), Pg. 10-30'!CN21</f>
        <v>27423</v>
      </c>
      <c r="AJ34" s="2278"/>
      <c r="AK34" s="2278"/>
      <c r="AL34" s="2278"/>
      <c r="AM34" s="2259">
        <f t="shared" si="17"/>
        <v>-3346359.6706389124</v>
      </c>
      <c r="AN34" s="2278">
        <f t="shared" si="13"/>
        <v>1107986.1974090766</v>
      </c>
    </row>
    <row r="35" spans="1:40">
      <c r="A35" s="2239">
        <f t="shared" si="1"/>
        <v>21</v>
      </c>
      <c r="B35" s="2249" t="s">
        <v>9</v>
      </c>
      <c r="C35" s="2249"/>
      <c r="D35" s="2278">
        <f>'Exhibit No._(CTM-2), Pg. 2-6'!M35</f>
        <v>14771681.6299999</v>
      </c>
      <c r="E35" s="2293">
        <f>'Exhibit No._(CTM-2), Pg. 2-6'!AM35</f>
        <v>-14771681.630000001</v>
      </c>
      <c r="F35" s="2293">
        <f t="shared" si="14"/>
        <v>-1.0058283805847168E-7</v>
      </c>
      <c r="G35" s="2293">
        <v>0</v>
      </c>
      <c r="H35" s="2293">
        <f t="shared" si="15"/>
        <v>-1.0058283805847168E-7</v>
      </c>
      <c r="I35" s="2293"/>
      <c r="J35" s="2293">
        <f t="shared" si="16"/>
        <v>-1.0058283805847168E-7</v>
      </c>
      <c r="K35" s="2293"/>
      <c r="L35" s="2293"/>
      <c r="M35" s="2486">
        <v>14771681.6299999</v>
      </c>
      <c r="N35" s="2857"/>
      <c r="O35" s="2857"/>
      <c r="P35" s="2857"/>
      <c r="Q35" s="2857"/>
      <c r="R35" s="2857"/>
      <c r="S35" s="2857">
        <f>'Exhibit No._(CTM-2), Pg. 10-30'!O29</f>
        <v>-14771681.630000001</v>
      </c>
      <c r="T35" s="2857"/>
      <c r="U35" s="2857"/>
      <c r="V35" s="2857"/>
      <c r="W35" s="2857"/>
      <c r="X35" s="2857"/>
      <c r="Y35" s="2857"/>
      <c r="Z35" s="2857"/>
      <c r="AA35" s="2857"/>
      <c r="AB35" s="2857"/>
      <c r="AC35" s="2857"/>
      <c r="AD35" s="2857"/>
      <c r="AE35" s="2857"/>
      <c r="AF35" s="2857"/>
      <c r="AG35" s="2857"/>
      <c r="AH35" s="2857"/>
      <c r="AI35" s="2857"/>
      <c r="AJ35" s="2857"/>
      <c r="AK35" s="2857"/>
      <c r="AL35" s="2857"/>
      <c r="AM35" s="2259">
        <f t="shared" si="17"/>
        <v>-14771681.630000001</v>
      </c>
      <c r="AN35" s="2278">
        <f t="shared" si="13"/>
        <v>-1.0058283805847168E-7</v>
      </c>
    </row>
    <row r="36" spans="1:40">
      <c r="A36" s="2239">
        <f t="shared" si="1"/>
        <v>22</v>
      </c>
      <c r="B36" s="2249" t="s">
        <v>10</v>
      </c>
      <c r="C36" s="2249"/>
      <c r="D36" s="2278">
        <f>'Exhibit No._(CTM-2), Pg. 2-6'!M36</f>
        <v>42818070.121348001</v>
      </c>
      <c r="E36" s="2961">
        <f>'Exhibit No._(CTM-2), Pg. 2-6'!AM36</f>
        <v>538919.86224287329</v>
      </c>
      <c r="F36" s="2961">
        <f t="shared" si="14"/>
        <v>43356989.983590871</v>
      </c>
      <c r="G36" s="2293">
        <v>0</v>
      </c>
      <c r="H36" s="2961">
        <f t="shared" si="15"/>
        <v>43356989.983590871</v>
      </c>
      <c r="I36" s="2961">
        <f>I19*('Exhibit No._(CTM-2), Pg. 32-34'!N14)</f>
        <v>4422.8280000000004</v>
      </c>
      <c r="J36" s="2961">
        <f t="shared" si="16"/>
        <v>43361412.811590873</v>
      </c>
      <c r="K36" s="2293"/>
      <c r="L36" s="2293"/>
      <c r="M36" s="2486">
        <v>42818070.121348001</v>
      </c>
      <c r="N36" s="2278" t="s">
        <v>18</v>
      </c>
      <c r="O36" s="2278"/>
      <c r="P36" s="2278"/>
      <c r="Q36" s="2278">
        <f>+'Exhibit No._(CTM-2), Pg. 10-30'!E46</f>
        <v>66523</v>
      </c>
      <c r="R36" s="3023">
        <f>'Exhibit No._(CTM-2), Pg. 10-30'!J57</f>
        <v>22587.937071041742</v>
      </c>
      <c r="S36" s="2278">
        <f>'Exhibit No._(CTM-2), Pg. 10-30'!O23</f>
        <v>-2797.700634973869</v>
      </c>
      <c r="T36" s="2278"/>
      <c r="U36" s="2278"/>
      <c r="V36" s="2278">
        <f>SUM('Exhibit No._(CTM-2), Pg. 10-30'!AB16:AB18)+SUM('Exhibit No._(CTM-2), Pg. 10-30'!AB20:AB20)</f>
        <v>-384836.06452024454</v>
      </c>
      <c r="W36" s="2278"/>
      <c r="X36" s="2278">
        <f>'Exhibit No._(CTM-2), Pg. 10-30'!AL21</f>
        <v>83552.818279334067</v>
      </c>
      <c r="Y36" s="2278">
        <v>0</v>
      </c>
      <c r="Z36" s="2278">
        <f>'Exhibit No._(CTM-2), Pg. 10-30'!AX22</f>
        <v>-359856.76911497308</v>
      </c>
      <c r="AA36" s="2278"/>
      <c r="AB36" s="2278">
        <f>'Exhibit No._(CTM-2), Pg. 10-30'!BG19</f>
        <v>-0.25750000006519258</v>
      </c>
      <c r="AC36" s="2278">
        <f>'Exhibit No._(CTM-2), Pg. 10-30'!BL17</f>
        <v>-83090.298329049372</v>
      </c>
      <c r="AD36" s="2278"/>
      <c r="AE36" s="2278">
        <f>'Exhibit No._(CTM-2), Pg. 10-30'!BT23</f>
        <v>0</v>
      </c>
      <c r="AF36" s="2278"/>
      <c r="AG36" s="2278">
        <f>'Exhibit No._(CTM-2), Pg. 10-30'!CC15</f>
        <v>-55002.726571525913</v>
      </c>
      <c r="AH36" s="2278">
        <f>'Exhibit No._(CTM-2), Pg. 10-30'!CH16</f>
        <v>896597.2196113239</v>
      </c>
      <c r="AI36" s="2278">
        <f>+'Exhibit No._(CTM-2), Pg. 10-30'!CN22</f>
        <v>284336</v>
      </c>
      <c r="AJ36" s="2278">
        <f>'Exhibit No._(CTM-2), Pg. 10-30'!CS37</f>
        <v>62481.402413379867</v>
      </c>
      <c r="AK36" s="3023">
        <f>'Exhibit No._(CTM-2), Pg. 10-30'!CW20</f>
        <v>8425.3015385605395</v>
      </c>
      <c r="AL36" s="2278">
        <f>'Exhibit No._(CTM-2), Pg. 10-30'!CX20</f>
        <v>0</v>
      </c>
      <c r="AM36" s="2318">
        <f t="shared" si="17"/>
        <v>538919.86224287329</v>
      </c>
      <c r="AN36" s="3023">
        <f t="shared" si="13"/>
        <v>43356989.983590871</v>
      </c>
    </row>
    <row r="37" spans="1:40">
      <c r="A37" s="2239">
        <f t="shared" si="1"/>
        <v>23</v>
      </c>
      <c r="B37" s="2249" t="s">
        <v>154</v>
      </c>
      <c r="C37" s="2249"/>
      <c r="D37" s="2278">
        <f>'Exhibit No._(CTM-2), Pg. 2-6'!M37</f>
        <v>102386842.97985891</v>
      </c>
      <c r="E37" s="2293">
        <f>'Exhibit No._(CTM-2), Pg. 2-6'!AM37</f>
        <v>-6555171.5269017387</v>
      </c>
      <c r="F37" s="2293">
        <f t="shared" si="14"/>
        <v>95831671.452957168</v>
      </c>
      <c r="G37" s="2293">
        <v>0</v>
      </c>
      <c r="H37" s="2293">
        <f t="shared" si="15"/>
        <v>95831671.452957168</v>
      </c>
      <c r="I37" s="2293"/>
      <c r="J37" s="2293">
        <f t="shared" si="16"/>
        <v>95831671.452957168</v>
      </c>
      <c r="K37" s="2293"/>
      <c r="L37" s="2293"/>
      <c r="M37" s="2486">
        <v>102386842.97985891</v>
      </c>
      <c r="N37" s="2278">
        <f>'Exhibit No._(CTM-2), Pg. 7-9'!E14</f>
        <v>-6263399.0290246662</v>
      </c>
      <c r="O37" s="2278">
        <f>'Exhibit No._(CTM-2), Pg. 7-9'!J14</f>
        <v>300533.71684800019</v>
      </c>
      <c r="P37" s="2278"/>
      <c r="Q37" s="2278"/>
      <c r="R37" s="2278"/>
      <c r="S37" s="2278"/>
      <c r="T37" s="2278"/>
      <c r="U37" s="2278"/>
      <c r="V37" s="2278"/>
      <c r="W37" s="2278">
        <f>'Exhibit No._(CTM-2), Pg. 10-30'!AG14</f>
        <v>-592306.2147250725</v>
      </c>
      <c r="X37" s="2278"/>
      <c r="Y37" s="2278"/>
      <c r="Z37" s="2278"/>
      <c r="AA37" s="2278"/>
      <c r="AB37" s="2278"/>
      <c r="AC37" s="2278"/>
      <c r="AD37" s="2278"/>
      <c r="AE37" s="2278"/>
      <c r="AF37" s="2278"/>
      <c r="AG37" s="2278"/>
      <c r="AH37" s="2278"/>
      <c r="AI37" s="2278"/>
      <c r="AJ37" s="2278"/>
      <c r="AK37" s="2278"/>
      <c r="AL37" s="2278"/>
      <c r="AM37" s="2259">
        <f t="shared" si="17"/>
        <v>-6555171.5269017387</v>
      </c>
      <c r="AN37" s="2278">
        <f t="shared" si="13"/>
        <v>95831671.452957168</v>
      </c>
    </row>
    <row r="38" spans="1:40">
      <c r="A38" s="2239">
        <f t="shared" si="1"/>
        <v>24</v>
      </c>
      <c r="B38" s="2249" t="s">
        <v>46</v>
      </c>
      <c r="C38" s="2249"/>
      <c r="D38" s="2278">
        <f>'Exhibit No._(CTM-2), Pg. 2-6'!M38</f>
        <v>12778120.276430989</v>
      </c>
      <c r="E38" s="2293">
        <f>'Exhibit No._(CTM-2), Pg. 2-6'!AM38</f>
        <v>0</v>
      </c>
      <c r="F38" s="2293">
        <f t="shared" si="14"/>
        <v>12778120.276430989</v>
      </c>
      <c r="G38" s="2293">
        <v>0</v>
      </c>
      <c r="H38" s="2293">
        <f t="shared" si="15"/>
        <v>12778120.276430989</v>
      </c>
      <c r="I38" s="2293"/>
      <c r="J38" s="2293">
        <f t="shared" si="16"/>
        <v>12778120.276430989</v>
      </c>
      <c r="K38" s="2293"/>
      <c r="L38" s="2293"/>
      <c r="M38" s="2486">
        <v>12778120.276430989</v>
      </c>
      <c r="N38" s="2278"/>
      <c r="O38" s="2278"/>
      <c r="P38" s="2278"/>
      <c r="Q38" s="2278"/>
      <c r="R38" s="2278"/>
      <c r="S38" s="2278"/>
      <c r="T38" s="2278"/>
      <c r="U38" s="2278"/>
      <c r="V38" s="2278"/>
      <c r="W38" s="2278"/>
      <c r="X38" s="2278"/>
      <c r="Y38" s="2278"/>
      <c r="Z38" s="2278"/>
      <c r="AA38" s="2278"/>
      <c r="AB38" s="2278"/>
      <c r="AC38" s="2278"/>
      <c r="AD38" s="2278"/>
      <c r="AE38" s="2278"/>
      <c r="AF38" s="2278"/>
      <c r="AG38" s="2278"/>
      <c r="AH38" s="2278"/>
      <c r="AI38" s="2278"/>
      <c r="AJ38" s="2278"/>
      <c r="AK38" s="2278"/>
      <c r="AL38" s="2278"/>
      <c r="AM38" s="2259">
        <f t="shared" si="17"/>
        <v>0</v>
      </c>
      <c r="AN38" s="2278">
        <f t="shared" si="13"/>
        <v>12778120.276430989</v>
      </c>
    </row>
    <row r="39" spans="1:40">
      <c r="A39" s="2239">
        <f t="shared" si="1"/>
        <v>25</v>
      </c>
      <c r="B39" s="2249" t="s">
        <v>98</v>
      </c>
      <c r="C39" s="2249"/>
      <c r="D39" s="2278">
        <f>'Exhibit No._(CTM-2), Pg. 2-6'!M39</f>
        <v>0</v>
      </c>
      <c r="E39" s="2293">
        <f>'Exhibit No._(CTM-2), Pg. 2-6'!AM39</f>
        <v>0</v>
      </c>
      <c r="F39" s="2293">
        <f t="shared" si="14"/>
        <v>0</v>
      </c>
      <c r="G39" s="2293">
        <v>0</v>
      </c>
      <c r="H39" s="2293">
        <f t="shared" si="15"/>
        <v>0</v>
      </c>
      <c r="I39" s="2293"/>
      <c r="J39" s="2293">
        <f t="shared" si="16"/>
        <v>0</v>
      </c>
      <c r="K39" s="2293"/>
      <c r="L39" s="2293"/>
      <c r="M39" s="2486">
        <v>0</v>
      </c>
      <c r="N39" s="2278"/>
      <c r="O39" s="2278"/>
      <c r="P39" s="2278"/>
      <c r="Q39" s="2278"/>
      <c r="R39" s="2278"/>
      <c r="S39" s="2278"/>
      <c r="T39" s="2278"/>
      <c r="U39" s="2278"/>
      <c r="V39" s="2278"/>
      <c r="W39" s="2278"/>
      <c r="X39" s="2278"/>
      <c r="Y39" s="2278"/>
      <c r="Z39" s="2278"/>
      <c r="AA39" s="2278"/>
      <c r="AB39" s="2278"/>
      <c r="AC39" s="2278"/>
      <c r="AD39" s="2278"/>
      <c r="AE39" s="2278"/>
      <c r="AF39" s="2278"/>
      <c r="AG39" s="2278"/>
      <c r="AH39" s="2278"/>
      <c r="AI39" s="2278"/>
      <c r="AJ39" s="2278"/>
      <c r="AK39" s="2278"/>
      <c r="AL39" s="2278"/>
      <c r="AM39" s="2259">
        <f t="shared" si="17"/>
        <v>0</v>
      </c>
      <c r="AN39" s="2278">
        <f t="shared" si="13"/>
        <v>0</v>
      </c>
    </row>
    <row r="40" spans="1:40">
      <c r="A40" s="2239">
        <f t="shared" si="1"/>
        <v>26</v>
      </c>
      <c r="B40" s="2249" t="s">
        <v>11</v>
      </c>
      <c r="C40" s="2249"/>
      <c r="D40" s="2278">
        <f>'Exhibit No._(CTM-2), Pg. 2-6'!M40</f>
        <v>-187823.5</v>
      </c>
      <c r="E40" s="2293">
        <f>'Exhibit No._(CTM-2), Pg. 2-6'!AM40</f>
        <v>142453.22666666686</v>
      </c>
      <c r="F40" s="2293">
        <f t="shared" si="14"/>
        <v>-45370.273333333142</v>
      </c>
      <c r="G40" s="2293">
        <v>0</v>
      </c>
      <c r="H40" s="2293">
        <f t="shared" si="15"/>
        <v>-45370.273333333142</v>
      </c>
      <c r="I40" s="2293"/>
      <c r="J40" s="2293">
        <f t="shared" si="16"/>
        <v>-45370.273333333142</v>
      </c>
      <c r="K40" s="2293"/>
      <c r="L40" s="2293"/>
      <c r="M40" s="2486">
        <v>-187823.5</v>
      </c>
      <c r="N40" s="2278"/>
      <c r="O40" s="2278"/>
      <c r="P40" s="2278"/>
      <c r="Q40" s="2278">
        <v>0</v>
      </c>
      <c r="R40" s="2278">
        <v>0</v>
      </c>
      <c r="S40" s="2278"/>
      <c r="T40" s="2278"/>
      <c r="U40" s="2278"/>
      <c r="V40" s="2278"/>
      <c r="W40" s="2278"/>
      <c r="X40" s="2278"/>
      <c r="Y40" s="2278"/>
      <c r="Z40" s="2278"/>
      <c r="AA40" s="2278"/>
      <c r="AB40" s="2278"/>
      <c r="AC40" s="2278"/>
      <c r="AD40" s="2278"/>
      <c r="AE40" s="2278"/>
      <c r="AF40" s="2278">
        <f>'Exhibit No._(CTM-2), Pg. 10-30'!BX21</f>
        <v>142453.22666666686</v>
      </c>
      <c r="AG40" s="2278"/>
      <c r="AH40" s="2278"/>
      <c r="AI40" s="2278"/>
      <c r="AJ40" s="2278"/>
      <c r="AK40" s="2278"/>
      <c r="AL40" s="2278"/>
      <c r="AM40" s="2259">
        <f t="shared" si="17"/>
        <v>142453.22666666686</v>
      </c>
      <c r="AN40" s="2278">
        <f t="shared" si="13"/>
        <v>-45370.273333333142</v>
      </c>
    </row>
    <row r="41" spans="1:40">
      <c r="A41" s="2239">
        <f t="shared" si="1"/>
        <v>27</v>
      </c>
      <c r="B41" s="2231" t="s">
        <v>163</v>
      </c>
      <c r="D41" s="2278">
        <f>'Exhibit No._(CTM-2), Pg. 2-6'!M41</f>
        <v>0</v>
      </c>
      <c r="E41" s="2293">
        <f>'Exhibit No._(CTM-2), Pg. 2-6'!AM41</f>
        <v>0</v>
      </c>
      <c r="F41" s="2293">
        <f t="shared" si="14"/>
        <v>0</v>
      </c>
      <c r="G41" s="2293">
        <v>0</v>
      </c>
      <c r="H41" s="2293">
        <f t="shared" si="15"/>
        <v>0</v>
      </c>
      <c r="I41" s="2293"/>
      <c r="J41" s="2293">
        <f t="shared" si="16"/>
        <v>0</v>
      </c>
      <c r="K41" s="2293"/>
      <c r="L41" s="2293"/>
      <c r="M41" s="2486">
        <v>0</v>
      </c>
      <c r="AM41" s="2259">
        <f t="shared" si="17"/>
        <v>0</v>
      </c>
      <c r="AN41" s="2278">
        <f t="shared" si="13"/>
        <v>0</v>
      </c>
    </row>
    <row r="42" spans="1:40">
      <c r="A42" s="2239">
        <f t="shared" si="1"/>
        <v>28</v>
      </c>
      <c r="B42" s="2249" t="s">
        <v>194</v>
      </c>
      <c r="C42" s="2249"/>
      <c r="D42" s="2278">
        <f>'Exhibit No._(CTM-2), Pg. 2-6'!M42</f>
        <v>98746987.673014</v>
      </c>
      <c r="E42" s="2961">
        <f>'Exhibit No._(CTM-2), Pg. 2-6'!AM42</f>
        <v>-39606732.615406498</v>
      </c>
      <c r="F42" s="2293">
        <f t="shared" si="14"/>
        <v>59140255.057607502</v>
      </c>
      <c r="G42" s="2293">
        <v>0</v>
      </c>
      <c r="H42" s="2961">
        <f t="shared" si="15"/>
        <v>59140255.057607502</v>
      </c>
      <c r="I42" s="2961">
        <f>I19*('Exhibit No._(CTM-2), Pg. 32-34'!N15)</f>
        <v>84887.33780400001</v>
      </c>
      <c r="J42" s="2961">
        <f t="shared" si="16"/>
        <v>59225142.395411499</v>
      </c>
      <c r="K42" s="2293"/>
      <c r="L42" s="2844"/>
      <c r="M42" s="2486">
        <v>98746987.673014</v>
      </c>
      <c r="N42" s="2278"/>
      <c r="O42" s="2278"/>
      <c r="P42" s="2278"/>
      <c r="Q42" s="2278">
        <f>+'Exhibit No._(CTM-2), Pg. 10-30'!E49</f>
        <v>1276774</v>
      </c>
      <c r="R42" s="3023">
        <f>'Exhibit No._(CTM-2), Pg. 10-30'!K62</f>
        <v>433530.27620450419</v>
      </c>
      <c r="S42" s="2278">
        <f>'Exhibit No._(CTM-2), Pg. 10-30'!O24+'Exhibit No._(CTM-2), Pg. 10-30'!O31</f>
        <v>-42162546.398287058</v>
      </c>
      <c r="T42" s="2278"/>
      <c r="U42" s="2278"/>
      <c r="V42" s="2278">
        <f>'Exhibit No._(CTM-2), Pg. 10-30'!AB19</f>
        <v>-13986.712798215238</v>
      </c>
      <c r="W42" s="2278"/>
      <c r="X42" s="2278"/>
      <c r="Y42" s="2278"/>
      <c r="Z42" s="2278">
        <f>'Exhibit No._(CTM-2), Pg. 10-30'!AX25</f>
        <v>-128522.40288672247</v>
      </c>
      <c r="AA42" s="2278">
        <f>'Exhibit No._(CTM-2), Pg. 10-30'!BC15</f>
        <v>839995.74999999627</v>
      </c>
      <c r="AB42" s="2278">
        <f>'Exhibit No._(CTM-2), Pg. 10-30'!BG15</f>
        <v>75778.872361004353</v>
      </c>
      <c r="AC42" s="2278"/>
      <c r="AD42" s="2278"/>
      <c r="AE42" s="2278"/>
      <c r="AF42" s="2278"/>
      <c r="AG42" s="2278"/>
      <c r="AH42" s="2278"/>
      <c r="AI42" s="2278">
        <f>+'Exhibit No._(CTM-2), Pg. 10-30'!CN25</f>
        <v>72244</v>
      </c>
      <c r="AJ42" s="2278"/>
      <c r="AK42" s="2278"/>
      <c r="AL42" s="2278"/>
      <c r="AM42" s="2318">
        <f t="shared" si="17"/>
        <v>-39606732.615406498</v>
      </c>
      <c r="AN42" s="3023">
        <f t="shared" si="13"/>
        <v>59140255.057607502</v>
      </c>
    </row>
    <row r="43" spans="1:40">
      <c r="A43" s="2239">
        <f t="shared" si="1"/>
        <v>29</v>
      </c>
      <c r="B43" s="2249" t="s">
        <v>193</v>
      </c>
      <c r="C43" s="2249"/>
      <c r="D43" s="2278">
        <f>'Exhibit No._(CTM-2), Pg. 2-6'!M43</f>
        <v>15204117</v>
      </c>
      <c r="E43" s="2961">
        <f>'Exhibit No._(CTM-2), Pg. 2-6'!AM43</f>
        <v>-19191228.360356014</v>
      </c>
      <c r="F43" s="2961">
        <f t="shared" si="14"/>
        <v>-3987111.3603560142</v>
      </c>
      <c r="G43" s="2961">
        <f>-F43</f>
        <v>3987111.3603560142</v>
      </c>
      <c r="H43" s="2293">
        <f t="shared" si="15"/>
        <v>0</v>
      </c>
      <c r="I43" s="2293">
        <v>0</v>
      </c>
      <c r="J43" s="2293">
        <f t="shared" si="16"/>
        <v>0</v>
      </c>
      <c r="K43" s="2844"/>
      <c r="L43" s="2858"/>
      <c r="M43" s="2486">
        <v>15204117</v>
      </c>
      <c r="N43" s="2278">
        <f>'Exhibit No._(CTM-2), Pg. 7-9'!E19</f>
        <v>2192189.6601586333</v>
      </c>
      <c r="O43" s="2278">
        <f>'Exhibit No._(CTM-2), Pg. 7-9'!J18</f>
        <v>-105186.80089680006</v>
      </c>
      <c r="P43" s="2278">
        <f>'Exhibit No._(CTM-2), Pg. 7-9'!O18</f>
        <v>344701.38684848556</v>
      </c>
      <c r="Q43" s="2278">
        <f>+'Exhibit No._(CTM-2), Pg. 10-30'!F54</f>
        <v>3581452</v>
      </c>
      <c r="R43" s="2278">
        <f>'Exhibit No._(CTM-2), Pg. 10-30'!K65</f>
        <v>9107045</v>
      </c>
      <c r="S43" s="2278">
        <f>'Exhibit No._(CTM-2), Pg. 10-30'!O36</f>
        <v>83312.745700927873</v>
      </c>
      <c r="T43" s="2278">
        <f>'Exhibit No._(CTM-2), Pg. 10-30'!S30</f>
        <v>-16846706.551784992</v>
      </c>
      <c r="U43" s="2278">
        <f>+'Exhibit No._(CTM-2), Pg. 10-30'!W22</f>
        <v>-18265629.636268079</v>
      </c>
      <c r="V43" s="2278">
        <f>'Exhibit No._(CTM-2), Pg. 10-30'!AB23</f>
        <v>165097.57673630893</v>
      </c>
      <c r="W43" s="2278">
        <f>'Exhibit No._(CTM-2), Pg. 10-30'!AG19</f>
        <v>207307.17515377537</v>
      </c>
      <c r="X43" s="2278">
        <f>'Exhibit No._(CTM-2), Pg. 10-30'!AL22</f>
        <v>-29243</v>
      </c>
      <c r="Y43" s="2278">
        <f>'Exhibit No._(CTM-2), Pg. 10-30'!AS27</f>
        <v>847770</v>
      </c>
      <c r="Z43" s="2278">
        <f>'Exhibit No._(CTM-2), Pg. 10-30'!AX30</f>
        <v>601640</v>
      </c>
      <c r="AA43" s="2278">
        <f>'Exhibit No._(CTM-2), Pg. 10-30'!BC17</f>
        <v>-293998.51249999867</v>
      </c>
      <c r="AB43" s="2278">
        <f>'Exhibit No._(CTM-2), Pg. 10-30'!BG24</f>
        <v>-26523</v>
      </c>
      <c r="AC43" s="2278">
        <f>'Exhibit No._(CTM-2), Pg. 10-30'!BL19</f>
        <v>29081.60441516728</v>
      </c>
      <c r="AD43" s="2278"/>
      <c r="AE43" s="2278">
        <f>'Exhibit No._(CTM-2), Pg. 10-30'!BT25</f>
        <v>0</v>
      </c>
      <c r="AF43" s="2278">
        <f>'Exhibit No._(CTM-2), Pg. 10-30'!BX23</f>
        <v>-49858.629333333396</v>
      </c>
      <c r="AG43" s="2278">
        <f>'Exhibit No._(CTM-2), Pg. 10-30'!CC18</f>
        <v>19250.954300034067</v>
      </c>
      <c r="AH43" s="2278">
        <f>'Exhibit No._(CTM-2), Pg. 10-30'!CH19</f>
        <v>-313809.02686396334</v>
      </c>
      <c r="AI43" s="2278">
        <f>'Exhibit No._(CTM-2), Pg. 10-30'!CN29</f>
        <v>-414304.45048368722</v>
      </c>
      <c r="AJ43" s="2278">
        <f>'Exhibit No._(CTM-2), Pg. 10-30'!CS39</f>
        <v>-21868</v>
      </c>
      <c r="AK43" s="3023">
        <f>'Exhibit No._(CTM-2), Pg. 10-30'!CW22</f>
        <v>-2948.8555384961887</v>
      </c>
      <c r="AL43" s="2278">
        <f>'Exhibit No._(CTM-2), Pg. 10-30'!CX22</f>
        <v>0</v>
      </c>
      <c r="AM43" s="2318">
        <f t="shared" si="17"/>
        <v>-19191228.360356014</v>
      </c>
      <c r="AN43" s="3023">
        <f t="shared" si="13"/>
        <v>-3987111.3603560142</v>
      </c>
    </row>
    <row r="44" spans="1:40">
      <c r="A44" s="2239">
        <f t="shared" si="1"/>
        <v>30</v>
      </c>
      <c r="B44" s="2231" t="s">
        <v>12</v>
      </c>
      <c r="D44" s="2809">
        <f>'Exhibit No._(CTM-2), Pg. 2-6'!M44</f>
        <v>-3067770.7089999998</v>
      </c>
      <c r="E44" s="2843">
        <f>'Exhibit No._(CTM-2), Pg. 2-6'!AM44</f>
        <v>45680807.810784996</v>
      </c>
      <c r="F44" s="2843">
        <f t="shared" si="14"/>
        <v>42613037.101784997</v>
      </c>
      <c r="G44" s="2962">
        <f>-G43</f>
        <v>-3987111.3603560142</v>
      </c>
      <c r="H44" s="2962">
        <f t="shared" si="15"/>
        <v>38625925.741428986</v>
      </c>
      <c r="I44" s="2962">
        <f>I19*'Exhibit No._(CTM-2), Pg. 32-34'!N20</f>
        <v>740047.48368599999</v>
      </c>
      <c r="J44" s="2843">
        <f t="shared" si="16"/>
        <v>39365973.225114986</v>
      </c>
      <c r="K44" s="2604"/>
      <c r="M44" s="2809">
        <v>-3067770.7089999998</v>
      </c>
      <c r="N44" s="2809"/>
      <c r="O44" s="2809"/>
      <c r="P44" s="2809"/>
      <c r="Q44" s="2809"/>
      <c r="R44" s="2809"/>
      <c r="S44" s="2809"/>
      <c r="T44" s="2809">
        <f>'Exhibit No._(CTM-2), Pg. 10-30'!S31+'Exhibit No._(CTM-2), Pg. 10-30'!S32</f>
        <v>45680807.810784996</v>
      </c>
      <c r="U44" s="2809"/>
      <c r="V44" s="2809"/>
      <c r="W44" s="2809"/>
      <c r="X44" s="2809"/>
      <c r="Y44" s="2809"/>
      <c r="Z44" s="2809"/>
      <c r="AA44" s="2809"/>
      <c r="AB44" s="2809"/>
      <c r="AC44" s="2809"/>
      <c r="AD44" s="2809"/>
      <c r="AE44" s="2809"/>
      <c r="AF44" s="2809"/>
      <c r="AG44" s="2809"/>
      <c r="AH44" s="2809"/>
      <c r="AI44" s="2809"/>
      <c r="AJ44" s="2809"/>
      <c r="AK44" s="2809"/>
      <c r="AL44" s="2809"/>
      <c r="AM44" s="2259">
        <f t="shared" si="17"/>
        <v>45680807.810784996</v>
      </c>
      <c r="AN44" s="2809">
        <f t="shared" si="13"/>
        <v>42613037.101784997</v>
      </c>
    </row>
    <row r="45" spans="1:40">
      <c r="A45" s="2239">
        <f t="shared" si="1"/>
        <v>31</v>
      </c>
      <c r="B45" s="2249" t="s">
        <v>13</v>
      </c>
      <c r="C45" s="2249"/>
      <c r="D45" s="2852">
        <f>SUM(D28:D44)</f>
        <v>908869056.73049474</v>
      </c>
      <c r="E45" s="2959">
        <f t="shared" ref="E45:J45" si="18">SUM(E28:E44)</f>
        <v>24178967.572095301</v>
      </c>
      <c r="F45" s="2959">
        <f>SUM(F28:F44)</f>
        <v>933048024.30259013</v>
      </c>
      <c r="G45" s="2852">
        <f>SUM(G28:G44)</f>
        <v>0</v>
      </c>
      <c r="H45" s="2959">
        <f>SUM(H28:H44)</f>
        <v>933048024.30259013</v>
      </c>
      <c r="I45" s="2959">
        <f t="shared" si="18"/>
        <v>837042.31313999998</v>
      </c>
      <c r="J45" s="2959">
        <f t="shared" si="18"/>
        <v>933885066.61573017</v>
      </c>
      <c r="K45" s="2259"/>
      <c r="M45" s="2852">
        <f>SUM(M28:M44)</f>
        <v>908869056.73049474</v>
      </c>
      <c r="N45" s="2852">
        <f t="shared" ref="N45:AK45" si="19">SUM(N28:N44)</f>
        <v>-4071209.3688660329</v>
      </c>
      <c r="O45" s="2852">
        <f t="shared" si="19"/>
        <v>195346.91595120012</v>
      </c>
      <c r="P45" s="2852">
        <f t="shared" si="19"/>
        <v>-640159.71843290189</v>
      </c>
      <c r="Q45" s="2852">
        <f t="shared" si="19"/>
        <v>26610175.008104395</v>
      </c>
      <c r="R45" s="2852">
        <f>SUM(R28:R44)</f>
        <v>-5619114.3153719306</v>
      </c>
      <c r="S45" s="2852">
        <f t="shared" si="19"/>
        <v>-1553573.9880743674</v>
      </c>
      <c r="T45" s="2852">
        <f t="shared" si="19"/>
        <v>28834101.259000003</v>
      </c>
      <c r="U45" s="2852">
        <f t="shared" si="19"/>
        <v>-18265629.636268079</v>
      </c>
      <c r="V45" s="2852">
        <f t="shared" si="19"/>
        <v>-306609.78536743083</v>
      </c>
      <c r="W45" s="2852">
        <f t="shared" si="19"/>
        <v>-384999.03957129712</v>
      </c>
      <c r="X45" s="2852">
        <f t="shared" si="19"/>
        <v>54309.818279334067</v>
      </c>
      <c r="Y45" s="2852">
        <f t="shared" si="19"/>
        <v>-1574431</v>
      </c>
      <c r="Z45" s="2852">
        <f t="shared" si="19"/>
        <v>-1117331.1629876194</v>
      </c>
      <c r="AA45" s="2852">
        <f t="shared" si="19"/>
        <v>545997.2374999976</v>
      </c>
      <c r="AB45" s="2852">
        <f t="shared" si="19"/>
        <v>49255.614861004287</v>
      </c>
      <c r="AC45" s="2852">
        <f t="shared" si="19"/>
        <v>-54008.693913882089</v>
      </c>
      <c r="AD45" s="2852">
        <f t="shared" si="19"/>
        <v>21705.010131999999</v>
      </c>
      <c r="AE45" s="2852">
        <f t="shared" si="19"/>
        <v>0</v>
      </c>
      <c r="AF45" s="2852">
        <f t="shared" si="19"/>
        <v>92594.597333333455</v>
      </c>
      <c r="AG45" s="2852">
        <f t="shared" si="19"/>
        <v>-35751.772271491849</v>
      </c>
      <c r="AH45" s="2852">
        <f t="shared" si="19"/>
        <v>582788.19274736056</v>
      </c>
      <c r="AI45" s="2852">
        <f t="shared" si="19"/>
        <v>769422.55089827743</v>
      </c>
      <c r="AJ45" s="2852">
        <f t="shared" si="19"/>
        <v>40613.402413379867</v>
      </c>
      <c r="AK45" s="2959">
        <f t="shared" si="19"/>
        <v>5476.4460000643503</v>
      </c>
      <c r="AL45" s="2852">
        <f t="shared" ref="AL45" si="20">SUM(AL28:AL44)</f>
        <v>0</v>
      </c>
      <c r="AM45" s="2959">
        <f t="shared" ref="AM45" si="21">SUM(AM28:AM44)</f>
        <v>24178967.572095301</v>
      </c>
      <c r="AN45" s="2959">
        <f t="shared" ref="AN45" si="22">SUM(AN28:AN44)</f>
        <v>933048024.30259013</v>
      </c>
    </row>
    <row r="46" spans="1:40">
      <c r="A46" s="2239">
        <f t="shared" si="1"/>
        <v>32</v>
      </c>
      <c r="D46" s="2259"/>
      <c r="E46" s="2259"/>
      <c r="F46" s="2259" t="s">
        <v>18</v>
      </c>
      <c r="G46" s="2259" t="s">
        <v>18</v>
      </c>
      <c r="H46" s="2259" t="s">
        <v>18</v>
      </c>
      <c r="I46" s="2259"/>
      <c r="J46" s="2259"/>
      <c r="K46" s="2346"/>
      <c r="M46" s="2259"/>
      <c r="N46" s="2259"/>
      <c r="O46" s="2259"/>
      <c r="P46" s="2259"/>
      <c r="Q46" s="2259"/>
      <c r="R46" s="2259"/>
      <c r="S46" s="2259"/>
      <c r="T46" s="2259"/>
      <c r="U46" s="2259"/>
      <c r="V46" s="2259"/>
      <c r="W46" s="2259"/>
      <c r="X46" s="2259"/>
      <c r="Y46" s="2259"/>
      <c r="Z46" s="2259"/>
      <c r="AA46" s="2259"/>
      <c r="AB46" s="2259"/>
      <c r="AC46" s="2259"/>
      <c r="AD46" s="2259"/>
      <c r="AE46" s="2259"/>
      <c r="AF46" s="2259"/>
      <c r="AG46" s="2259"/>
      <c r="AH46" s="2259"/>
      <c r="AI46" s="2259"/>
      <c r="AJ46" s="2259"/>
      <c r="AK46" s="2259"/>
      <c r="AL46" s="2259"/>
      <c r="AM46" s="2259"/>
      <c r="AN46" s="2259"/>
    </row>
    <row r="47" spans="1:40" ht="16.5" thickBot="1">
      <c r="A47" s="2239">
        <f t="shared" si="1"/>
        <v>33</v>
      </c>
      <c r="B47" s="2231" t="s">
        <v>14</v>
      </c>
      <c r="D47" s="2428">
        <f>D19-D45</f>
        <v>102661459.51950526</v>
      </c>
      <c r="E47" s="2963">
        <f t="shared" ref="E47:J47" si="23">E19-E45</f>
        <v>18977592.96850631</v>
      </c>
      <c r="F47" s="2963">
        <f>F19-F45</f>
        <v>121639052.48801148</v>
      </c>
      <c r="G47" s="2428">
        <f>G19-G45</f>
        <v>0</v>
      </c>
      <c r="H47" s="2963">
        <f>H19-H45</f>
        <v>121639052.48801148</v>
      </c>
      <c r="I47" s="2963">
        <f t="shared" si="23"/>
        <v>1374371.68686</v>
      </c>
      <c r="J47" s="2963">
        <f t="shared" si="23"/>
        <v>123013424.17487144</v>
      </c>
      <c r="K47" s="2859"/>
      <c r="M47" s="2860">
        <f>M19-M45</f>
        <v>102661459.51950526</v>
      </c>
      <c r="N47" s="2860">
        <f t="shared" ref="N47:AK47" si="24">N19-N45</f>
        <v>4071209.3688660329</v>
      </c>
      <c r="O47" s="2860">
        <f t="shared" si="24"/>
        <v>-195346.91595120012</v>
      </c>
      <c r="P47" s="2860">
        <f t="shared" si="24"/>
        <v>640159.71843290189</v>
      </c>
      <c r="Q47" s="2860">
        <f t="shared" si="24"/>
        <v>6651267.3144632801</v>
      </c>
      <c r="R47" s="2860">
        <f>R19-R45</f>
        <v>16913082.850892801</v>
      </c>
      <c r="S47" s="2860">
        <f t="shared" si="24"/>
        <v>154723.67058743304</v>
      </c>
      <c r="T47" s="2860">
        <f t="shared" si="24"/>
        <v>-28834101.259000003</v>
      </c>
      <c r="U47" s="2860">
        <f t="shared" si="24"/>
        <v>18265629.636268079</v>
      </c>
      <c r="V47" s="2860">
        <f t="shared" si="24"/>
        <v>306609.78536743083</v>
      </c>
      <c r="W47" s="2860">
        <f t="shared" si="24"/>
        <v>384999.03957129712</v>
      </c>
      <c r="X47" s="2860">
        <f t="shared" si="24"/>
        <v>-54309.818279334067</v>
      </c>
      <c r="Y47" s="2860">
        <f t="shared" si="24"/>
        <v>1574431</v>
      </c>
      <c r="Z47" s="2860">
        <f t="shared" si="24"/>
        <v>1117331.1629876194</v>
      </c>
      <c r="AA47" s="2860">
        <f t="shared" si="24"/>
        <v>-545997.2374999976</v>
      </c>
      <c r="AB47" s="2860">
        <f t="shared" si="24"/>
        <v>-49255.614861004287</v>
      </c>
      <c r="AC47" s="2860">
        <f t="shared" si="24"/>
        <v>54008.693913882089</v>
      </c>
      <c r="AD47" s="2860">
        <f t="shared" si="24"/>
        <v>-21705.010131999999</v>
      </c>
      <c r="AE47" s="2860">
        <f t="shared" si="24"/>
        <v>0</v>
      </c>
      <c r="AF47" s="2860">
        <f t="shared" si="24"/>
        <v>-92594.597333333455</v>
      </c>
      <c r="AG47" s="2860">
        <f t="shared" si="24"/>
        <v>35751.772271491849</v>
      </c>
      <c r="AH47" s="2860">
        <f t="shared" si="24"/>
        <v>-582788.19274736056</v>
      </c>
      <c r="AI47" s="2860">
        <f t="shared" si="24"/>
        <v>-769422.55089827743</v>
      </c>
      <c r="AJ47" s="2860">
        <f t="shared" si="24"/>
        <v>-40613.402413379867</v>
      </c>
      <c r="AK47" s="2860">
        <f t="shared" si="24"/>
        <v>-5476.4460000643503</v>
      </c>
      <c r="AL47" s="2860">
        <f t="shared" ref="AL47" si="25">AL19-AL45</f>
        <v>0</v>
      </c>
      <c r="AM47" s="3024">
        <f t="shared" ref="AM47:AN47" si="26">AM19-AM45</f>
        <v>18977592.96850631</v>
      </c>
      <c r="AN47" s="3024">
        <f t="shared" si="26"/>
        <v>121639052.48801148</v>
      </c>
    </row>
    <row r="48" spans="1:40" ht="16.5" thickTop="1">
      <c r="A48" s="2239">
        <f t="shared" si="1"/>
        <v>34</v>
      </c>
      <c r="B48" s="2249"/>
      <c r="C48" s="2249"/>
      <c r="D48" s="2859"/>
      <c r="E48" s="2859"/>
      <c r="F48" s="2859"/>
      <c r="G48" s="2859"/>
      <c r="H48" s="2859"/>
      <c r="I48" s="2859"/>
      <c r="J48" s="2859"/>
      <c r="K48" s="2259"/>
      <c r="M48" s="2259"/>
      <c r="S48" s="2231" t="s">
        <v>18</v>
      </c>
      <c r="AI48" s="2231" t="s">
        <v>18</v>
      </c>
      <c r="AJ48" s="2231" t="s">
        <v>18</v>
      </c>
      <c r="AK48" s="2231" t="s">
        <v>18</v>
      </c>
      <c r="AL48" s="2231" t="s">
        <v>18</v>
      </c>
      <c r="AM48" s="2426"/>
      <c r="AN48" s="2426"/>
    </row>
    <row r="49" spans="1:40" ht="16.5" thickBot="1">
      <c r="A49" s="2239">
        <f t="shared" si="1"/>
        <v>35</v>
      </c>
      <c r="B49" s="2249" t="s">
        <v>15</v>
      </c>
      <c r="C49" s="2249"/>
      <c r="D49" s="2259">
        <f>'Exhibit No._(CTM-2), Pg. 2-6'!M49</f>
        <v>1660735111.0538375</v>
      </c>
      <c r="E49" s="2861">
        <f>'Exhibit No._(CTM-2), Pg. 2-6'!AM49</f>
        <v>-40004886.00786756</v>
      </c>
      <c r="F49" s="2259">
        <f>D49+E49</f>
        <v>1620730225.04597</v>
      </c>
      <c r="G49" s="2259">
        <v>0</v>
      </c>
      <c r="H49" s="2259">
        <f>F49+G49</f>
        <v>1620730225.04597</v>
      </c>
      <c r="I49" s="2259">
        <v>0</v>
      </c>
      <c r="J49" s="2259">
        <f>I49+H49</f>
        <v>1620730225.04597</v>
      </c>
      <c r="M49" s="2860">
        <f>M60</f>
        <v>1660735111.0538375</v>
      </c>
      <c r="N49" s="2509">
        <f t="shared" ref="N49:V49" si="27">N60</f>
        <v>-2218846.4496661704</v>
      </c>
      <c r="O49" s="2509">
        <f t="shared" si="27"/>
        <v>-97673.45797560006</v>
      </c>
      <c r="P49" s="2509">
        <f t="shared" si="27"/>
        <v>0</v>
      </c>
      <c r="Q49" s="2509">
        <f t="shared" si="27"/>
        <v>0</v>
      </c>
      <c r="R49" s="2509">
        <f t="shared" si="27"/>
        <v>0</v>
      </c>
      <c r="S49" s="2509">
        <f t="shared" si="27"/>
        <v>0</v>
      </c>
      <c r="T49" s="2509">
        <f t="shared" si="27"/>
        <v>-24564298</v>
      </c>
      <c r="U49" s="2509">
        <f t="shared" si="27"/>
        <v>0</v>
      </c>
      <c r="V49" s="2509">
        <f t="shared" si="27"/>
        <v>0</v>
      </c>
      <c r="W49" s="2509">
        <f>W60</f>
        <v>-113066.91905510958</v>
      </c>
      <c r="X49" s="2509">
        <f t="shared" ref="X49:AK49" si="28">X60</f>
        <v>0</v>
      </c>
      <c r="Y49" s="2509">
        <f t="shared" si="28"/>
        <v>0</v>
      </c>
      <c r="Z49" s="2509">
        <f t="shared" si="28"/>
        <v>0</v>
      </c>
      <c r="AA49" s="2509">
        <f t="shared" si="28"/>
        <v>0</v>
      </c>
      <c r="AB49" s="2509">
        <f t="shared" si="28"/>
        <v>0</v>
      </c>
      <c r="AC49" s="2509">
        <f t="shared" si="28"/>
        <v>0</v>
      </c>
      <c r="AD49" s="2509">
        <f t="shared" si="28"/>
        <v>0</v>
      </c>
      <c r="AE49" s="2509">
        <f t="shared" si="28"/>
        <v>0</v>
      </c>
      <c r="AF49" s="2509">
        <f t="shared" si="28"/>
        <v>0</v>
      </c>
      <c r="AG49" s="2509">
        <f t="shared" si="28"/>
        <v>0</v>
      </c>
      <c r="AH49" s="2509">
        <f t="shared" si="28"/>
        <v>0</v>
      </c>
      <c r="AI49" s="2509">
        <f t="shared" si="28"/>
        <v>0</v>
      </c>
      <c r="AJ49" s="2509">
        <f t="shared" si="28"/>
        <v>0</v>
      </c>
      <c r="AK49" s="2509">
        <f t="shared" si="28"/>
        <v>0</v>
      </c>
      <c r="AL49" s="2509">
        <f t="shared" ref="AL49" si="29">AL60</f>
        <v>-13011001.181170687</v>
      </c>
      <c r="AM49" s="2509">
        <f>SUM(N49:AL49)</f>
        <v>-40004886.00786756</v>
      </c>
      <c r="AN49" s="2509">
        <f>M49+AM49</f>
        <v>1620730225.04597</v>
      </c>
    </row>
    <row r="50" spans="1:40" ht="16.5" thickTop="1">
      <c r="A50" s="2239">
        <f t="shared" si="1"/>
        <v>36</v>
      </c>
      <c r="K50" s="2253"/>
      <c r="AM50" s="2426"/>
      <c r="AN50" s="2426"/>
    </row>
    <row r="51" spans="1:40">
      <c r="A51" s="2239">
        <f t="shared" si="1"/>
        <v>37</v>
      </c>
      <c r="B51" s="2249" t="s">
        <v>16</v>
      </c>
      <c r="C51" s="2249"/>
      <c r="D51" s="2253">
        <f>'Exhibit No._(CTM-2), Pg. 2-6'!M51</f>
        <v>6.1816877861009582E-2</v>
      </c>
      <c r="F51" s="2960">
        <f>F47/F49</f>
        <v>7.5052004712604981E-2</v>
      </c>
      <c r="G51" s="2253"/>
      <c r="H51" s="2960">
        <f>H47/H49</f>
        <v>7.5052004712604981E-2</v>
      </c>
      <c r="I51" s="2253"/>
      <c r="J51" s="2253">
        <f>J47/J49</f>
        <v>7.5900000057925937E-2</v>
      </c>
      <c r="K51" s="2862"/>
      <c r="M51" s="2252">
        <f>M47/M49</f>
        <v>6.1816877861009582E-2</v>
      </c>
      <c r="AN51" s="2253">
        <f>AN47/AN49</f>
        <v>7.5052004712604981E-2</v>
      </c>
    </row>
    <row r="52" spans="1:40">
      <c r="A52" s="2239">
        <f t="shared" si="1"/>
        <v>38</v>
      </c>
      <c r="D52" s="2862"/>
      <c r="F52" s="2862"/>
      <c r="G52" s="2862"/>
      <c r="H52" s="2862"/>
      <c r="I52" s="2862"/>
      <c r="J52" s="2862"/>
    </row>
    <row r="53" spans="1:40">
      <c r="A53" s="2239">
        <f t="shared" si="1"/>
        <v>39</v>
      </c>
      <c r="B53" s="2231" t="s">
        <v>118</v>
      </c>
      <c r="N53" s="2346"/>
      <c r="O53" s="2346"/>
      <c r="P53" s="2346"/>
      <c r="Q53" s="2346"/>
      <c r="R53" s="2346"/>
      <c r="S53" s="2346"/>
      <c r="T53" s="2346"/>
      <c r="U53" s="2346"/>
      <c r="V53" s="2346"/>
      <c r="W53" s="2346"/>
      <c r="X53" s="2346"/>
      <c r="Y53" s="2346"/>
      <c r="Z53" s="2346"/>
      <c r="AA53" s="2346"/>
      <c r="AB53" s="2346"/>
      <c r="AC53" s="2346"/>
      <c r="AD53" s="2346"/>
      <c r="AE53" s="2346"/>
      <c r="AF53" s="2346"/>
      <c r="AG53" s="2346"/>
      <c r="AH53" s="2346"/>
      <c r="AI53" s="2346"/>
      <c r="AJ53" s="2346"/>
      <c r="AK53" s="2346"/>
      <c r="AL53" s="2346"/>
      <c r="AN53" s="2426"/>
    </row>
    <row r="54" spans="1:40">
      <c r="A54" s="2239">
        <f t="shared" si="1"/>
        <v>40</v>
      </c>
      <c r="B54" s="2863" t="s">
        <v>174</v>
      </c>
      <c r="C54" s="2863"/>
      <c r="D54" s="2487">
        <f>+'Exhibit No._(CTM-2), Pg. 2-6'!M54</f>
        <v>2787911459</v>
      </c>
      <c r="E54" s="2864">
        <f>+'Exhibit No._(CTM-2), Pg. 2-6'!AM54</f>
        <v>0</v>
      </c>
      <c r="F54" s="2864">
        <f>+D54+E54</f>
        <v>2787911459</v>
      </c>
      <c r="J54" s="2361"/>
      <c r="K54" s="2790"/>
      <c r="M54" s="2346">
        <f>2648893764+139017695</f>
        <v>2787911459</v>
      </c>
      <c r="N54" s="2346">
        <v>0</v>
      </c>
      <c r="O54" s="2346">
        <v>0</v>
      </c>
      <c r="P54" s="2346">
        <v>0</v>
      </c>
      <c r="Q54" s="2346">
        <v>0</v>
      </c>
      <c r="R54" s="2346">
        <v>0</v>
      </c>
      <c r="S54" s="2346">
        <v>0</v>
      </c>
      <c r="T54" s="2346">
        <v>0</v>
      </c>
      <c r="U54" s="2346">
        <v>0</v>
      </c>
      <c r="V54" s="2346">
        <f>'Exhibit No._(CTM-2), Pg. 10-30'!AB29</f>
        <v>0</v>
      </c>
      <c r="W54" s="2346">
        <v>0</v>
      </c>
      <c r="X54" s="2346">
        <v>0</v>
      </c>
      <c r="Y54" s="2346">
        <v>0</v>
      </c>
      <c r="Z54" s="2346">
        <v>0</v>
      </c>
      <c r="AA54" s="2346">
        <v>0</v>
      </c>
      <c r="AB54" s="2346">
        <v>0</v>
      </c>
      <c r="AC54" s="2346">
        <v>0</v>
      </c>
      <c r="AD54" s="2346">
        <f>'Exhibit No._(CTM-2), Pg. 10-30'!BO25</f>
        <v>0</v>
      </c>
      <c r="AE54" s="2346">
        <v>0</v>
      </c>
      <c r="AF54" s="2346">
        <v>0</v>
      </c>
      <c r="AG54" s="2346">
        <v>0</v>
      </c>
      <c r="AH54" s="2346">
        <v>0</v>
      </c>
      <c r="AI54" s="2346">
        <v>0</v>
      </c>
      <c r="AJ54" s="2346">
        <v>0</v>
      </c>
      <c r="AK54" s="2346">
        <v>0</v>
      </c>
      <c r="AL54" s="2346">
        <v>0</v>
      </c>
      <c r="AM54" s="2346">
        <f>SUM(N54:AL54)</f>
        <v>0</v>
      </c>
      <c r="AN54" s="2346">
        <f>+AM54+M54</f>
        <v>2787911459</v>
      </c>
    </row>
    <row r="55" spans="1:40">
      <c r="A55" s="2239">
        <f t="shared" si="1"/>
        <v>41</v>
      </c>
      <c r="B55" s="2790" t="s">
        <v>119</v>
      </c>
      <c r="C55" s="2790"/>
      <c r="D55" s="2487">
        <f>+'Exhibit No._(CTM-2), Pg. 2-6'!M55</f>
        <v>-924038095</v>
      </c>
      <c r="E55" s="2487">
        <f>+'Exhibit No._(CTM-2), Pg. 2-6'!AM55</f>
        <v>-2755565.1687069084</v>
      </c>
      <c r="F55" s="2487">
        <f>+D55+E55</f>
        <v>-926793660.16870689</v>
      </c>
      <c r="G55" s="2790"/>
      <c r="H55" s="2790"/>
      <c r="I55" s="2790"/>
      <c r="J55" s="2361"/>
      <c r="K55" s="2865"/>
      <c r="M55" s="2487">
        <f>-857738071-66300024</f>
        <v>-924038095</v>
      </c>
      <c r="N55" s="2346">
        <f>'Exhibit No._(CTM-2), Pg. 7-9'!E24</f>
        <v>-2431349.2040442782</v>
      </c>
      <c r="O55" s="2346">
        <f>'Exhibit No._(CTM-2), Pg. 7-9'!J23</f>
        <v>-150266.85842400009</v>
      </c>
      <c r="P55" s="2346"/>
      <c r="Q55" s="2346"/>
      <c r="R55" s="2346"/>
      <c r="S55" s="2346"/>
      <c r="T55" s="2346"/>
      <c r="U55" s="2346"/>
      <c r="V55" s="2346">
        <f>'Exhibit No._(CTM-2), Pg. 10-30'!AB31</f>
        <v>0</v>
      </c>
      <c r="W55" s="2346">
        <f>'Exhibit No._(CTM-2), Pg. 10-30'!AG26</f>
        <v>-173949.10623863013</v>
      </c>
      <c r="X55" s="2346">
        <f>'Exhibit No._(CTM-2), Pg. 10-30'!AL39</f>
        <v>0</v>
      </c>
      <c r="Y55" s="2346"/>
      <c r="Z55" s="2346"/>
      <c r="AA55" s="2346"/>
      <c r="AB55" s="2346"/>
      <c r="AC55" s="2346"/>
      <c r="AD55" s="2346">
        <f>'Exhibit No._(CTM-2), Pg. 10-30'!BO26</f>
        <v>0</v>
      </c>
      <c r="AE55" s="2346"/>
      <c r="AF55" s="2346"/>
      <c r="AG55" s="2346"/>
      <c r="AH55" s="2346"/>
      <c r="AI55" s="2346"/>
      <c r="AJ55" s="2346"/>
      <c r="AK55" s="2346"/>
      <c r="AL55" s="2346"/>
      <c r="AM55" s="2346">
        <f t="shared" ref="AM55:AM57" si="30">SUM(N55:AL55)</f>
        <v>-2755565.1687069084</v>
      </c>
      <c r="AN55" s="2487">
        <f>+AM55+M55</f>
        <v>-926793660.16870689</v>
      </c>
    </row>
    <row r="56" spans="1:40">
      <c r="A56" s="2239">
        <f t="shared" si="1"/>
        <v>42</v>
      </c>
      <c r="B56" s="2790" t="s">
        <v>509</v>
      </c>
      <c r="C56" s="2790"/>
      <c r="D56" s="2866">
        <f>+'Exhibit No._(CTM-2), Pg. 2-6'!M56</f>
        <v>-254856083.35497576</v>
      </c>
      <c r="E56" s="2866">
        <f>+'Exhibit No._(CTM-2), Pg. 2-6'!AM56</f>
        <v>-24238319.657989971</v>
      </c>
      <c r="F56" s="2866">
        <f>+D56+E56</f>
        <v>-279094403.01296574</v>
      </c>
      <c r="G56" s="2865"/>
      <c r="H56" s="2865"/>
      <c r="I56" s="2865"/>
      <c r="J56" s="2361"/>
      <c r="K56" s="2864"/>
      <c r="M56" s="2866">
        <v>-254856083.35497576</v>
      </c>
      <c r="N56" s="2346">
        <f>'Exhibit No._(CTM-2), Pg. 7-9'!E25</f>
        <v>212502.75437810807</v>
      </c>
      <c r="O56" s="2346">
        <f>'Exhibit No._(CTM-2), Pg. 7-9'!J24</f>
        <v>52593.400448400032</v>
      </c>
      <c r="P56" s="2346"/>
      <c r="Q56" s="2346"/>
      <c r="R56" s="2346"/>
      <c r="S56" s="2346"/>
      <c r="T56" s="2346">
        <f>'Exhibit No._(CTM-2), Pg. 10-30'!S38</f>
        <v>-24564298</v>
      </c>
      <c r="U56" s="2346"/>
      <c r="V56" s="2346"/>
      <c r="W56" s="2346">
        <f>'Exhibit No._(CTM-2), Pg. 10-30'!AG27</f>
        <v>60882.187183520546</v>
      </c>
      <c r="X56" s="2346">
        <f>'Exhibit No._(CTM-2), Pg. 10-30'!AL40</f>
        <v>0</v>
      </c>
      <c r="Y56" s="2346"/>
      <c r="Z56" s="2346"/>
      <c r="AA56" s="2346"/>
      <c r="AB56" s="2346"/>
      <c r="AC56" s="2346"/>
      <c r="AD56" s="2346">
        <f>'Exhibit No._(CTM-2), Pg. 10-30'!BO27</f>
        <v>0</v>
      </c>
      <c r="AE56" s="2346"/>
      <c r="AF56" s="2346"/>
      <c r="AG56" s="2346"/>
      <c r="AH56" s="2346"/>
      <c r="AI56" s="2346"/>
      <c r="AJ56" s="2346"/>
      <c r="AK56" s="2346"/>
      <c r="AL56" s="2346"/>
      <c r="AM56" s="2346">
        <f t="shared" si="30"/>
        <v>-24238319.657989971</v>
      </c>
      <c r="AN56" s="2487">
        <f>+AM56+M56</f>
        <v>-279094403.01296574</v>
      </c>
    </row>
    <row r="57" spans="1:40">
      <c r="A57" s="2239">
        <f t="shared" si="1"/>
        <v>43</v>
      </c>
      <c r="B57" s="2790" t="s">
        <v>173</v>
      </c>
      <c r="C57" s="2790"/>
      <c r="D57" s="2867">
        <f>+'Exhibit No._(CTM-2), Pg. 2-6'!M57</f>
        <v>-27129125</v>
      </c>
      <c r="E57" s="2867">
        <f>+'Exhibit No._(CTM-2), Pg. 2-6'!AM57</f>
        <v>0</v>
      </c>
      <c r="F57" s="2867">
        <f>+D57+E57</f>
        <v>-27129125</v>
      </c>
      <c r="G57" s="2864"/>
      <c r="H57" s="2864"/>
      <c r="I57" s="2864"/>
      <c r="J57" s="2361"/>
      <c r="K57" s="2865"/>
      <c r="L57" s="2868"/>
      <c r="M57" s="2867">
        <v>-27129125</v>
      </c>
      <c r="N57" s="2867"/>
      <c r="O57" s="2867"/>
      <c r="P57" s="2867"/>
      <c r="Q57" s="2867"/>
      <c r="R57" s="2867"/>
      <c r="S57" s="2867"/>
      <c r="T57" s="2867"/>
      <c r="U57" s="2867"/>
      <c r="V57" s="2867"/>
      <c r="W57" s="2867"/>
      <c r="X57" s="2867"/>
      <c r="Y57" s="2867"/>
      <c r="Z57" s="2867"/>
      <c r="AA57" s="2867"/>
      <c r="AB57" s="2867"/>
      <c r="AC57" s="2867"/>
      <c r="AD57" s="2867">
        <f>'Exhibit No._(CTM-2), Pg. 10-30'!BP21</f>
        <v>0</v>
      </c>
      <c r="AE57" s="2867"/>
      <c r="AF57" s="2867"/>
      <c r="AG57" s="2867"/>
      <c r="AH57" s="2867"/>
      <c r="AI57" s="2867"/>
      <c r="AJ57" s="2867"/>
      <c r="AK57" s="2867"/>
      <c r="AL57" s="2867"/>
      <c r="AM57" s="2387">
        <f t="shared" si="30"/>
        <v>0</v>
      </c>
      <c r="AN57" s="2867">
        <f>+AM57+M57</f>
        <v>-27129125</v>
      </c>
    </row>
    <row r="58" spans="1:40">
      <c r="A58" s="2239">
        <f t="shared" si="1"/>
        <v>44</v>
      </c>
      <c r="B58" s="2790" t="s">
        <v>122</v>
      </c>
      <c r="C58" s="2790"/>
      <c r="D58" s="2864">
        <f>SUM(D54:D57)</f>
        <v>1581888155.6450243</v>
      </c>
      <c r="E58" s="2864">
        <f>SUM(E54:E57)</f>
        <v>-26993884.82669688</v>
      </c>
      <c r="F58" s="2864">
        <f>SUM(F54:F57)</f>
        <v>1554894270.8183274</v>
      </c>
      <c r="G58" s="2865"/>
      <c r="H58" s="2865"/>
      <c r="I58" s="2865"/>
      <c r="J58" s="2361"/>
      <c r="K58" s="2868"/>
      <c r="L58" s="2869"/>
      <c r="M58" s="2864">
        <f t="shared" ref="M58:U58" si="31">SUM(M54:M57)</f>
        <v>1581888155.6450243</v>
      </c>
      <c r="N58" s="2864">
        <f>SUM(N53:N57)</f>
        <v>-2218846.4496661704</v>
      </c>
      <c r="O58" s="2864">
        <f>SUM(O53:O57)</f>
        <v>-97673.45797560006</v>
      </c>
      <c r="P58" s="2864">
        <f>SUM(P53:P57)</f>
        <v>0</v>
      </c>
      <c r="Q58" s="2864">
        <f t="shared" si="31"/>
        <v>0</v>
      </c>
      <c r="R58" s="2864">
        <f t="shared" si="31"/>
        <v>0</v>
      </c>
      <c r="S58" s="2864">
        <f>SUM(S54:S57)</f>
        <v>0</v>
      </c>
      <c r="T58" s="2864">
        <f t="shared" si="31"/>
        <v>-24564298</v>
      </c>
      <c r="U58" s="2864">
        <f t="shared" si="31"/>
        <v>0</v>
      </c>
      <c r="V58" s="2864">
        <f t="shared" ref="V58:AB58" si="32">SUM(V54:V57)</f>
        <v>0</v>
      </c>
      <c r="W58" s="2864">
        <f t="shared" si="32"/>
        <v>-113066.91905510958</v>
      </c>
      <c r="X58" s="2864">
        <f t="shared" si="32"/>
        <v>0</v>
      </c>
      <c r="Y58" s="2864">
        <f t="shared" si="32"/>
        <v>0</v>
      </c>
      <c r="Z58" s="2864">
        <f t="shared" si="32"/>
        <v>0</v>
      </c>
      <c r="AA58" s="2864">
        <f t="shared" si="32"/>
        <v>0</v>
      </c>
      <c r="AB58" s="2864">
        <f t="shared" si="32"/>
        <v>0</v>
      </c>
      <c r="AC58" s="2864">
        <f>SUM(AC54:AC57)</f>
        <v>0</v>
      </c>
      <c r="AD58" s="2864">
        <f t="shared" ref="AD58:AI58" si="33">SUM(AD54:AD57)</f>
        <v>0</v>
      </c>
      <c r="AE58" s="2864">
        <f t="shared" si="33"/>
        <v>0</v>
      </c>
      <c r="AF58" s="2864">
        <f t="shared" si="33"/>
        <v>0</v>
      </c>
      <c r="AG58" s="2864">
        <f t="shared" si="33"/>
        <v>0</v>
      </c>
      <c r="AH58" s="2864">
        <f t="shared" si="33"/>
        <v>0</v>
      </c>
      <c r="AI58" s="2864">
        <f t="shared" si="33"/>
        <v>0</v>
      </c>
      <c r="AJ58" s="2864">
        <f>SUM(AJ54:AJ57)</f>
        <v>0</v>
      </c>
      <c r="AK58" s="2864">
        <f>SUM(AK54:AK57)</f>
        <v>0</v>
      </c>
      <c r="AL58" s="2864">
        <f>SUM(AL54:AL57)</f>
        <v>0</v>
      </c>
      <c r="AM58" s="2864">
        <f>SUM(AM54:AM57)</f>
        <v>-26993884.82669688</v>
      </c>
      <c r="AN58" s="2864">
        <f>SUM(AN54:AN57)</f>
        <v>1554894270.8183274</v>
      </c>
    </row>
    <row r="59" spans="1:40">
      <c r="A59" s="2239">
        <f t="shared" si="1"/>
        <v>45</v>
      </c>
      <c r="B59" s="2790" t="s">
        <v>120</v>
      </c>
      <c r="C59" s="2790"/>
      <c r="D59" s="2867">
        <f>+'Exhibit No._(CTM-2), Pg. 2-6'!M59</f>
        <v>78846955.408813253</v>
      </c>
      <c r="E59" s="2867">
        <f>+'Exhibit No._(CTM-2), Pg. 2-6'!AM59</f>
        <v>-13011001.181170687</v>
      </c>
      <c r="F59" s="2867">
        <f>+D59+E59</f>
        <v>65835954.227642566</v>
      </c>
      <c r="G59" s="2868"/>
      <c r="H59" s="2868"/>
      <c r="I59" s="2868"/>
      <c r="J59" s="2361"/>
      <c r="K59" s="2869"/>
      <c r="L59" s="2870"/>
      <c r="M59" s="2867">
        <f>'Exhibit No._(CTM-2), Pg. 31a-b'!C115</f>
        <v>78846955.408813253</v>
      </c>
      <c r="N59" s="2867"/>
      <c r="O59" s="2867"/>
      <c r="P59" s="2867"/>
      <c r="Q59" s="2867"/>
      <c r="R59" s="2867"/>
      <c r="S59" s="2867"/>
      <c r="T59" s="2867"/>
      <c r="U59" s="2867"/>
      <c r="V59" s="2867"/>
      <c r="W59" s="2867"/>
      <c r="X59" s="2867"/>
      <c r="Y59" s="2867"/>
      <c r="Z59" s="2867"/>
      <c r="AA59" s="2867"/>
      <c r="AB59" s="2867"/>
      <c r="AC59" s="2867"/>
      <c r="AD59" s="2867">
        <f>'Exhibit No._(CTM-2), Pg. 10-30'!BP22</f>
        <v>0</v>
      </c>
      <c r="AE59" s="2867"/>
      <c r="AF59" s="2867"/>
      <c r="AG59" s="2867"/>
      <c r="AH59" s="2867"/>
      <c r="AI59" s="2867"/>
      <c r="AJ59" s="2867"/>
      <c r="AK59" s="2867"/>
      <c r="AL59" s="2867">
        <f>'Exhibit No._(CTM-2), Pg. 31a-b'!D115</f>
        <v>-13011001.181170687</v>
      </c>
      <c r="AM59" s="2867">
        <f>SUM(N59:AL59)</f>
        <v>-13011001.181170687</v>
      </c>
      <c r="AN59" s="2867">
        <f>+AM59+M59</f>
        <v>65835954.227642566</v>
      </c>
    </row>
    <row r="60" spans="1:40" ht="16.5" thickBot="1">
      <c r="A60" s="2239">
        <f>A59+1</f>
        <v>46</v>
      </c>
      <c r="B60" s="2863" t="s">
        <v>121</v>
      </c>
      <c r="C60" s="2863"/>
      <c r="D60" s="2871">
        <f>SUM(D58:D59)</f>
        <v>1660735111.0538375</v>
      </c>
      <c r="E60" s="2871">
        <f>SUM(E58:E59)</f>
        <v>-40004886.007867567</v>
      </c>
      <c r="F60" s="2871">
        <f>SUM(F58:F59)</f>
        <v>1620730225.04597</v>
      </c>
      <c r="G60" s="2869"/>
      <c r="H60" s="2869"/>
      <c r="I60" s="2869"/>
      <c r="J60" s="2872"/>
      <c r="K60" s="2870"/>
      <c r="M60" s="2873">
        <f>SUM(M58:M59)</f>
        <v>1660735111.0538375</v>
      </c>
      <c r="N60" s="2873">
        <f>SUM(N58:N59)</f>
        <v>-2218846.4496661704</v>
      </c>
      <c r="O60" s="2873">
        <f>SUM(O58:O59)</f>
        <v>-97673.45797560006</v>
      </c>
      <c r="P60" s="2873">
        <f>SUM(P58:P59)</f>
        <v>0</v>
      </c>
      <c r="Q60" s="2873">
        <f t="shared" ref="Q60:U60" si="34">SUM(Q58:Q59)</f>
        <v>0</v>
      </c>
      <c r="R60" s="2873">
        <f t="shared" si="34"/>
        <v>0</v>
      </c>
      <c r="S60" s="2873">
        <f>SUM(S58:S59)</f>
        <v>0</v>
      </c>
      <c r="T60" s="2873">
        <f t="shared" si="34"/>
        <v>-24564298</v>
      </c>
      <c r="U60" s="2873">
        <f t="shared" si="34"/>
        <v>0</v>
      </c>
      <c r="V60" s="2873">
        <f t="shared" ref="V60:AB60" si="35">SUM(V58:V59)</f>
        <v>0</v>
      </c>
      <c r="W60" s="2873">
        <f t="shared" si="35"/>
        <v>-113066.91905510958</v>
      </c>
      <c r="X60" s="2873">
        <f t="shared" si="35"/>
        <v>0</v>
      </c>
      <c r="Y60" s="2873">
        <f t="shared" si="35"/>
        <v>0</v>
      </c>
      <c r="Z60" s="2873">
        <f t="shared" si="35"/>
        <v>0</v>
      </c>
      <c r="AA60" s="2873">
        <f t="shared" si="35"/>
        <v>0</v>
      </c>
      <c r="AB60" s="2873">
        <f t="shared" si="35"/>
        <v>0</v>
      </c>
      <c r="AC60" s="2873">
        <f>SUM(AC58:AC59)</f>
        <v>0</v>
      </c>
      <c r="AD60" s="2873">
        <f t="shared" ref="AD60:AI60" si="36">SUM(AD58:AD59)</f>
        <v>0</v>
      </c>
      <c r="AE60" s="2873">
        <f t="shared" si="36"/>
        <v>0</v>
      </c>
      <c r="AF60" s="2873">
        <f t="shared" si="36"/>
        <v>0</v>
      </c>
      <c r="AG60" s="2873">
        <f t="shared" si="36"/>
        <v>0</v>
      </c>
      <c r="AH60" s="2873">
        <f t="shared" si="36"/>
        <v>0</v>
      </c>
      <c r="AI60" s="2873">
        <f t="shared" si="36"/>
        <v>0</v>
      </c>
      <c r="AJ60" s="2873">
        <f>SUM(AJ58:AJ59)</f>
        <v>0</v>
      </c>
      <c r="AK60" s="2873">
        <f>SUM(AK58:AK59)</f>
        <v>0</v>
      </c>
      <c r="AL60" s="2873">
        <f>SUM(AL58:AL59)</f>
        <v>-13011001.181170687</v>
      </c>
      <c r="AM60" s="2873">
        <f>SUM(AM58:AM59)</f>
        <v>-40004886.007867567</v>
      </c>
      <c r="AN60" s="2873">
        <f>SUM(AN58:AN59)</f>
        <v>1620730225.04597</v>
      </c>
    </row>
    <row r="61" spans="1:40" ht="16.5" thickTop="1">
      <c r="A61" s="2239"/>
      <c r="I61" s="2870"/>
      <c r="J61" s="2870"/>
    </row>
    <row r="62" spans="1:40" hidden="1">
      <c r="A62" s="2469"/>
      <c r="F62" s="2420"/>
      <c r="G62" s="2420"/>
      <c r="H62" s="2420"/>
      <c r="M62" s="2259" t="str">
        <f t="shared" ref="M62:U62" si="37">IF(M60=M49,"OK","ERROR")</f>
        <v>OK</v>
      </c>
      <c r="N62" s="2259" t="str">
        <f>IF(N60=N49,"OK","ERROR")</f>
        <v>OK</v>
      </c>
      <c r="O62" s="2259" t="str">
        <f>IF(O60=O49,"OK","ERROR")</f>
        <v>OK</v>
      </c>
      <c r="P62" s="2259" t="str">
        <f>IF(P60=P49,"OK","ERROR")</f>
        <v>OK</v>
      </c>
      <c r="Q62" s="2259" t="str">
        <f t="shared" si="37"/>
        <v>OK</v>
      </c>
      <c r="R62" s="2259" t="str">
        <f t="shared" si="37"/>
        <v>OK</v>
      </c>
      <c r="S62" s="2259" t="str">
        <f>IF(S60=S49,"OK","ERROR")</f>
        <v>OK</v>
      </c>
      <c r="T62" s="2259" t="str">
        <f t="shared" si="37"/>
        <v>OK</v>
      </c>
      <c r="U62" s="2259" t="str">
        <f t="shared" si="37"/>
        <v>OK</v>
      </c>
      <c r="V62" s="2259" t="str">
        <f t="shared" ref="V62:AB62" si="38">IF(V60=V49,"OK","ERROR")</f>
        <v>OK</v>
      </c>
      <c r="W62" s="2259" t="str">
        <f t="shared" si="38"/>
        <v>OK</v>
      </c>
      <c r="X62" s="2259" t="str">
        <f t="shared" si="38"/>
        <v>OK</v>
      </c>
      <c r="Y62" s="2259" t="str">
        <f t="shared" si="38"/>
        <v>OK</v>
      </c>
      <c r="Z62" s="2259" t="str">
        <f t="shared" si="38"/>
        <v>OK</v>
      </c>
      <c r="AA62" s="2259" t="str">
        <f t="shared" si="38"/>
        <v>OK</v>
      </c>
      <c r="AB62" s="2259" t="str">
        <f t="shared" si="38"/>
        <v>OK</v>
      </c>
      <c r="AC62" s="2259" t="str">
        <f>IF(AC60=AC49,"OK","ERROR")</f>
        <v>OK</v>
      </c>
      <c r="AD62" s="2259" t="str">
        <f t="shared" ref="AD62:AI62" si="39">IF(AD60=AD49,"OK","ERROR")</f>
        <v>OK</v>
      </c>
      <c r="AE62" s="2259" t="str">
        <f t="shared" si="39"/>
        <v>OK</v>
      </c>
      <c r="AF62" s="2259" t="str">
        <f t="shared" si="39"/>
        <v>OK</v>
      </c>
      <c r="AG62" s="2259" t="str">
        <f t="shared" si="39"/>
        <v>OK</v>
      </c>
      <c r="AH62" s="2259" t="str">
        <f t="shared" si="39"/>
        <v>OK</v>
      </c>
      <c r="AI62" s="2259" t="str">
        <f t="shared" si="39"/>
        <v>OK</v>
      </c>
      <c r="AJ62" s="2259" t="str">
        <f>IF(AJ60=AJ49,"OK","ERROR")</f>
        <v>OK</v>
      </c>
      <c r="AK62" s="2259" t="str">
        <f>IF(AK60=AK49,"OK","ERROR")</f>
        <v>OK</v>
      </c>
      <c r="AL62" s="2259" t="str">
        <f>IF(AL60=AL49,"OK","ERROR")</f>
        <v>OK</v>
      </c>
      <c r="AM62" s="2259" t="str">
        <f>IF(AM60=AM49,"OK","ERROR")</f>
        <v>OK</v>
      </c>
      <c r="AN62" s="2259" t="str">
        <f>IF(AN60=AN49,"OK","ERROR")</f>
        <v>OK</v>
      </c>
    </row>
    <row r="63" spans="1:40" s="2875" customFormat="1">
      <c r="A63" s="2232"/>
      <c r="B63" s="2232"/>
      <c r="C63" s="2232"/>
      <c r="D63" s="2232"/>
      <c r="E63" s="2232"/>
      <c r="F63" s="2232"/>
      <c r="G63" s="2232"/>
      <c r="H63" s="2232"/>
      <c r="I63" s="2232"/>
      <c r="J63" s="2232"/>
      <c r="K63" s="2232"/>
      <c r="L63" s="2232"/>
      <c r="M63" s="2232"/>
      <c r="N63" s="2232"/>
      <c r="O63" s="2232"/>
      <c r="P63" s="2232"/>
      <c r="Q63" s="2232"/>
      <c r="R63" s="2232"/>
      <c r="S63" s="2232"/>
      <c r="T63" s="2232"/>
      <c r="U63" s="2232"/>
      <c r="V63" s="2232"/>
      <c r="W63" s="2232"/>
      <c r="X63" s="2232"/>
      <c r="Y63" s="2232"/>
      <c r="Z63" s="2232"/>
      <c r="AA63" s="2232"/>
      <c r="AB63" s="2232"/>
      <c r="AC63" s="2232"/>
      <c r="AD63" s="2232"/>
      <c r="AE63" s="2232"/>
      <c r="AF63" s="2232"/>
      <c r="AG63" s="2232"/>
      <c r="AH63" s="2232"/>
      <c r="AI63" s="2232"/>
      <c r="AJ63" s="2232"/>
      <c r="AK63" s="2232"/>
      <c r="AL63" s="2232"/>
      <c r="AM63" s="2268"/>
      <c r="AN63" s="2874"/>
    </row>
    <row r="64" spans="1:40" s="2875" customFormat="1">
      <c r="A64" s="2232"/>
      <c r="B64" s="2232"/>
      <c r="C64" s="2232"/>
      <c r="D64" s="2868"/>
      <c r="E64" s="2268"/>
      <c r="F64" s="2868"/>
      <c r="G64" s="2868"/>
      <c r="H64" s="2868"/>
      <c r="J64" s="2868"/>
      <c r="K64" s="2232"/>
      <c r="L64" s="2232"/>
      <c r="M64" s="2232"/>
      <c r="N64" s="2232"/>
      <c r="O64" s="2232"/>
      <c r="P64" s="2232"/>
      <c r="Q64" s="2232"/>
      <c r="R64" s="2232"/>
      <c r="S64" s="2232"/>
      <c r="T64" s="2232"/>
      <c r="U64" s="2232"/>
      <c r="V64" s="2232"/>
      <c r="W64" s="2232"/>
      <c r="X64" s="2232"/>
      <c r="Y64" s="2232"/>
      <c r="Z64" s="2232"/>
      <c r="AA64" s="2232"/>
      <c r="AB64" s="2232"/>
      <c r="AC64" s="2232"/>
      <c r="AD64" s="2232"/>
      <c r="AE64" s="2232"/>
      <c r="AF64" s="2232"/>
      <c r="AG64" s="2232"/>
      <c r="AH64" s="2232"/>
      <c r="AI64" s="2232"/>
      <c r="AJ64" s="2232"/>
      <c r="AK64" s="2232"/>
      <c r="AL64" s="2232"/>
      <c r="AM64" s="2232"/>
      <c r="AN64" s="2232"/>
    </row>
    <row r="65" spans="1:40" s="2875" customFormat="1">
      <c r="A65" s="2232"/>
      <c r="B65" s="2232"/>
      <c r="C65" s="2232"/>
      <c r="D65" s="2268"/>
      <c r="E65" s="2865"/>
      <c r="F65" s="2268"/>
      <c r="G65" s="2268"/>
      <c r="H65" s="2268"/>
      <c r="I65" s="2232"/>
      <c r="J65" s="2268"/>
      <c r="K65" s="2232"/>
      <c r="L65" s="2232"/>
      <c r="M65" s="2232"/>
      <c r="N65" s="2232"/>
      <c r="O65" s="2232"/>
      <c r="P65" s="2232"/>
      <c r="Q65" s="2232"/>
      <c r="R65" s="2232"/>
      <c r="S65" s="2232"/>
      <c r="T65" s="2232"/>
      <c r="U65" s="2232"/>
      <c r="V65" s="2232"/>
      <c r="W65" s="2232"/>
      <c r="X65" s="2232"/>
      <c r="Y65" s="2232"/>
      <c r="Z65" s="2232"/>
      <c r="AA65" s="2232"/>
      <c r="AB65" s="2232"/>
      <c r="AC65" s="2232"/>
      <c r="AD65" s="2232"/>
      <c r="AE65" s="2232"/>
      <c r="AF65" s="2232"/>
      <c r="AG65" s="2232"/>
      <c r="AH65" s="2232"/>
      <c r="AI65" s="2232"/>
      <c r="AJ65" s="2232"/>
      <c r="AK65" s="2232"/>
      <c r="AL65" s="2232"/>
      <c r="AM65" s="2232"/>
      <c r="AN65" s="2232"/>
    </row>
    <row r="66" spans="1:40" s="2875" customFormat="1">
      <c r="A66" s="2232"/>
      <c r="B66" s="2232"/>
      <c r="C66" s="2232"/>
      <c r="D66" s="2876"/>
      <c r="E66" s="2268"/>
      <c r="F66" s="2486"/>
      <c r="G66" s="2486"/>
      <c r="H66" s="2486"/>
      <c r="I66" s="2232"/>
      <c r="J66" s="2848"/>
      <c r="K66" s="2232"/>
      <c r="L66" s="2232"/>
      <c r="M66" s="2482"/>
      <c r="N66" s="2486"/>
      <c r="O66" s="2486"/>
      <c r="P66" s="2486"/>
      <c r="Q66" s="2486"/>
      <c r="R66" s="2486"/>
      <c r="S66" s="2486"/>
      <c r="T66" s="2486"/>
      <c r="U66" s="2486"/>
      <c r="V66" s="2486"/>
      <c r="W66" s="2486"/>
      <c r="X66" s="2486"/>
      <c r="Y66" s="2486"/>
      <c r="Z66" s="2486"/>
      <c r="AA66" s="2486"/>
      <c r="AB66" s="2486"/>
      <c r="AC66" s="2486"/>
      <c r="AD66" s="2486"/>
      <c r="AE66" s="2486"/>
      <c r="AF66" s="2486"/>
      <c r="AG66" s="2486"/>
      <c r="AH66" s="2486"/>
      <c r="AI66" s="2486"/>
      <c r="AJ66" s="2486"/>
      <c r="AK66" s="2486"/>
      <c r="AL66" s="2486"/>
      <c r="AM66" s="2486"/>
      <c r="AN66" s="2486"/>
    </row>
    <row r="67" spans="1:40" s="2875" customFormat="1">
      <c r="A67" s="2232"/>
      <c r="B67" s="2232"/>
      <c r="C67" s="2232"/>
      <c r="D67" s="2486"/>
      <c r="E67" s="2486"/>
      <c r="F67" s="2486"/>
      <c r="G67" s="2486"/>
      <c r="H67" s="2486"/>
      <c r="I67" s="2232"/>
      <c r="J67" s="2486"/>
      <c r="K67" s="2232"/>
      <c r="L67" s="2232"/>
      <c r="M67" s="2390"/>
      <c r="N67" s="2486"/>
      <c r="O67" s="2486"/>
      <c r="P67" s="2486"/>
      <c r="Q67" s="2486"/>
      <c r="R67" s="2486"/>
      <c r="S67" s="2486"/>
      <c r="T67" s="2486"/>
      <c r="U67" s="2486"/>
      <c r="V67" s="2486"/>
      <c r="W67" s="2486"/>
      <c r="X67" s="2486"/>
      <c r="Y67" s="2486"/>
      <c r="Z67" s="2486"/>
      <c r="AA67" s="2486"/>
      <c r="AB67" s="2486"/>
      <c r="AC67" s="2486"/>
      <c r="AD67" s="2486"/>
      <c r="AE67" s="2486"/>
      <c r="AF67" s="2486"/>
      <c r="AG67" s="2486"/>
      <c r="AH67" s="2486"/>
      <c r="AI67" s="2486"/>
      <c r="AJ67" s="2486"/>
      <c r="AK67" s="2486"/>
      <c r="AL67" s="2486"/>
      <c r="AM67" s="2486"/>
      <c r="AN67" s="2486"/>
    </row>
    <row r="68" spans="1:40" s="2875" customFormat="1">
      <c r="A68" s="2232"/>
      <c r="B68" s="2232"/>
      <c r="C68" s="2232"/>
      <c r="D68" s="2868"/>
      <c r="E68" s="2268"/>
      <c r="F68" s="2268"/>
      <c r="G68" s="2268"/>
      <c r="H68" s="2268"/>
      <c r="I68" s="2268"/>
      <c r="J68" s="2486"/>
      <c r="K68" s="2232"/>
      <c r="L68" s="2232"/>
      <c r="M68" s="2390"/>
      <c r="N68" s="2390"/>
      <c r="O68" s="2390"/>
      <c r="P68" s="2390"/>
      <c r="Q68" s="2390"/>
      <c r="R68" s="2390"/>
      <c r="S68" s="2390"/>
      <c r="T68" s="2390"/>
      <c r="U68" s="2390"/>
      <c r="V68" s="2390"/>
      <c r="W68" s="2390"/>
      <c r="X68" s="2390"/>
      <c r="Y68" s="2390"/>
      <c r="Z68" s="2390"/>
      <c r="AA68" s="2390"/>
      <c r="AB68" s="2390"/>
      <c r="AC68" s="2390"/>
      <c r="AD68" s="2390"/>
      <c r="AE68" s="2390"/>
      <c r="AF68" s="2390"/>
      <c r="AG68" s="2390"/>
      <c r="AH68" s="2390"/>
      <c r="AI68" s="2390"/>
      <c r="AJ68" s="2390"/>
      <c r="AK68" s="2390"/>
      <c r="AL68" s="2390"/>
      <c r="AM68" s="2390"/>
      <c r="AN68" s="2390"/>
    </row>
    <row r="69" spans="1:40" s="2875" customFormat="1">
      <c r="A69" s="2232"/>
      <c r="B69" s="2232"/>
      <c r="C69" s="2232"/>
      <c r="D69" s="2865"/>
      <c r="E69" s="2555"/>
      <c r="F69" s="2232"/>
      <c r="G69" s="2232"/>
      <c r="H69" s="2232"/>
      <c r="I69" s="2232"/>
      <c r="J69" s="2877"/>
      <c r="K69" s="2232"/>
      <c r="L69" s="2232"/>
      <c r="M69" s="2232"/>
      <c r="N69" s="2232"/>
      <c r="O69" s="2232"/>
      <c r="P69" s="2232"/>
      <c r="Q69" s="2232"/>
      <c r="R69" s="2232"/>
      <c r="S69" s="2232"/>
      <c r="T69" s="2232"/>
      <c r="U69" s="2232"/>
      <c r="V69" s="2232"/>
      <c r="W69" s="2232"/>
      <c r="X69" s="2232"/>
      <c r="Y69" s="2232"/>
      <c r="Z69" s="2232"/>
      <c r="AA69" s="2232"/>
      <c r="AB69" s="2232"/>
      <c r="AC69" s="2356"/>
      <c r="AD69" s="2356"/>
      <c r="AE69" s="2232"/>
      <c r="AF69" s="2356"/>
      <c r="AG69" s="2232"/>
      <c r="AH69" s="2232"/>
      <c r="AI69" s="2232"/>
      <c r="AJ69" s="2232"/>
      <c r="AK69" s="2232"/>
      <c r="AL69" s="2232"/>
      <c r="AM69" s="2356"/>
      <c r="AN69" s="2356"/>
    </row>
    <row r="70" spans="1:40" s="2875" customFormat="1">
      <c r="A70" s="2232"/>
      <c r="B70" s="2232"/>
      <c r="C70" s="2232"/>
      <c r="D70" s="2232"/>
      <c r="E70" s="2232"/>
      <c r="F70" s="2232"/>
      <c r="G70" s="2232"/>
      <c r="H70" s="2232"/>
      <c r="I70" s="2232"/>
      <c r="J70" s="2848"/>
      <c r="K70" s="2232"/>
      <c r="L70" s="2232"/>
      <c r="M70" s="2482"/>
      <c r="N70" s="2486"/>
      <c r="O70" s="2486"/>
      <c r="P70" s="2486"/>
      <c r="Q70" s="2486"/>
      <c r="R70" s="2486"/>
      <c r="S70" s="2486"/>
      <c r="T70" s="2486"/>
      <c r="U70" s="2486"/>
      <c r="V70" s="2486"/>
      <c r="W70" s="2486"/>
      <c r="X70" s="2486"/>
      <c r="Y70" s="2486"/>
      <c r="Z70" s="2486"/>
      <c r="AA70" s="2486"/>
      <c r="AB70" s="2486"/>
      <c r="AC70" s="2486"/>
      <c r="AD70" s="2486"/>
      <c r="AE70" s="2486"/>
      <c r="AF70" s="2486"/>
      <c r="AG70" s="2486"/>
      <c r="AH70" s="2486"/>
      <c r="AI70" s="2486"/>
      <c r="AJ70" s="2486"/>
      <c r="AK70" s="2486"/>
      <c r="AL70" s="2486"/>
      <c r="AM70" s="2486"/>
      <c r="AN70" s="2486"/>
    </row>
    <row r="71" spans="1:40" s="2875" customFormat="1">
      <c r="A71" s="2232"/>
      <c r="B71" s="2232"/>
      <c r="C71" s="2232"/>
      <c r="D71" s="2232"/>
      <c r="E71" s="2232"/>
      <c r="F71" s="2232"/>
      <c r="G71" s="2232"/>
      <c r="H71" s="2232"/>
      <c r="I71" s="2232"/>
      <c r="J71" s="2486"/>
      <c r="K71" s="2232"/>
      <c r="L71" s="2232"/>
      <c r="M71" s="2390"/>
      <c r="N71" s="2486"/>
      <c r="O71" s="2486"/>
      <c r="P71" s="2486"/>
      <c r="Q71" s="2486"/>
      <c r="R71" s="2486"/>
      <c r="S71" s="2486"/>
      <c r="T71" s="2486"/>
      <c r="U71" s="2486"/>
      <c r="V71" s="2486"/>
      <c r="W71" s="2486"/>
      <c r="X71" s="2486"/>
      <c r="Y71" s="2486"/>
      <c r="Z71" s="2486"/>
      <c r="AA71" s="2486"/>
      <c r="AB71" s="2486"/>
      <c r="AC71" s="2486"/>
      <c r="AD71" s="2486"/>
      <c r="AE71" s="2486"/>
      <c r="AF71" s="2486"/>
      <c r="AG71" s="2486"/>
      <c r="AH71" s="2486"/>
      <c r="AI71" s="2486"/>
      <c r="AJ71" s="2486"/>
      <c r="AK71" s="2486"/>
      <c r="AL71" s="2486"/>
      <c r="AM71" s="2486"/>
      <c r="AN71" s="2486"/>
    </row>
    <row r="72" spans="1:40" s="2875" customFormat="1">
      <c r="A72" s="2232"/>
      <c r="B72" s="2232"/>
      <c r="C72" s="2232"/>
      <c r="D72" s="2232"/>
      <c r="E72" s="2232"/>
      <c r="F72" s="2232"/>
      <c r="G72" s="2232"/>
      <c r="H72" s="2232"/>
      <c r="I72" s="2232"/>
      <c r="J72" s="2486"/>
      <c r="K72" s="2232"/>
      <c r="L72" s="2232"/>
      <c r="M72" s="2390"/>
      <c r="N72" s="2390"/>
      <c r="O72" s="2390"/>
      <c r="P72" s="2390"/>
      <c r="Q72" s="2390"/>
      <c r="R72" s="2390"/>
      <c r="S72" s="2390"/>
      <c r="T72" s="2390"/>
      <c r="U72" s="2390"/>
      <c r="V72" s="2390"/>
      <c r="W72" s="2390"/>
      <c r="X72" s="2390"/>
      <c r="Y72" s="2390"/>
      <c r="Z72" s="2390"/>
      <c r="AA72" s="2390"/>
      <c r="AB72" s="2390"/>
      <c r="AC72" s="2390"/>
      <c r="AD72" s="2390"/>
      <c r="AE72" s="2390"/>
      <c r="AF72" s="2390"/>
      <c r="AG72" s="2390"/>
      <c r="AH72" s="2390"/>
      <c r="AI72" s="2390"/>
      <c r="AJ72" s="2390"/>
      <c r="AK72" s="2390"/>
      <c r="AL72" s="2390"/>
      <c r="AM72" s="2390"/>
      <c r="AN72" s="2390"/>
    </row>
    <row r="73" spans="1:40" s="2875" customFormat="1">
      <c r="A73" s="2232"/>
      <c r="B73" s="2232"/>
      <c r="C73" s="2232"/>
      <c r="D73" s="2232"/>
      <c r="E73" s="2232"/>
      <c r="F73" s="2232"/>
      <c r="G73" s="2232"/>
      <c r="H73" s="2232"/>
      <c r="I73" s="2232"/>
      <c r="J73" s="2878"/>
      <c r="K73" s="2232"/>
      <c r="L73" s="2232"/>
      <c r="M73" s="2232"/>
      <c r="N73" s="2232"/>
      <c r="O73" s="2232"/>
      <c r="P73" s="2232"/>
      <c r="Q73" s="2232"/>
      <c r="R73" s="2232"/>
      <c r="S73" s="2232"/>
      <c r="T73" s="2232"/>
      <c r="U73" s="2232"/>
      <c r="V73" s="2232"/>
      <c r="W73" s="2232"/>
      <c r="X73" s="2232"/>
      <c r="Y73" s="2232"/>
      <c r="Z73" s="2232"/>
      <c r="AA73" s="2232"/>
      <c r="AB73" s="2232"/>
      <c r="AC73" s="2356"/>
      <c r="AD73" s="2356"/>
      <c r="AE73" s="2232"/>
      <c r="AF73" s="2356"/>
      <c r="AG73" s="2232"/>
      <c r="AH73" s="2232"/>
      <c r="AI73" s="2232"/>
      <c r="AJ73" s="2232"/>
      <c r="AK73" s="2232"/>
      <c r="AL73" s="2232"/>
      <c r="AM73" s="2356"/>
      <c r="AN73" s="2356"/>
    </row>
    <row r="74" spans="1:40" s="2875" customFormat="1">
      <c r="A74" s="2232"/>
      <c r="B74" s="2232"/>
      <c r="C74" s="2232"/>
      <c r="D74" s="2232"/>
      <c r="E74" s="2232"/>
      <c r="F74" s="2232"/>
      <c r="G74" s="2232"/>
      <c r="H74" s="2232"/>
      <c r="I74" s="2232"/>
      <c r="J74" s="2848"/>
      <c r="K74" s="2232"/>
      <c r="L74" s="2232"/>
      <c r="M74" s="2482"/>
      <c r="N74" s="2486"/>
      <c r="O74" s="2486"/>
      <c r="P74" s="2486"/>
      <c r="Q74" s="2486"/>
      <c r="R74" s="2486"/>
      <c r="S74" s="2486"/>
      <c r="T74" s="2486"/>
      <c r="U74" s="2486"/>
      <c r="V74" s="2486"/>
      <c r="W74" s="2486"/>
      <c r="X74" s="2486"/>
      <c r="Y74" s="2486"/>
      <c r="Z74" s="2486"/>
      <c r="AA74" s="2486"/>
      <c r="AB74" s="2486"/>
      <c r="AC74" s="2486"/>
      <c r="AD74" s="2486"/>
      <c r="AE74" s="2486"/>
      <c r="AF74" s="2486"/>
      <c r="AG74" s="2486"/>
      <c r="AH74" s="2486"/>
      <c r="AI74" s="2486"/>
      <c r="AJ74" s="2486"/>
      <c r="AK74" s="2486"/>
      <c r="AL74" s="2486"/>
      <c r="AM74" s="2486"/>
      <c r="AN74" s="2486"/>
    </row>
    <row r="75" spans="1:40" s="2875" customFormat="1">
      <c r="A75" s="2232"/>
      <c r="B75" s="2232"/>
      <c r="C75" s="2232"/>
      <c r="D75" s="2232"/>
      <c r="E75" s="2232"/>
      <c r="F75" s="2232"/>
      <c r="G75" s="2232"/>
      <c r="H75" s="2232"/>
      <c r="I75" s="2232"/>
      <c r="J75" s="2486"/>
      <c r="K75" s="2232"/>
      <c r="L75" s="2232"/>
      <c r="M75" s="2390"/>
      <c r="N75" s="2486"/>
      <c r="O75" s="2486"/>
      <c r="P75" s="2486"/>
      <c r="Q75" s="2486"/>
      <c r="R75" s="2486"/>
      <c r="S75" s="2486"/>
      <c r="T75" s="2486"/>
      <c r="U75" s="2486"/>
      <c r="V75" s="2486"/>
      <c r="W75" s="2486"/>
      <c r="X75" s="2486"/>
      <c r="Y75" s="2486"/>
      <c r="Z75" s="2486"/>
      <c r="AA75" s="2486"/>
      <c r="AB75" s="2486"/>
      <c r="AC75" s="2486"/>
      <c r="AD75" s="2486"/>
      <c r="AE75" s="2486"/>
      <c r="AF75" s="2486"/>
      <c r="AG75" s="2486"/>
      <c r="AH75" s="2486"/>
      <c r="AI75" s="2486"/>
      <c r="AJ75" s="2486"/>
      <c r="AK75" s="2486"/>
      <c r="AL75" s="2486"/>
      <c r="AM75" s="2486"/>
      <c r="AN75" s="2486"/>
    </row>
    <row r="76" spans="1:40" s="2875" customFormat="1">
      <c r="A76" s="2232"/>
      <c r="B76" s="2232"/>
      <c r="C76" s="2232"/>
      <c r="D76" s="2232"/>
      <c r="E76" s="2232"/>
      <c r="F76" s="2232"/>
      <c r="G76" s="2232"/>
      <c r="H76" s="2232"/>
      <c r="I76" s="2232"/>
      <c r="J76" s="2486"/>
      <c r="K76" s="2232"/>
      <c r="L76" s="2232"/>
      <c r="M76" s="2390"/>
      <c r="N76" s="2390"/>
      <c r="O76" s="2390"/>
      <c r="P76" s="2390"/>
      <c r="Q76" s="2390"/>
      <c r="R76" s="2390"/>
      <c r="S76" s="2390"/>
      <c r="T76" s="2390"/>
      <c r="U76" s="2390"/>
      <c r="V76" s="2390"/>
      <c r="W76" s="2390"/>
      <c r="X76" s="2390"/>
      <c r="Y76" s="2390"/>
      <c r="Z76" s="2390"/>
      <c r="AA76" s="2390"/>
      <c r="AB76" s="2390"/>
      <c r="AC76" s="2390"/>
      <c r="AD76" s="2390"/>
      <c r="AE76" s="2390"/>
      <c r="AF76" s="2390"/>
      <c r="AG76" s="2390"/>
      <c r="AH76" s="2390"/>
      <c r="AI76" s="2390"/>
      <c r="AJ76" s="2390"/>
      <c r="AK76" s="2390"/>
      <c r="AL76" s="2390"/>
      <c r="AM76" s="2390"/>
      <c r="AN76" s="2390"/>
    </row>
    <row r="77" spans="1:40" s="2875" customFormat="1">
      <c r="A77" s="2232"/>
      <c r="B77" s="2232"/>
      <c r="C77" s="2232"/>
      <c r="D77" s="2232"/>
      <c r="E77" s="2232"/>
      <c r="F77" s="2232"/>
      <c r="G77" s="2232"/>
      <c r="H77" s="2232"/>
      <c r="I77" s="2232"/>
      <c r="J77" s="2878"/>
      <c r="K77" s="2602"/>
      <c r="L77" s="2232"/>
      <c r="M77" s="2232"/>
      <c r="N77" s="2232"/>
      <c r="O77" s="2232"/>
      <c r="P77" s="2232"/>
      <c r="Q77" s="2232"/>
      <c r="R77" s="2232"/>
      <c r="S77" s="2232"/>
      <c r="T77" s="2232"/>
      <c r="U77" s="2232"/>
      <c r="V77" s="2232"/>
      <c r="W77" s="2232"/>
      <c r="X77" s="2232"/>
      <c r="Y77" s="2232"/>
      <c r="Z77" s="2232"/>
      <c r="AA77" s="2232"/>
      <c r="AB77" s="2232"/>
      <c r="AC77" s="2356"/>
      <c r="AD77" s="2356"/>
      <c r="AE77" s="2232"/>
      <c r="AF77" s="2356"/>
      <c r="AG77" s="2232"/>
      <c r="AH77" s="2232"/>
      <c r="AI77" s="2232"/>
      <c r="AJ77" s="2232"/>
      <c r="AK77" s="2232"/>
      <c r="AL77" s="2232"/>
      <c r="AM77" s="2356"/>
      <c r="AN77" s="2356"/>
    </row>
    <row r="78" spans="1:40" s="2875" customFormat="1">
      <c r="A78" s="2232"/>
      <c r="B78" s="2232"/>
      <c r="C78" s="2232"/>
      <c r="D78" s="2232"/>
      <c r="E78" s="2232"/>
      <c r="F78" s="2232"/>
      <c r="G78" s="2232"/>
      <c r="H78" s="2232"/>
      <c r="I78" s="2232"/>
      <c r="J78" s="2848"/>
      <c r="K78" s="2232"/>
      <c r="L78" s="2232"/>
      <c r="M78" s="2482"/>
      <c r="N78" s="2486"/>
      <c r="O78" s="2482"/>
      <c r="P78" s="2482"/>
      <c r="Q78" s="2486"/>
      <c r="R78" s="2486"/>
      <c r="S78" s="2486"/>
      <c r="T78" s="2486"/>
      <c r="U78" s="2486"/>
      <c r="V78" s="2486"/>
      <c r="W78" s="2486"/>
      <c r="X78" s="2486"/>
      <c r="Y78" s="2486"/>
      <c r="Z78" s="2486"/>
      <c r="AA78" s="2486"/>
      <c r="AB78" s="2482"/>
      <c r="AC78" s="2486"/>
      <c r="AD78" s="2486"/>
      <c r="AE78" s="2486"/>
      <c r="AF78" s="2486"/>
      <c r="AG78" s="2486"/>
      <c r="AH78" s="2486"/>
      <c r="AI78" s="2486"/>
      <c r="AJ78" s="2486"/>
      <c r="AK78" s="2486"/>
      <c r="AL78" s="2486"/>
      <c r="AM78" s="2486"/>
      <c r="AN78" s="2486"/>
    </row>
    <row r="79" spans="1:40" s="2875" customFormat="1">
      <c r="A79" s="2232"/>
      <c r="B79" s="2232"/>
      <c r="C79" s="2232"/>
      <c r="D79" s="2232"/>
      <c r="E79" s="2232"/>
      <c r="F79" s="2232"/>
      <c r="G79" s="2232"/>
      <c r="H79" s="2232"/>
      <c r="I79" s="2232"/>
      <c r="J79" s="2877"/>
      <c r="K79" s="2232"/>
      <c r="L79" s="2232"/>
      <c r="M79" s="2878"/>
      <c r="N79" s="2878"/>
      <c r="O79" s="2878"/>
      <c r="P79" s="2878"/>
      <c r="Q79" s="2878"/>
      <c r="R79" s="2878"/>
      <c r="S79" s="2878"/>
      <c r="T79" s="2878"/>
      <c r="U79" s="2878"/>
      <c r="V79" s="2878"/>
      <c r="W79" s="2878"/>
      <c r="X79" s="2878"/>
      <c r="Y79" s="2878"/>
      <c r="Z79" s="2878"/>
      <c r="AA79" s="2878"/>
      <c r="AB79" s="2878"/>
      <c r="AC79" s="2878"/>
      <c r="AD79" s="2878"/>
      <c r="AE79" s="2878"/>
      <c r="AF79" s="2878"/>
      <c r="AG79" s="2878"/>
      <c r="AH79" s="2878"/>
      <c r="AI79" s="2878"/>
      <c r="AJ79" s="2878"/>
      <c r="AK79" s="2878"/>
      <c r="AL79" s="2878"/>
      <c r="AM79" s="2878"/>
      <c r="AN79" s="2878"/>
    </row>
    <row r="80" spans="1:40" s="2875" customFormat="1">
      <c r="A80" s="2232"/>
      <c r="B80" s="2232"/>
      <c r="C80" s="2232"/>
      <c r="D80" s="2232"/>
      <c r="E80" s="2232"/>
      <c r="F80" s="2232"/>
      <c r="G80" s="2232"/>
      <c r="H80" s="2232"/>
      <c r="I80" s="2232"/>
      <c r="J80" s="2598"/>
      <c r="K80" s="2232"/>
      <c r="L80" s="2232"/>
      <c r="M80" s="2482"/>
      <c r="N80" s="2482"/>
      <c r="O80" s="2482"/>
      <c r="P80" s="2482"/>
      <c r="Q80" s="2482"/>
      <c r="R80" s="2482"/>
      <c r="S80" s="2482"/>
      <c r="T80" s="2482"/>
      <c r="U80" s="2482"/>
      <c r="V80" s="2482"/>
      <c r="W80" s="2482"/>
      <c r="X80" s="2482"/>
      <c r="Y80" s="2482"/>
      <c r="Z80" s="2482"/>
      <c r="AA80" s="2482"/>
      <c r="AB80" s="2482"/>
      <c r="AC80" s="2482"/>
      <c r="AD80" s="2482"/>
      <c r="AE80" s="2482"/>
      <c r="AF80" s="2482"/>
      <c r="AG80" s="2482"/>
      <c r="AH80" s="2482"/>
      <c r="AI80" s="2482"/>
      <c r="AJ80" s="2482"/>
      <c r="AK80" s="2482"/>
      <c r="AL80" s="2482"/>
      <c r="AM80" s="2482"/>
      <c r="AN80" s="2482"/>
    </row>
    <row r="81" spans="1:40" s="2875" customFormat="1">
      <c r="A81" s="2232"/>
      <c r="B81" s="2232"/>
      <c r="C81" s="2232"/>
      <c r="D81" s="2232"/>
      <c r="E81" s="2232"/>
      <c r="F81" s="2232"/>
      <c r="G81" s="2232"/>
      <c r="H81" s="2232"/>
      <c r="I81" s="2232"/>
      <c r="J81" s="2341"/>
      <c r="K81" s="2232"/>
      <c r="L81" s="2232"/>
      <c r="M81" s="2390"/>
      <c r="N81" s="2390"/>
      <c r="O81" s="2390"/>
      <c r="P81" s="2390"/>
      <c r="Q81" s="2390"/>
      <c r="R81" s="2390"/>
      <c r="S81" s="2390"/>
      <c r="T81" s="2390"/>
      <c r="U81" s="2390"/>
      <c r="V81" s="2390"/>
      <c r="W81" s="2390"/>
      <c r="X81" s="2390"/>
      <c r="Y81" s="2390"/>
      <c r="Z81" s="2390"/>
      <c r="AA81" s="2390"/>
      <c r="AB81" s="2390"/>
      <c r="AC81" s="2390"/>
      <c r="AD81" s="2390"/>
      <c r="AE81" s="2390"/>
      <c r="AF81" s="2390"/>
      <c r="AG81" s="2390"/>
      <c r="AH81" s="2390"/>
      <c r="AI81" s="2390"/>
      <c r="AJ81" s="2390"/>
      <c r="AK81" s="2390"/>
      <c r="AL81" s="2390"/>
      <c r="AM81" s="2482"/>
      <c r="AN81" s="2482"/>
    </row>
    <row r="82" spans="1:40" s="2875" customFormat="1">
      <c r="A82" s="2232"/>
      <c r="B82" s="2232"/>
      <c r="C82" s="2232"/>
      <c r="D82" s="2232"/>
      <c r="E82" s="2232"/>
      <c r="F82" s="2232"/>
      <c r="G82" s="2232"/>
      <c r="H82" s="2232"/>
      <c r="I82" s="2232"/>
      <c r="J82" s="2341"/>
      <c r="K82" s="2232"/>
      <c r="L82" s="2232"/>
      <c r="M82" s="2390"/>
      <c r="N82" s="2390"/>
      <c r="O82" s="2390"/>
      <c r="P82" s="2390"/>
      <c r="Q82" s="2390"/>
      <c r="R82" s="2390"/>
      <c r="S82" s="2390"/>
      <c r="T82" s="2390"/>
      <c r="U82" s="2390"/>
      <c r="V82" s="2390"/>
      <c r="W82" s="2390"/>
      <c r="X82" s="2390"/>
      <c r="Y82" s="2390"/>
      <c r="Z82" s="2390"/>
      <c r="AA82" s="2390"/>
      <c r="AB82" s="2390"/>
      <c r="AC82" s="2390"/>
      <c r="AD82" s="2390"/>
      <c r="AE82" s="2390"/>
      <c r="AF82" s="2390"/>
      <c r="AG82" s="2390"/>
      <c r="AH82" s="2390"/>
      <c r="AI82" s="2390"/>
      <c r="AJ82" s="2390"/>
      <c r="AK82" s="2390"/>
      <c r="AL82" s="2390"/>
      <c r="AM82" s="2482"/>
      <c r="AN82" s="2482"/>
    </row>
    <row r="83" spans="1:40" s="2875" customFormat="1">
      <c r="A83" s="2232"/>
      <c r="B83" s="2232"/>
      <c r="C83" s="2232"/>
      <c r="D83" s="2232"/>
      <c r="E83" s="2232"/>
      <c r="F83" s="2232"/>
      <c r="G83" s="2232"/>
      <c r="H83" s="2232"/>
      <c r="I83" s="2232"/>
      <c r="J83" s="2877"/>
      <c r="K83" s="2232"/>
      <c r="L83" s="2232"/>
      <c r="M83" s="2878"/>
      <c r="N83" s="2878"/>
      <c r="O83" s="2878"/>
      <c r="P83" s="2878"/>
      <c r="Q83" s="2878"/>
      <c r="R83" s="2878"/>
      <c r="S83" s="2878"/>
      <c r="T83" s="2878"/>
      <c r="U83" s="2878"/>
      <c r="V83" s="2878"/>
      <c r="W83" s="2878"/>
      <c r="X83" s="2878"/>
      <c r="Y83" s="2878"/>
      <c r="Z83" s="2878"/>
      <c r="AA83" s="2878"/>
      <c r="AB83" s="2878"/>
      <c r="AC83" s="2878"/>
      <c r="AD83" s="2878"/>
      <c r="AE83" s="2878"/>
      <c r="AF83" s="2878"/>
      <c r="AG83" s="2878"/>
      <c r="AH83" s="2878"/>
      <c r="AI83" s="2878"/>
      <c r="AJ83" s="2878"/>
      <c r="AK83" s="2878"/>
      <c r="AL83" s="2878"/>
      <c r="AM83" s="2878"/>
      <c r="AN83" s="2878"/>
    </row>
    <row r="84" spans="1:40" s="2875" customFormat="1">
      <c r="A84" s="2232"/>
      <c r="B84" s="2232"/>
      <c r="C84" s="2232"/>
      <c r="D84" s="2232"/>
      <c r="E84" s="2232"/>
      <c r="F84" s="2232"/>
      <c r="G84" s="2232"/>
      <c r="H84" s="2232"/>
      <c r="I84" s="2232"/>
      <c r="J84" s="2598"/>
      <c r="K84" s="2232"/>
      <c r="L84" s="2232"/>
      <c r="M84" s="2482"/>
      <c r="N84" s="2482"/>
      <c r="O84" s="2482"/>
      <c r="P84" s="2482"/>
      <c r="Q84" s="2482"/>
      <c r="R84" s="2482"/>
      <c r="S84" s="2482"/>
      <c r="T84" s="2482"/>
      <c r="U84" s="2482"/>
      <c r="V84" s="2482"/>
      <c r="W84" s="2482"/>
      <c r="X84" s="2482"/>
      <c r="Y84" s="2482"/>
      <c r="Z84" s="2482"/>
      <c r="AA84" s="2482"/>
      <c r="AB84" s="2482"/>
      <c r="AC84" s="2482"/>
      <c r="AD84" s="2482"/>
      <c r="AE84" s="2482"/>
      <c r="AF84" s="2482"/>
      <c r="AG84" s="2482"/>
      <c r="AH84" s="2482"/>
      <c r="AI84" s="2482"/>
      <c r="AJ84" s="2482"/>
      <c r="AK84" s="2482"/>
      <c r="AL84" s="2482"/>
      <c r="AM84" s="2482"/>
      <c r="AN84" s="2482"/>
    </row>
    <row r="85" spans="1:40" s="2875" customFormat="1">
      <c r="A85" s="2232"/>
      <c r="B85" s="2232"/>
      <c r="C85" s="2232"/>
      <c r="D85" s="2232"/>
      <c r="E85" s="2232"/>
      <c r="F85" s="2232"/>
      <c r="G85" s="2232"/>
      <c r="H85" s="2232"/>
      <c r="I85" s="2232"/>
      <c r="J85" s="2341"/>
      <c r="K85" s="2232"/>
      <c r="L85" s="2232"/>
      <c r="M85" s="2390"/>
      <c r="N85" s="2390"/>
      <c r="O85" s="2390"/>
      <c r="P85" s="2390"/>
      <c r="Q85" s="2390"/>
      <c r="R85" s="2390"/>
      <c r="S85" s="2390"/>
      <c r="T85" s="2390"/>
      <c r="U85" s="2390"/>
      <c r="V85" s="2390"/>
      <c r="W85" s="2390"/>
      <c r="X85" s="2390"/>
      <c r="Y85" s="2390"/>
      <c r="Z85" s="2390"/>
      <c r="AA85" s="2390"/>
      <c r="AB85" s="2390"/>
      <c r="AC85" s="2390"/>
      <c r="AD85" s="2390"/>
      <c r="AE85" s="2390"/>
      <c r="AF85" s="2390"/>
      <c r="AG85" s="2390"/>
      <c r="AH85" s="2390"/>
      <c r="AI85" s="2390"/>
      <c r="AJ85" s="2390"/>
      <c r="AK85" s="2390"/>
      <c r="AL85" s="2390"/>
      <c r="AM85" s="2390"/>
      <c r="AN85" s="2390"/>
    </row>
    <row r="86" spans="1:40" s="2875" customFormat="1">
      <c r="A86" s="2232"/>
      <c r="B86" s="2232"/>
      <c r="C86" s="2232"/>
      <c r="D86" s="2232"/>
      <c r="E86" s="2232"/>
      <c r="F86" s="2232"/>
      <c r="G86" s="2232"/>
      <c r="H86" s="2232"/>
      <c r="I86" s="2232"/>
      <c r="J86" s="2341"/>
      <c r="K86" s="2232"/>
      <c r="L86" s="2232"/>
      <c r="M86" s="2390"/>
      <c r="N86" s="2390"/>
      <c r="O86" s="2390"/>
      <c r="P86" s="2390"/>
      <c r="Q86" s="2390"/>
      <c r="R86" s="2390"/>
      <c r="S86" s="2390"/>
      <c r="T86" s="2390"/>
      <c r="U86" s="2390"/>
      <c r="V86" s="2390"/>
      <c r="W86" s="2390"/>
      <c r="X86" s="2390"/>
      <c r="Y86" s="2390"/>
      <c r="Z86" s="2390"/>
      <c r="AA86" s="2390"/>
      <c r="AB86" s="2390"/>
      <c r="AC86" s="2390"/>
      <c r="AD86" s="2390"/>
      <c r="AE86" s="2390"/>
      <c r="AF86" s="2390"/>
      <c r="AG86" s="2390"/>
      <c r="AH86" s="2390"/>
      <c r="AI86" s="2390"/>
      <c r="AJ86" s="2390"/>
      <c r="AK86" s="2390"/>
      <c r="AL86" s="2390"/>
      <c r="AM86" s="2390"/>
      <c r="AN86" s="2390"/>
    </row>
    <row r="87" spans="1:40" s="2875" customFormat="1">
      <c r="A87" s="2232"/>
      <c r="B87" s="2232"/>
      <c r="C87" s="2232"/>
      <c r="D87" s="2232"/>
      <c r="E87" s="2232"/>
      <c r="F87" s="2232"/>
      <c r="G87" s="2232"/>
      <c r="H87" s="2232"/>
      <c r="I87" s="2232"/>
      <c r="J87" s="2877"/>
      <c r="K87" s="2232"/>
      <c r="L87" s="2232"/>
      <c r="M87" s="2878"/>
      <c r="N87" s="2878"/>
      <c r="O87" s="2878"/>
      <c r="P87" s="2878"/>
      <c r="Q87" s="2878"/>
      <c r="R87" s="2878"/>
      <c r="S87" s="2878"/>
      <c r="T87" s="2878"/>
      <c r="U87" s="2878"/>
      <c r="V87" s="2878"/>
      <c r="W87" s="2878"/>
      <c r="X87" s="2878"/>
      <c r="Y87" s="2878"/>
      <c r="Z87" s="2878"/>
      <c r="AA87" s="2878"/>
      <c r="AB87" s="2878"/>
      <c r="AC87" s="2878"/>
      <c r="AD87" s="2878"/>
      <c r="AE87" s="2878"/>
      <c r="AF87" s="2878"/>
      <c r="AG87" s="2878"/>
      <c r="AH87" s="2878"/>
      <c r="AI87" s="2878"/>
      <c r="AJ87" s="2878"/>
      <c r="AK87" s="2878"/>
      <c r="AL87" s="2878"/>
      <c r="AM87" s="2878"/>
      <c r="AN87" s="2878"/>
    </row>
    <row r="88" spans="1:40" s="2875" customFormat="1">
      <c r="A88" s="2232"/>
      <c r="B88" s="2232"/>
      <c r="C88" s="2232"/>
      <c r="D88" s="2232"/>
      <c r="E88" s="2232"/>
      <c r="F88" s="2232"/>
      <c r="G88" s="2232"/>
      <c r="H88" s="2232"/>
      <c r="I88" s="2232"/>
      <c r="J88" s="2598"/>
      <c r="K88" s="2232"/>
      <c r="L88" s="2232"/>
      <c r="M88" s="2390"/>
      <c r="N88" s="2390"/>
      <c r="O88" s="2390"/>
      <c r="P88" s="2390"/>
      <c r="Q88" s="2390"/>
      <c r="R88" s="2390"/>
      <c r="S88" s="2390"/>
      <c r="T88" s="2390"/>
      <c r="U88" s="2390"/>
      <c r="V88" s="2390"/>
      <c r="W88" s="2390"/>
      <c r="X88" s="2390"/>
      <c r="Y88" s="2390"/>
      <c r="Z88" s="2390"/>
      <c r="AA88" s="2390"/>
      <c r="AB88" s="2390"/>
      <c r="AC88" s="2390"/>
      <c r="AD88" s="2390"/>
      <c r="AE88" s="2390"/>
      <c r="AF88" s="2390"/>
      <c r="AG88" s="2390"/>
      <c r="AH88" s="2390"/>
      <c r="AI88" s="2390"/>
      <c r="AJ88" s="2390"/>
      <c r="AK88" s="2390"/>
      <c r="AL88" s="2390"/>
      <c r="AM88" s="2390"/>
      <c r="AN88" s="2390"/>
    </row>
    <row r="89" spans="1:40" s="2875" customFormat="1">
      <c r="A89" s="2232"/>
      <c r="B89" s="2232"/>
      <c r="C89" s="2232"/>
      <c r="D89" s="2232"/>
      <c r="E89" s="2232"/>
      <c r="F89" s="2232"/>
      <c r="G89" s="2232"/>
      <c r="H89" s="2232"/>
      <c r="I89" s="2232"/>
      <c r="J89" s="2341"/>
      <c r="K89" s="2232"/>
      <c r="L89" s="2232"/>
      <c r="M89" s="2390"/>
      <c r="N89" s="2390"/>
      <c r="O89" s="2390"/>
      <c r="P89" s="2390"/>
      <c r="Q89" s="2390"/>
      <c r="R89" s="2390"/>
      <c r="S89" s="2390"/>
      <c r="T89" s="2390"/>
      <c r="U89" s="2390"/>
      <c r="V89" s="2390"/>
      <c r="W89" s="2390"/>
      <c r="X89" s="2390"/>
      <c r="Y89" s="2390"/>
      <c r="Z89" s="2390"/>
      <c r="AA89" s="2390"/>
      <c r="AB89" s="2390"/>
      <c r="AC89" s="2390"/>
      <c r="AD89" s="2390"/>
      <c r="AE89" s="2390"/>
      <c r="AF89" s="2390"/>
      <c r="AG89" s="2390"/>
      <c r="AH89" s="2390"/>
      <c r="AI89" s="2390"/>
      <c r="AJ89" s="2390"/>
      <c r="AK89" s="2390"/>
      <c r="AL89" s="2390"/>
      <c r="AM89" s="2390"/>
      <c r="AN89" s="2390"/>
    </row>
    <row r="90" spans="1:40" s="2875" customFormat="1">
      <c r="A90" s="2232"/>
      <c r="B90" s="2232"/>
      <c r="C90" s="2232"/>
      <c r="D90" s="2232"/>
      <c r="E90" s="2232"/>
      <c r="F90" s="2232"/>
      <c r="G90" s="2232"/>
      <c r="H90" s="2232"/>
      <c r="I90" s="2232"/>
      <c r="J90" s="2341"/>
      <c r="K90" s="2232"/>
      <c r="L90" s="2232"/>
      <c r="M90" s="2390"/>
      <c r="N90" s="2390"/>
      <c r="O90" s="2390"/>
      <c r="P90" s="2390"/>
      <c r="Q90" s="2390"/>
      <c r="R90" s="2390"/>
      <c r="S90" s="2390"/>
      <c r="T90" s="2390"/>
      <c r="U90" s="2390"/>
      <c r="V90" s="2390"/>
      <c r="W90" s="2390"/>
      <c r="X90" s="2390"/>
      <c r="Y90" s="2390"/>
      <c r="Z90" s="2390"/>
      <c r="AA90" s="2390"/>
      <c r="AB90" s="2390"/>
      <c r="AC90" s="2390"/>
      <c r="AD90" s="2390"/>
      <c r="AE90" s="2390"/>
      <c r="AF90" s="2390"/>
      <c r="AG90" s="2390"/>
      <c r="AH90" s="2390"/>
      <c r="AI90" s="2390"/>
      <c r="AJ90" s="2390"/>
      <c r="AK90" s="2390"/>
      <c r="AL90" s="2390"/>
      <c r="AM90" s="2390"/>
      <c r="AN90" s="2390"/>
    </row>
    <row r="91" spans="1:40" s="2875" customFormat="1">
      <c r="A91" s="2232"/>
      <c r="B91" s="2232"/>
      <c r="C91" s="2232"/>
      <c r="D91" s="2232"/>
      <c r="E91" s="2232"/>
      <c r="F91" s="2232"/>
      <c r="G91" s="2232"/>
      <c r="H91" s="2232"/>
      <c r="I91" s="2232"/>
      <c r="J91" s="2232"/>
      <c r="K91" s="2232"/>
      <c r="L91" s="2232"/>
      <c r="M91" s="2232"/>
      <c r="N91" s="2232"/>
      <c r="O91" s="2232"/>
      <c r="P91" s="2232"/>
      <c r="Q91" s="2232"/>
      <c r="R91" s="2232"/>
      <c r="S91" s="2232"/>
      <c r="T91" s="2232"/>
      <c r="U91" s="2232"/>
      <c r="V91" s="2232"/>
      <c r="W91" s="2232"/>
      <c r="X91" s="2232"/>
      <c r="Y91" s="2232"/>
      <c r="Z91" s="2232"/>
      <c r="AA91" s="2232"/>
      <c r="AB91" s="2232"/>
      <c r="AC91" s="2232"/>
      <c r="AD91" s="2232"/>
      <c r="AE91" s="2232"/>
      <c r="AF91" s="2232"/>
      <c r="AG91" s="2232"/>
      <c r="AH91" s="2232"/>
      <c r="AI91" s="2232"/>
      <c r="AJ91" s="2232"/>
      <c r="AK91" s="2232"/>
      <c r="AL91" s="2232"/>
      <c r="AM91" s="2232"/>
      <c r="AN91" s="2232"/>
    </row>
    <row r="92" spans="1:40" s="2875" customFormat="1">
      <c r="A92" s="2232"/>
      <c r="B92" s="2232"/>
      <c r="C92" s="2232"/>
      <c r="D92" s="2232"/>
      <c r="E92" s="2232"/>
      <c r="F92" s="2232"/>
      <c r="G92" s="2232"/>
      <c r="H92" s="2232"/>
      <c r="I92" s="2232"/>
      <c r="J92" s="2232"/>
      <c r="K92" s="2232"/>
      <c r="L92" s="2232"/>
      <c r="M92" s="2232"/>
      <c r="N92" s="2232"/>
      <c r="O92" s="2232"/>
      <c r="P92" s="2232"/>
      <c r="Q92" s="2232"/>
      <c r="R92" s="2232"/>
      <c r="S92" s="2232"/>
      <c r="T92" s="2232"/>
      <c r="U92" s="2232"/>
      <c r="V92" s="2232"/>
      <c r="W92" s="2232"/>
      <c r="X92" s="2232"/>
      <c r="Y92" s="2232"/>
      <c r="Z92" s="2232"/>
      <c r="AA92" s="2232"/>
      <c r="AB92" s="2232"/>
      <c r="AC92" s="2232"/>
      <c r="AD92" s="2232"/>
      <c r="AE92" s="2232"/>
      <c r="AF92" s="2232"/>
      <c r="AG92" s="2232"/>
      <c r="AH92" s="2232"/>
      <c r="AI92" s="2232"/>
      <c r="AJ92" s="2232"/>
      <c r="AK92" s="2232"/>
      <c r="AL92" s="2232"/>
      <c r="AM92" s="2232"/>
      <c r="AN92" s="2232"/>
    </row>
    <row r="93" spans="1:40" s="2875" customFormat="1">
      <c r="A93" s="2232"/>
      <c r="B93" s="2232"/>
      <c r="C93" s="2232"/>
      <c r="D93" s="2232"/>
      <c r="E93" s="2232"/>
      <c r="F93" s="2232"/>
      <c r="G93" s="2232"/>
      <c r="H93" s="2232"/>
      <c r="I93" s="2232"/>
      <c r="J93" s="2341"/>
      <c r="K93" s="2232"/>
      <c r="L93" s="2232"/>
      <c r="M93" s="2879"/>
      <c r="N93" s="2232"/>
      <c r="O93" s="2879"/>
      <c r="P93" s="2879"/>
      <c r="Q93" s="2232"/>
      <c r="R93" s="2232"/>
      <c r="S93" s="2232"/>
      <c r="T93" s="2232"/>
      <c r="U93" s="2232"/>
      <c r="V93" s="2232"/>
      <c r="W93" s="2232"/>
      <c r="X93" s="2232"/>
      <c r="Y93" s="2232"/>
      <c r="Z93" s="2232"/>
      <c r="AA93" s="2232"/>
      <c r="AB93" s="2879"/>
      <c r="AC93" s="2232"/>
      <c r="AD93" s="2232"/>
      <c r="AE93" s="2232"/>
      <c r="AF93" s="2232"/>
      <c r="AG93" s="2232"/>
      <c r="AH93" s="2232"/>
      <c r="AI93" s="2232"/>
      <c r="AJ93" s="2232"/>
      <c r="AK93" s="2232"/>
      <c r="AL93" s="2232"/>
      <c r="AM93" s="2232"/>
      <c r="AN93" s="2232"/>
    </row>
    <row r="94" spans="1:40" s="2875" customFormat="1">
      <c r="A94" s="2232"/>
      <c r="B94" s="2232"/>
      <c r="C94" s="2232"/>
      <c r="D94" s="2232"/>
      <c r="E94" s="2232"/>
      <c r="F94" s="2232"/>
      <c r="G94" s="2232"/>
      <c r="H94" s="2232"/>
      <c r="I94" s="2232"/>
      <c r="J94" s="2341"/>
      <c r="K94" s="2232"/>
      <c r="L94" s="2232"/>
      <c r="M94" s="2880"/>
      <c r="N94" s="2232"/>
      <c r="O94" s="2880"/>
      <c r="P94" s="2880"/>
      <c r="Q94" s="2232"/>
      <c r="R94" s="2232"/>
      <c r="S94" s="2232"/>
      <c r="T94" s="2232"/>
      <c r="U94" s="2232"/>
      <c r="V94" s="2232"/>
      <c r="W94" s="2232"/>
      <c r="X94" s="2232"/>
      <c r="Y94" s="2232"/>
      <c r="Z94" s="2232"/>
      <c r="AA94" s="2232"/>
      <c r="AB94" s="2880"/>
      <c r="AC94" s="2232"/>
      <c r="AD94" s="2232"/>
      <c r="AE94" s="2232"/>
      <c r="AF94" s="2232"/>
      <c r="AG94" s="2232"/>
      <c r="AH94" s="2232"/>
      <c r="AI94" s="2232"/>
      <c r="AJ94" s="2232"/>
      <c r="AK94" s="2232"/>
      <c r="AL94" s="2232"/>
      <c r="AM94" s="2232"/>
      <c r="AN94" s="2232"/>
    </row>
    <row r="95" spans="1:40" s="2875" customFormat="1">
      <c r="A95" s="2232"/>
      <c r="B95" s="2232"/>
      <c r="C95" s="2232"/>
      <c r="D95" s="2232"/>
      <c r="E95" s="2232"/>
      <c r="F95" s="2232"/>
      <c r="G95" s="2232"/>
      <c r="H95" s="2232"/>
      <c r="I95" s="2232"/>
      <c r="J95" s="2232"/>
      <c r="K95" s="2232"/>
      <c r="L95" s="2232"/>
      <c r="M95" s="2232"/>
      <c r="N95" s="2232"/>
      <c r="O95" s="2232"/>
      <c r="P95" s="2232"/>
      <c r="Q95" s="2232"/>
      <c r="R95" s="2232"/>
      <c r="S95" s="2232"/>
      <c r="T95" s="2232"/>
      <c r="U95" s="2232"/>
      <c r="V95" s="2232"/>
      <c r="W95" s="2232"/>
      <c r="X95" s="2232"/>
      <c r="Y95" s="2232"/>
      <c r="Z95" s="2232"/>
      <c r="AA95" s="2232"/>
      <c r="AB95" s="2232"/>
      <c r="AC95" s="2232"/>
      <c r="AD95" s="2232"/>
      <c r="AE95" s="2232"/>
      <c r="AF95" s="2232"/>
      <c r="AG95" s="2232"/>
      <c r="AH95" s="2232"/>
      <c r="AI95" s="2232"/>
      <c r="AJ95" s="2232"/>
      <c r="AK95" s="2232"/>
      <c r="AL95" s="2232"/>
      <c r="AM95" s="2232"/>
      <c r="AN95" s="2232"/>
    </row>
    <row r="96" spans="1:40" s="2875" customFormat="1">
      <c r="A96" s="2232"/>
      <c r="B96" s="2232"/>
      <c r="C96" s="2232"/>
      <c r="D96" s="2232"/>
      <c r="E96" s="2232"/>
      <c r="F96" s="2232"/>
      <c r="G96" s="2232"/>
      <c r="H96" s="2232"/>
      <c r="I96" s="2232"/>
      <c r="J96" s="2232"/>
      <c r="K96" s="2232"/>
      <c r="L96" s="2232"/>
      <c r="M96" s="2232"/>
      <c r="N96" s="2232"/>
      <c r="O96" s="2232"/>
      <c r="P96" s="2232"/>
      <c r="Q96" s="2232"/>
      <c r="R96" s="2232"/>
      <c r="S96" s="2232"/>
      <c r="T96" s="2232"/>
      <c r="U96" s="2232"/>
      <c r="V96" s="2232"/>
      <c r="W96" s="2232"/>
      <c r="X96" s="2232"/>
      <c r="Y96" s="2232"/>
      <c r="Z96" s="2232"/>
      <c r="AA96" s="2232"/>
      <c r="AB96" s="2232"/>
      <c r="AC96" s="2232"/>
      <c r="AD96" s="2232"/>
      <c r="AE96" s="2232"/>
      <c r="AF96" s="2232"/>
      <c r="AG96" s="2232"/>
      <c r="AH96" s="2232"/>
      <c r="AI96" s="2232"/>
      <c r="AJ96" s="2232"/>
      <c r="AK96" s="2232"/>
      <c r="AL96" s="2232"/>
      <c r="AM96" s="2232"/>
      <c r="AN96" s="2232"/>
    </row>
    <row r="97" spans="1:40" s="2875" customFormat="1">
      <c r="A97" s="2232"/>
      <c r="B97" s="2232"/>
      <c r="C97" s="2232"/>
      <c r="D97" s="2232"/>
      <c r="E97" s="2232"/>
      <c r="F97" s="2232"/>
      <c r="G97" s="2232"/>
      <c r="H97" s="2232"/>
      <c r="I97" s="2232"/>
      <c r="J97" s="2877"/>
      <c r="K97" s="2232"/>
      <c r="L97" s="2232"/>
      <c r="M97" s="2878"/>
      <c r="N97" s="2878"/>
      <c r="O97" s="2878"/>
      <c r="P97" s="2878"/>
      <c r="Q97" s="2878"/>
      <c r="R97" s="2878"/>
      <c r="S97" s="2878"/>
      <c r="T97" s="2878"/>
      <c r="U97" s="2878"/>
      <c r="V97" s="2878"/>
      <c r="W97" s="2878"/>
      <c r="X97" s="2878"/>
      <c r="Y97" s="2878"/>
      <c r="Z97" s="2878"/>
      <c r="AA97" s="2878"/>
      <c r="AB97" s="2878"/>
      <c r="AC97" s="2878"/>
      <c r="AD97" s="2878"/>
      <c r="AE97" s="2878"/>
      <c r="AF97" s="2878"/>
      <c r="AG97" s="2878"/>
      <c r="AH97" s="2878"/>
      <c r="AI97" s="2878"/>
      <c r="AJ97" s="2878"/>
      <c r="AK97" s="2878"/>
      <c r="AL97" s="2878"/>
      <c r="AM97" s="2878"/>
      <c r="AN97" s="2878"/>
    </row>
    <row r="98" spans="1:40" s="2875" customFormat="1">
      <c r="A98" s="2232"/>
      <c r="B98" s="2232"/>
      <c r="C98" s="2232"/>
      <c r="D98" s="2232"/>
      <c r="E98" s="2232"/>
      <c r="F98" s="2232"/>
      <c r="G98" s="2232"/>
      <c r="H98" s="2232"/>
      <c r="I98" s="2232"/>
      <c r="J98" s="2598"/>
      <c r="K98" s="2232"/>
      <c r="L98" s="2232"/>
      <c r="M98" s="2482"/>
      <c r="N98" s="2482"/>
      <c r="O98" s="2482"/>
      <c r="P98" s="2482"/>
      <c r="Q98" s="2482"/>
      <c r="R98" s="2482"/>
      <c r="S98" s="2482"/>
      <c r="T98" s="2482"/>
      <c r="U98" s="2482"/>
      <c r="V98" s="2482"/>
      <c r="W98" s="2482"/>
      <c r="X98" s="2482"/>
      <c r="Y98" s="2482"/>
      <c r="Z98" s="2482"/>
      <c r="AA98" s="2482"/>
      <c r="AB98" s="2482"/>
      <c r="AC98" s="2482"/>
      <c r="AD98" s="2482"/>
      <c r="AE98" s="2482"/>
      <c r="AF98" s="2482"/>
      <c r="AG98" s="2482"/>
      <c r="AH98" s="2482"/>
      <c r="AI98" s="2482"/>
      <c r="AJ98" s="2482"/>
      <c r="AK98" s="2482"/>
      <c r="AL98" s="2482"/>
      <c r="AM98" s="2482"/>
      <c r="AN98" s="2482"/>
    </row>
    <row r="99" spans="1:40" s="2875" customFormat="1">
      <c r="A99" s="2232"/>
      <c r="B99" s="2232"/>
      <c r="C99" s="2232"/>
      <c r="D99" s="2232"/>
      <c r="E99" s="2232"/>
      <c r="F99" s="2232"/>
      <c r="G99" s="2232"/>
      <c r="H99" s="2232"/>
      <c r="I99" s="2232"/>
      <c r="J99" s="2341"/>
      <c r="K99" s="2232"/>
      <c r="L99" s="2232"/>
      <c r="M99" s="2390"/>
      <c r="N99" s="2390"/>
      <c r="O99" s="2390"/>
      <c r="P99" s="2390"/>
      <c r="Q99" s="2390"/>
      <c r="R99" s="2390"/>
      <c r="S99" s="2390"/>
      <c r="T99" s="2390"/>
      <c r="U99" s="2390"/>
      <c r="V99" s="2390"/>
      <c r="W99" s="2390"/>
      <c r="X99" s="2390"/>
      <c r="Y99" s="2390"/>
      <c r="Z99" s="2390"/>
      <c r="AA99" s="2390"/>
      <c r="AB99" s="2390"/>
      <c r="AC99" s="2390"/>
      <c r="AD99" s="2390"/>
      <c r="AE99" s="2390"/>
      <c r="AF99" s="2390"/>
      <c r="AG99" s="2390"/>
      <c r="AH99" s="2390"/>
      <c r="AI99" s="2390"/>
      <c r="AJ99" s="2390"/>
      <c r="AK99" s="2390"/>
      <c r="AL99" s="2390"/>
      <c r="AM99" s="2482"/>
      <c r="AN99" s="2482"/>
    </row>
    <row r="100" spans="1:40" s="2875" customFormat="1">
      <c r="A100" s="2232"/>
      <c r="B100" s="2232"/>
      <c r="C100" s="2232"/>
      <c r="D100" s="2232"/>
      <c r="E100" s="2232"/>
      <c r="F100" s="2232"/>
      <c r="G100" s="2232"/>
      <c r="H100" s="2232"/>
      <c r="I100" s="2232"/>
      <c r="J100" s="2341"/>
      <c r="K100" s="2232"/>
      <c r="L100" s="2232"/>
      <c r="M100" s="2390"/>
      <c r="N100" s="2390"/>
      <c r="O100" s="2390"/>
      <c r="P100" s="2390"/>
      <c r="Q100" s="2390"/>
      <c r="R100" s="2390"/>
      <c r="S100" s="2390"/>
      <c r="T100" s="2390"/>
      <c r="U100" s="2390"/>
      <c r="V100" s="2390"/>
      <c r="W100" s="2390"/>
      <c r="X100" s="2390"/>
      <c r="Y100" s="2390"/>
      <c r="Z100" s="2390"/>
      <c r="AA100" s="2390"/>
      <c r="AB100" s="2390"/>
      <c r="AC100" s="2390"/>
      <c r="AD100" s="2390"/>
      <c r="AE100" s="2390"/>
      <c r="AF100" s="2390"/>
      <c r="AG100" s="2390"/>
      <c r="AH100" s="2390"/>
      <c r="AI100" s="2390"/>
      <c r="AJ100" s="2390"/>
      <c r="AK100" s="2390"/>
      <c r="AL100" s="2390"/>
      <c r="AM100" s="2390"/>
      <c r="AN100" s="2390"/>
    </row>
    <row r="101" spans="1:40" s="2875" customFormat="1">
      <c r="A101" s="2232"/>
      <c r="B101" s="2232"/>
      <c r="C101" s="2232"/>
      <c r="D101" s="2232"/>
      <c r="E101" s="2232"/>
      <c r="F101" s="2232"/>
      <c r="G101" s="2232"/>
      <c r="H101" s="2232"/>
      <c r="I101" s="2232"/>
      <c r="J101" s="2877"/>
      <c r="K101" s="2232"/>
      <c r="L101" s="2232"/>
      <c r="M101" s="2878"/>
      <c r="N101" s="2878"/>
      <c r="O101" s="2878"/>
      <c r="P101" s="2878"/>
      <c r="Q101" s="2878"/>
      <c r="R101" s="2878"/>
      <c r="S101" s="2878"/>
      <c r="T101" s="2878"/>
      <c r="U101" s="2878"/>
      <c r="V101" s="2878"/>
      <c r="W101" s="2878"/>
      <c r="X101" s="2878"/>
      <c r="Y101" s="2878"/>
      <c r="Z101" s="2878"/>
      <c r="AA101" s="2878"/>
      <c r="AB101" s="2878"/>
      <c r="AC101" s="2878"/>
      <c r="AD101" s="2878"/>
      <c r="AE101" s="2878"/>
      <c r="AF101" s="2878"/>
      <c r="AG101" s="2878"/>
      <c r="AH101" s="2878"/>
      <c r="AI101" s="2878"/>
      <c r="AJ101" s="2878"/>
      <c r="AK101" s="2878"/>
      <c r="AL101" s="2878"/>
      <c r="AM101" s="2878"/>
      <c r="AN101" s="2878"/>
    </row>
    <row r="102" spans="1:40" s="2875" customFormat="1">
      <c r="A102" s="2232"/>
      <c r="B102" s="2232"/>
      <c r="C102" s="2232"/>
      <c r="D102" s="2232"/>
      <c r="E102" s="2232"/>
      <c r="F102" s="2232"/>
      <c r="G102" s="2232"/>
      <c r="H102" s="2232"/>
      <c r="I102" s="2232"/>
      <c r="J102" s="2598"/>
      <c r="K102" s="2232"/>
      <c r="L102" s="2232"/>
      <c r="M102" s="2482"/>
      <c r="N102" s="2482"/>
      <c r="O102" s="2482"/>
      <c r="P102" s="2482"/>
      <c r="Q102" s="2482"/>
      <c r="R102" s="2482"/>
      <c r="S102" s="2482"/>
      <c r="T102" s="2482"/>
      <c r="U102" s="2482"/>
      <c r="V102" s="2482"/>
      <c r="W102" s="2482"/>
      <c r="X102" s="2482"/>
      <c r="Y102" s="2482"/>
      <c r="Z102" s="2482"/>
      <c r="AA102" s="2482"/>
      <c r="AB102" s="2482"/>
      <c r="AC102" s="2482"/>
      <c r="AD102" s="2482"/>
      <c r="AE102" s="2482"/>
      <c r="AF102" s="2482"/>
      <c r="AG102" s="2482"/>
      <c r="AH102" s="2482"/>
      <c r="AI102" s="2482"/>
      <c r="AJ102" s="2482"/>
      <c r="AK102" s="2482"/>
      <c r="AL102" s="2482"/>
      <c r="AM102" s="2482"/>
      <c r="AN102" s="2482"/>
    </row>
    <row r="103" spans="1:40" s="2875" customFormat="1">
      <c r="A103" s="2232"/>
      <c r="B103" s="2232"/>
      <c r="C103" s="2232"/>
      <c r="D103" s="2232"/>
      <c r="E103" s="2232"/>
      <c r="F103" s="2232"/>
      <c r="G103" s="2232"/>
      <c r="H103" s="2232"/>
      <c r="I103" s="2232"/>
      <c r="J103" s="2341"/>
      <c r="K103" s="2232"/>
      <c r="L103" s="2232"/>
      <c r="M103" s="2390"/>
      <c r="N103" s="2390"/>
      <c r="O103" s="2390"/>
      <c r="P103" s="2390"/>
      <c r="Q103" s="2390"/>
      <c r="R103" s="2390"/>
      <c r="S103" s="2390"/>
      <c r="T103" s="2390"/>
      <c r="U103" s="2390"/>
      <c r="V103" s="2390"/>
      <c r="W103" s="2390"/>
      <c r="X103" s="2390"/>
      <c r="Y103" s="2390"/>
      <c r="Z103" s="2390"/>
      <c r="AA103" s="2390"/>
      <c r="AB103" s="2390"/>
      <c r="AC103" s="2390"/>
      <c r="AD103" s="2390"/>
      <c r="AE103" s="2390"/>
      <c r="AF103" s="2390"/>
      <c r="AG103" s="2390"/>
      <c r="AH103" s="2390"/>
      <c r="AI103" s="2390"/>
      <c r="AJ103" s="2390"/>
      <c r="AK103" s="2390"/>
      <c r="AL103" s="2390"/>
      <c r="AM103" s="2390"/>
      <c r="AN103" s="2390"/>
    </row>
    <row r="104" spans="1:40" s="2875" customFormat="1">
      <c r="A104" s="2232"/>
      <c r="B104" s="2232"/>
      <c r="C104" s="2232"/>
      <c r="D104" s="2232"/>
      <c r="E104" s="2232"/>
      <c r="F104" s="2232"/>
      <c r="G104" s="2232"/>
      <c r="H104" s="2232"/>
      <c r="I104" s="2232"/>
      <c r="J104" s="2341"/>
      <c r="K104" s="2232"/>
      <c r="L104" s="2232"/>
      <c r="M104" s="2390"/>
      <c r="N104" s="2390"/>
      <c r="O104" s="2390"/>
      <c r="P104" s="2390"/>
      <c r="Q104" s="2390"/>
      <c r="R104" s="2390"/>
      <c r="S104" s="2390"/>
      <c r="T104" s="2390"/>
      <c r="U104" s="2390"/>
      <c r="V104" s="2390"/>
      <c r="W104" s="2390"/>
      <c r="X104" s="2390"/>
      <c r="Y104" s="2390"/>
      <c r="Z104" s="2390"/>
      <c r="AA104" s="2390"/>
      <c r="AB104" s="2390"/>
      <c r="AC104" s="2390"/>
      <c r="AD104" s="2390"/>
      <c r="AE104" s="2390"/>
      <c r="AF104" s="2390"/>
      <c r="AG104" s="2390"/>
      <c r="AH104" s="2390"/>
      <c r="AI104" s="2390"/>
      <c r="AJ104" s="2390"/>
      <c r="AK104" s="2390"/>
      <c r="AL104" s="2390"/>
      <c r="AM104" s="2390"/>
      <c r="AN104" s="2390"/>
    </row>
    <row r="105" spans="1:40" s="2875" customFormat="1">
      <c r="A105" s="2232"/>
      <c r="B105" s="2232"/>
      <c r="C105" s="2232"/>
      <c r="D105" s="2232"/>
      <c r="E105" s="2232"/>
      <c r="F105" s="2232"/>
      <c r="G105" s="2232"/>
      <c r="H105" s="2232"/>
      <c r="I105" s="2232"/>
      <c r="J105" s="2877"/>
      <c r="K105" s="2232"/>
      <c r="L105" s="2232"/>
      <c r="M105" s="2878"/>
      <c r="N105" s="2878"/>
      <c r="O105" s="2878"/>
      <c r="P105" s="2878"/>
      <c r="Q105" s="2878"/>
      <c r="R105" s="2878"/>
      <c r="S105" s="2878"/>
      <c r="T105" s="2878"/>
      <c r="U105" s="2878"/>
      <c r="V105" s="2878"/>
      <c r="W105" s="2878"/>
      <c r="X105" s="2878"/>
      <c r="Y105" s="2878"/>
      <c r="Z105" s="2878"/>
      <c r="AA105" s="2878"/>
      <c r="AB105" s="2878"/>
      <c r="AC105" s="2878"/>
      <c r="AD105" s="2878"/>
      <c r="AE105" s="2878"/>
      <c r="AF105" s="2878"/>
      <c r="AG105" s="2878"/>
      <c r="AH105" s="2878"/>
      <c r="AI105" s="2878"/>
      <c r="AJ105" s="2878"/>
      <c r="AK105" s="2878"/>
      <c r="AL105" s="2878"/>
      <c r="AM105" s="2878"/>
      <c r="AN105" s="2878"/>
    </row>
    <row r="106" spans="1:40" s="2875" customFormat="1">
      <c r="A106" s="2232"/>
      <c r="B106" s="2232"/>
      <c r="C106" s="2232"/>
      <c r="D106" s="2232"/>
      <c r="E106" s="2232"/>
      <c r="F106" s="2232"/>
      <c r="G106" s="2232"/>
      <c r="H106" s="2232"/>
      <c r="I106" s="2232"/>
      <c r="J106" s="2598"/>
      <c r="K106" s="2232"/>
      <c r="L106" s="2232"/>
      <c r="M106" s="2390"/>
      <c r="N106" s="2390"/>
      <c r="O106" s="2390"/>
      <c r="P106" s="2390"/>
      <c r="Q106" s="2390"/>
      <c r="R106" s="2390"/>
      <c r="S106" s="2390"/>
      <c r="T106" s="2390"/>
      <c r="U106" s="2390"/>
      <c r="V106" s="2390"/>
      <c r="W106" s="2390"/>
      <c r="X106" s="2390"/>
      <c r="Y106" s="2390"/>
      <c r="Z106" s="2390"/>
      <c r="AA106" s="2390"/>
      <c r="AB106" s="2390"/>
      <c r="AC106" s="2390"/>
      <c r="AD106" s="2390"/>
      <c r="AE106" s="2390"/>
      <c r="AF106" s="2390"/>
      <c r="AG106" s="2390"/>
      <c r="AH106" s="2390"/>
      <c r="AI106" s="2390"/>
      <c r="AJ106" s="2390"/>
      <c r="AK106" s="2390"/>
      <c r="AL106" s="2390"/>
      <c r="AM106" s="2390"/>
      <c r="AN106" s="2390"/>
    </row>
    <row r="107" spans="1:40" s="2875" customFormat="1">
      <c r="A107" s="2232"/>
      <c r="B107" s="2232"/>
      <c r="C107" s="2232"/>
      <c r="D107" s="2232"/>
      <c r="E107" s="2232"/>
      <c r="F107" s="2232"/>
      <c r="G107" s="2232"/>
      <c r="H107" s="2232"/>
      <c r="I107" s="2232"/>
      <c r="J107" s="2341"/>
      <c r="K107" s="2232"/>
      <c r="L107" s="2232"/>
      <c r="M107" s="2390"/>
      <c r="N107" s="2390"/>
      <c r="O107" s="2390"/>
      <c r="P107" s="2390"/>
      <c r="Q107" s="2390"/>
      <c r="R107" s="2390"/>
      <c r="S107" s="2390"/>
      <c r="T107" s="2390"/>
      <c r="U107" s="2390"/>
      <c r="V107" s="2390"/>
      <c r="W107" s="2390"/>
      <c r="X107" s="2390"/>
      <c r="Y107" s="2390"/>
      <c r="Z107" s="2390"/>
      <c r="AA107" s="2390"/>
      <c r="AB107" s="2390"/>
      <c r="AC107" s="2390"/>
      <c r="AD107" s="2390"/>
      <c r="AE107" s="2390"/>
      <c r="AF107" s="2390"/>
      <c r="AG107" s="2390"/>
      <c r="AH107" s="2390"/>
      <c r="AI107" s="2390"/>
      <c r="AJ107" s="2390"/>
      <c r="AK107" s="2390"/>
      <c r="AL107" s="2390"/>
      <c r="AM107" s="2390"/>
      <c r="AN107" s="2390"/>
    </row>
    <row r="108" spans="1:40" s="2875" customFormat="1">
      <c r="A108" s="2232"/>
      <c r="B108" s="2232"/>
      <c r="C108" s="2232"/>
      <c r="D108" s="2232"/>
      <c r="E108" s="2232"/>
      <c r="F108" s="2232"/>
      <c r="G108" s="2232"/>
      <c r="H108" s="2232"/>
      <c r="I108" s="2232"/>
      <c r="J108" s="2341"/>
      <c r="K108" s="2232"/>
      <c r="L108" s="2232"/>
      <c r="M108" s="2390"/>
      <c r="N108" s="2390"/>
      <c r="O108" s="2390"/>
      <c r="P108" s="2390"/>
      <c r="Q108" s="2390"/>
      <c r="R108" s="2390"/>
      <c r="S108" s="2390"/>
      <c r="T108" s="2390"/>
      <c r="U108" s="2390"/>
      <c r="V108" s="2390"/>
      <c r="W108" s="2390"/>
      <c r="X108" s="2390"/>
      <c r="Y108" s="2390"/>
      <c r="Z108" s="2390"/>
      <c r="AA108" s="2390"/>
      <c r="AB108" s="2390"/>
      <c r="AC108" s="2390"/>
      <c r="AD108" s="2390"/>
      <c r="AE108" s="2390"/>
      <c r="AF108" s="2390"/>
      <c r="AG108" s="2390"/>
      <c r="AH108" s="2390"/>
      <c r="AI108" s="2390"/>
      <c r="AJ108" s="2390"/>
      <c r="AK108" s="2390"/>
      <c r="AL108" s="2390"/>
      <c r="AM108" s="2390"/>
      <c r="AN108" s="2390"/>
    </row>
    <row r="109" spans="1:40" s="2875" customFormat="1">
      <c r="A109" s="2232"/>
      <c r="B109" s="2232"/>
      <c r="C109" s="2232"/>
      <c r="D109" s="2232"/>
      <c r="E109" s="2232"/>
      <c r="F109" s="2232"/>
      <c r="G109" s="2232"/>
      <c r="H109" s="2232"/>
      <c r="I109" s="2232"/>
      <c r="J109" s="2232"/>
      <c r="K109" s="2232"/>
      <c r="L109" s="2232"/>
      <c r="M109" s="2232"/>
      <c r="N109" s="2232"/>
      <c r="O109" s="2232"/>
      <c r="P109" s="2232"/>
      <c r="Q109" s="2232"/>
      <c r="R109" s="2232"/>
      <c r="S109" s="2232"/>
      <c r="T109" s="2232"/>
      <c r="U109" s="2232"/>
      <c r="V109" s="2232"/>
      <c r="W109" s="2232"/>
      <c r="X109" s="2232"/>
      <c r="Y109" s="2232"/>
      <c r="Z109" s="2232"/>
      <c r="AA109" s="2232"/>
      <c r="AB109" s="2232"/>
      <c r="AC109" s="2232"/>
      <c r="AD109" s="2232"/>
      <c r="AE109" s="2232"/>
      <c r="AF109" s="2232"/>
      <c r="AG109" s="2232"/>
      <c r="AH109" s="2232"/>
      <c r="AI109" s="2232"/>
      <c r="AJ109" s="2232"/>
      <c r="AK109" s="2232"/>
      <c r="AL109" s="2232"/>
      <c r="AM109" s="2232"/>
      <c r="AN109" s="2232"/>
    </row>
    <row r="110" spans="1:40" s="2875" customFormat="1">
      <c r="A110" s="2232"/>
      <c r="B110" s="2232"/>
      <c r="C110" s="2232"/>
      <c r="D110" s="2232"/>
      <c r="E110" s="2232"/>
      <c r="F110" s="2232"/>
      <c r="G110" s="2232"/>
      <c r="H110" s="2232"/>
      <c r="I110" s="2232"/>
      <c r="J110" s="2232"/>
      <c r="K110" s="2232"/>
      <c r="L110" s="2232"/>
      <c r="M110" s="2232"/>
      <c r="N110" s="2232"/>
      <c r="O110" s="2232"/>
      <c r="P110" s="2232"/>
      <c r="Q110" s="2232"/>
      <c r="R110" s="2232"/>
      <c r="S110" s="2232"/>
      <c r="T110" s="2232"/>
      <c r="U110" s="2232"/>
      <c r="V110" s="2232"/>
      <c r="W110" s="2232"/>
      <c r="X110" s="2232"/>
      <c r="Y110" s="2232"/>
      <c r="Z110" s="2232"/>
      <c r="AA110" s="2232"/>
      <c r="AB110" s="2232"/>
      <c r="AC110" s="2232"/>
      <c r="AD110" s="2232"/>
      <c r="AE110" s="2232"/>
      <c r="AF110" s="2232"/>
      <c r="AG110" s="2232"/>
      <c r="AH110" s="2232"/>
      <c r="AI110" s="2232"/>
      <c r="AJ110" s="2232"/>
      <c r="AK110" s="2232"/>
      <c r="AL110" s="2232"/>
      <c r="AM110" s="2232"/>
      <c r="AN110" s="2232"/>
    </row>
    <row r="111" spans="1:40" s="2875" customFormat="1">
      <c r="A111" s="2232"/>
      <c r="B111" s="2232"/>
      <c r="C111" s="2232"/>
      <c r="D111" s="2232"/>
      <c r="E111" s="2232"/>
      <c r="F111" s="2232"/>
      <c r="G111" s="2232"/>
      <c r="H111" s="2232"/>
      <c r="I111" s="2232"/>
      <c r="J111" s="2232"/>
      <c r="K111" s="2232"/>
      <c r="L111" s="2232"/>
      <c r="M111" s="2232"/>
      <c r="N111" s="2232"/>
      <c r="O111" s="2232"/>
      <c r="P111" s="2232"/>
      <c r="Q111" s="2232"/>
      <c r="R111" s="2232"/>
      <c r="S111" s="2232"/>
      <c r="T111" s="2232"/>
      <c r="U111" s="2232"/>
      <c r="V111" s="2232"/>
      <c r="W111" s="2232"/>
      <c r="X111" s="2232"/>
      <c r="Y111" s="2232"/>
      <c r="Z111" s="2232"/>
      <c r="AA111" s="2232"/>
      <c r="AB111" s="2232"/>
      <c r="AC111" s="2232"/>
      <c r="AD111" s="2232"/>
      <c r="AE111" s="2232"/>
      <c r="AF111" s="2232"/>
      <c r="AG111" s="2232"/>
      <c r="AH111" s="2232"/>
      <c r="AI111" s="2232"/>
      <c r="AJ111" s="2232"/>
      <c r="AK111" s="2232"/>
      <c r="AL111" s="2232"/>
      <c r="AM111" s="2232"/>
      <c r="AN111" s="2232"/>
    </row>
    <row r="112" spans="1:40" s="2875" customFormat="1">
      <c r="A112" s="2428"/>
      <c r="B112" s="2428"/>
      <c r="C112" s="2428"/>
      <c r="D112" s="2428"/>
      <c r="E112" s="2428"/>
      <c r="F112" s="2428"/>
      <c r="G112" s="2428"/>
      <c r="H112" s="2428"/>
      <c r="I112" s="2428"/>
      <c r="J112" s="2428"/>
      <c r="K112" s="2232"/>
      <c r="L112" s="2232"/>
      <c r="M112" s="2428"/>
      <c r="N112" s="2428"/>
      <c r="O112" s="2428"/>
      <c r="P112" s="2428"/>
      <c r="Q112" s="2428"/>
      <c r="R112" s="2428"/>
      <c r="S112" s="2428"/>
      <c r="T112" s="2428"/>
      <c r="U112" s="2428"/>
      <c r="V112" s="2428"/>
      <c r="W112" s="2428"/>
      <c r="X112" s="2428"/>
      <c r="Y112" s="2428"/>
      <c r="Z112" s="2428"/>
      <c r="AA112" s="2428"/>
      <c r="AB112" s="2428"/>
      <c r="AC112" s="2428"/>
      <c r="AD112" s="2428"/>
      <c r="AE112" s="2428"/>
      <c r="AF112" s="2428"/>
      <c r="AG112" s="2428"/>
      <c r="AH112" s="2428"/>
      <c r="AI112" s="2428"/>
      <c r="AJ112" s="2428"/>
      <c r="AK112" s="2428"/>
      <c r="AL112" s="2428"/>
      <c r="AM112" s="2428"/>
      <c r="AN112" s="2428"/>
    </row>
    <row r="113" spans="1:40" s="2875" customFormat="1">
      <c r="A113" s="2268"/>
      <c r="B113" s="2268"/>
      <c r="C113" s="2268"/>
      <c r="D113" s="2268"/>
      <c r="E113" s="2268"/>
      <c r="F113" s="2268"/>
      <c r="G113" s="2268"/>
      <c r="H113" s="2268"/>
      <c r="I113" s="2268"/>
      <c r="J113" s="2268"/>
      <c r="K113" s="2232"/>
      <c r="L113" s="2232"/>
      <c r="M113" s="2268"/>
      <c r="N113" s="2268"/>
      <c r="O113" s="2268"/>
      <c r="P113" s="2268"/>
      <c r="Q113" s="2268"/>
      <c r="R113" s="2268"/>
      <c r="S113" s="2268"/>
      <c r="T113" s="2268"/>
      <c r="U113" s="2268"/>
      <c r="V113" s="2268"/>
      <c r="W113" s="2268"/>
      <c r="X113" s="2268"/>
      <c r="Y113" s="2268"/>
      <c r="Z113" s="2268"/>
      <c r="AA113" s="2268"/>
      <c r="AB113" s="2268"/>
      <c r="AC113" s="2268"/>
      <c r="AD113" s="2268"/>
      <c r="AE113" s="2268"/>
      <c r="AF113" s="2268"/>
      <c r="AG113" s="2268"/>
      <c r="AH113" s="2268"/>
      <c r="AI113" s="2268"/>
      <c r="AJ113" s="2268"/>
      <c r="AK113" s="2268"/>
      <c r="AL113" s="2268"/>
      <c r="AM113" s="2268"/>
      <c r="AN113" s="2268"/>
    </row>
    <row r="114" spans="1:40" s="2875" customFormat="1">
      <c r="A114" s="2268"/>
      <c r="B114" s="2268"/>
      <c r="C114" s="2268"/>
      <c r="D114" s="2268"/>
      <c r="E114" s="2268"/>
      <c r="F114" s="2268"/>
      <c r="G114" s="2268"/>
      <c r="H114" s="2268"/>
      <c r="I114" s="2268"/>
      <c r="J114" s="2268"/>
      <c r="K114" s="2232"/>
      <c r="L114" s="2232"/>
      <c r="M114" s="2268"/>
      <c r="N114" s="2268"/>
      <c r="O114" s="2268"/>
      <c r="P114" s="2268"/>
      <c r="Q114" s="2268"/>
      <c r="R114" s="2268"/>
      <c r="S114" s="2268"/>
      <c r="T114" s="2268"/>
      <c r="U114" s="2268"/>
      <c r="V114" s="2268"/>
      <c r="W114" s="2268"/>
      <c r="X114" s="2268"/>
      <c r="Y114" s="2268"/>
      <c r="Z114" s="2268"/>
      <c r="AA114" s="2268"/>
      <c r="AB114" s="2268"/>
      <c r="AC114" s="2268"/>
      <c r="AD114" s="2268"/>
      <c r="AE114" s="2268"/>
      <c r="AF114" s="2268"/>
      <c r="AG114" s="2268"/>
      <c r="AH114" s="2268"/>
      <c r="AI114" s="2268"/>
      <c r="AJ114" s="2268"/>
      <c r="AK114" s="2268"/>
      <c r="AL114" s="2268"/>
      <c r="AM114" s="2268"/>
      <c r="AN114" s="2268"/>
    </row>
    <row r="115" spans="1:40" s="2875" customFormat="1">
      <c r="A115" s="2232"/>
      <c r="B115" s="2232"/>
      <c r="C115" s="2232"/>
      <c r="D115" s="2232"/>
      <c r="E115" s="2232"/>
      <c r="F115" s="2232"/>
      <c r="G115" s="2232"/>
      <c r="H115" s="2232"/>
      <c r="I115" s="2232"/>
      <c r="J115" s="2232"/>
      <c r="K115" s="2232"/>
      <c r="L115" s="2232"/>
      <c r="M115" s="2232"/>
      <c r="N115" s="2232"/>
      <c r="O115" s="2232"/>
      <c r="P115" s="2232"/>
      <c r="Q115" s="2232"/>
      <c r="R115" s="2232"/>
      <c r="S115" s="2232"/>
      <c r="T115" s="2232"/>
      <c r="U115" s="2232"/>
      <c r="V115" s="2232"/>
      <c r="W115" s="2232"/>
      <c r="X115" s="2232"/>
      <c r="Y115" s="2232"/>
      <c r="Z115" s="2232"/>
      <c r="AA115" s="2232"/>
      <c r="AB115" s="2232"/>
      <c r="AC115" s="2232"/>
      <c r="AD115" s="2232"/>
      <c r="AE115" s="2232"/>
      <c r="AF115" s="2232"/>
      <c r="AG115" s="2232"/>
      <c r="AH115" s="2232"/>
      <c r="AI115" s="2232"/>
      <c r="AJ115" s="2232"/>
      <c r="AK115" s="2232"/>
      <c r="AL115" s="2232"/>
      <c r="AM115" s="2232"/>
      <c r="AN115" s="2232"/>
    </row>
    <row r="116" spans="1:40" s="2875" customFormat="1">
      <c r="A116" s="2232"/>
      <c r="B116" s="2232"/>
      <c r="C116" s="2232"/>
      <c r="D116" s="2232"/>
      <c r="E116" s="2232"/>
      <c r="F116" s="2232"/>
      <c r="G116" s="2232"/>
      <c r="H116" s="2232"/>
      <c r="I116" s="2232"/>
      <c r="J116" s="2232"/>
      <c r="K116" s="2232"/>
      <c r="L116" s="2232"/>
      <c r="M116" s="2232"/>
      <c r="N116" s="2232"/>
      <c r="O116" s="2232"/>
      <c r="P116" s="2232"/>
      <c r="Q116" s="2232"/>
      <c r="R116" s="2232"/>
      <c r="S116" s="2232"/>
      <c r="T116" s="2232"/>
      <c r="U116" s="2232"/>
      <c r="V116" s="2232"/>
      <c r="W116" s="2232"/>
      <c r="X116" s="2232"/>
      <c r="Y116" s="2232"/>
      <c r="Z116" s="2232"/>
      <c r="AA116" s="2232"/>
      <c r="AB116" s="2232"/>
      <c r="AC116" s="2232"/>
      <c r="AD116" s="2232"/>
      <c r="AE116" s="2232"/>
      <c r="AF116" s="2232"/>
      <c r="AG116" s="2232"/>
      <c r="AH116" s="2232"/>
      <c r="AI116" s="2232"/>
      <c r="AJ116" s="2232"/>
      <c r="AK116" s="2232"/>
      <c r="AL116" s="2232"/>
      <c r="AM116" s="2232"/>
      <c r="AN116" s="2232"/>
    </row>
    <row r="117" spans="1:40" s="2875" customFormat="1">
      <c r="A117" s="2232"/>
      <c r="B117" s="2232"/>
      <c r="C117" s="2232"/>
      <c r="D117" s="2232"/>
      <c r="E117" s="2232"/>
      <c r="F117" s="2232"/>
      <c r="G117" s="2232"/>
      <c r="H117" s="2232"/>
      <c r="I117" s="2232"/>
      <c r="J117" s="2232"/>
      <c r="K117" s="2232"/>
      <c r="L117" s="2232"/>
      <c r="M117" s="2232"/>
      <c r="N117" s="2232"/>
      <c r="O117" s="2232"/>
      <c r="P117" s="2232"/>
      <c r="Q117" s="2232"/>
      <c r="R117" s="2232"/>
      <c r="S117" s="2232"/>
      <c r="T117" s="2232"/>
      <c r="U117" s="2232"/>
      <c r="V117" s="2232"/>
      <c r="W117" s="2232"/>
      <c r="X117" s="2232"/>
      <c r="Y117" s="2232"/>
      <c r="Z117" s="2232"/>
      <c r="AA117" s="2232"/>
      <c r="AB117" s="2232"/>
      <c r="AC117" s="2232"/>
      <c r="AD117" s="2232"/>
      <c r="AE117" s="2232"/>
      <c r="AF117" s="2232"/>
      <c r="AG117" s="2232"/>
      <c r="AH117" s="2232"/>
      <c r="AI117" s="2232"/>
      <c r="AJ117" s="2232"/>
      <c r="AK117" s="2232"/>
      <c r="AL117" s="2232"/>
      <c r="AM117" s="2232"/>
      <c r="AN117" s="2232"/>
    </row>
    <row r="118" spans="1:40" s="2875" customFormat="1">
      <c r="A118" s="2375"/>
      <c r="B118" s="2375"/>
      <c r="C118" s="2375"/>
      <c r="D118" s="2375"/>
      <c r="E118" s="2375"/>
      <c r="F118" s="2375"/>
      <c r="G118" s="2375"/>
      <c r="H118" s="2375"/>
      <c r="I118" s="2375"/>
      <c r="J118" s="2375"/>
      <c r="K118" s="2232"/>
      <c r="L118" s="2232"/>
      <c r="M118" s="2375"/>
      <c r="N118" s="2375"/>
      <c r="O118" s="2375"/>
      <c r="P118" s="2375"/>
      <c r="Q118" s="2375"/>
      <c r="R118" s="2375"/>
      <c r="S118" s="2375"/>
      <c r="T118" s="2375"/>
      <c r="U118" s="2375"/>
      <c r="V118" s="2375"/>
      <c r="W118" s="2375"/>
      <c r="X118" s="2375"/>
      <c r="Y118" s="2375"/>
      <c r="Z118" s="2375"/>
      <c r="AA118" s="2375"/>
      <c r="AB118" s="2375"/>
      <c r="AC118" s="2375"/>
      <c r="AD118" s="2375"/>
      <c r="AE118" s="2375"/>
      <c r="AF118" s="2375"/>
      <c r="AG118" s="2375"/>
      <c r="AH118" s="2375"/>
      <c r="AI118" s="2375"/>
      <c r="AJ118" s="2375"/>
      <c r="AK118" s="2375"/>
      <c r="AL118" s="2375"/>
      <c r="AM118" s="2375"/>
      <c r="AN118" s="2375"/>
    </row>
    <row r="119" spans="1:40" s="2875" customFormat="1">
      <c r="A119" s="2881"/>
      <c r="B119" s="2881"/>
      <c r="C119" s="2881"/>
      <c r="D119" s="2881"/>
      <c r="E119" s="2881"/>
      <c r="F119" s="2881"/>
      <c r="G119" s="2881"/>
      <c r="H119" s="2881"/>
      <c r="I119" s="2881"/>
      <c r="J119" s="2881"/>
      <c r="K119" s="2232"/>
      <c r="L119" s="2232"/>
      <c r="M119" s="2881"/>
      <c r="N119" s="2881"/>
      <c r="O119" s="2881"/>
      <c r="P119" s="2881"/>
      <c r="Q119" s="2881"/>
      <c r="R119" s="2881"/>
      <c r="S119" s="2881"/>
      <c r="T119" s="2881"/>
      <c r="U119" s="2881"/>
      <c r="V119" s="2881"/>
      <c r="W119" s="2881"/>
      <c r="X119" s="2881"/>
      <c r="Y119" s="2881"/>
      <c r="Z119" s="2881"/>
      <c r="AA119" s="2881"/>
      <c r="AB119" s="2881"/>
      <c r="AC119" s="2881"/>
      <c r="AD119" s="2881"/>
      <c r="AE119" s="2881"/>
      <c r="AF119" s="2881"/>
      <c r="AG119" s="2881"/>
      <c r="AH119" s="2881"/>
      <c r="AI119" s="2881"/>
      <c r="AJ119" s="2881"/>
      <c r="AK119" s="2881"/>
      <c r="AL119" s="2881"/>
      <c r="AM119" s="2881"/>
      <c r="AN119" s="2881"/>
    </row>
    <row r="120" spans="1:40" s="2875" customFormat="1">
      <c r="A120" s="2232"/>
      <c r="B120" s="2232"/>
      <c r="C120" s="2232"/>
      <c r="D120" s="2232"/>
      <c r="E120" s="2232"/>
      <c r="F120" s="2232"/>
      <c r="G120" s="2232"/>
      <c r="H120" s="2232"/>
      <c r="I120" s="2232"/>
      <c r="J120" s="2232"/>
      <c r="K120" s="2232"/>
      <c r="L120" s="2232"/>
      <c r="M120" s="2232"/>
      <c r="N120" s="2232"/>
      <c r="O120" s="2232"/>
      <c r="P120" s="2232"/>
      <c r="Q120" s="2232"/>
      <c r="R120" s="2232"/>
      <c r="S120" s="2232"/>
      <c r="T120" s="2232"/>
      <c r="U120" s="2232"/>
      <c r="V120" s="2232"/>
      <c r="W120" s="2232"/>
      <c r="X120" s="2232"/>
      <c r="Y120" s="2232"/>
      <c r="Z120" s="2232"/>
      <c r="AA120" s="2232"/>
      <c r="AB120" s="2232"/>
      <c r="AC120" s="2232"/>
      <c r="AD120" s="2232"/>
      <c r="AE120" s="2232"/>
      <c r="AF120" s="2232"/>
      <c r="AG120" s="2232"/>
      <c r="AH120" s="2232"/>
      <c r="AI120" s="2232"/>
      <c r="AJ120" s="2232"/>
      <c r="AK120" s="2232"/>
      <c r="AL120" s="2232"/>
      <c r="AM120" s="2232"/>
      <c r="AN120" s="2232"/>
    </row>
    <row r="121" spans="1:40" s="2875" customFormat="1">
      <c r="A121" s="2232"/>
      <c r="B121" s="2232"/>
      <c r="C121" s="2232"/>
      <c r="D121" s="2232"/>
      <c r="E121" s="2232"/>
      <c r="F121" s="2232"/>
      <c r="G121" s="2232"/>
      <c r="H121" s="2232"/>
      <c r="I121" s="2232"/>
      <c r="J121" s="2232"/>
      <c r="K121" s="2232"/>
      <c r="L121" s="2232"/>
      <c r="M121" s="2232"/>
      <c r="N121" s="2232"/>
      <c r="O121" s="2232"/>
      <c r="P121" s="2232"/>
      <c r="Q121" s="2232"/>
      <c r="R121" s="2232"/>
      <c r="S121" s="2232"/>
      <c r="T121" s="2232"/>
      <c r="U121" s="2232"/>
      <c r="V121" s="2232"/>
      <c r="W121" s="2232"/>
      <c r="X121" s="2232"/>
      <c r="Y121" s="2232"/>
      <c r="Z121" s="2232"/>
      <c r="AA121" s="2232"/>
      <c r="AB121" s="2232"/>
      <c r="AC121" s="2232"/>
      <c r="AD121" s="2232"/>
      <c r="AE121" s="2232"/>
      <c r="AF121" s="2232"/>
      <c r="AG121" s="2232"/>
      <c r="AH121" s="2232"/>
      <c r="AI121" s="2232"/>
      <c r="AJ121" s="2232"/>
      <c r="AK121" s="2232"/>
      <c r="AL121" s="2232"/>
      <c r="AM121" s="2232"/>
      <c r="AN121" s="2232"/>
    </row>
    <row r="122" spans="1:40" s="2875" customFormat="1">
      <c r="A122" s="2232"/>
      <c r="B122" s="2232"/>
      <c r="C122" s="2232"/>
      <c r="D122" s="2232"/>
      <c r="E122" s="2232"/>
      <c r="F122" s="2232"/>
      <c r="G122" s="2232"/>
      <c r="H122" s="2232"/>
      <c r="I122" s="2232"/>
      <c r="J122" s="2232"/>
      <c r="K122" s="2232"/>
      <c r="L122" s="2232"/>
      <c r="M122" s="2232"/>
      <c r="N122" s="2232"/>
      <c r="O122" s="2232"/>
      <c r="P122" s="2232"/>
      <c r="Q122" s="2232"/>
      <c r="R122" s="2232"/>
      <c r="S122" s="2232"/>
      <c r="T122" s="2232"/>
      <c r="U122" s="2232"/>
      <c r="V122" s="2232"/>
      <c r="W122" s="2232"/>
      <c r="X122" s="2232"/>
      <c r="Y122" s="2232"/>
      <c r="Z122" s="2232"/>
      <c r="AA122" s="2232"/>
      <c r="AB122" s="2232"/>
      <c r="AC122" s="2232"/>
      <c r="AD122" s="2232"/>
      <c r="AE122" s="2232"/>
      <c r="AF122" s="2232"/>
      <c r="AG122" s="2232"/>
      <c r="AH122" s="2232"/>
      <c r="AI122" s="2232"/>
      <c r="AJ122" s="2232"/>
      <c r="AK122" s="2232"/>
      <c r="AL122" s="2232"/>
      <c r="AM122" s="2232"/>
      <c r="AN122" s="2232"/>
    </row>
    <row r="123" spans="1:40" s="2875" customFormat="1">
      <c r="A123" s="2232"/>
      <c r="B123" s="2232"/>
      <c r="C123" s="2232"/>
      <c r="D123" s="2232"/>
      <c r="E123" s="2232"/>
      <c r="F123" s="2232"/>
      <c r="G123" s="2232"/>
      <c r="H123" s="2232"/>
      <c r="I123" s="2232"/>
      <c r="J123" s="2232"/>
      <c r="K123" s="2232"/>
      <c r="L123" s="2232"/>
      <c r="M123" s="2232"/>
      <c r="N123" s="2232"/>
      <c r="O123" s="2232"/>
      <c r="P123" s="2232"/>
      <c r="Q123" s="2232"/>
      <c r="R123" s="2232"/>
      <c r="S123" s="2232"/>
      <c r="T123" s="2232"/>
      <c r="U123" s="2232"/>
      <c r="V123" s="2232"/>
      <c r="W123" s="2232"/>
      <c r="X123" s="2232"/>
      <c r="Y123" s="2232"/>
      <c r="Z123" s="2232"/>
      <c r="AA123" s="2232"/>
      <c r="AB123" s="2232"/>
      <c r="AC123" s="2232"/>
      <c r="AD123" s="2232"/>
      <c r="AE123" s="2232"/>
      <c r="AF123" s="2232"/>
      <c r="AG123" s="2232"/>
      <c r="AH123" s="2232"/>
      <c r="AI123" s="2232"/>
      <c r="AJ123" s="2232"/>
      <c r="AK123" s="2232"/>
      <c r="AL123" s="2232"/>
      <c r="AM123" s="2232"/>
      <c r="AN123" s="2232"/>
    </row>
    <row r="124" spans="1:40" s="2875" customFormat="1">
      <c r="A124" s="2232"/>
      <c r="B124" s="2232"/>
      <c r="C124" s="2232"/>
      <c r="D124" s="2232"/>
      <c r="E124" s="2232"/>
      <c r="F124" s="2232"/>
      <c r="G124" s="2232"/>
      <c r="H124" s="2232"/>
      <c r="I124" s="2232"/>
      <c r="J124" s="2232"/>
      <c r="K124" s="2232"/>
      <c r="L124" s="2232"/>
      <c r="M124" s="2232"/>
      <c r="N124" s="2232"/>
      <c r="O124" s="2232"/>
      <c r="P124" s="2232"/>
      <c r="Q124" s="2232"/>
      <c r="R124" s="2232"/>
      <c r="S124" s="2232"/>
      <c r="T124" s="2232"/>
      <c r="U124" s="2232"/>
      <c r="V124" s="2232"/>
      <c r="W124" s="2232"/>
      <c r="X124" s="2232"/>
      <c r="Y124" s="2232"/>
      <c r="Z124" s="2232"/>
      <c r="AA124" s="2232"/>
      <c r="AB124" s="2232"/>
      <c r="AC124" s="2232"/>
      <c r="AD124" s="2232"/>
      <c r="AE124" s="2232"/>
      <c r="AF124" s="2232"/>
      <c r="AG124" s="2232"/>
      <c r="AH124" s="2232"/>
      <c r="AI124" s="2232"/>
      <c r="AJ124" s="2232"/>
      <c r="AK124" s="2232"/>
      <c r="AL124" s="2232"/>
      <c r="AM124" s="2232"/>
      <c r="AN124" s="2232"/>
    </row>
    <row r="125" spans="1:40" s="2875" customFormat="1">
      <c r="A125" s="2232"/>
      <c r="B125" s="2232"/>
      <c r="C125" s="2232"/>
      <c r="D125" s="2232"/>
      <c r="E125" s="2232"/>
      <c r="F125" s="2232"/>
      <c r="G125" s="2232"/>
      <c r="H125" s="2232"/>
      <c r="I125" s="2232"/>
      <c r="J125" s="2232"/>
      <c r="K125" s="2232"/>
      <c r="L125" s="2232"/>
      <c r="M125" s="2232"/>
      <c r="N125" s="2232"/>
      <c r="O125" s="2232"/>
      <c r="P125" s="2232"/>
      <c r="Q125" s="2232"/>
      <c r="R125" s="2232"/>
      <c r="S125" s="2232"/>
      <c r="T125" s="2232"/>
      <c r="U125" s="2232"/>
      <c r="V125" s="2232"/>
      <c r="W125" s="2232"/>
      <c r="X125" s="2232"/>
      <c r="Y125" s="2232"/>
      <c r="Z125" s="2232"/>
      <c r="AA125" s="2232"/>
      <c r="AB125" s="2232"/>
      <c r="AC125" s="2232"/>
      <c r="AD125" s="2232"/>
      <c r="AE125" s="2232"/>
      <c r="AF125" s="2232"/>
      <c r="AG125" s="2232"/>
      <c r="AH125" s="2232"/>
      <c r="AI125" s="2232"/>
      <c r="AJ125" s="2232"/>
      <c r="AK125" s="2232"/>
      <c r="AL125" s="2232"/>
      <c r="AM125" s="2232"/>
      <c r="AN125" s="2232"/>
    </row>
    <row r="126" spans="1:40" s="2875" customFormat="1">
      <c r="A126" s="2232"/>
      <c r="B126" s="2232"/>
      <c r="C126" s="2232"/>
      <c r="D126" s="2232"/>
      <c r="E126" s="2232"/>
      <c r="F126" s="2232"/>
      <c r="G126" s="2232"/>
      <c r="H126" s="2232"/>
      <c r="I126" s="2232"/>
      <c r="J126" s="2232"/>
      <c r="K126" s="2232"/>
      <c r="L126" s="2232"/>
      <c r="M126" s="2232"/>
      <c r="N126" s="2232"/>
      <c r="O126" s="2232"/>
      <c r="P126" s="2232"/>
      <c r="Q126" s="2232"/>
      <c r="R126" s="2232"/>
      <c r="S126" s="2232"/>
      <c r="T126" s="2232"/>
      <c r="U126" s="2232"/>
      <c r="V126" s="2232"/>
      <c r="W126" s="2232"/>
      <c r="X126" s="2232"/>
      <c r="Y126" s="2232"/>
      <c r="Z126" s="2232"/>
      <c r="AA126" s="2232"/>
      <c r="AB126" s="2232"/>
      <c r="AC126" s="2232"/>
      <c r="AD126" s="2232"/>
      <c r="AE126" s="2232"/>
      <c r="AF126" s="2232"/>
      <c r="AG126" s="2232"/>
      <c r="AH126" s="2232"/>
      <c r="AI126" s="2232"/>
      <c r="AJ126" s="2232"/>
      <c r="AK126" s="2232"/>
      <c r="AL126" s="2232"/>
      <c r="AM126" s="2232"/>
      <c r="AN126" s="2232"/>
    </row>
    <row r="127" spans="1:40" s="2875" customFormat="1">
      <c r="A127" s="2232"/>
      <c r="B127" s="2232"/>
      <c r="C127" s="2232"/>
      <c r="D127" s="2232"/>
      <c r="E127" s="2232"/>
      <c r="F127" s="2232"/>
      <c r="G127" s="2232"/>
      <c r="H127" s="2232"/>
      <c r="I127" s="2232"/>
      <c r="J127" s="2232"/>
      <c r="K127" s="2232"/>
      <c r="L127" s="2232"/>
      <c r="M127" s="2232"/>
      <c r="N127" s="2232"/>
      <c r="O127" s="2232"/>
      <c r="P127" s="2232"/>
      <c r="Q127" s="2232"/>
      <c r="R127" s="2232"/>
      <c r="S127" s="2232"/>
      <c r="T127" s="2232"/>
      <c r="U127" s="2232"/>
      <c r="V127" s="2232"/>
      <c r="W127" s="2232"/>
      <c r="X127" s="2232"/>
      <c r="Y127" s="2232"/>
      <c r="Z127" s="2232"/>
      <c r="AA127" s="2232"/>
      <c r="AB127" s="2232"/>
      <c r="AC127" s="2232"/>
      <c r="AD127" s="2232"/>
      <c r="AE127" s="2232"/>
      <c r="AF127" s="2232"/>
      <c r="AG127" s="2232"/>
      <c r="AH127" s="2232"/>
      <c r="AI127" s="2232"/>
      <c r="AJ127" s="2232"/>
      <c r="AK127" s="2232"/>
      <c r="AL127" s="2232"/>
      <c r="AM127" s="2232"/>
      <c r="AN127" s="2232"/>
    </row>
    <row r="128" spans="1:40" s="2875" customFormat="1">
      <c r="A128" s="2232"/>
      <c r="B128" s="2232"/>
      <c r="C128" s="2232"/>
      <c r="D128" s="2232"/>
      <c r="E128" s="2232"/>
      <c r="F128" s="2232"/>
      <c r="G128" s="2232"/>
      <c r="H128" s="2232"/>
      <c r="I128" s="2232"/>
      <c r="J128" s="2232"/>
      <c r="K128" s="2232"/>
      <c r="L128" s="2232"/>
      <c r="M128" s="2232"/>
      <c r="N128" s="2232"/>
      <c r="O128" s="2232"/>
      <c r="P128" s="2232"/>
      <c r="Q128" s="2232"/>
      <c r="R128" s="2232"/>
      <c r="S128" s="2232"/>
      <c r="T128" s="2232"/>
      <c r="U128" s="2232"/>
      <c r="V128" s="2232"/>
      <c r="W128" s="2232"/>
      <c r="X128" s="2232"/>
      <c r="Y128" s="2232"/>
      <c r="Z128" s="2232"/>
      <c r="AA128" s="2232"/>
      <c r="AB128" s="2232"/>
      <c r="AC128" s="2232"/>
      <c r="AD128" s="2232"/>
      <c r="AE128" s="2232"/>
      <c r="AF128" s="2232"/>
      <c r="AG128" s="2232"/>
      <c r="AH128" s="2232"/>
      <c r="AI128" s="2232"/>
      <c r="AJ128" s="2232"/>
      <c r="AK128" s="2232"/>
      <c r="AL128" s="2232"/>
      <c r="AM128" s="2232"/>
      <c r="AN128" s="2232"/>
    </row>
  </sheetData>
  <phoneticPr fontId="0" type="noConversion"/>
  <conditionalFormatting sqref="A1:E1 Y1:AE1 AG1:AK1 AM1 G1 I1:W1">
    <cfRule type="cellIs" dxfId="11" priority="16" stopIfTrue="1" operator="notEqual">
      <formula>0</formula>
    </cfRule>
  </conditionalFormatting>
  <conditionalFormatting sqref="X1">
    <cfRule type="cellIs" dxfId="10" priority="6" stopIfTrue="1" operator="notEqual">
      <formula>0</formula>
    </cfRule>
  </conditionalFormatting>
  <conditionalFormatting sqref="AF1">
    <cfRule type="cellIs" dxfId="9" priority="5" stopIfTrue="1" operator="notEqual">
      <formula>0</formula>
    </cfRule>
  </conditionalFormatting>
  <conditionalFormatting sqref="AN1">
    <cfRule type="cellIs" dxfId="8" priority="4" stopIfTrue="1" operator="notEqual">
      <formula>0</formula>
    </cfRule>
  </conditionalFormatting>
  <conditionalFormatting sqref="AL1">
    <cfRule type="cellIs" dxfId="7" priority="3" stopIfTrue="1" operator="notEqual">
      <formula>0</formula>
    </cfRule>
  </conditionalFormatting>
  <conditionalFormatting sqref="F1">
    <cfRule type="cellIs" dxfId="6" priority="2" stopIfTrue="1" operator="notEqual">
      <formula>0</formula>
    </cfRule>
  </conditionalFormatting>
  <conditionalFormatting sqref="H1">
    <cfRule type="cellIs" dxfId="5" priority="1" stopIfTrue="1" operator="notEqual">
      <formula>0</formula>
    </cfRule>
  </conditionalFormatting>
  <printOptions horizontalCentered="1"/>
  <pageMargins left="0.2" right="0.2" top="0.25" bottom="0.25" header="0" footer="0"/>
  <pageSetup scale="63" fitToWidth="0" orientation="landscape" r:id="rId1"/>
  <colBreaks count="4" manualBreakCount="4">
    <brk id="12" min="1" max="59" man="1"/>
    <brk id="18" min="1" max="59" man="1"/>
    <brk id="24" min="1" max="59" man="1"/>
    <brk id="32"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S76"/>
  <sheetViews>
    <sheetView topLeftCell="A36" workbookViewId="0">
      <selection activeCell="F44" sqref="F44"/>
    </sheetView>
  </sheetViews>
  <sheetFormatPr defaultRowHeight="12.75"/>
  <cols>
    <col min="1" max="1" width="63.1640625" style="428" customWidth="1"/>
    <col min="2" max="256" width="9.33203125" style="428"/>
    <col min="257" max="257" width="63.1640625" style="428" customWidth="1"/>
    <col min="258" max="512" width="9.33203125" style="428"/>
    <col min="513" max="513" width="63.1640625" style="428" customWidth="1"/>
    <col min="514" max="768" width="9.33203125" style="428"/>
    <col min="769" max="769" width="63.1640625" style="428" customWidth="1"/>
    <col min="770" max="1024" width="9.33203125" style="428"/>
    <col min="1025" max="1025" width="63.1640625" style="428" customWidth="1"/>
    <col min="1026" max="1280" width="9.33203125" style="428"/>
    <col min="1281" max="1281" width="63.1640625" style="428" customWidth="1"/>
    <col min="1282" max="1536" width="9.33203125" style="428"/>
    <col min="1537" max="1537" width="63.1640625" style="428" customWidth="1"/>
    <col min="1538" max="1792" width="9.33203125" style="428"/>
    <col min="1793" max="1793" width="63.1640625" style="428" customWidth="1"/>
    <col min="1794" max="2048" width="9.33203125" style="428"/>
    <col min="2049" max="2049" width="63.1640625" style="428" customWidth="1"/>
    <col min="2050" max="2304" width="9.33203125" style="428"/>
    <col min="2305" max="2305" width="63.1640625" style="428" customWidth="1"/>
    <col min="2306" max="2560" width="9.33203125" style="428"/>
    <col min="2561" max="2561" width="63.1640625" style="428" customWidth="1"/>
    <col min="2562" max="2816" width="9.33203125" style="428"/>
    <col min="2817" max="2817" width="63.1640625" style="428" customWidth="1"/>
    <col min="2818" max="3072" width="9.33203125" style="428"/>
    <col min="3073" max="3073" width="63.1640625" style="428" customWidth="1"/>
    <col min="3074" max="3328" width="9.33203125" style="428"/>
    <col min="3329" max="3329" width="63.1640625" style="428" customWidth="1"/>
    <col min="3330" max="3584" width="9.33203125" style="428"/>
    <col min="3585" max="3585" width="63.1640625" style="428" customWidth="1"/>
    <col min="3586" max="3840" width="9.33203125" style="428"/>
    <col min="3841" max="3841" width="63.1640625" style="428" customWidth="1"/>
    <col min="3842" max="4096" width="9.33203125" style="428"/>
    <col min="4097" max="4097" width="63.1640625" style="428" customWidth="1"/>
    <col min="4098" max="4352" width="9.33203125" style="428"/>
    <col min="4353" max="4353" width="63.1640625" style="428" customWidth="1"/>
    <col min="4354" max="4608" width="9.33203125" style="428"/>
    <col min="4609" max="4609" width="63.1640625" style="428" customWidth="1"/>
    <col min="4610" max="4864" width="9.33203125" style="428"/>
    <col min="4865" max="4865" width="63.1640625" style="428" customWidth="1"/>
    <col min="4866" max="5120" width="9.33203125" style="428"/>
    <col min="5121" max="5121" width="63.1640625" style="428" customWidth="1"/>
    <col min="5122" max="5376" width="9.33203125" style="428"/>
    <col min="5377" max="5377" width="63.1640625" style="428" customWidth="1"/>
    <col min="5378" max="5632" width="9.33203125" style="428"/>
    <col min="5633" max="5633" width="63.1640625" style="428" customWidth="1"/>
    <col min="5634" max="5888" width="9.33203125" style="428"/>
    <col min="5889" max="5889" width="63.1640625" style="428" customWidth="1"/>
    <col min="5890" max="6144" width="9.33203125" style="428"/>
    <col min="6145" max="6145" width="63.1640625" style="428" customWidth="1"/>
    <col min="6146" max="6400" width="9.33203125" style="428"/>
    <col min="6401" max="6401" width="63.1640625" style="428" customWidth="1"/>
    <col min="6402" max="6656" width="9.33203125" style="428"/>
    <col min="6657" max="6657" width="63.1640625" style="428" customWidth="1"/>
    <col min="6658" max="6912" width="9.33203125" style="428"/>
    <col min="6913" max="6913" width="63.1640625" style="428" customWidth="1"/>
    <col min="6914" max="7168" width="9.33203125" style="428"/>
    <col min="7169" max="7169" width="63.1640625" style="428" customWidth="1"/>
    <col min="7170" max="7424" width="9.33203125" style="428"/>
    <col min="7425" max="7425" width="63.1640625" style="428" customWidth="1"/>
    <col min="7426" max="7680" width="9.33203125" style="428"/>
    <col min="7681" max="7681" width="63.1640625" style="428" customWidth="1"/>
    <col min="7682" max="7936" width="9.33203125" style="428"/>
    <col min="7937" max="7937" width="63.1640625" style="428" customWidth="1"/>
    <col min="7938" max="8192" width="9.33203125" style="428"/>
    <col min="8193" max="8193" width="63.1640625" style="428" customWidth="1"/>
    <col min="8194" max="8448" width="9.33203125" style="428"/>
    <col min="8449" max="8449" width="63.1640625" style="428" customWidth="1"/>
    <col min="8450" max="8704" width="9.33203125" style="428"/>
    <col min="8705" max="8705" width="63.1640625" style="428" customWidth="1"/>
    <col min="8706" max="8960" width="9.33203125" style="428"/>
    <col min="8961" max="8961" width="63.1640625" style="428" customWidth="1"/>
    <col min="8962" max="9216" width="9.33203125" style="428"/>
    <col min="9217" max="9217" width="63.1640625" style="428" customWidth="1"/>
    <col min="9218" max="9472" width="9.33203125" style="428"/>
    <col min="9473" max="9473" width="63.1640625" style="428" customWidth="1"/>
    <col min="9474" max="9728" width="9.33203125" style="428"/>
    <col min="9729" max="9729" width="63.1640625" style="428" customWidth="1"/>
    <col min="9730" max="9984" width="9.33203125" style="428"/>
    <col min="9985" max="9985" width="63.1640625" style="428" customWidth="1"/>
    <col min="9986" max="10240" width="9.33203125" style="428"/>
    <col min="10241" max="10241" width="63.1640625" style="428" customWidth="1"/>
    <col min="10242" max="10496" width="9.33203125" style="428"/>
    <col min="10497" max="10497" width="63.1640625" style="428" customWidth="1"/>
    <col min="10498" max="10752" width="9.33203125" style="428"/>
    <col min="10753" max="10753" width="63.1640625" style="428" customWidth="1"/>
    <col min="10754" max="11008" width="9.33203125" style="428"/>
    <col min="11009" max="11009" width="63.1640625" style="428" customWidth="1"/>
    <col min="11010" max="11264" width="9.33203125" style="428"/>
    <col min="11265" max="11265" width="63.1640625" style="428" customWidth="1"/>
    <col min="11266" max="11520" width="9.33203125" style="428"/>
    <col min="11521" max="11521" width="63.1640625" style="428" customWidth="1"/>
    <col min="11522" max="11776" width="9.33203125" style="428"/>
    <col min="11777" max="11777" width="63.1640625" style="428" customWidth="1"/>
    <col min="11778" max="12032" width="9.33203125" style="428"/>
    <col min="12033" max="12033" width="63.1640625" style="428" customWidth="1"/>
    <col min="12034" max="12288" width="9.33203125" style="428"/>
    <col min="12289" max="12289" width="63.1640625" style="428" customWidth="1"/>
    <col min="12290" max="12544" width="9.33203125" style="428"/>
    <col min="12545" max="12545" width="63.1640625" style="428" customWidth="1"/>
    <col min="12546" max="12800" width="9.33203125" style="428"/>
    <col min="12801" max="12801" width="63.1640625" style="428" customWidth="1"/>
    <col min="12802" max="13056" width="9.33203125" style="428"/>
    <col min="13057" max="13057" width="63.1640625" style="428" customWidth="1"/>
    <col min="13058" max="13312" width="9.33203125" style="428"/>
    <col min="13313" max="13313" width="63.1640625" style="428" customWidth="1"/>
    <col min="13314" max="13568" width="9.33203125" style="428"/>
    <col min="13569" max="13569" width="63.1640625" style="428" customWidth="1"/>
    <col min="13570" max="13824" width="9.33203125" style="428"/>
    <col min="13825" max="13825" width="63.1640625" style="428" customWidth="1"/>
    <col min="13826" max="14080" width="9.33203125" style="428"/>
    <col min="14081" max="14081" width="63.1640625" style="428" customWidth="1"/>
    <col min="14082" max="14336" width="9.33203125" style="428"/>
    <col min="14337" max="14337" width="63.1640625" style="428" customWidth="1"/>
    <col min="14338" max="14592" width="9.33203125" style="428"/>
    <col min="14593" max="14593" width="63.1640625" style="428" customWidth="1"/>
    <col min="14594" max="14848" width="9.33203125" style="428"/>
    <col min="14849" max="14849" width="63.1640625" style="428" customWidth="1"/>
    <col min="14850" max="15104" width="9.33203125" style="428"/>
    <col min="15105" max="15105" width="63.1640625" style="428" customWidth="1"/>
    <col min="15106" max="15360" width="9.33203125" style="428"/>
    <col min="15361" max="15361" width="63.1640625" style="428" customWidth="1"/>
    <col min="15362" max="15616" width="9.33203125" style="428"/>
    <col min="15617" max="15617" width="63.1640625" style="428" customWidth="1"/>
    <col min="15618" max="15872" width="9.33203125" style="428"/>
    <col min="15873" max="15873" width="63.1640625" style="428" customWidth="1"/>
    <col min="15874" max="16128" width="9.33203125" style="428"/>
    <col min="16129" max="16129" width="63.1640625" style="428" customWidth="1"/>
    <col min="16130" max="16384" width="9.33203125" style="428"/>
  </cols>
  <sheetData>
    <row r="1" spans="1:71" ht="15">
      <c r="A1" s="494" t="s">
        <v>732</v>
      </c>
    </row>
    <row r="2" spans="1:71" ht="15">
      <c r="A2" s="494" t="s">
        <v>733</v>
      </c>
      <c r="G2" s="428" t="s">
        <v>980</v>
      </c>
    </row>
    <row r="4" spans="1:71" ht="15">
      <c r="A4" s="497" t="s">
        <v>734</v>
      </c>
    </row>
    <row r="6" spans="1:71" ht="15">
      <c r="A6" s="494" t="s">
        <v>735</v>
      </c>
      <c r="B6" s="495">
        <v>2010</v>
      </c>
      <c r="C6" s="428" t="s">
        <v>736</v>
      </c>
    </row>
    <row r="7" spans="1:71" ht="15">
      <c r="A7" s="494" t="s">
        <v>737</v>
      </c>
      <c r="B7" s="496" t="s">
        <v>738</v>
      </c>
      <c r="C7" s="428" t="s">
        <v>739</v>
      </c>
    </row>
    <row r="8" spans="1:71" ht="15">
      <c r="A8" s="494" t="s">
        <v>740</v>
      </c>
      <c r="B8" s="495">
        <v>15</v>
      </c>
      <c r="C8" s="428" t="s">
        <v>741</v>
      </c>
      <c r="BS8" s="428" t="s">
        <v>978</v>
      </c>
    </row>
    <row r="9" spans="1:71" ht="15">
      <c r="A9" s="494" t="s">
        <v>742</v>
      </c>
      <c r="B9" s="428">
        <v>0.12</v>
      </c>
      <c r="C9" s="428" t="s">
        <v>743</v>
      </c>
    </row>
    <row r="10" spans="1:71" ht="15">
      <c r="A10" s="494" t="s">
        <v>744</v>
      </c>
    </row>
    <row r="11" spans="1:71" ht="15">
      <c r="A11" s="494" t="s">
        <v>745</v>
      </c>
    </row>
    <row r="12" spans="1:71" ht="15">
      <c r="A12" s="494" t="s">
        <v>746</v>
      </c>
      <c r="B12" s="428">
        <v>0.11</v>
      </c>
      <c r="C12" s="428" t="s">
        <v>747</v>
      </c>
    </row>
    <row r="13" spans="1:71" ht="15">
      <c r="A13" s="494" t="s">
        <v>748</v>
      </c>
      <c r="B13" s="428">
        <v>0.14000000000000001</v>
      </c>
      <c r="C13" s="428" t="s">
        <v>749</v>
      </c>
    </row>
    <row r="14" spans="1:71" ht="15">
      <c r="A14" s="494" t="s">
        <v>750</v>
      </c>
      <c r="B14" s="428">
        <v>0.14000000000000001</v>
      </c>
      <c r="C14" s="428" t="s">
        <v>751</v>
      </c>
    </row>
    <row r="15" spans="1:71" ht="15">
      <c r="A15" s="494" t="s">
        <v>752</v>
      </c>
    </row>
    <row r="16" spans="1:71" ht="15">
      <c r="A16" s="494" t="s">
        <v>753</v>
      </c>
      <c r="B16" s="428">
        <v>0.12</v>
      </c>
      <c r="C16" s="428" t="s">
        <v>754</v>
      </c>
    </row>
    <row r="17" spans="1:3" ht="15">
      <c r="A17" s="494" t="s">
        <v>755</v>
      </c>
      <c r="B17" s="428">
        <v>0.12</v>
      </c>
      <c r="C17" s="428" t="s">
        <v>756</v>
      </c>
    </row>
    <row r="18" spans="1:3" ht="15">
      <c r="A18" s="494" t="s">
        <v>757</v>
      </c>
      <c r="B18" s="428">
        <v>0.16</v>
      </c>
      <c r="C18" s="428" t="s">
        <v>758</v>
      </c>
    </row>
    <row r="19" spans="1:3" ht="15">
      <c r="A19" s="494" t="s">
        <v>759</v>
      </c>
    </row>
    <row r="20" spans="1:3" ht="15">
      <c r="A20" s="494" t="s">
        <v>760</v>
      </c>
    </row>
    <row r="21" spans="1:3" ht="15">
      <c r="A21" s="494" t="s">
        <v>761</v>
      </c>
      <c r="B21" s="428">
        <v>1.1399999999999999</v>
      </c>
      <c r="C21" s="428" t="s">
        <v>762</v>
      </c>
    </row>
    <row r="22" spans="1:3" ht="15">
      <c r="A22" s="494" t="s">
        <v>763</v>
      </c>
      <c r="B22" s="428">
        <v>2.14</v>
      </c>
      <c r="C22" s="428" t="s">
        <v>764</v>
      </c>
    </row>
    <row r="23" spans="1:3" ht="15">
      <c r="A23" s="494" t="s">
        <v>765</v>
      </c>
    </row>
    <row r="24" spans="1:3" ht="15">
      <c r="A24" s="494" t="s">
        <v>766</v>
      </c>
      <c r="B24" s="428">
        <v>0.16</v>
      </c>
      <c r="C24" s="428" t="s">
        <v>767</v>
      </c>
    </row>
    <row r="25" spans="1:3" ht="15">
      <c r="A25" s="494" t="s">
        <v>768</v>
      </c>
      <c r="B25" s="428">
        <v>0.2</v>
      </c>
      <c r="C25" s="428" t="s">
        <v>769</v>
      </c>
    </row>
    <row r="26" spans="1:3" ht="15">
      <c r="A26" s="494" t="s">
        <v>770</v>
      </c>
      <c r="B26" s="428">
        <v>0.3</v>
      </c>
      <c r="C26" s="428" t="s">
        <v>771</v>
      </c>
    </row>
    <row r="27" spans="1:3" ht="15">
      <c r="A27" s="494" t="s">
        <v>772</v>
      </c>
    </row>
    <row r="28" spans="1:3" ht="15">
      <c r="A28" s="494" t="s">
        <v>773</v>
      </c>
      <c r="B28" s="428">
        <v>0.3</v>
      </c>
      <c r="C28" s="428" t="s">
        <v>774</v>
      </c>
    </row>
    <row r="29" spans="1:3" ht="15">
      <c r="A29" s="494" t="s">
        <v>775</v>
      </c>
      <c r="B29" s="428">
        <v>0.45</v>
      </c>
      <c r="C29" s="428" t="s">
        <v>776</v>
      </c>
    </row>
    <row r="30" spans="1:3" ht="15">
      <c r="A30" s="494" t="s">
        <v>777</v>
      </c>
      <c r="B30" s="428">
        <v>0.65</v>
      </c>
      <c r="C30" s="428" t="s">
        <v>778</v>
      </c>
    </row>
    <row r="31" spans="1:3" ht="15">
      <c r="A31" s="494" t="s">
        <v>779</v>
      </c>
      <c r="B31" s="428">
        <v>3.25</v>
      </c>
      <c r="C31" s="428" t="s">
        <v>780</v>
      </c>
    </row>
    <row r="32" spans="1:3" ht="15">
      <c r="A32" s="494" t="s">
        <v>781</v>
      </c>
      <c r="B32" s="428">
        <v>0.5</v>
      </c>
      <c r="C32" s="428" t="s">
        <v>782</v>
      </c>
    </row>
    <row r="33" spans="1:3" ht="15">
      <c r="A33" s="494" t="s">
        <v>783</v>
      </c>
    </row>
    <row r="34" spans="1:3" ht="15">
      <c r="A34" s="494" t="s">
        <v>784</v>
      </c>
    </row>
    <row r="35" spans="1:3" ht="15">
      <c r="A35" s="494" t="s">
        <v>785</v>
      </c>
      <c r="B35" s="428">
        <v>0.03</v>
      </c>
      <c r="C35" s="428" t="s">
        <v>786</v>
      </c>
    </row>
    <row r="36" spans="1:3" ht="15">
      <c r="A36" s="494" t="s">
        <v>787</v>
      </c>
      <c r="B36" s="428">
        <v>0.06</v>
      </c>
      <c r="C36" s="428" t="s">
        <v>788</v>
      </c>
    </row>
    <row r="37" spans="1:3" ht="15">
      <c r="A37" s="494" t="s">
        <v>789</v>
      </c>
      <c r="B37" s="428">
        <v>0.15</v>
      </c>
      <c r="C37" s="428" t="s">
        <v>790</v>
      </c>
    </row>
    <row r="38" spans="1:3" ht="15">
      <c r="A38" s="494" t="s">
        <v>791</v>
      </c>
      <c r="B38" s="428">
        <v>0.32</v>
      </c>
      <c r="C38" s="428" t="s">
        <v>792</v>
      </c>
    </row>
    <row r="39" spans="1:3" ht="15">
      <c r="A39" s="497" t="s">
        <v>793</v>
      </c>
    </row>
    <row r="40" spans="1:3" ht="15">
      <c r="A40" s="494" t="s">
        <v>794</v>
      </c>
    </row>
    <row r="41" spans="1:3" ht="15">
      <c r="A41" s="494" t="s">
        <v>795</v>
      </c>
      <c r="B41" s="428">
        <v>0.03</v>
      </c>
      <c r="C41" s="428" t="s">
        <v>786</v>
      </c>
    </row>
    <row r="42" spans="1:3" ht="15">
      <c r="A42" s="494" t="s">
        <v>796</v>
      </c>
      <c r="B42" s="428">
        <v>0.06</v>
      </c>
      <c r="C42" s="428" t="s">
        <v>788</v>
      </c>
    </row>
    <row r="43" spans="1:3" ht="15">
      <c r="A43" s="494" t="s">
        <v>797</v>
      </c>
      <c r="B43" s="428">
        <v>0.15</v>
      </c>
      <c r="C43" s="428" t="s">
        <v>790</v>
      </c>
    </row>
    <row r="44" spans="1:3" ht="15">
      <c r="A44" s="497" t="s">
        <v>798</v>
      </c>
      <c r="B44" s="495">
        <v>0.33</v>
      </c>
      <c r="C44" s="428" t="s">
        <v>799</v>
      </c>
    </row>
    <row r="45" spans="1:3" ht="15">
      <c r="A45" s="494" t="s">
        <v>800</v>
      </c>
      <c r="B45" s="428">
        <v>0.89</v>
      </c>
      <c r="C45" s="428" t="s">
        <v>801</v>
      </c>
    </row>
    <row r="46" spans="1:3" ht="15">
      <c r="A46" s="494" t="s">
        <v>802</v>
      </c>
      <c r="B46" s="428">
        <v>1.44</v>
      </c>
      <c r="C46" s="428" t="s">
        <v>803</v>
      </c>
    </row>
    <row r="47" spans="1:3" ht="15">
      <c r="A47" s="494" t="s">
        <v>804</v>
      </c>
      <c r="B47" s="428">
        <v>2.44</v>
      </c>
      <c r="C47" s="428" t="s">
        <v>805</v>
      </c>
    </row>
    <row r="48" spans="1:3" ht="15">
      <c r="A48" s="494" t="s">
        <v>806</v>
      </c>
      <c r="B48" s="428">
        <v>3.17</v>
      </c>
      <c r="C48" s="428" t="s">
        <v>807</v>
      </c>
    </row>
    <row r="49" spans="1:3" ht="15">
      <c r="A49" s="494" t="s">
        <v>808</v>
      </c>
      <c r="B49" s="428">
        <v>3.7</v>
      </c>
      <c r="C49" s="428" t="s">
        <v>809</v>
      </c>
    </row>
    <row r="50" spans="1:3" ht="15">
      <c r="A50" s="494" t="s">
        <v>810</v>
      </c>
      <c r="B50" s="428">
        <v>4.4800000000000004</v>
      </c>
      <c r="C50" s="428" t="s">
        <v>811</v>
      </c>
    </row>
    <row r="51" spans="1:3" ht="15">
      <c r="A51" s="494" t="s">
        <v>812</v>
      </c>
      <c r="B51" s="428">
        <v>4.58</v>
      </c>
      <c r="C51" s="428" t="s">
        <v>813</v>
      </c>
    </row>
    <row r="52" spans="1:3" ht="15">
      <c r="A52" s="494" t="s">
        <v>814</v>
      </c>
    </row>
    <row r="53" spans="1:3" ht="15">
      <c r="A53" s="494" t="s">
        <v>815</v>
      </c>
      <c r="B53" s="428">
        <v>0.34</v>
      </c>
      <c r="C53" s="428" t="s">
        <v>816</v>
      </c>
    </row>
    <row r="54" spans="1:3" ht="15">
      <c r="A54" s="494" t="s">
        <v>817</v>
      </c>
      <c r="B54" s="428">
        <v>0.78</v>
      </c>
      <c r="C54" s="428" t="s">
        <v>818</v>
      </c>
    </row>
    <row r="55" spans="1:3" ht="15">
      <c r="A55" s="494" t="s">
        <v>819</v>
      </c>
      <c r="B55" s="428">
        <v>1.34</v>
      </c>
      <c r="C55" s="428" t="s">
        <v>820</v>
      </c>
    </row>
    <row r="56" spans="1:3" ht="15">
      <c r="A56" s="494" t="s">
        <v>821</v>
      </c>
      <c r="B56" s="428">
        <v>2</v>
      </c>
      <c r="C56" s="428" t="s">
        <v>822</v>
      </c>
    </row>
    <row r="57" spans="1:3" ht="15">
      <c r="A57" s="494" t="s">
        <v>823</v>
      </c>
      <c r="B57" s="428">
        <v>1.98</v>
      </c>
      <c r="C57" s="428" t="s">
        <v>824</v>
      </c>
    </row>
    <row r="58" spans="1:3" ht="15">
      <c r="A58" s="494" t="s">
        <v>825</v>
      </c>
    </row>
    <row r="59" spans="1:3" ht="15">
      <c r="A59" s="494" t="s">
        <v>826</v>
      </c>
      <c r="B59" s="428">
        <v>0.5</v>
      </c>
      <c r="C59" s="428" t="s">
        <v>827</v>
      </c>
    </row>
    <row r="60" spans="1:3" ht="15">
      <c r="A60" s="494" t="s">
        <v>828</v>
      </c>
      <c r="B60" s="428">
        <v>1.1399999999999999</v>
      </c>
      <c r="C60" s="428" t="s">
        <v>829</v>
      </c>
    </row>
    <row r="61" spans="1:3" ht="15">
      <c r="A61" s="494" t="s">
        <v>830</v>
      </c>
      <c r="B61" s="428">
        <v>1.76</v>
      </c>
      <c r="C61" s="428" t="s">
        <v>831</v>
      </c>
    </row>
    <row r="62" spans="1:3" ht="15">
      <c r="A62" s="494" t="s">
        <v>832</v>
      </c>
      <c r="B62" s="428">
        <v>2.27</v>
      </c>
      <c r="C62" s="428" t="s">
        <v>833</v>
      </c>
    </row>
    <row r="63" spans="1:3" ht="15">
      <c r="A63" s="494" t="s">
        <v>834</v>
      </c>
      <c r="B63" s="428">
        <v>2.69</v>
      </c>
      <c r="C63" s="428" t="s">
        <v>835</v>
      </c>
    </row>
    <row r="64" spans="1:3" ht="15">
      <c r="A64" s="494" t="s">
        <v>836</v>
      </c>
      <c r="B64" s="428">
        <v>3.27</v>
      </c>
      <c r="C64" s="428" t="s">
        <v>837</v>
      </c>
    </row>
    <row r="65" spans="1:3" ht="15">
      <c r="A65" s="494" t="s">
        <v>838</v>
      </c>
      <c r="B65" s="428">
        <v>3.76</v>
      </c>
      <c r="C65" s="428" t="s">
        <v>839</v>
      </c>
    </row>
    <row r="66" spans="1:3" ht="15">
      <c r="A66" s="494" t="s">
        <v>840</v>
      </c>
      <c r="B66" s="428">
        <v>4.4400000000000004</v>
      </c>
      <c r="C66" s="428" t="s">
        <v>841</v>
      </c>
    </row>
    <row r="67" spans="1:3" ht="15">
      <c r="A67" s="494" t="s">
        <v>842</v>
      </c>
    </row>
    <row r="68" spans="1:3" ht="15">
      <c r="A68" s="494" t="s">
        <v>843</v>
      </c>
    </row>
    <row r="69" spans="1:3" ht="15">
      <c r="A69" s="494" t="s">
        <v>844</v>
      </c>
      <c r="B69" s="428">
        <v>5.12</v>
      </c>
      <c r="C69" s="428" t="s">
        <v>845</v>
      </c>
    </row>
    <row r="70" spans="1:3" ht="15">
      <c r="A70" s="494" t="s">
        <v>846</v>
      </c>
      <c r="B70" s="428">
        <v>6.18</v>
      </c>
      <c r="C70" s="428" t="s">
        <v>847</v>
      </c>
    </row>
    <row r="71" spans="1:3" ht="15">
      <c r="A71" s="494" t="s">
        <v>848</v>
      </c>
      <c r="C71" s="428" t="s">
        <v>849</v>
      </c>
    </row>
    <row r="72" spans="1:3" ht="15">
      <c r="A72" s="494" t="s">
        <v>850</v>
      </c>
      <c r="C72" s="428" t="s">
        <v>851</v>
      </c>
    </row>
    <row r="74" spans="1:3" ht="15">
      <c r="A74" s="494" t="s">
        <v>852</v>
      </c>
    </row>
    <row r="76" spans="1:3">
      <c r="A76" s="428" t="s">
        <v>853</v>
      </c>
    </row>
  </sheetData>
  <pageMargins left="0.75" right="0.75" top="0.65"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BS72"/>
  <sheetViews>
    <sheetView topLeftCell="A24" workbookViewId="0">
      <selection activeCell="D3" sqref="D3"/>
    </sheetView>
  </sheetViews>
  <sheetFormatPr defaultRowHeight="12.75"/>
  <cols>
    <col min="1" max="1" width="47.5" style="428" customWidth="1"/>
    <col min="2" max="2" width="9.33203125" style="428"/>
    <col min="3" max="3" width="35" style="428" bestFit="1" customWidth="1"/>
    <col min="4" max="256" width="9.33203125" style="428"/>
    <col min="257" max="257" width="47.5" style="428" customWidth="1"/>
    <col min="258" max="258" width="9.33203125" style="428"/>
    <col min="259" max="259" width="35" style="428" bestFit="1" customWidth="1"/>
    <col min="260" max="512" width="9.33203125" style="428"/>
    <col min="513" max="513" width="47.5" style="428" customWidth="1"/>
    <col min="514" max="514" width="9.33203125" style="428"/>
    <col min="515" max="515" width="35" style="428" bestFit="1" customWidth="1"/>
    <col min="516" max="768" width="9.33203125" style="428"/>
    <col min="769" max="769" width="47.5" style="428" customWidth="1"/>
    <col min="770" max="770" width="9.33203125" style="428"/>
    <col min="771" max="771" width="35" style="428" bestFit="1" customWidth="1"/>
    <col min="772" max="1024" width="9.33203125" style="428"/>
    <col min="1025" max="1025" width="47.5" style="428" customWidth="1"/>
    <col min="1026" max="1026" width="9.33203125" style="428"/>
    <col min="1027" max="1027" width="35" style="428" bestFit="1" customWidth="1"/>
    <col min="1028" max="1280" width="9.33203125" style="428"/>
    <col min="1281" max="1281" width="47.5" style="428" customWidth="1"/>
    <col min="1282" max="1282" width="9.33203125" style="428"/>
    <col min="1283" max="1283" width="35" style="428" bestFit="1" customWidth="1"/>
    <col min="1284" max="1536" width="9.33203125" style="428"/>
    <col min="1537" max="1537" width="47.5" style="428" customWidth="1"/>
    <col min="1538" max="1538" width="9.33203125" style="428"/>
    <col min="1539" max="1539" width="35" style="428" bestFit="1" customWidth="1"/>
    <col min="1540" max="1792" width="9.33203125" style="428"/>
    <col min="1793" max="1793" width="47.5" style="428" customWidth="1"/>
    <col min="1794" max="1794" width="9.33203125" style="428"/>
    <col min="1795" max="1795" width="35" style="428" bestFit="1" customWidth="1"/>
    <col min="1796" max="2048" width="9.33203125" style="428"/>
    <col min="2049" max="2049" width="47.5" style="428" customWidth="1"/>
    <col min="2050" max="2050" width="9.33203125" style="428"/>
    <col min="2051" max="2051" width="35" style="428" bestFit="1" customWidth="1"/>
    <col min="2052" max="2304" width="9.33203125" style="428"/>
    <col min="2305" max="2305" width="47.5" style="428" customWidth="1"/>
    <col min="2306" max="2306" width="9.33203125" style="428"/>
    <col min="2307" max="2307" width="35" style="428" bestFit="1" customWidth="1"/>
    <col min="2308" max="2560" width="9.33203125" style="428"/>
    <col min="2561" max="2561" width="47.5" style="428" customWidth="1"/>
    <col min="2562" max="2562" width="9.33203125" style="428"/>
    <col min="2563" max="2563" width="35" style="428" bestFit="1" customWidth="1"/>
    <col min="2564" max="2816" width="9.33203125" style="428"/>
    <col min="2817" max="2817" width="47.5" style="428" customWidth="1"/>
    <col min="2818" max="2818" width="9.33203125" style="428"/>
    <col min="2819" max="2819" width="35" style="428" bestFit="1" customWidth="1"/>
    <col min="2820" max="3072" width="9.33203125" style="428"/>
    <col min="3073" max="3073" width="47.5" style="428" customWidth="1"/>
    <col min="3074" max="3074" width="9.33203125" style="428"/>
    <col min="3075" max="3075" width="35" style="428" bestFit="1" customWidth="1"/>
    <col min="3076" max="3328" width="9.33203125" style="428"/>
    <col min="3329" max="3329" width="47.5" style="428" customWidth="1"/>
    <col min="3330" max="3330" width="9.33203125" style="428"/>
    <col min="3331" max="3331" width="35" style="428" bestFit="1" customWidth="1"/>
    <col min="3332" max="3584" width="9.33203125" style="428"/>
    <col min="3585" max="3585" width="47.5" style="428" customWidth="1"/>
    <col min="3586" max="3586" width="9.33203125" style="428"/>
    <col min="3587" max="3587" width="35" style="428" bestFit="1" customWidth="1"/>
    <col min="3588" max="3840" width="9.33203125" style="428"/>
    <col min="3841" max="3841" width="47.5" style="428" customWidth="1"/>
    <col min="3842" max="3842" width="9.33203125" style="428"/>
    <col min="3843" max="3843" width="35" style="428" bestFit="1" customWidth="1"/>
    <col min="3844" max="4096" width="9.33203125" style="428"/>
    <col min="4097" max="4097" width="47.5" style="428" customWidth="1"/>
    <col min="4098" max="4098" width="9.33203125" style="428"/>
    <col min="4099" max="4099" width="35" style="428" bestFit="1" customWidth="1"/>
    <col min="4100" max="4352" width="9.33203125" style="428"/>
    <col min="4353" max="4353" width="47.5" style="428" customWidth="1"/>
    <col min="4354" max="4354" width="9.33203125" style="428"/>
    <col min="4355" max="4355" width="35" style="428" bestFit="1" customWidth="1"/>
    <col min="4356" max="4608" width="9.33203125" style="428"/>
    <col min="4609" max="4609" width="47.5" style="428" customWidth="1"/>
    <col min="4610" max="4610" width="9.33203125" style="428"/>
    <col min="4611" max="4611" width="35" style="428" bestFit="1" customWidth="1"/>
    <col min="4612" max="4864" width="9.33203125" style="428"/>
    <col min="4865" max="4865" width="47.5" style="428" customWidth="1"/>
    <col min="4866" max="4866" width="9.33203125" style="428"/>
    <col min="4867" max="4867" width="35" style="428" bestFit="1" customWidth="1"/>
    <col min="4868" max="5120" width="9.33203125" style="428"/>
    <col min="5121" max="5121" width="47.5" style="428" customWidth="1"/>
    <col min="5122" max="5122" width="9.33203125" style="428"/>
    <col min="5123" max="5123" width="35" style="428" bestFit="1" customWidth="1"/>
    <col min="5124" max="5376" width="9.33203125" style="428"/>
    <col min="5377" max="5377" width="47.5" style="428" customWidth="1"/>
    <col min="5378" max="5378" width="9.33203125" style="428"/>
    <col min="5379" max="5379" width="35" style="428" bestFit="1" customWidth="1"/>
    <col min="5380" max="5632" width="9.33203125" style="428"/>
    <col min="5633" max="5633" width="47.5" style="428" customWidth="1"/>
    <col min="5634" max="5634" width="9.33203125" style="428"/>
    <col min="5635" max="5635" width="35" style="428" bestFit="1" customWidth="1"/>
    <col min="5636" max="5888" width="9.33203125" style="428"/>
    <col min="5889" max="5889" width="47.5" style="428" customWidth="1"/>
    <col min="5890" max="5890" width="9.33203125" style="428"/>
    <col min="5891" max="5891" width="35" style="428" bestFit="1" customWidth="1"/>
    <col min="5892" max="6144" width="9.33203125" style="428"/>
    <col min="6145" max="6145" width="47.5" style="428" customWidth="1"/>
    <col min="6146" max="6146" width="9.33203125" style="428"/>
    <col min="6147" max="6147" width="35" style="428" bestFit="1" customWidth="1"/>
    <col min="6148" max="6400" width="9.33203125" style="428"/>
    <col min="6401" max="6401" width="47.5" style="428" customWidth="1"/>
    <col min="6402" max="6402" width="9.33203125" style="428"/>
    <col min="6403" max="6403" width="35" style="428" bestFit="1" customWidth="1"/>
    <col min="6404" max="6656" width="9.33203125" style="428"/>
    <col min="6657" max="6657" width="47.5" style="428" customWidth="1"/>
    <col min="6658" max="6658" width="9.33203125" style="428"/>
    <col min="6659" max="6659" width="35" style="428" bestFit="1" customWidth="1"/>
    <col min="6660" max="6912" width="9.33203125" style="428"/>
    <col min="6913" max="6913" width="47.5" style="428" customWidth="1"/>
    <col min="6914" max="6914" width="9.33203125" style="428"/>
    <col min="6915" max="6915" width="35" style="428" bestFit="1" customWidth="1"/>
    <col min="6916" max="7168" width="9.33203125" style="428"/>
    <col min="7169" max="7169" width="47.5" style="428" customWidth="1"/>
    <col min="7170" max="7170" width="9.33203125" style="428"/>
    <col min="7171" max="7171" width="35" style="428" bestFit="1" customWidth="1"/>
    <col min="7172" max="7424" width="9.33203125" style="428"/>
    <col min="7425" max="7425" width="47.5" style="428" customWidth="1"/>
    <col min="7426" max="7426" width="9.33203125" style="428"/>
    <col min="7427" max="7427" width="35" style="428" bestFit="1" customWidth="1"/>
    <col min="7428" max="7680" width="9.33203125" style="428"/>
    <col min="7681" max="7681" width="47.5" style="428" customWidth="1"/>
    <col min="7682" max="7682" width="9.33203125" style="428"/>
    <col min="7683" max="7683" width="35" style="428" bestFit="1" customWidth="1"/>
    <col min="7684" max="7936" width="9.33203125" style="428"/>
    <col min="7937" max="7937" width="47.5" style="428" customWidth="1"/>
    <col min="7938" max="7938" width="9.33203125" style="428"/>
    <col min="7939" max="7939" width="35" style="428" bestFit="1" customWidth="1"/>
    <col min="7940" max="8192" width="9.33203125" style="428"/>
    <col min="8193" max="8193" width="47.5" style="428" customWidth="1"/>
    <col min="8194" max="8194" width="9.33203125" style="428"/>
    <col min="8195" max="8195" width="35" style="428" bestFit="1" customWidth="1"/>
    <col min="8196" max="8448" width="9.33203125" style="428"/>
    <col min="8449" max="8449" width="47.5" style="428" customWidth="1"/>
    <col min="8450" max="8450" width="9.33203125" style="428"/>
    <col min="8451" max="8451" width="35" style="428" bestFit="1" customWidth="1"/>
    <col min="8452" max="8704" width="9.33203125" style="428"/>
    <col min="8705" max="8705" width="47.5" style="428" customWidth="1"/>
    <col min="8706" max="8706" width="9.33203125" style="428"/>
    <col min="8707" max="8707" width="35" style="428" bestFit="1" customWidth="1"/>
    <col min="8708" max="8960" width="9.33203125" style="428"/>
    <col min="8961" max="8961" width="47.5" style="428" customWidth="1"/>
    <col min="8962" max="8962" width="9.33203125" style="428"/>
    <col min="8963" max="8963" width="35" style="428" bestFit="1" customWidth="1"/>
    <col min="8964" max="9216" width="9.33203125" style="428"/>
    <col min="9217" max="9217" width="47.5" style="428" customWidth="1"/>
    <col min="9218" max="9218" width="9.33203125" style="428"/>
    <col min="9219" max="9219" width="35" style="428" bestFit="1" customWidth="1"/>
    <col min="9220" max="9472" width="9.33203125" style="428"/>
    <col min="9473" max="9473" width="47.5" style="428" customWidth="1"/>
    <col min="9474" max="9474" width="9.33203125" style="428"/>
    <col min="9475" max="9475" width="35" style="428" bestFit="1" customWidth="1"/>
    <col min="9476" max="9728" width="9.33203125" style="428"/>
    <col min="9729" max="9729" width="47.5" style="428" customWidth="1"/>
    <col min="9730" max="9730" width="9.33203125" style="428"/>
    <col min="9731" max="9731" width="35" style="428" bestFit="1" customWidth="1"/>
    <col min="9732" max="9984" width="9.33203125" style="428"/>
    <col min="9985" max="9985" width="47.5" style="428" customWidth="1"/>
    <col min="9986" max="9986" width="9.33203125" style="428"/>
    <col min="9987" max="9987" width="35" style="428" bestFit="1" customWidth="1"/>
    <col min="9988" max="10240" width="9.33203125" style="428"/>
    <col min="10241" max="10241" width="47.5" style="428" customWidth="1"/>
    <col min="10242" max="10242" width="9.33203125" style="428"/>
    <col min="10243" max="10243" width="35" style="428" bestFit="1" customWidth="1"/>
    <col min="10244" max="10496" width="9.33203125" style="428"/>
    <col min="10497" max="10497" width="47.5" style="428" customWidth="1"/>
    <col min="10498" max="10498" width="9.33203125" style="428"/>
    <col min="10499" max="10499" width="35" style="428" bestFit="1" customWidth="1"/>
    <col min="10500" max="10752" width="9.33203125" style="428"/>
    <col min="10753" max="10753" width="47.5" style="428" customWidth="1"/>
    <col min="10754" max="10754" width="9.33203125" style="428"/>
    <col min="10755" max="10755" width="35" style="428" bestFit="1" customWidth="1"/>
    <col min="10756" max="11008" width="9.33203125" style="428"/>
    <col min="11009" max="11009" width="47.5" style="428" customWidth="1"/>
    <col min="11010" max="11010" width="9.33203125" style="428"/>
    <col min="11011" max="11011" width="35" style="428" bestFit="1" customWidth="1"/>
    <col min="11012" max="11264" width="9.33203125" style="428"/>
    <col min="11265" max="11265" width="47.5" style="428" customWidth="1"/>
    <col min="11266" max="11266" width="9.33203125" style="428"/>
    <col min="11267" max="11267" width="35" style="428" bestFit="1" customWidth="1"/>
    <col min="11268" max="11520" width="9.33203125" style="428"/>
    <col min="11521" max="11521" width="47.5" style="428" customWidth="1"/>
    <col min="11522" max="11522" width="9.33203125" style="428"/>
    <col min="11523" max="11523" width="35" style="428" bestFit="1" customWidth="1"/>
    <col min="11524" max="11776" width="9.33203125" style="428"/>
    <col min="11777" max="11777" width="47.5" style="428" customWidth="1"/>
    <col min="11778" max="11778" width="9.33203125" style="428"/>
    <col min="11779" max="11779" width="35" style="428" bestFit="1" customWidth="1"/>
    <col min="11780" max="12032" width="9.33203125" style="428"/>
    <col min="12033" max="12033" width="47.5" style="428" customWidth="1"/>
    <col min="12034" max="12034" width="9.33203125" style="428"/>
    <col min="12035" max="12035" width="35" style="428" bestFit="1" customWidth="1"/>
    <col min="12036" max="12288" width="9.33203125" style="428"/>
    <col min="12289" max="12289" width="47.5" style="428" customWidth="1"/>
    <col min="12290" max="12290" width="9.33203125" style="428"/>
    <col min="12291" max="12291" width="35" style="428" bestFit="1" customWidth="1"/>
    <col min="12292" max="12544" width="9.33203125" style="428"/>
    <col min="12545" max="12545" width="47.5" style="428" customWidth="1"/>
    <col min="12546" max="12546" width="9.33203125" style="428"/>
    <col min="12547" max="12547" width="35" style="428" bestFit="1" customWidth="1"/>
    <col min="12548" max="12800" width="9.33203125" style="428"/>
    <col min="12801" max="12801" width="47.5" style="428" customWidth="1"/>
    <col min="12802" max="12802" width="9.33203125" style="428"/>
    <col min="12803" max="12803" width="35" style="428" bestFit="1" customWidth="1"/>
    <col min="12804" max="13056" width="9.33203125" style="428"/>
    <col min="13057" max="13057" width="47.5" style="428" customWidth="1"/>
    <col min="13058" max="13058" width="9.33203125" style="428"/>
    <col min="13059" max="13059" width="35" style="428" bestFit="1" customWidth="1"/>
    <col min="13060" max="13312" width="9.33203125" style="428"/>
    <col min="13313" max="13313" width="47.5" style="428" customWidth="1"/>
    <col min="13314" max="13314" width="9.33203125" style="428"/>
    <col min="13315" max="13315" width="35" style="428" bestFit="1" customWidth="1"/>
    <col min="13316" max="13568" width="9.33203125" style="428"/>
    <col min="13569" max="13569" width="47.5" style="428" customWidth="1"/>
    <col min="13570" max="13570" width="9.33203125" style="428"/>
    <col min="13571" max="13571" width="35" style="428" bestFit="1" customWidth="1"/>
    <col min="13572" max="13824" width="9.33203125" style="428"/>
    <col min="13825" max="13825" width="47.5" style="428" customWidth="1"/>
    <col min="13826" max="13826" width="9.33203125" style="428"/>
    <col min="13827" max="13827" width="35" style="428" bestFit="1" customWidth="1"/>
    <col min="13828" max="14080" width="9.33203125" style="428"/>
    <col min="14081" max="14081" width="47.5" style="428" customWidth="1"/>
    <col min="14082" max="14082" width="9.33203125" style="428"/>
    <col min="14083" max="14083" width="35" style="428" bestFit="1" customWidth="1"/>
    <col min="14084" max="14336" width="9.33203125" style="428"/>
    <col min="14337" max="14337" width="47.5" style="428" customWidth="1"/>
    <col min="14338" max="14338" width="9.33203125" style="428"/>
    <col min="14339" max="14339" width="35" style="428" bestFit="1" customWidth="1"/>
    <col min="14340" max="14592" width="9.33203125" style="428"/>
    <col min="14593" max="14593" width="47.5" style="428" customWidth="1"/>
    <col min="14594" max="14594" width="9.33203125" style="428"/>
    <col min="14595" max="14595" width="35" style="428" bestFit="1" customWidth="1"/>
    <col min="14596" max="14848" width="9.33203125" style="428"/>
    <col min="14849" max="14849" width="47.5" style="428" customWidth="1"/>
    <col min="14850" max="14850" width="9.33203125" style="428"/>
    <col min="14851" max="14851" width="35" style="428" bestFit="1" customWidth="1"/>
    <col min="14852" max="15104" width="9.33203125" style="428"/>
    <col min="15105" max="15105" width="47.5" style="428" customWidth="1"/>
    <col min="15106" max="15106" width="9.33203125" style="428"/>
    <col min="15107" max="15107" width="35" style="428" bestFit="1" customWidth="1"/>
    <col min="15108" max="15360" width="9.33203125" style="428"/>
    <col min="15361" max="15361" width="47.5" style="428" customWidth="1"/>
    <col min="15362" max="15362" width="9.33203125" style="428"/>
    <col min="15363" max="15363" width="35" style="428" bestFit="1" customWidth="1"/>
    <col min="15364" max="15616" width="9.33203125" style="428"/>
    <col min="15617" max="15617" width="47.5" style="428" customWidth="1"/>
    <col min="15618" max="15618" width="9.33203125" style="428"/>
    <col min="15619" max="15619" width="35" style="428" bestFit="1" customWidth="1"/>
    <col min="15620" max="15872" width="9.33203125" style="428"/>
    <col min="15873" max="15873" width="47.5" style="428" customWidth="1"/>
    <col min="15874" max="15874" width="9.33203125" style="428"/>
    <col min="15875" max="15875" width="35" style="428" bestFit="1" customWidth="1"/>
    <col min="15876" max="16128" width="9.33203125" style="428"/>
    <col min="16129" max="16129" width="47.5" style="428" customWidth="1"/>
    <col min="16130" max="16130" width="9.33203125" style="428"/>
    <col min="16131" max="16131" width="35" style="428" bestFit="1" customWidth="1"/>
    <col min="16132" max="16384" width="9.33203125" style="428"/>
  </cols>
  <sheetData>
    <row r="1" spans="1:71">
      <c r="A1" s="428" t="s">
        <v>854</v>
      </c>
      <c r="B1" s="428" t="s">
        <v>855</v>
      </c>
      <c r="C1" s="428">
        <v>11</v>
      </c>
    </row>
    <row r="2" spans="1:71" ht="15">
      <c r="A2" s="494"/>
      <c r="G2" s="428" t="s">
        <v>980</v>
      </c>
    </row>
    <row r="3" spans="1:71">
      <c r="A3" s="428">
        <v>2011</v>
      </c>
      <c r="B3" s="495">
        <v>2011</v>
      </c>
      <c r="C3" s="428" t="s">
        <v>856</v>
      </c>
      <c r="D3" s="428">
        <v>2010</v>
      </c>
    </row>
    <row r="4" spans="1:71" ht="15">
      <c r="A4" s="494" t="s">
        <v>857</v>
      </c>
      <c r="B4" s="496" t="s">
        <v>738</v>
      </c>
      <c r="C4" s="428" t="s">
        <v>858</v>
      </c>
      <c r="D4" s="428" t="s">
        <v>859</v>
      </c>
    </row>
    <row r="5" spans="1:71" ht="15">
      <c r="A5" s="494" t="s">
        <v>860</v>
      </c>
      <c r="B5" s="495">
        <v>18</v>
      </c>
      <c r="C5" s="428" t="s">
        <v>861</v>
      </c>
    </row>
    <row r="6" spans="1:71" ht="15">
      <c r="A6" s="494" t="s">
        <v>862</v>
      </c>
      <c r="B6" s="428">
        <v>0.19</v>
      </c>
      <c r="C6" s="428" t="s">
        <v>863</v>
      </c>
      <c r="D6" s="428">
        <v>0.18</v>
      </c>
    </row>
    <row r="7" spans="1:71" ht="15">
      <c r="A7" s="494" t="s">
        <v>744</v>
      </c>
    </row>
    <row r="8" spans="1:71" ht="15">
      <c r="A8" s="494" t="s">
        <v>745</v>
      </c>
      <c r="BS8" s="428" t="s">
        <v>978</v>
      </c>
    </row>
    <row r="9" spans="1:71" ht="15">
      <c r="A9" s="494" t="s">
        <v>864</v>
      </c>
      <c r="B9" s="428">
        <v>0.19</v>
      </c>
      <c r="C9" s="428" t="s">
        <v>865</v>
      </c>
      <c r="D9" s="428">
        <v>0.19</v>
      </c>
    </row>
    <row r="10" spans="1:71" ht="15">
      <c r="A10" s="494" t="s">
        <v>866</v>
      </c>
      <c r="B10" s="428">
        <v>0.23</v>
      </c>
      <c r="C10" s="428" t="s">
        <v>867</v>
      </c>
      <c r="D10" s="428">
        <v>0.21</v>
      </c>
    </row>
    <row r="11" spans="1:71" ht="15">
      <c r="A11" s="494" t="s">
        <v>868</v>
      </c>
      <c r="B11" s="428">
        <v>0.27</v>
      </c>
      <c r="C11" s="428" t="s">
        <v>869</v>
      </c>
      <c r="D11" s="428">
        <v>0.23</v>
      </c>
    </row>
    <row r="12" spans="1:71" ht="15">
      <c r="A12" s="494" t="s">
        <v>752</v>
      </c>
    </row>
    <row r="13" spans="1:71" ht="15">
      <c r="A13" s="494" t="s">
        <v>864</v>
      </c>
      <c r="B13" s="428">
        <v>0.22</v>
      </c>
      <c r="C13" s="428" t="s">
        <v>870</v>
      </c>
      <c r="D13" s="428">
        <v>0.19</v>
      </c>
    </row>
    <row r="14" spans="1:71" ht="15">
      <c r="A14" s="494" t="s">
        <v>866</v>
      </c>
      <c r="B14" s="428">
        <v>0.23</v>
      </c>
      <c r="C14" s="428" t="s">
        <v>871</v>
      </c>
      <c r="D14" s="428">
        <v>0.23</v>
      </c>
    </row>
    <row r="15" spans="1:71" ht="15">
      <c r="A15" s="494" t="s">
        <v>868</v>
      </c>
      <c r="B15" s="428">
        <v>0.25</v>
      </c>
      <c r="C15" s="428" t="s">
        <v>872</v>
      </c>
      <c r="D15" s="428">
        <v>0.27</v>
      </c>
    </row>
    <row r="16" spans="1:71" ht="15">
      <c r="A16" s="494" t="s">
        <v>873</v>
      </c>
    </row>
    <row r="17" spans="1:4" ht="15">
      <c r="A17" s="494" t="s">
        <v>864</v>
      </c>
      <c r="B17" s="428">
        <v>0.25</v>
      </c>
      <c r="C17" s="428" t="s">
        <v>874</v>
      </c>
      <c r="D17" s="428">
        <v>0.26</v>
      </c>
    </row>
    <row r="18" spans="1:4" ht="15">
      <c r="A18" s="494" t="s">
        <v>868</v>
      </c>
      <c r="B18" s="428">
        <v>0.28999999999999998</v>
      </c>
      <c r="C18" s="428" t="s">
        <v>875</v>
      </c>
      <c r="D18" s="428">
        <v>0.3</v>
      </c>
    </row>
    <row r="19" spans="1:4" ht="15">
      <c r="A19" s="494" t="s">
        <v>876</v>
      </c>
      <c r="B19" s="428">
        <v>0.39</v>
      </c>
      <c r="C19" s="428" t="s">
        <v>877</v>
      </c>
      <c r="D19" s="428">
        <v>0.41</v>
      </c>
    </row>
    <row r="20" spans="1:4" ht="15">
      <c r="A20" s="494" t="s">
        <v>878</v>
      </c>
    </row>
    <row r="21" spans="1:4" ht="15">
      <c r="A21" s="494" t="s">
        <v>879</v>
      </c>
      <c r="B21" s="428">
        <v>0.32</v>
      </c>
      <c r="C21" s="428" t="s">
        <v>880</v>
      </c>
      <c r="D21" s="428">
        <v>0.32</v>
      </c>
    </row>
    <row r="22" spans="1:4" ht="15">
      <c r="A22" s="494" t="s">
        <v>881</v>
      </c>
      <c r="B22" s="428">
        <v>0.39</v>
      </c>
      <c r="C22" s="428" t="s">
        <v>882</v>
      </c>
      <c r="D22" s="428">
        <v>0.39</v>
      </c>
    </row>
    <row r="23" spans="1:4" ht="15">
      <c r="A23" s="494" t="s">
        <v>883</v>
      </c>
      <c r="B23" s="428">
        <v>0.52</v>
      </c>
      <c r="C23" s="428" t="s">
        <v>884</v>
      </c>
      <c r="D23" s="428">
        <v>0.56000000000000005</v>
      </c>
    </row>
    <row r="24" spans="1:4" ht="15">
      <c r="A24" s="494" t="s">
        <v>885</v>
      </c>
      <c r="B24" s="428">
        <v>3.25</v>
      </c>
      <c r="C24" s="428" t="s">
        <v>886</v>
      </c>
      <c r="D24" s="428">
        <v>3.25</v>
      </c>
    </row>
    <row r="25" spans="1:4" ht="15">
      <c r="A25" s="494" t="s">
        <v>887</v>
      </c>
      <c r="B25" s="428">
        <v>0.75</v>
      </c>
      <c r="C25" s="428" t="s">
        <v>888</v>
      </c>
      <c r="D25" s="428">
        <v>0.75</v>
      </c>
    </row>
    <row r="26" spans="1:4" ht="15">
      <c r="A26" s="494" t="s">
        <v>783</v>
      </c>
    </row>
    <row r="27" spans="1:4" ht="15">
      <c r="A27" s="494" t="s">
        <v>784</v>
      </c>
    </row>
    <row r="28" spans="1:4" ht="15">
      <c r="A28" s="494" t="s">
        <v>889</v>
      </c>
      <c r="B28" s="428">
        <v>0.15</v>
      </c>
      <c r="C28" s="428" t="s">
        <v>890</v>
      </c>
      <c r="D28" s="428">
        <v>0.08</v>
      </c>
    </row>
    <row r="29" spans="1:4" ht="15">
      <c r="A29" s="494" t="s">
        <v>868</v>
      </c>
      <c r="B29" s="428">
        <v>0.16</v>
      </c>
      <c r="C29" s="428" t="s">
        <v>891</v>
      </c>
      <c r="D29" s="428">
        <v>0.14000000000000001</v>
      </c>
    </row>
    <row r="30" spans="1:4" ht="15">
      <c r="A30" s="494" t="s">
        <v>876</v>
      </c>
      <c r="B30" s="428">
        <v>0.19</v>
      </c>
      <c r="C30" s="428" t="s">
        <v>892</v>
      </c>
      <c r="D30" s="428">
        <v>0.19</v>
      </c>
    </row>
    <row r="31" spans="1:4" ht="15">
      <c r="A31" s="494" t="s">
        <v>893</v>
      </c>
      <c r="B31" s="428">
        <v>0.25</v>
      </c>
      <c r="C31" s="428" t="s">
        <v>894</v>
      </c>
      <c r="D31" s="428">
        <v>0.28000000000000003</v>
      </c>
    </row>
    <row r="32" spans="1:4" ht="15">
      <c r="A32" s="497" t="s">
        <v>793</v>
      </c>
    </row>
    <row r="33" spans="1:4" ht="15">
      <c r="A33" s="494" t="s">
        <v>895</v>
      </c>
    </row>
    <row r="34" spans="1:4" ht="15">
      <c r="A34" s="494" t="s">
        <v>864</v>
      </c>
      <c r="B34" s="428">
        <v>0.15</v>
      </c>
      <c r="C34" s="428" t="s">
        <v>890</v>
      </c>
      <c r="D34" s="428">
        <v>0.09</v>
      </c>
    </row>
    <row r="35" spans="1:4" ht="15">
      <c r="A35" s="494" t="s">
        <v>868</v>
      </c>
      <c r="B35" s="428">
        <v>0.16</v>
      </c>
      <c r="C35" s="428" t="s">
        <v>891</v>
      </c>
      <c r="D35" s="428">
        <v>0.14000000000000001</v>
      </c>
    </row>
    <row r="36" spans="1:4" ht="15">
      <c r="A36" s="494" t="s">
        <v>876</v>
      </c>
      <c r="B36" s="428">
        <v>0.19</v>
      </c>
      <c r="C36" s="428" t="s">
        <v>892</v>
      </c>
      <c r="D36" s="428">
        <v>0.19</v>
      </c>
    </row>
    <row r="37" spans="1:4" ht="15">
      <c r="A37" s="497" t="s">
        <v>893</v>
      </c>
      <c r="B37" s="495">
        <v>0.26</v>
      </c>
      <c r="C37" s="428" t="s">
        <v>896</v>
      </c>
      <c r="D37" s="428">
        <v>0.28999999999999998</v>
      </c>
    </row>
    <row r="38" spans="1:4" ht="15">
      <c r="A38" s="494" t="s">
        <v>897</v>
      </c>
      <c r="B38" s="428">
        <v>0.6</v>
      </c>
      <c r="C38" s="428" t="s">
        <v>898</v>
      </c>
      <c r="D38" s="428">
        <v>0.62</v>
      </c>
    </row>
    <row r="39" spans="1:4" ht="15">
      <c r="A39" s="494" t="s">
        <v>899</v>
      </c>
      <c r="B39" s="428">
        <v>1</v>
      </c>
      <c r="C39" s="428" t="s">
        <v>900</v>
      </c>
      <c r="D39" s="428">
        <v>0.99</v>
      </c>
    </row>
    <row r="40" spans="1:4" ht="15">
      <c r="A40" s="494" t="s">
        <v>901</v>
      </c>
      <c r="B40" s="428">
        <v>1.97</v>
      </c>
      <c r="C40" s="428" t="s">
        <v>902</v>
      </c>
      <c r="D40" s="428">
        <v>1.93</v>
      </c>
    </row>
    <row r="41" spans="1:4" ht="15">
      <c r="A41" s="494" t="s">
        <v>903</v>
      </c>
      <c r="B41" s="428">
        <v>2.7</v>
      </c>
      <c r="C41" s="428" t="s">
        <v>904</v>
      </c>
      <c r="D41" s="428">
        <v>2.66</v>
      </c>
    </row>
    <row r="42" spans="1:4" ht="15">
      <c r="A42" s="494" t="s">
        <v>905</v>
      </c>
      <c r="B42" s="428">
        <v>3.39</v>
      </c>
      <c r="C42" s="428" t="s">
        <v>906</v>
      </c>
      <c r="D42" s="428">
        <v>3.29</v>
      </c>
    </row>
    <row r="43" spans="1:4" ht="15">
      <c r="A43" s="494" t="s">
        <v>907</v>
      </c>
      <c r="B43" s="428">
        <v>4.3099999999999996</v>
      </c>
      <c r="C43" s="428" t="s">
        <v>908</v>
      </c>
      <c r="D43" s="428">
        <v>4.17</v>
      </c>
    </row>
    <row r="44" spans="1:4" ht="15">
      <c r="A44" s="494" t="s">
        <v>909</v>
      </c>
      <c r="B44" s="428">
        <v>4.5599999999999996</v>
      </c>
      <c r="C44" s="428" t="s">
        <v>910</v>
      </c>
      <c r="D44" s="428">
        <v>4.42</v>
      </c>
    </row>
    <row r="45" spans="1:4" ht="15">
      <c r="A45" s="494" t="s">
        <v>911</v>
      </c>
    </row>
    <row r="46" spans="1:4" ht="15">
      <c r="A46" s="494" t="s">
        <v>901</v>
      </c>
      <c r="B46" s="428">
        <v>0.02</v>
      </c>
      <c r="C46" s="428" t="s">
        <v>912</v>
      </c>
      <c r="D46" s="428">
        <v>0.21</v>
      </c>
    </row>
    <row r="47" spans="1:4" ht="15">
      <c r="A47" s="494" t="s">
        <v>903</v>
      </c>
      <c r="B47" s="428">
        <v>0.56999999999999995</v>
      </c>
      <c r="C47" s="428" t="s">
        <v>913</v>
      </c>
      <c r="D47" s="428">
        <v>0.65</v>
      </c>
    </row>
    <row r="48" spans="1:4" ht="15">
      <c r="A48" s="494" t="s">
        <v>905</v>
      </c>
      <c r="B48" s="428">
        <v>0.99</v>
      </c>
      <c r="C48" s="428" t="s">
        <v>914</v>
      </c>
      <c r="D48" s="428">
        <v>1.04</v>
      </c>
    </row>
    <row r="49" spans="1:4" ht="15">
      <c r="A49" s="494" t="s">
        <v>907</v>
      </c>
      <c r="B49" s="428">
        <v>1.65</v>
      </c>
      <c r="C49" s="428" t="s">
        <v>915</v>
      </c>
      <c r="D49" s="428">
        <v>1.67</v>
      </c>
    </row>
    <row r="50" spans="1:4" ht="15">
      <c r="A50" s="494" t="s">
        <v>909</v>
      </c>
      <c r="B50" s="428">
        <v>1.94</v>
      </c>
      <c r="C50" s="428" t="s">
        <v>916</v>
      </c>
      <c r="D50" s="428">
        <v>1.89</v>
      </c>
    </row>
    <row r="51" spans="1:4" ht="15">
      <c r="A51" s="494" t="s">
        <v>917</v>
      </c>
      <c r="B51" s="428">
        <v>1.7</v>
      </c>
      <c r="C51" s="428" t="s">
        <v>918</v>
      </c>
      <c r="D51" s="428">
        <v>1.67</v>
      </c>
    </row>
    <row r="52" spans="1:4" ht="15">
      <c r="A52" s="494" t="s">
        <v>919</v>
      </c>
    </row>
    <row r="53" spans="1:4" ht="15">
      <c r="A53" s="494" t="s">
        <v>893</v>
      </c>
      <c r="B53" s="428">
        <v>0.46</v>
      </c>
      <c r="C53" s="428" t="s">
        <v>920</v>
      </c>
      <c r="D53" s="428">
        <v>0.5</v>
      </c>
    </row>
    <row r="54" spans="1:4" ht="15">
      <c r="A54" s="494" t="s">
        <v>897</v>
      </c>
      <c r="B54" s="428">
        <v>0.83</v>
      </c>
      <c r="C54" s="428" t="s">
        <v>921</v>
      </c>
      <c r="D54" s="428">
        <v>0.84</v>
      </c>
    </row>
    <row r="55" spans="1:4" ht="15">
      <c r="A55" s="494" t="s">
        <v>899</v>
      </c>
      <c r="B55" s="428">
        <v>1.29</v>
      </c>
      <c r="C55" s="428" t="s">
        <v>922</v>
      </c>
      <c r="D55" s="428">
        <v>1.26</v>
      </c>
    </row>
    <row r="56" spans="1:4" ht="15">
      <c r="A56" s="494" t="s">
        <v>923</v>
      </c>
      <c r="B56" s="428">
        <v>1.76</v>
      </c>
      <c r="C56" s="428" t="s">
        <v>924</v>
      </c>
      <c r="D56" s="428">
        <v>1.71</v>
      </c>
    </row>
    <row r="57" spans="1:4" ht="15">
      <c r="A57" s="494" t="s">
        <v>901</v>
      </c>
      <c r="B57" s="428">
        <v>2.2000000000000002</v>
      </c>
      <c r="C57" s="428" t="s">
        <v>925</v>
      </c>
      <c r="D57" s="428">
        <v>2.13</v>
      </c>
    </row>
    <row r="58" spans="1:4" ht="15">
      <c r="A58" s="494" t="s">
        <v>903</v>
      </c>
      <c r="B58" s="428">
        <v>2.86</v>
      </c>
      <c r="C58" s="428" t="s">
        <v>926</v>
      </c>
      <c r="D58" s="428">
        <v>2.8</v>
      </c>
    </row>
    <row r="59" spans="1:4" ht="15">
      <c r="A59" s="494" t="s">
        <v>905</v>
      </c>
      <c r="B59" s="428">
        <v>3.46</v>
      </c>
      <c r="C59" s="428" t="s">
        <v>927</v>
      </c>
      <c r="D59" s="428">
        <v>3.39</v>
      </c>
    </row>
    <row r="60" spans="1:4" ht="15">
      <c r="A60" s="494" t="s">
        <v>909</v>
      </c>
      <c r="B60" s="428">
        <v>4.29</v>
      </c>
      <c r="C60" s="428" t="s">
        <v>928</v>
      </c>
      <c r="D60" s="428">
        <v>4.1399999999999997</v>
      </c>
    </row>
    <row r="61" spans="1:4" ht="15">
      <c r="A61" s="494" t="s">
        <v>842</v>
      </c>
    </row>
    <row r="62" spans="1:4" ht="15">
      <c r="A62" s="494" t="s">
        <v>843</v>
      </c>
    </row>
    <row r="63" spans="1:4" ht="15">
      <c r="A63" s="494" t="s">
        <v>929</v>
      </c>
      <c r="B63" s="428">
        <v>5.0599999999999996</v>
      </c>
      <c r="C63" s="428" t="s">
        <v>930</v>
      </c>
      <c r="D63" s="428">
        <v>5.0199999999999996</v>
      </c>
    </row>
    <row r="64" spans="1:4" ht="15">
      <c r="A64" s="494" t="s">
        <v>931</v>
      </c>
      <c r="B64" s="428">
        <v>6.11</v>
      </c>
      <c r="C64" s="428" t="s">
        <v>932</v>
      </c>
      <c r="D64" s="428">
        <v>6.1</v>
      </c>
    </row>
    <row r="65" spans="1:4" ht="15">
      <c r="A65" s="494" t="s">
        <v>933</v>
      </c>
      <c r="C65" s="428" t="s">
        <v>934</v>
      </c>
      <c r="D65" s="428">
        <v>4.92</v>
      </c>
    </row>
    <row r="66" spans="1:4" ht="15">
      <c r="A66" s="494" t="s">
        <v>935</v>
      </c>
      <c r="C66" s="428" t="s">
        <v>936</v>
      </c>
      <c r="D66" s="428">
        <v>4.71</v>
      </c>
    </row>
    <row r="67" spans="1:4" ht="15">
      <c r="A67" s="494"/>
    </row>
    <row r="68" spans="1:4">
      <c r="A68" s="428" t="s">
        <v>937</v>
      </c>
    </row>
    <row r="69" spans="1:4" ht="15">
      <c r="A69" s="494" t="s">
        <v>852</v>
      </c>
    </row>
    <row r="70" spans="1:4" ht="15">
      <c r="A70" s="494" t="s">
        <v>938</v>
      </c>
    </row>
    <row r="72" spans="1:4">
      <c r="A72" s="428" t="s">
        <v>939</v>
      </c>
    </row>
  </sheetData>
  <pageMargins left="0.75" right="0.28999999999999998" top="0.62" bottom="0.59" header="0.5" footer="0.5"/>
  <pageSetup scale="68"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2:BS23"/>
  <sheetViews>
    <sheetView workbookViewId="0">
      <selection activeCell="C24" sqref="C24"/>
    </sheetView>
  </sheetViews>
  <sheetFormatPr defaultRowHeight="12.75"/>
  <cols>
    <col min="1" max="1" width="10.5" style="428" bestFit="1" customWidth="1"/>
    <col min="2" max="2" width="42.6640625" style="428" bestFit="1" customWidth="1"/>
    <col min="3" max="3" width="12" style="428" bestFit="1" customWidth="1"/>
    <col min="4" max="4" width="20.33203125" style="428" bestFit="1" customWidth="1"/>
    <col min="5" max="5" width="27.5" style="428" bestFit="1" customWidth="1"/>
    <col min="6" max="6" width="47" style="428" bestFit="1" customWidth="1"/>
    <col min="7" max="7" width="25.1640625" style="428" bestFit="1" customWidth="1"/>
    <col min="8" max="8" width="14.83203125" style="428" bestFit="1" customWidth="1"/>
    <col min="9" max="9" width="12" style="428" bestFit="1" customWidth="1"/>
    <col min="10" max="70" width="9.33203125" style="428"/>
    <col min="71" max="71" width="50.83203125" style="428" bestFit="1" customWidth="1"/>
    <col min="72" max="257" width="9.33203125" style="428"/>
    <col min="258" max="258" width="42.1640625" style="428" customWidth="1"/>
    <col min="259" max="259" width="9.33203125" style="428"/>
    <col min="260" max="260" width="15" style="428" customWidth="1"/>
    <col min="261" max="261" width="26" style="428" customWidth="1"/>
    <col min="262" max="262" width="44.33203125" style="428" customWidth="1"/>
    <col min="263" max="263" width="9.33203125" style="428"/>
    <col min="264" max="264" width="12.5" style="428" customWidth="1"/>
    <col min="265" max="265" width="12" style="428" bestFit="1" customWidth="1"/>
    <col min="266" max="513" width="9.33203125" style="428"/>
    <col min="514" max="514" width="42.1640625" style="428" customWidth="1"/>
    <col min="515" max="515" width="9.33203125" style="428"/>
    <col min="516" max="516" width="15" style="428" customWidth="1"/>
    <col min="517" max="517" width="26" style="428" customWidth="1"/>
    <col min="518" max="518" width="44.33203125" style="428" customWidth="1"/>
    <col min="519" max="519" width="9.33203125" style="428"/>
    <col min="520" max="520" width="12.5" style="428" customWidth="1"/>
    <col min="521" max="521" width="12" style="428" bestFit="1" customWidth="1"/>
    <col min="522" max="769" width="9.33203125" style="428"/>
    <col min="770" max="770" width="42.1640625" style="428" customWidth="1"/>
    <col min="771" max="771" width="9.33203125" style="428"/>
    <col min="772" max="772" width="15" style="428" customWidth="1"/>
    <col min="773" max="773" width="26" style="428" customWidth="1"/>
    <col min="774" max="774" width="44.33203125" style="428" customWidth="1"/>
    <col min="775" max="775" width="9.33203125" style="428"/>
    <col min="776" max="776" width="12.5" style="428" customWidth="1"/>
    <col min="777" max="777" width="12" style="428" bestFit="1" customWidth="1"/>
    <col min="778" max="1025" width="9.33203125" style="428"/>
    <col min="1026" max="1026" width="42.1640625" style="428" customWidth="1"/>
    <col min="1027" max="1027" width="9.33203125" style="428"/>
    <col min="1028" max="1028" width="15" style="428" customWidth="1"/>
    <col min="1029" max="1029" width="26" style="428" customWidth="1"/>
    <col min="1030" max="1030" width="44.33203125" style="428" customWidth="1"/>
    <col min="1031" max="1031" width="9.33203125" style="428"/>
    <col min="1032" max="1032" width="12.5" style="428" customWidth="1"/>
    <col min="1033" max="1033" width="12" style="428" bestFit="1" customWidth="1"/>
    <col min="1034" max="1281" width="9.33203125" style="428"/>
    <col min="1282" max="1282" width="42.1640625" style="428" customWidth="1"/>
    <col min="1283" max="1283" width="9.33203125" style="428"/>
    <col min="1284" max="1284" width="15" style="428" customWidth="1"/>
    <col min="1285" max="1285" width="26" style="428" customWidth="1"/>
    <col min="1286" max="1286" width="44.33203125" style="428" customWidth="1"/>
    <col min="1287" max="1287" width="9.33203125" style="428"/>
    <col min="1288" max="1288" width="12.5" style="428" customWidth="1"/>
    <col min="1289" max="1289" width="12" style="428" bestFit="1" customWidth="1"/>
    <col min="1290" max="1537" width="9.33203125" style="428"/>
    <col min="1538" max="1538" width="42.1640625" style="428" customWidth="1"/>
    <col min="1539" max="1539" width="9.33203125" style="428"/>
    <col min="1540" max="1540" width="15" style="428" customWidth="1"/>
    <col min="1541" max="1541" width="26" style="428" customWidth="1"/>
    <col min="1542" max="1542" width="44.33203125" style="428" customWidth="1"/>
    <col min="1543" max="1543" width="9.33203125" style="428"/>
    <col min="1544" max="1544" width="12.5" style="428" customWidth="1"/>
    <col min="1545" max="1545" width="12" style="428" bestFit="1" customWidth="1"/>
    <col min="1546" max="1793" width="9.33203125" style="428"/>
    <col min="1794" max="1794" width="42.1640625" style="428" customWidth="1"/>
    <col min="1795" max="1795" width="9.33203125" style="428"/>
    <col min="1796" max="1796" width="15" style="428" customWidth="1"/>
    <col min="1797" max="1797" width="26" style="428" customWidth="1"/>
    <col min="1798" max="1798" width="44.33203125" style="428" customWidth="1"/>
    <col min="1799" max="1799" width="9.33203125" style="428"/>
    <col min="1800" max="1800" width="12.5" style="428" customWidth="1"/>
    <col min="1801" max="1801" width="12" style="428" bestFit="1" customWidth="1"/>
    <col min="1802" max="2049" width="9.33203125" style="428"/>
    <col min="2050" max="2050" width="42.1640625" style="428" customWidth="1"/>
    <col min="2051" max="2051" width="9.33203125" style="428"/>
    <col min="2052" max="2052" width="15" style="428" customWidth="1"/>
    <col min="2053" max="2053" width="26" style="428" customWidth="1"/>
    <col min="2054" max="2054" width="44.33203125" style="428" customWidth="1"/>
    <col min="2055" max="2055" width="9.33203125" style="428"/>
    <col min="2056" max="2056" width="12.5" style="428" customWidth="1"/>
    <col min="2057" max="2057" width="12" style="428" bestFit="1" customWidth="1"/>
    <col min="2058" max="2305" width="9.33203125" style="428"/>
    <col min="2306" max="2306" width="42.1640625" style="428" customWidth="1"/>
    <col min="2307" max="2307" width="9.33203125" style="428"/>
    <col min="2308" max="2308" width="15" style="428" customWidth="1"/>
    <col min="2309" max="2309" width="26" style="428" customWidth="1"/>
    <col min="2310" max="2310" width="44.33203125" style="428" customWidth="1"/>
    <col min="2311" max="2311" width="9.33203125" style="428"/>
    <col min="2312" max="2312" width="12.5" style="428" customWidth="1"/>
    <col min="2313" max="2313" width="12" style="428" bestFit="1" customWidth="1"/>
    <col min="2314" max="2561" width="9.33203125" style="428"/>
    <col min="2562" max="2562" width="42.1640625" style="428" customWidth="1"/>
    <col min="2563" max="2563" width="9.33203125" style="428"/>
    <col min="2564" max="2564" width="15" style="428" customWidth="1"/>
    <col min="2565" max="2565" width="26" style="428" customWidth="1"/>
    <col min="2566" max="2566" width="44.33203125" style="428" customWidth="1"/>
    <col min="2567" max="2567" width="9.33203125" style="428"/>
    <col min="2568" max="2568" width="12.5" style="428" customWidth="1"/>
    <col min="2569" max="2569" width="12" style="428" bestFit="1" customWidth="1"/>
    <col min="2570" max="2817" width="9.33203125" style="428"/>
    <col min="2818" max="2818" width="42.1640625" style="428" customWidth="1"/>
    <col min="2819" max="2819" width="9.33203125" style="428"/>
    <col min="2820" max="2820" width="15" style="428" customWidth="1"/>
    <col min="2821" max="2821" width="26" style="428" customWidth="1"/>
    <col min="2822" max="2822" width="44.33203125" style="428" customWidth="1"/>
    <col min="2823" max="2823" width="9.33203125" style="428"/>
    <col min="2824" max="2824" width="12.5" style="428" customWidth="1"/>
    <col min="2825" max="2825" width="12" style="428" bestFit="1" customWidth="1"/>
    <col min="2826" max="3073" width="9.33203125" style="428"/>
    <col min="3074" max="3074" width="42.1640625" style="428" customWidth="1"/>
    <col min="3075" max="3075" width="9.33203125" style="428"/>
    <col min="3076" max="3076" width="15" style="428" customWidth="1"/>
    <col min="3077" max="3077" width="26" style="428" customWidth="1"/>
    <col min="3078" max="3078" width="44.33203125" style="428" customWidth="1"/>
    <col min="3079" max="3079" width="9.33203125" style="428"/>
    <col min="3080" max="3080" width="12.5" style="428" customWidth="1"/>
    <col min="3081" max="3081" width="12" style="428" bestFit="1" customWidth="1"/>
    <col min="3082" max="3329" width="9.33203125" style="428"/>
    <col min="3330" max="3330" width="42.1640625" style="428" customWidth="1"/>
    <col min="3331" max="3331" width="9.33203125" style="428"/>
    <col min="3332" max="3332" width="15" style="428" customWidth="1"/>
    <col min="3333" max="3333" width="26" style="428" customWidth="1"/>
    <col min="3334" max="3334" width="44.33203125" style="428" customWidth="1"/>
    <col min="3335" max="3335" width="9.33203125" style="428"/>
    <col min="3336" max="3336" width="12.5" style="428" customWidth="1"/>
    <col min="3337" max="3337" width="12" style="428" bestFit="1" customWidth="1"/>
    <col min="3338" max="3585" width="9.33203125" style="428"/>
    <col min="3586" max="3586" width="42.1640625" style="428" customWidth="1"/>
    <col min="3587" max="3587" width="9.33203125" style="428"/>
    <col min="3588" max="3588" width="15" style="428" customWidth="1"/>
    <col min="3589" max="3589" width="26" style="428" customWidth="1"/>
    <col min="3590" max="3590" width="44.33203125" style="428" customWidth="1"/>
    <col min="3591" max="3591" width="9.33203125" style="428"/>
    <col min="3592" max="3592" width="12.5" style="428" customWidth="1"/>
    <col min="3593" max="3593" width="12" style="428" bestFit="1" customWidth="1"/>
    <col min="3594" max="3841" width="9.33203125" style="428"/>
    <col min="3842" max="3842" width="42.1640625" style="428" customWidth="1"/>
    <col min="3843" max="3843" width="9.33203125" style="428"/>
    <col min="3844" max="3844" width="15" style="428" customWidth="1"/>
    <col min="3845" max="3845" width="26" style="428" customWidth="1"/>
    <col min="3846" max="3846" width="44.33203125" style="428" customWidth="1"/>
    <col min="3847" max="3847" width="9.33203125" style="428"/>
    <col min="3848" max="3848" width="12.5" style="428" customWidth="1"/>
    <col min="3849" max="3849" width="12" style="428" bestFit="1" customWidth="1"/>
    <col min="3850" max="4097" width="9.33203125" style="428"/>
    <col min="4098" max="4098" width="42.1640625" style="428" customWidth="1"/>
    <col min="4099" max="4099" width="9.33203125" style="428"/>
    <col min="4100" max="4100" width="15" style="428" customWidth="1"/>
    <col min="4101" max="4101" width="26" style="428" customWidth="1"/>
    <col min="4102" max="4102" width="44.33203125" style="428" customWidth="1"/>
    <col min="4103" max="4103" width="9.33203125" style="428"/>
    <col min="4104" max="4104" width="12.5" style="428" customWidth="1"/>
    <col min="4105" max="4105" width="12" style="428" bestFit="1" customWidth="1"/>
    <col min="4106" max="4353" width="9.33203125" style="428"/>
    <col min="4354" max="4354" width="42.1640625" style="428" customWidth="1"/>
    <col min="4355" max="4355" width="9.33203125" style="428"/>
    <col min="4356" max="4356" width="15" style="428" customWidth="1"/>
    <col min="4357" max="4357" width="26" style="428" customWidth="1"/>
    <col min="4358" max="4358" width="44.33203125" style="428" customWidth="1"/>
    <col min="4359" max="4359" width="9.33203125" style="428"/>
    <col min="4360" max="4360" width="12.5" style="428" customWidth="1"/>
    <col min="4361" max="4361" width="12" style="428" bestFit="1" customWidth="1"/>
    <col min="4362" max="4609" width="9.33203125" style="428"/>
    <col min="4610" max="4610" width="42.1640625" style="428" customWidth="1"/>
    <col min="4611" max="4611" width="9.33203125" style="428"/>
    <col min="4612" max="4612" width="15" style="428" customWidth="1"/>
    <col min="4613" max="4613" width="26" style="428" customWidth="1"/>
    <col min="4614" max="4614" width="44.33203125" style="428" customWidth="1"/>
    <col min="4615" max="4615" width="9.33203125" style="428"/>
    <col min="4616" max="4616" width="12.5" style="428" customWidth="1"/>
    <col min="4617" max="4617" width="12" style="428" bestFit="1" customWidth="1"/>
    <col min="4618" max="4865" width="9.33203125" style="428"/>
    <col min="4866" max="4866" width="42.1640625" style="428" customWidth="1"/>
    <col min="4867" max="4867" width="9.33203125" style="428"/>
    <col min="4868" max="4868" width="15" style="428" customWidth="1"/>
    <col min="4869" max="4869" width="26" style="428" customWidth="1"/>
    <col min="4870" max="4870" width="44.33203125" style="428" customWidth="1"/>
    <col min="4871" max="4871" width="9.33203125" style="428"/>
    <col min="4872" max="4872" width="12.5" style="428" customWidth="1"/>
    <col min="4873" max="4873" width="12" style="428" bestFit="1" customWidth="1"/>
    <col min="4874" max="5121" width="9.33203125" style="428"/>
    <col min="5122" max="5122" width="42.1640625" style="428" customWidth="1"/>
    <col min="5123" max="5123" width="9.33203125" style="428"/>
    <col min="5124" max="5124" width="15" style="428" customWidth="1"/>
    <col min="5125" max="5125" width="26" style="428" customWidth="1"/>
    <col min="5126" max="5126" width="44.33203125" style="428" customWidth="1"/>
    <col min="5127" max="5127" width="9.33203125" style="428"/>
    <col min="5128" max="5128" width="12.5" style="428" customWidth="1"/>
    <col min="5129" max="5129" width="12" style="428" bestFit="1" customWidth="1"/>
    <col min="5130" max="5377" width="9.33203125" style="428"/>
    <col min="5378" max="5378" width="42.1640625" style="428" customWidth="1"/>
    <col min="5379" max="5379" width="9.33203125" style="428"/>
    <col min="5380" max="5380" width="15" style="428" customWidth="1"/>
    <col min="5381" max="5381" width="26" style="428" customWidth="1"/>
    <col min="5382" max="5382" width="44.33203125" style="428" customWidth="1"/>
    <col min="5383" max="5383" width="9.33203125" style="428"/>
    <col min="5384" max="5384" width="12.5" style="428" customWidth="1"/>
    <col min="5385" max="5385" width="12" style="428" bestFit="1" customWidth="1"/>
    <col min="5386" max="5633" width="9.33203125" style="428"/>
    <col min="5634" max="5634" width="42.1640625" style="428" customWidth="1"/>
    <col min="5635" max="5635" width="9.33203125" style="428"/>
    <col min="5636" max="5636" width="15" style="428" customWidth="1"/>
    <col min="5637" max="5637" width="26" style="428" customWidth="1"/>
    <col min="5638" max="5638" width="44.33203125" style="428" customWidth="1"/>
    <col min="5639" max="5639" width="9.33203125" style="428"/>
    <col min="5640" max="5640" width="12.5" style="428" customWidth="1"/>
    <col min="5641" max="5641" width="12" style="428" bestFit="1" customWidth="1"/>
    <col min="5642" max="5889" width="9.33203125" style="428"/>
    <col min="5890" max="5890" width="42.1640625" style="428" customWidth="1"/>
    <col min="5891" max="5891" width="9.33203125" style="428"/>
    <col min="5892" max="5892" width="15" style="428" customWidth="1"/>
    <col min="5893" max="5893" width="26" style="428" customWidth="1"/>
    <col min="5894" max="5894" width="44.33203125" style="428" customWidth="1"/>
    <col min="5895" max="5895" width="9.33203125" style="428"/>
    <col min="5896" max="5896" width="12.5" style="428" customWidth="1"/>
    <col min="5897" max="5897" width="12" style="428" bestFit="1" customWidth="1"/>
    <col min="5898" max="6145" width="9.33203125" style="428"/>
    <col min="6146" max="6146" width="42.1640625" style="428" customWidth="1"/>
    <col min="6147" max="6147" width="9.33203125" style="428"/>
    <col min="6148" max="6148" width="15" style="428" customWidth="1"/>
    <col min="6149" max="6149" width="26" style="428" customWidth="1"/>
    <col min="6150" max="6150" width="44.33203125" style="428" customWidth="1"/>
    <col min="6151" max="6151" width="9.33203125" style="428"/>
    <col min="6152" max="6152" width="12.5" style="428" customWidth="1"/>
    <col min="6153" max="6153" width="12" style="428" bestFit="1" customWidth="1"/>
    <col min="6154" max="6401" width="9.33203125" style="428"/>
    <col min="6402" max="6402" width="42.1640625" style="428" customWidth="1"/>
    <col min="6403" max="6403" width="9.33203125" style="428"/>
    <col min="6404" max="6404" width="15" style="428" customWidth="1"/>
    <col min="6405" max="6405" width="26" style="428" customWidth="1"/>
    <col min="6406" max="6406" width="44.33203125" style="428" customWidth="1"/>
    <col min="6407" max="6407" width="9.33203125" style="428"/>
    <col min="6408" max="6408" width="12.5" style="428" customWidth="1"/>
    <col min="6409" max="6409" width="12" style="428" bestFit="1" customWidth="1"/>
    <col min="6410" max="6657" width="9.33203125" style="428"/>
    <col min="6658" max="6658" width="42.1640625" style="428" customWidth="1"/>
    <col min="6659" max="6659" width="9.33203125" style="428"/>
    <col min="6660" max="6660" width="15" style="428" customWidth="1"/>
    <col min="6661" max="6661" width="26" style="428" customWidth="1"/>
    <col min="6662" max="6662" width="44.33203125" style="428" customWidth="1"/>
    <col min="6663" max="6663" width="9.33203125" style="428"/>
    <col min="6664" max="6664" width="12.5" style="428" customWidth="1"/>
    <col min="6665" max="6665" width="12" style="428" bestFit="1" customWidth="1"/>
    <col min="6666" max="6913" width="9.33203125" style="428"/>
    <col min="6914" max="6914" width="42.1640625" style="428" customWidth="1"/>
    <col min="6915" max="6915" width="9.33203125" style="428"/>
    <col min="6916" max="6916" width="15" style="428" customWidth="1"/>
    <col min="6917" max="6917" width="26" style="428" customWidth="1"/>
    <col min="6918" max="6918" width="44.33203125" style="428" customWidth="1"/>
    <col min="6919" max="6919" width="9.33203125" style="428"/>
    <col min="6920" max="6920" width="12.5" style="428" customWidth="1"/>
    <col min="6921" max="6921" width="12" style="428" bestFit="1" customWidth="1"/>
    <col min="6922" max="7169" width="9.33203125" style="428"/>
    <col min="7170" max="7170" width="42.1640625" style="428" customWidth="1"/>
    <col min="7171" max="7171" width="9.33203125" style="428"/>
    <col min="7172" max="7172" width="15" style="428" customWidth="1"/>
    <col min="7173" max="7173" width="26" style="428" customWidth="1"/>
    <col min="7174" max="7174" width="44.33203125" style="428" customWidth="1"/>
    <col min="7175" max="7175" width="9.33203125" style="428"/>
    <col min="7176" max="7176" width="12.5" style="428" customWidth="1"/>
    <col min="7177" max="7177" width="12" style="428" bestFit="1" customWidth="1"/>
    <col min="7178" max="7425" width="9.33203125" style="428"/>
    <col min="7426" max="7426" width="42.1640625" style="428" customWidth="1"/>
    <col min="7427" max="7427" width="9.33203125" style="428"/>
    <col min="7428" max="7428" width="15" style="428" customWidth="1"/>
    <col min="7429" max="7429" width="26" style="428" customWidth="1"/>
    <col min="7430" max="7430" width="44.33203125" style="428" customWidth="1"/>
    <col min="7431" max="7431" width="9.33203125" style="428"/>
    <col min="7432" max="7432" width="12.5" style="428" customWidth="1"/>
    <col min="7433" max="7433" width="12" style="428" bestFit="1" customWidth="1"/>
    <col min="7434" max="7681" width="9.33203125" style="428"/>
    <col min="7682" max="7682" width="42.1640625" style="428" customWidth="1"/>
    <col min="7683" max="7683" width="9.33203125" style="428"/>
    <col min="7684" max="7684" width="15" style="428" customWidth="1"/>
    <col min="7685" max="7685" width="26" style="428" customWidth="1"/>
    <col min="7686" max="7686" width="44.33203125" style="428" customWidth="1"/>
    <col min="7687" max="7687" width="9.33203125" style="428"/>
    <col min="7688" max="7688" width="12.5" style="428" customWidth="1"/>
    <col min="7689" max="7689" width="12" style="428" bestFit="1" customWidth="1"/>
    <col min="7690" max="7937" width="9.33203125" style="428"/>
    <col min="7938" max="7938" width="42.1640625" style="428" customWidth="1"/>
    <col min="7939" max="7939" width="9.33203125" style="428"/>
    <col min="7940" max="7940" width="15" style="428" customWidth="1"/>
    <col min="7941" max="7941" width="26" style="428" customWidth="1"/>
    <col min="7942" max="7942" width="44.33203125" style="428" customWidth="1"/>
    <col min="7943" max="7943" width="9.33203125" style="428"/>
    <col min="7944" max="7944" width="12.5" style="428" customWidth="1"/>
    <col min="7945" max="7945" width="12" style="428" bestFit="1" customWidth="1"/>
    <col min="7946" max="8193" width="9.33203125" style="428"/>
    <col min="8194" max="8194" width="42.1640625" style="428" customWidth="1"/>
    <col min="8195" max="8195" width="9.33203125" style="428"/>
    <col min="8196" max="8196" width="15" style="428" customWidth="1"/>
    <col min="8197" max="8197" width="26" style="428" customWidth="1"/>
    <col min="8198" max="8198" width="44.33203125" style="428" customWidth="1"/>
    <col min="8199" max="8199" width="9.33203125" style="428"/>
    <col min="8200" max="8200" width="12.5" style="428" customWidth="1"/>
    <col min="8201" max="8201" width="12" style="428" bestFit="1" customWidth="1"/>
    <col min="8202" max="8449" width="9.33203125" style="428"/>
    <col min="8450" max="8450" width="42.1640625" style="428" customWidth="1"/>
    <col min="8451" max="8451" width="9.33203125" style="428"/>
    <col min="8452" max="8452" width="15" style="428" customWidth="1"/>
    <col min="8453" max="8453" width="26" style="428" customWidth="1"/>
    <col min="8454" max="8454" width="44.33203125" style="428" customWidth="1"/>
    <col min="8455" max="8455" width="9.33203125" style="428"/>
    <col min="8456" max="8456" width="12.5" style="428" customWidth="1"/>
    <col min="8457" max="8457" width="12" style="428" bestFit="1" customWidth="1"/>
    <col min="8458" max="8705" width="9.33203125" style="428"/>
    <col min="8706" max="8706" width="42.1640625" style="428" customWidth="1"/>
    <col min="8707" max="8707" width="9.33203125" style="428"/>
    <col min="8708" max="8708" width="15" style="428" customWidth="1"/>
    <col min="8709" max="8709" width="26" style="428" customWidth="1"/>
    <col min="8710" max="8710" width="44.33203125" style="428" customWidth="1"/>
    <col min="8711" max="8711" width="9.33203125" style="428"/>
    <col min="8712" max="8712" width="12.5" style="428" customWidth="1"/>
    <col min="8713" max="8713" width="12" style="428" bestFit="1" customWidth="1"/>
    <col min="8714" max="8961" width="9.33203125" style="428"/>
    <col min="8962" max="8962" width="42.1640625" style="428" customWidth="1"/>
    <col min="8963" max="8963" width="9.33203125" style="428"/>
    <col min="8964" max="8964" width="15" style="428" customWidth="1"/>
    <col min="8965" max="8965" width="26" style="428" customWidth="1"/>
    <col min="8966" max="8966" width="44.33203125" style="428" customWidth="1"/>
    <col min="8967" max="8967" width="9.33203125" style="428"/>
    <col min="8968" max="8968" width="12.5" style="428" customWidth="1"/>
    <col min="8969" max="8969" width="12" style="428" bestFit="1" customWidth="1"/>
    <col min="8970" max="9217" width="9.33203125" style="428"/>
    <col min="9218" max="9218" width="42.1640625" style="428" customWidth="1"/>
    <col min="9219" max="9219" width="9.33203125" style="428"/>
    <col min="9220" max="9220" width="15" style="428" customWidth="1"/>
    <col min="9221" max="9221" width="26" style="428" customWidth="1"/>
    <col min="9222" max="9222" width="44.33203125" style="428" customWidth="1"/>
    <col min="9223" max="9223" width="9.33203125" style="428"/>
    <col min="9224" max="9224" width="12.5" style="428" customWidth="1"/>
    <col min="9225" max="9225" width="12" style="428" bestFit="1" customWidth="1"/>
    <col min="9226" max="9473" width="9.33203125" style="428"/>
    <col min="9474" max="9474" width="42.1640625" style="428" customWidth="1"/>
    <col min="9475" max="9475" width="9.33203125" style="428"/>
    <col min="9476" max="9476" width="15" style="428" customWidth="1"/>
    <col min="9477" max="9477" width="26" style="428" customWidth="1"/>
    <col min="9478" max="9478" width="44.33203125" style="428" customWidth="1"/>
    <col min="9479" max="9479" width="9.33203125" style="428"/>
    <col min="9480" max="9480" width="12.5" style="428" customWidth="1"/>
    <col min="9481" max="9481" width="12" style="428" bestFit="1" customWidth="1"/>
    <col min="9482" max="9729" width="9.33203125" style="428"/>
    <col min="9730" max="9730" width="42.1640625" style="428" customWidth="1"/>
    <col min="9731" max="9731" width="9.33203125" style="428"/>
    <col min="9732" max="9732" width="15" style="428" customWidth="1"/>
    <col min="9733" max="9733" width="26" style="428" customWidth="1"/>
    <col min="9734" max="9734" width="44.33203125" style="428" customWidth="1"/>
    <col min="9735" max="9735" width="9.33203125" style="428"/>
    <col min="9736" max="9736" width="12.5" style="428" customWidth="1"/>
    <col min="9737" max="9737" width="12" style="428" bestFit="1" customWidth="1"/>
    <col min="9738" max="9985" width="9.33203125" style="428"/>
    <col min="9986" max="9986" width="42.1640625" style="428" customWidth="1"/>
    <col min="9987" max="9987" width="9.33203125" style="428"/>
    <col min="9988" max="9988" width="15" style="428" customWidth="1"/>
    <col min="9989" max="9989" width="26" style="428" customWidth="1"/>
    <col min="9990" max="9990" width="44.33203125" style="428" customWidth="1"/>
    <col min="9991" max="9991" width="9.33203125" style="428"/>
    <col min="9992" max="9992" width="12.5" style="428" customWidth="1"/>
    <col min="9993" max="9993" width="12" style="428" bestFit="1" customWidth="1"/>
    <col min="9994" max="10241" width="9.33203125" style="428"/>
    <col min="10242" max="10242" width="42.1640625" style="428" customWidth="1"/>
    <col min="10243" max="10243" width="9.33203125" style="428"/>
    <col min="10244" max="10244" width="15" style="428" customWidth="1"/>
    <col min="10245" max="10245" width="26" style="428" customWidth="1"/>
    <col min="10246" max="10246" width="44.33203125" style="428" customWidth="1"/>
    <col min="10247" max="10247" width="9.33203125" style="428"/>
    <col min="10248" max="10248" width="12.5" style="428" customWidth="1"/>
    <col min="10249" max="10249" width="12" style="428" bestFit="1" customWidth="1"/>
    <col min="10250" max="10497" width="9.33203125" style="428"/>
    <col min="10498" max="10498" width="42.1640625" style="428" customWidth="1"/>
    <col min="10499" max="10499" width="9.33203125" style="428"/>
    <col min="10500" max="10500" width="15" style="428" customWidth="1"/>
    <col min="10501" max="10501" width="26" style="428" customWidth="1"/>
    <col min="10502" max="10502" width="44.33203125" style="428" customWidth="1"/>
    <col min="10503" max="10503" width="9.33203125" style="428"/>
    <col min="10504" max="10504" width="12.5" style="428" customWidth="1"/>
    <col min="10505" max="10505" width="12" style="428" bestFit="1" customWidth="1"/>
    <col min="10506" max="10753" width="9.33203125" style="428"/>
    <col min="10754" max="10754" width="42.1640625" style="428" customWidth="1"/>
    <col min="10755" max="10755" width="9.33203125" style="428"/>
    <col min="10756" max="10756" width="15" style="428" customWidth="1"/>
    <col min="10757" max="10757" width="26" style="428" customWidth="1"/>
    <col min="10758" max="10758" width="44.33203125" style="428" customWidth="1"/>
    <col min="10759" max="10759" width="9.33203125" style="428"/>
    <col min="10760" max="10760" width="12.5" style="428" customWidth="1"/>
    <col min="10761" max="10761" width="12" style="428" bestFit="1" customWidth="1"/>
    <col min="10762" max="11009" width="9.33203125" style="428"/>
    <col min="11010" max="11010" width="42.1640625" style="428" customWidth="1"/>
    <col min="11011" max="11011" width="9.33203125" style="428"/>
    <col min="11012" max="11012" width="15" style="428" customWidth="1"/>
    <col min="11013" max="11013" width="26" style="428" customWidth="1"/>
    <col min="11014" max="11014" width="44.33203125" style="428" customWidth="1"/>
    <col min="11015" max="11015" width="9.33203125" style="428"/>
    <col min="11016" max="11016" width="12.5" style="428" customWidth="1"/>
    <col min="11017" max="11017" width="12" style="428" bestFit="1" customWidth="1"/>
    <col min="11018" max="11265" width="9.33203125" style="428"/>
    <col min="11266" max="11266" width="42.1640625" style="428" customWidth="1"/>
    <col min="11267" max="11267" width="9.33203125" style="428"/>
    <col min="11268" max="11268" width="15" style="428" customWidth="1"/>
    <col min="11269" max="11269" width="26" style="428" customWidth="1"/>
    <col min="11270" max="11270" width="44.33203125" style="428" customWidth="1"/>
    <col min="11271" max="11271" width="9.33203125" style="428"/>
    <col min="11272" max="11272" width="12.5" style="428" customWidth="1"/>
    <col min="11273" max="11273" width="12" style="428" bestFit="1" customWidth="1"/>
    <col min="11274" max="11521" width="9.33203125" style="428"/>
    <col min="11522" max="11522" width="42.1640625" style="428" customWidth="1"/>
    <col min="11523" max="11523" width="9.33203125" style="428"/>
    <col min="11524" max="11524" width="15" style="428" customWidth="1"/>
    <col min="11525" max="11525" width="26" style="428" customWidth="1"/>
    <col min="11526" max="11526" width="44.33203125" style="428" customWidth="1"/>
    <col min="11527" max="11527" width="9.33203125" style="428"/>
    <col min="11528" max="11528" width="12.5" style="428" customWidth="1"/>
    <col min="11529" max="11529" width="12" style="428" bestFit="1" customWidth="1"/>
    <col min="11530" max="11777" width="9.33203125" style="428"/>
    <col min="11778" max="11778" width="42.1640625" style="428" customWidth="1"/>
    <col min="11779" max="11779" width="9.33203125" style="428"/>
    <col min="11780" max="11780" width="15" style="428" customWidth="1"/>
    <col min="11781" max="11781" width="26" style="428" customWidth="1"/>
    <col min="11782" max="11782" width="44.33203125" style="428" customWidth="1"/>
    <col min="11783" max="11783" width="9.33203125" style="428"/>
    <col min="11784" max="11784" width="12.5" style="428" customWidth="1"/>
    <col min="11785" max="11785" width="12" style="428" bestFit="1" customWidth="1"/>
    <col min="11786" max="12033" width="9.33203125" style="428"/>
    <col min="12034" max="12034" width="42.1640625" style="428" customWidth="1"/>
    <col min="12035" max="12035" width="9.33203125" style="428"/>
    <col min="12036" max="12036" width="15" style="428" customWidth="1"/>
    <col min="12037" max="12037" width="26" style="428" customWidth="1"/>
    <col min="12038" max="12038" width="44.33203125" style="428" customWidth="1"/>
    <col min="12039" max="12039" width="9.33203125" style="428"/>
    <col min="12040" max="12040" width="12.5" style="428" customWidth="1"/>
    <col min="12041" max="12041" width="12" style="428" bestFit="1" customWidth="1"/>
    <col min="12042" max="12289" width="9.33203125" style="428"/>
    <col min="12290" max="12290" width="42.1640625" style="428" customWidth="1"/>
    <col min="12291" max="12291" width="9.33203125" style="428"/>
    <col min="12292" max="12292" width="15" style="428" customWidth="1"/>
    <col min="12293" max="12293" width="26" style="428" customWidth="1"/>
    <col min="12294" max="12294" width="44.33203125" style="428" customWidth="1"/>
    <col min="12295" max="12295" width="9.33203125" style="428"/>
    <col min="12296" max="12296" width="12.5" style="428" customWidth="1"/>
    <col min="12297" max="12297" width="12" style="428" bestFit="1" customWidth="1"/>
    <col min="12298" max="12545" width="9.33203125" style="428"/>
    <col min="12546" max="12546" width="42.1640625" style="428" customWidth="1"/>
    <col min="12547" max="12547" width="9.33203125" style="428"/>
    <col min="12548" max="12548" width="15" style="428" customWidth="1"/>
    <col min="12549" max="12549" width="26" style="428" customWidth="1"/>
    <col min="12550" max="12550" width="44.33203125" style="428" customWidth="1"/>
    <col min="12551" max="12551" width="9.33203125" style="428"/>
    <col min="12552" max="12552" width="12.5" style="428" customWidth="1"/>
    <col min="12553" max="12553" width="12" style="428" bestFit="1" customWidth="1"/>
    <col min="12554" max="12801" width="9.33203125" style="428"/>
    <col min="12802" max="12802" width="42.1640625" style="428" customWidth="1"/>
    <col min="12803" max="12803" width="9.33203125" style="428"/>
    <col min="12804" max="12804" width="15" style="428" customWidth="1"/>
    <col min="12805" max="12805" width="26" style="428" customWidth="1"/>
    <col min="12806" max="12806" width="44.33203125" style="428" customWidth="1"/>
    <col min="12807" max="12807" width="9.33203125" style="428"/>
    <col min="12808" max="12808" width="12.5" style="428" customWidth="1"/>
    <col min="12809" max="12809" width="12" style="428" bestFit="1" customWidth="1"/>
    <col min="12810" max="13057" width="9.33203125" style="428"/>
    <col min="13058" max="13058" width="42.1640625" style="428" customWidth="1"/>
    <col min="13059" max="13059" width="9.33203125" style="428"/>
    <col min="13060" max="13060" width="15" style="428" customWidth="1"/>
    <col min="13061" max="13061" width="26" style="428" customWidth="1"/>
    <col min="13062" max="13062" width="44.33203125" style="428" customWidth="1"/>
    <col min="13063" max="13063" width="9.33203125" style="428"/>
    <col min="13064" max="13064" width="12.5" style="428" customWidth="1"/>
    <col min="13065" max="13065" width="12" style="428" bestFit="1" customWidth="1"/>
    <col min="13066" max="13313" width="9.33203125" style="428"/>
    <col min="13314" max="13314" width="42.1640625" style="428" customWidth="1"/>
    <col min="13315" max="13315" width="9.33203125" style="428"/>
    <col min="13316" max="13316" width="15" style="428" customWidth="1"/>
    <col min="13317" max="13317" width="26" style="428" customWidth="1"/>
    <col min="13318" max="13318" width="44.33203125" style="428" customWidth="1"/>
    <col min="13319" max="13319" width="9.33203125" style="428"/>
    <col min="13320" max="13320" width="12.5" style="428" customWidth="1"/>
    <col min="13321" max="13321" width="12" style="428" bestFit="1" customWidth="1"/>
    <col min="13322" max="13569" width="9.33203125" style="428"/>
    <col min="13570" max="13570" width="42.1640625" style="428" customWidth="1"/>
    <col min="13571" max="13571" width="9.33203125" style="428"/>
    <col min="13572" max="13572" width="15" style="428" customWidth="1"/>
    <col min="13573" max="13573" width="26" style="428" customWidth="1"/>
    <col min="13574" max="13574" width="44.33203125" style="428" customWidth="1"/>
    <col min="13575" max="13575" width="9.33203125" style="428"/>
    <col min="13576" max="13576" width="12.5" style="428" customWidth="1"/>
    <col min="13577" max="13577" width="12" style="428" bestFit="1" customWidth="1"/>
    <col min="13578" max="13825" width="9.33203125" style="428"/>
    <col min="13826" max="13826" width="42.1640625" style="428" customWidth="1"/>
    <col min="13827" max="13827" width="9.33203125" style="428"/>
    <col min="13828" max="13828" width="15" style="428" customWidth="1"/>
    <col min="13829" max="13829" width="26" style="428" customWidth="1"/>
    <col min="13830" max="13830" width="44.33203125" style="428" customWidth="1"/>
    <col min="13831" max="13831" width="9.33203125" style="428"/>
    <col min="13832" max="13832" width="12.5" style="428" customWidth="1"/>
    <col min="13833" max="13833" width="12" style="428" bestFit="1" customWidth="1"/>
    <col min="13834" max="14081" width="9.33203125" style="428"/>
    <col min="14082" max="14082" width="42.1640625" style="428" customWidth="1"/>
    <col min="14083" max="14083" width="9.33203125" style="428"/>
    <col min="14084" max="14084" width="15" style="428" customWidth="1"/>
    <col min="14085" max="14085" width="26" style="428" customWidth="1"/>
    <col min="14086" max="14086" width="44.33203125" style="428" customWidth="1"/>
    <col min="14087" max="14087" width="9.33203125" style="428"/>
    <col min="14088" max="14088" width="12.5" style="428" customWidth="1"/>
    <col min="14089" max="14089" width="12" style="428" bestFit="1" customWidth="1"/>
    <col min="14090" max="14337" width="9.33203125" style="428"/>
    <col min="14338" max="14338" width="42.1640625" style="428" customWidth="1"/>
    <col min="14339" max="14339" width="9.33203125" style="428"/>
    <col min="14340" max="14340" width="15" style="428" customWidth="1"/>
    <col min="14341" max="14341" width="26" style="428" customWidth="1"/>
    <col min="14342" max="14342" width="44.33203125" style="428" customWidth="1"/>
    <col min="14343" max="14343" width="9.33203125" style="428"/>
    <col min="14344" max="14344" width="12.5" style="428" customWidth="1"/>
    <col min="14345" max="14345" width="12" style="428" bestFit="1" customWidth="1"/>
    <col min="14346" max="14593" width="9.33203125" style="428"/>
    <col min="14594" max="14594" width="42.1640625" style="428" customWidth="1"/>
    <col min="14595" max="14595" width="9.33203125" style="428"/>
    <col min="14596" max="14596" width="15" style="428" customWidth="1"/>
    <col min="14597" max="14597" width="26" style="428" customWidth="1"/>
    <col min="14598" max="14598" width="44.33203125" style="428" customWidth="1"/>
    <col min="14599" max="14599" width="9.33203125" style="428"/>
    <col min="14600" max="14600" width="12.5" style="428" customWidth="1"/>
    <col min="14601" max="14601" width="12" style="428" bestFit="1" customWidth="1"/>
    <col min="14602" max="14849" width="9.33203125" style="428"/>
    <col min="14850" max="14850" width="42.1640625" style="428" customWidth="1"/>
    <col min="14851" max="14851" width="9.33203125" style="428"/>
    <col min="14852" max="14852" width="15" style="428" customWidth="1"/>
    <col min="14853" max="14853" width="26" style="428" customWidth="1"/>
    <col min="14854" max="14854" width="44.33203125" style="428" customWidth="1"/>
    <col min="14855" max="14855" width="9.33203125" style="428"/>
    <col min="14856" max="14856" width="12.5" style="428" customWidth="1"/>
    <col min="14857" max="14857" width="12" style="428" bestFit="1" customWidth="1"/>
    <col min="14858" max="15105" width="9.33203125" style="428"/>
    <col min="15106" max="15106" width="42.1640625" style="428" customWidth="1"/>
    <col min="15107" max="15107" width="9.33203125" style="428"/>
    <col min="15108" max="15108" width="15" style="428" customWidth="1"/>
    <col min="15109" max="15109" width="26" style="428" customWidth="1"/>
    <col min="15110" max="15110" width="44.33203125" style="428" customWidth="1"/>
    <col min="15111" max="15111" width="9.33203125" style="428"/>
    <col min="15112" max="15112" width="12.5" style="428" customWidth="1"/>
    <col min="15113" max="15113" width="12" style="428" bestFit="1" customWidth="1"/>
    <col min="15114" max="15361" width="9.33203125" style="428"/>
    <col min="15362" max="15362" width="42.1640625" style="428" customWidth="1"/>
    <col min="15363" max="15363" width="9.33203125" style="428"/>
    <col min="15364" max="15364" width="15" style="428" customWidth="1"/>
    <col min="15365" max="15365" width="26" style="428" customWidth="1"/>
    <col min="15366" max="15366" width="44.33203125" style="428" customWidth="1"/>
    <col min="15367" max="15367" width="9.33203125" style="428"/>
    <col min="15368" max="15368" width="12.5" style="428" customWidth="1"/>
    <col min="15369" max="15369" width="12" style="428" bestFit="1" customWidth="1"/>
    <col min="15370" max="15617" width="9.33203125" style="428"/>
    <col min="15618" max="15618" width="42.1640625" style="428" customWidth="1"/>
    <col min="15619" max="15619" width="9.33203125" style="428"/>
    <col min="15620" max="15620" width="15" style="428" customWidth="1"/>
    <col min="15621" max="15621" width="26" style="428" customWidth="1"/>
    <col min="15622" max="15622" width="44.33203125" style="428" customWidth="1"/>
    <col min="15623" max="15623" width="9.33203125" style="428"/>
    <col min="15624" max="15624" width="12.5" style="428" customWidth="1"/>
    <col min="15625" max="15625" width="12" style="428" bestFit="1" customWidth="1"/>
    <col min="15626" max="15873" width="9.33203125" style="428"/>
    <col min="15874" max="15874" width="42.1640625" style="428" customWidth="1"/>
    <col min="15875" max="15875" width="9.33203125" style="428"/>
    <col min="15876" max="15876" width="15" style="428" customWidth="1"/>
    <col min="15877" max="15877" width="26" style="428" customWidth="1"/>
    <col min="15878" max="15878" width="44.33203125" style="428" customWidth="1"/>
    <col min="15879" max="15879" width="9.33203125" style="428"/>
    <col min="15880" max="15880" width="12.5" style="428" customWidth="1"/>
    <col min="15881" max="15881" width="12" style="428" bestFit="1" customWidth="1"/>
    <col min="15882" max="16129" width="9.33203125" style="428"/>
    <col min="16130" max="16130" width="42.1640625" style="428" customWidth="1"/>
    <col min="16131" max="16131" width="9.33203125" style="428"/>
    <col min="16132" max="16132" width="15" style="428" customWidth="1"/>
    <col min="16133" max="16133" width="26" style="428" customWidth="1"/>
    <col min="16134" max="16134" width="44.33203125" style="428" customWidth="1"/>
    <col min="16135" max="16135" width="9.33203125" style="428"/>
    <col min="16136" max="16136" width="12.5" style="428" customWidth="1"/>
    <col min="16137" max="16137" width="12" style="428" bestFit="1" customWidth="1"/>
    <col min="16138" max="16384" width="9.33203125" style="428"/>
  </cols>
  <sheetData>
    <row r="2" spans="1:71" s="451" customFormat="1">
      <c r="G2" s="451" t="s">
        <v>980</v>
      </c>
    </row>
    <row r="3" spans="1:71" s="451" customFormat="1"/>
    <row r="4" spans="1:71" s="451" customFormat="1"/>
    <row r="5" spans="1:71" s="451" customFormat="1" ht="15.75">
      <c r="A5" s="2948" t="s">
        <v>940</v>
      </c>
      <c r="B5" s="2948"/>
      <c r="C5" s="2948"/>
      <c r="D5" s="2948"/>
      <c r="E5" s="2948"/>
      <c r="F5" s="2948"/>
      <c r="G5" s="2948"/>
      <c r="H5" s="2948"/>
      <c r="I5" s="2948"/>
    </row>
    <row r="6" spans="1:71" s="451" customFormat="1">
      <c r="A6" s="485" t="s">
        <v>661</v>
      </c>
      <c r="B6" s="485" t="s">
        <v>664</v>
      </c>
      <c r="C6" s="485" t="s">
        <v>941</v>
      </c>
      <c r="D6" s="485" t="s">
        <v>663</v>
      </c>
      <c r="E6" s="485" t="s">
        <v>942</v>
      </c>
      <c r="F6" s="485" t="s">
        <v>668</v>
      </c>
      <c r="G6" s="485" t="s">
        <v>943</v>
      </c>
      <c r="H6" s="486" t="s">
        <v>665</v>
      </c>
      <c r="I6" s="486" t="s">
        <v>944</v>
      </c>
    </row>
    <row r="7" spans="1:71" s="451" customFormat="1">
      <c r="A7" s="487" t="s">
        <v>945</v>
      </c>
      <c r="B7" s="487" t="s">
        <v>946</v>
      </c>
      <c r="C7" s="487" t="s">
        <v>947</v>
      </c>
      <c r="D7" s="487" t="s">
        <v>948</v>
      </c>
      <c r="E7" s="487" t="s">
        <v>949</v>
      </c>
      <c r="F7" s="487" t="s">
        <v>950</v>
      </c>
      <c r="G7" s="487" t="s">
        <v>951</v>
      </c>
      <c r="H7" s="476">
        <v>2710.8</v>
      </c>
      <c r="I7" s="488">
        <v>40209</v>
      </c>
    </row>
    <row r="8" spans="1:71" s="451" customFormat="1">
      <c r="A8" s="487" t="s">
        <v>945</v>
      </c>
      <c r="B8" s="487" t="s">
        <v>952</v>
      </c>
      <c r="C8" s="487" t="s">
        <v>947</v>
      </c>
      <c r="D8" s="487" t="s">
        <v>948</v>
      </c>
      <c r="E8" s="487" t="s">
        <v>949</v>
      </c>
      <c r="F8" s="487" t="s">
        <v>950</v>
      </c>
      <c r="G8" s="487" t="s">
        <v>951</v>
      </c>
      <c r="H8" s="476">
        <v>2329.11</v>
      </c>
      <c r="I8" s="488">
        <v>40237</v>
      </c>
      <c r="BS8" s="451" t="s">
        <v>978</v>
      </c>
    </row>
    <row r="9" spans="1:71" s="451" customFormat="1">
      <c r="A9" s="487" t="s">
        <v>945</v>
      </c>
      <c r="B9" s="487" t="s">
        <v>953</v>
      </c>
      <c r="C9" s="487" t="s">
        <v>947</v>
      </c>
      <c r="D9" s="487" t="s">
        <v>948</v>
      </c>
      <c r="E9" s="487" t="s">
        <v>949</v>
      </c>
      <c r="F9" s="487" t="s">
        <v>950</v>
      </c>
      <c r="G9" s="487" t="s">
        <v>951</v>
      </c>
      <c r="H9" s="476">
        <v>2330.34</v>
      </c>
      <c r="I9" s="488">
        <v>40268</v>
      </c>
    </row>
    <row r="10" spans="1:71" s="451" customFormat="1">
      <c r="A10" s="487" t="s">
        <v>945</v>
      </c>
      <c r="B10" s="487" t="s">
        <v>954</v>
      </c>
      <c r="C10" s="487" t="s">
        <v>947</v>
      </c>
      <c r="D10" s="487" t="s">
        <v>948</v>
      </c>
      <c r="E10" s="487" t="s">
        <v>955</v>
      </c>
      <c r="F10" s="487" t="s">
        <v>950</v>
      </c>
      <c r="G10" s="487" t="s">
        <v>951</v>
      </c>
      <c r="H10" s="476">
        <v>2332.84</v>
      </c>
      <c r="I10" s="488">
        <v>40298</v>
      </c>
    </row>
    <row r="11" spans="1:71" s="451" customFormat="1">
      <c r="A11" s="487" t="s">
        <v>945</v>
      </c>
      <c r="B11" s="487" t="s">
        <v>956</v>
      </c>
      <c r="C11" s="487" t="s">
        <v>947</v>
      </c>
      <c r="D11" s="487" t="s">
        <v>948</v>
      </c>
      <c r="E11" s="487" t="s">
        <v>957</v>
      </c>
      <c r="F11" s="487" t="s">
        <v>950</v>
      </c>
      <c r="G11" s="487" t="s">
        <v>951</v>
      </c>
      <c r="H11" s="476">
        <v>2329.79</v>
      </c>
      <c r="I11" s="488">
        <v>40329</v>
      </c>
    </row>
    <row r="12" spans="1:71" s="451" customFormat="1">
      <c r="A12" s="487" t="s">
        <v>945</v>
      </c>
      <c r="B12" s="487" t="s">
        <v>958</v>
      </c>
      <c r="C12" s="487" t="s">
        <v>947</v>
      </c>
      <c r="D12" s="487" t="s">
        <v>948</v>
      </c>
      <c r="E12" s="487" t="s">
        <v>959</v>
      </c>
      <c r="F12" s="487" t="s">
        <v>950</v>
      </c>
      <c r="G12" s="487" t="s">
        <v>951</v>
      </c>
      <c r="H12" s="476">
        <v>2303.02</v>
      </c>
      <c r="I12" s="488">
        <v>40359</v>
      </c>
    </row>
    <row r="13" spans="1:71" s="451" customFormat="1">
      <c r="A13" s="487" t="s">
        <v>945</v>
      </c>
      <c r="B13" s="487" t="s">
        <v>960</v>
      </c>
      <c r="C13" s="487" t="s">
        <v>947</v>
      </c>
      <c r="D13" s="487" t="s">
        <v>948</v>
      </c>
      <c r="E13" s="487" t="s">
        <v>959</v>
      </c>
      <c r="F13" s="487" t="s">
        <v>950</v>
      </c>
      <c r="G13" s="487" t="s">
        <v>951</v>
      </c>
      <c r="H13" s="476">
        <v>2267.4699999999998</v>
      </c>
      <c r="I13" s="488">
        <v>40390</v>
      </c>
    </row>
    <row r="14" spans="1:71" s="451" customFormat="1">
      <c r="A14" s="487" t="s">
        <v>945</v>
      </c>
      <c r="B14" s="487" t="s">
        <v>961</v>
      </c>
      <c r="C14" s="487" t="s">
        <v>947</v>
      </c>
      <c r="D14" s="487" t="s">
        <v>948</v>
      </c>
      <c r="E14" s="487" t="s">
        <v>957</v>
      </c>
      <c r="F14" s="487" t="s">
        <v>950</v>
      </c>
      <c r="G14" s="487" t="s">
        <v>951</v>
      </c>
      <c r="H14" s="476">
        <v>2244.23</v>
      </c>
      <c r="I14" s="488">
        <v>40421</v>
      </c>
    </row>
    <row r="15" spans="1:71" s="451" customFormat="1">
      <c r="A15" s="487" t="s">
        <v>945</v>
      </c>
      <c r="B15" s="487" t="s">
        <v>962</v>
      </c>
      <c r="C15" s="487" t="s">
        <v>947</v>
      </c>
      <c r="D15" s="487" t="s">
        <v>948</v>
      </c>
      <c r="E15" s="487" t="s">
        <v>957</v>
      </c>
      <c r="F15" s="487" t="s">
        <v>950</v>
      </c>
      <c r="G15" s="487" t="s">
        <v>951</v>
      </c>
      <c r="H15" s="476">
        <v>2238.7800000000002</v>
      </c>
      <c r="I15" s="488">
        <v>40451</v>
      </c>
    </row>
    <row r="16" spans="1:71" s="451" customFormat="1">
      <c r="A16" s="2077" t="s">
        <v>945</v>
      </c>
      <c r="B16" s="2077" t="s">
        <v>963</v>
      </c>
      <c r="C16" s="2077" t="s">
        <v>947</v>
      </c>
      <c r="D16" s="2077" t="s">
        <v>948</v>
      </c>
      <c r="E16" s="2077" t="s">
        <v>964</v>
      </c>
      <c r="F16" s="2077" t="s">
        <v>948</v>
      </c>
      <c r="G16" s="2077" t="s">
        <v>951</v>
      </c>
      <c r="H16" s="2078">
        <v>-19173.54</v>
      </c>
      <c r="I16" s="2079">
        <v>40480</v>
      </c>
    </row>
    <row r="17" spans="1:9" s="451" customFormat="1">
      <c r="A17" s="487" t="s">
        <v>945</v>
      </c>
      <c r="B17" s="487" t="s">
        <v>965</v>
      </c>
      <c r="C17" s="487" t="s">
        <v>947</v>
      </c>
      <c r="D17" s="487" t="s">
        <v>948</v>
      </c>
      <c r="E17" s="487" t="s">
        <v>966</v>
      </c>
      <c r="F17" s="487" t="s">
        <v>950</v>
      </c>
      <c r="G17" s="487" t="s">
        <v>951</v>
      </c>
      <c r="H17" s="476">
        <v>2254.5300000000002</v>
      </c>
      <c r="I17" s="488">
        <v>40482</v>
      </c>
    </row>
    <row r="18" spans="1:9" s="451" customFormat="1">
      <c r="A18" s="487" t="s">
        <v>945</v>
      </c>
      <c r="B18" s="487" t="s">
        <v>967</v>
      </c>
      <c r="C18" s="487" t="s">
        <v>947</v>
      </c>
      <c r="D18" s="487" t="s">
        <v>948</v>
      </c>
      <c r="E18" s="487" t="s">
        <v>966</v>
      </c>
      <c r="F18" s="487" t="s">
        <v>950</v>
      </c>
      <c r="G18" s="487" t="s">
        <v>951</v>
      </c>
      <c r="H18" s="476">
        <v>2283.15</v>
      </c>
      <c r="I18" s="488">
        <v>40512</v>
      </c>
    </row>
    <row r="19" spans="1:9" s="451" customFormat="1">
      <c r="A19" s="487" t="s">
        <v>945</v>
      </c>
      <c r="B19" s="487" t="s">
        <v>968</v>
      </c>
      <c r="C19" s="487" t="s">
        <v>947</v>
      </c>
      <c r="D19" s="487" t="s">
        <v>948</v>
      </c>
      <c r="E19" s="487" t="s">
        <v>966</v>
      </c>
      <c r="F19" s="487" t="s">
        <v>950</v>
      </c>
      <c r="G19" s="487" t="s">
        <v>951</v>
      </c>
      <c r="H19" s="476">
        <v>2312.8200000000002</v>
      </c>
      <c r="I19" s="488">
        <v>40543</v>
      </c>
    </row>
    <row r="20" spans="1:9" s="451" customFormat="1">
      <c r="A20" s="487" t="s">
        <v>945</v>
      </c>
      <c r="B20" s="487" t="s">
        <v>969</v>
      </c>
      <c r="C20" s="487" t="s">
        <v>947</v>
      </c>
      <c r="D20" s="487" t="s">
        <v>948</v>
      </c>
      <c r="E20" s="487" t="s">
        <v>964</v>
      </c>
      <c r="F20" s="487" t="s">
        <v>970</v>
      </c>
      <c r="G20" s="487" t="s">
        <v>951</v>
      </c>
      <c r="H20" s="476">
        <v>626.98</v>
      </c>
      <c r="I20" s="488">
        <v>40543</v>
      </c>
    </row>
    <row r="21" spans="1:9" s="451" customFormat="1">
      <c r="A21" s="485"/>
      <c r="B21" s="487" t="s">
        <v>279</v>
      </c>
      <c r="C21" s="485"/>
      <c r="D21" s="485"/>
      <c r="E21" s="485"/>
      <c r="F21" s="485"/>
      <c r="G21" s="485"/>
      <c r="H21" s="476">
        <f>SUM(H7:H20)</f>
        <v>9390.32</v>
      </c>
      <c r="I21" s="485"/>
    </row>
    <row r="22" spans="1:9" s="451" customFormat="1"/>
    <row r="23" spans="1:9" s="451" customFormat="1"/>
  </sheetData>
  <mergeCells count="1">
    <mergeCell ref="A5:I5"/>
  </mergeCells>
  <pageMargins left="0.53" right="0.53" top="0.89" bottom="1" header="0.5" footer="0.5"/>
  <pageSetup scale="82"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2:BS21"/>
  <sheetViews>
    <sheetView workbookViewId="0">
      <pane ySplit="1" topLeftCell="A2" activePane="bottomLeft" state="frozen"/>
      <selection activeCell="D3" sqref="D3"/>
      <selection pane="bottomLeft" activeCell="B47" sqref="B47"/>
    </sheetView>
  </sheetViews>
  <sheetFormatPr defaultRowHeight="12"/>
  <cols>
    <col min="1" max="1" width="23" style="470" customWidth="1"/>
    <col min="2" max="2" width="28.5" style="470" customWidth="1"/>
    <col min="3" max="3" width="17.33203125" style="470" customWidth="1"/>
    <col min="4" max="4" width="19.1640625" style="470" customWidth="1"/>
    <col min="5" max="5" width="23" style="470" customWidth="1"/>
    <col min="6" max="6" width="9.33203125" style="470"/>
    <col min="7" max="7" width="15.6640625" style="470" bestFit="1" customWidth="1"/>
    <col min="8" max="8" width="22.6640625" style="470" customWidth="1"/>
    <col min="9" max="9" width="24" style="470" customWidth="1"/>
    <col min="10" max="10" width="17" style="470" customWidth="1"/>
    <col min="11" max="11" width="12.1640625" style="470" bestFit="1" customWidth="1"/>
    <col min="12" max="12" width="15" style="470" bestFit="1" customWidth="1"/>
    <col min="13" max="256" width="9.33203125" style="470"/>
    <col min="257" max="257" width="23" style="470" customWidth="1"/>
    <col min="258" max="258" width="28.5" style="470" customWidth="1"/>
    <col min="259" max="259" width="17.33203125" style="470" customWidth="1"/>
    <col min="260" max="260" width="19.1640625" style="470" customWidth="1"/>
    <col min="261" max="261" width="23" style="470" customWidth="1"/>
    <col min="262" max="262" width="9.33203125" style="470"/>
    <col min="263" max="263" width="15.6640625" style="470" bestFit="1" customWidth="1"/>
    <col min="264" max="264" width="22.6640625" style="470" customWidth="1"/>
    <col min="265" max="265" width="24" style="470" customWidth="1"/>
    <col min="266" max="266" width="17" style="470" customWidth="1"/>
    <col min="267" max="267" width="12.1640625" style="470" bestFit="1" customWidth="1"/>
    <col min="268" max="268" width="15" style="470" bestFit="1" customWidth="1"/>
    <col min="269" max="512" width="9.33203125" style="470"/>
    <col min="513" max="513" width="23" style="470" customWidth="1"/>
    <col min="514" max="514" width="28.5" style="470" customWidth="1"/>
    <col min="515" max="515" width="17.33203125" style="470" customWidth="1"/>
    <col min="516" max="516" width="19.1640625" style="470" customWidth="1"/>
    <col min="517" max="517" width="23" style="470" customWidth="1"/>
    <col min="518" max="518" width="9.33203125" style="470"/>
    <col min="519" max="519" width="15.6640625" style="470" bestFit="1" customWidth="1"/>
    <col min="520" max="520" width="22.6640625" style="470" customWidth="1"/>
    <col min="521" max="521" width="24" style="470" customWidth="1"/>
    <col min="522" max="522" width="17" style="470" customWidth="1"/>
    <col min="523" max="523" width="12.1640625" style="470" bestFit="1" customWidth="1"/>
    <col min="524" max="524" width="15" style="470" bestFit="1" customWidth="1"/>
    <col min="525" max="768" width="9.33203125" style="470"/>
    <col min="769" max="769" width="23" style="470" customWidth="1"/>
    <col min="770" max="770" width="28.5" style="470" customWidth="1"/>
    <col min="771" max="771" width="17.33203125" style="470" customWidth="1"/>
    <col min="772" max="772" width="19.1640625" style="470" customWidth="1"/>
    <col min="773" max="773" width="23" style="470" customWidth="1"/>
    <col min="774" max="774" width="9.33203125" style="470"/>
    <col min="775" max="775" width="15.6640625" style="470" bestFit="1" customWidth="1"/>
    <col min="776" max="776" width="22.6640625" style="470" customWidth="1"/>
    <col min="777" max="777" width="24" style="470" customWidth="1"/>
    <col min="778" max="778" width="17" style="470" customWidth="1"/>
    <col min="779" max="779" width="12.1640625" style="470" bestFit="1" customWidth="1"/>
    <col min="780" max="780" width="15" style="470" bestFit="1" customWidth="1"/>
    <col min="781" max="1024" width="9.33203125" style="470"/>
    <col min="1025" max="1025" width="23" style="470" customWidth="1"/>
    <col min="1026" max="1026" width="28.5" style="470" customWidth="1"/>
    <col min="1027" max="1027" width="17.33203125" style="470" customWidth="1"/>
    <col min="1028" max="1028" width="19.1640625" style="470" customWidth="1"/>
    <col min="1029" max="1029" width="23" style="470" customWidth="1"/>
    <col min="1030" max="1030" width="9.33203125" style="470"/>
    <col min="1031" max="1031" width="15.6640625" style="470" bestFit="1" customWidth="1"/>
    <col min="1032" max="1032" width="22.6640625" style="470" customWidth="1"/>
    <col min="1033" max="1033" width="24" style="470" customWidth="1"/>
    <col min="1034" max="1034" width="17" style="470" customWidth="1"/>
    <col min="1035" max="1035" width="12.1640625" style="470" bestFit="1" customWidth="1"/>
    <col min="1036" max="1036" width="15" style="470" bestFit="1" customWidth="1"/>
    <col min="1037" max="1280" width="9.33203125" style="470"/>
    <col min="1281" max="1281" width="23" style="470" customWidth="1"/>
    <col min="1282" max="1282" width="28.5" style="470" customWidth="1"/>
    <col min="1283" max="1283" width="17.33203125" style="470" customWidth="1"/>
    <col min="1284" max="1284" width="19.1640625" style="470" customWidth="1"/>
    <col min="1285" max="1285" width="23" style="470" customWidth="1"/>
    <col min="1286" max="1286" width="9.33203125" style="470"/>
    <col min="1287" max="1287" width="15.6640625" style="470" bestFit="1" customWidth="1"/>
    <col min="1288" max="1288" width="22.6640625" style="470" customWidth="1"/>
    <col min="1289" max="1289" width="24" style="470" customWidth="1"/>
    <col min="1290" max="1290" width="17" style="470" customWidth="1"/>
    <col min="1291" max="1291" width="12.1640625" style="470" bestFit="1" customWidth="1"/>
    <col min="1292" max="1292" width="15" style="470" bestFit="1" customWidth="1"/>
    <col min="1293" max="1536" width="9.33203125" style="470"/>
    <col min="1537" max="1537" width="23" style="470" customWidth="1"/>
    <col min="1538" max="1538" width="28.5" style="470" customWidth="1"/>
    <col min="1539" max="1539" width="17.33203125" style="470" customWidth="1"/>
    <col min="1540" max="1540" width="19.1640625" style="470" customWidth="1"/>
    <col min="1541" max="1541" width="23" style="470" customWidth="1"/>
    <col min="1542" max="1542" width="9.33203125" style="470"/>
    <col min="1543" max="1543" width="15.6640625" style="470" bestFit="1" customWidth="1"/>
    <col min="1544" max="1544" width="22.6640625" style="470" customWidth="1"/>
    <col min="1545" max="1545" width="24" style="470" customWidth="1"/>
    <col min="1546" max="1546" width="17" style="470" customWidth="1"/>
    <col min="1547" max="1547" width="12.1640625" style="470" bestFit="1" customWidth="1"/>
    <col min="1548" max="1548" width="15" style="470" bestFit="1" customWidth="1"/>
    <col min="1549" max="1792" width="9.33203125" style="470"/>
    <col min="1793" max="1793" width="23" style="470" customWidth="1"/>
    <col min="1794" max="1794" width="28.5" style="470" customWidth="1"/>
    <col min="1795" max="1795" width="17.33203125" style="470" customWidth="1"/>
    <col min="1796" max="1796" width="19.1640625" style="470" customWidth="1"/>
    <col min="1797" max="1797" width="23" style="470" customWidth="1"/>
    <col min="1798" max="1798" width="9.33203125" style="470"/>
    <col min="1799" max="1799" width="15.6640625" style="470" bestFit="1" customWidth="1"/>
    <col min="1800" max="1800" width="22.6640625" style="470" customWidth="1"/>
    <col min="1801" max="1801" width="24" style="470" customWidth="1"/>
    <col min="1802" max="1802" width="17" style="470" customWidth="1"/>
    <col min="1803" max="1803" width="12.1640625" style="470" bestFit="1" customWidth="1"/>
    <col min="1804" max="1804" width="15" style="470" bestFit="1" customWidth="1"/>
    <col min="1805" max="2048" width="9.33203125" style="470"/>
    <col min="2049" max="2049" width="23" style="470" customWidth="1"/>
    <col min="2050" max="2050" width="28.5" style="470" customWidth="1"/>
    <col min="2051" max="2051" width="17.33203125" style="470" customWidth="1"/>
    <col min="2052" max="2052" width="19.1640625" style="470" customWidth="1"/>
    <col min="2053" max="2053" width="23" style="470" customWidth="1"/>
    <col min="2054" max="2054" width="9.33203125" style="470"/>
    <col min="2055" max="2055" width="15.6640625" style="470" bestFit="1" customWidth="1"/>
    <col min="2056" max="2056" width="22.6640625" style="470" customWidth="1"/>
    <col min="2057" max="2057" width="24" style="470" customWidth="1"/>
    <col min="2058" max="2058" width="17" style="470" customWidth="1"/>
    <col min="2059" max="2059" width="12.1640625" style="470" bestFit="1" customWidth="1"/>
    <col min="2060" max="2060" width="15" style="470" bestFit="1" customWidth="1"/>
    <col min="2061" max="2304" width="9.33203125" style="470"/>
    <col min="2305" max="2305" width="23" style="470" customWidth="1"/>
    <col min="2306" max="2306" width="28.5" style="470" customWidth="1"/>
    <col min="2307" max="2307" width="17.33203125" style="470" customWidth="1"/>
    <col min="2308" max="2308" width="19.1640625" style="470" customWidth="1"/>
    <col min="2309" max="2309" width="23" style="470" customWidth="1"/>
    <col min="2310" max="2310" width="9.33203125" style="470"/>
    <col min="2311" max="2311" width="15.6640625" style="470" bestFit="1" customWidth="1"/>
    <col min="2312" max="2312" width="22.6640625" style="470" customWidth="1"/>
    <col min="2313" max="2313" width="24" style="470" customWidth="1"/>
    <col min="2314" max="2314" width="17" style="470" customWidth="1"/>
    <col min="2315" max="2315" width="12.1640625" style="470" bestFit="1" customWidth="1"/>
    <col min="2316" max="2316" width="15" style="470" bestFit="1" customWidth="1"/>
    <col min="2317" max="2560" width="9.33203125" style="470"/>
    <col min="2561" max="2561" width="23" style="470" customWidth="1"/>
    <col min="2562" max="2562" width="28.5" style="470" customWidth="1"/>
    <col min="2563" max="2563" width="17.33203125" style="470" customWidth="1"/>
    <col min="2564" max="2564" width="19.1640625" style="470" customWidth="1"/>
    <col min="2565" max="2565" width="23" style="470" customWidth="1"/>
    <col min="2566" max="2566" width="9.33203125" style="470"/>
    <col min="2567" max="2567" width="15.6640625" style="470" bestFit="1" customWidth="1"/>
    <col min="2568" max="2568" width="22.6640625" style="470" customWidth="1"/>
    <col min="2569" max="2569" width="24" style="470" customWidth="1"/>
    <col min="2570" max="2570" width="17" style="470" customWidth="1"/>
    <col min="2571" max="2571" width="12.1640625" style="470" bestFit="1" customWidth="1"/>
    <col min="2572" max="2572" width="15" style="470" bestFit="1" customWidth="1"/>
    <col min="2573" max="2816" width="9.33203125" style="470"/>
    <col min="2817" max="2817" width="23" style="470" customWidth="1"/>
    <col min="2818" max="2818" width="28.5" style="470" customWidth="1"/>
    <col min="2819" max="2819" width="17.33203125" style="470" customWidth="1"/>
    <col min="2820" max="2820" width="19.1640625" style="470" customWidth="1"/>
    <col min="2821" max="2821" width="23" style="470" customWidth="1"/>
    <col min="2822" max="2822" width="9.33203125" style="470"/>
    <col min="2823" max="2823" width="15.6640625" style="470" bestFit="1" customWidth="1"/>
    <col min="2824" max="2824" width="22.6640625" style="470" customWidth="1"/>
    <col min="2825" max="2825" width="24" style="470" customWidth="1"/>
    <col min="2826" max="2826" width="17" style="470" customWidth="1"/>
    <col min="2827" max="2827" width="12.1640625" style="470" bestFit="1" customWidth="1"/>
    <col min="2828" max="2828" width="15" style="470" bestFit="1" customWidth="1"/>
    <col min="2829" max="3072" width="9.33203125" style="470"/>
    <col min="3073" max="3073" width="23" style="470" customWidth="1"/>
    <col min="3074" max="3074" width="28.5" style="470" customWidth="1"/>
    <col min="3075" max="3075" width="17.33203125" style="470" customWidth="1"/>
    <col min="3076" max="3076" width="19.1640625" style="470" customWidth="1"/>
    <col min="3077" max="3077" width="23" style="470" customWidth="1"/>
    <col min="3078" max="3078" width="9.33203125" style="470"/>
    <col min="3079" max="3079" width="15.6640625" style="470" bestFit="1" customWidth="1"/>
    <col min="3080" max="3080" width="22.6640625" style="470" customWidth="1"/>
    <col min="3081" max="3081" width="24" style="470" customWidth="1"/>
    <col min="3082" max="3082" width="17" style="470" customWidth="1"/>
    <col min="3083" max="3083" width="12.1640625" style="470" bestFit="1" customWidth="1"/>
    <col min="3084" max="3084" width="15" style="470" bestFit="1" customWidth="1"/>
    <col min="3085" max="3328" width="9.33203125" style="470"/>
    <col min="3329" max="3329" width="23" style="470" customWidth="1"/>
    <col min="3330" max="3330" width="28.5" style="470" customWidth="1"/>
    <col min="3331" max="3331" width="17.33203125" style="470" customWidth="1"/>
    <col min="3332" max="3332" width="19.1640625" style="470" customWidth="1"/>
    <col min="3333" max="3333" width="23" style="470" customWidth="1"/>
    <col min="3334" max="3334" width="9.33203125" style="470"/>
    <col min="3335" max="3335" width="15.6640625" style="470" bestFit="1" customWidth="1"/>
    <col min="3336" max="3336" width="22.6640625" style="470" customWidth="1"/>
    <col min="3337" max="3337" width="24" style="470" customWidth="1"/>
    <col min="3338" max="3338" width="17" style="470" customWidth="1"/>
    <col min="3339" max="3339" width="12.1640625" style="470" bestFit="1" customWidth="1"/>
    <col min="3340" max="3340" width="15" style="470" bestFit="1" customWidth="1"/>
    <col min="3341" max="3584" width="9.33203125" style="470"/>
    <col min="3585" max="3585" width="23" style="470" customWidth="1"/>
    <col min="3586" max="3586" width="28.5" style="470" customWidth="1"/>
    <col min="3587" max="3587" width="17.33203125" style="470" customWidth="1"/>
    <col min="3588" max="3588" width="19.1640625" style="470" customWidth="1"/>
    <col min="3589" max="3589" width="23" style="470" customWidth="1"/>
    <col min="3590" max="3590" width="9.33203125" style="470"/>
    <col min="3591" max="3591" width="15.6640625" style="470" bestFit="1" customWidth="1"/>
    <col min="3592" max="3592" width="22.6640625" style="470" customWidth="1"/>
    <col min="3593" max="3593" width="24" style="470" customWidth="1"/>
    <col min="3594" max="3594" width="17" style="470" customWidth="1"/>
    <col min="3595" max="3595" width="12.1640625" style="470" bestFit="1" customWidth="1"/>
    <col min="3596" max="3596" width="15" style="470" bestFit="1" customWidth="1"/>
    <col min="3597" max="3840" width="9.33203125" style="470"/>
    <col min="3841" max="3841" width="23" style="470" customWidth="1"/>
    <col min="3842" max="3842" width="28.5" style="470" customWidth="1"/>
    <col min="3843" max="3843" width="17.33203125" style="470" customWidth="1"/>
    <col min="3844" max="3844" width="19.1640625" style="470" customWidth="1"/>
    <col min="3845" max="3845" width="23" style="470" customWidth="1"/>
    <col min="3846" max="3846" width="9.33203125" style="470"/>
    <col min="3847" max="3847" width="15.6640625" style="470" bestFit="1" customWidth="1"/>
    <col min="3848" max="3848" width="22.6640625" style="470" customWidth="1"/>
    <col min="3849" max="3849" width="24" style="470" customWidth="1"/>
    <col min="3850" max="3850" width="17" style="470" customWidth="1"/>
    <col min="3851" max="3851" width="12.1640625" style="470" bestFit="1" customWidth="1"/>
    <col min="3852" max="3852" width="15" style="470" bestFit="1" customWidth="1"/>
    <col min="3853" max="4096" width="9.33203125" style="470"/>
    <col min="4097" max="4097" width="23" style="470" customWidth="1"/>
    <col min="4098" max="4098" width="28.5" style="470" customWidth="1"/>
    <col min="4099" max="4099" width="17.33203125" style="470" customWidth="1"/>
    <col min="4100" max="4100" width="19.1640625" style="470" customWidth="1"/>
    <col min="4101" max="4101" width="23" style="470" customWidth="1"/>
    <col min="4102" max="4102" width="9.33203125" style="470"/>
    <col min="4103" max="4103" width="15.6640625" style="470" bestFit="1" customWidth="1"/>
    <col min="4104" max="4104" width="22.6640625" style="470" customWidth="1"/>
    <col min="4105" max="4105" width="24" style="470" customWidth="1"/>
    <col min="4106" max="4106" width="17" style="470" customWidth="1"/>
    <col min="4107" max="4107" width="12.1640625" style="470" bestFit="1" customWidth="1"/>
    <col min="4108" max="4108" width="15" style="470" bestFit="1" customWidth="1"/>
    <col min="4109" max="4352" width="9.33203125" style="470"/>
    <col min="4353" max="4353" width="23" style="470" customWidth="1"/>
    <col min="4354" max="4354" width="28.5" style="470" customWidth="1"/>
    <col min="4355" max="4355" width="17.33203125" style="470" customWidth="1"/>
    <col min="4356" max="4356" width="19.1640625" style="470" customWidth="1"/>
    <col min="4357" max="4357" width="23" style="470" customWidth="1"/>
    <col min="4358" max="4358" width="9.33203125" style="470"/>
    <col min="4359" max="4359" width="15.6640625" style="470" bestFit="1" customWidth="1"/>
    <col min="4360" max="4360" width="22.6640625" style="470" customWidth="1"/>
    <col min="4361" max="4361" width="24" style="470" customWidth="1"/>
    <col min="4362" max="4362" width="17" style="470" customWidth="1"/>
    <col min="4363" max="4363" width="12.1640625" style="470" bestFit="1" customWidth="1"/>
    <col min="4364" max="4364" width="15" style="470" bestFit="1" customWidth="1"/>
    <col min="4365" max="4608" width="9.33203125" style="470"/>
    <col min="4609" max="4609" width="23" style="470" customWidth="1"/>
    <col min="4610" max="4610" width="28.5" style="470" customWidth="1"/>
    <col min="4611" max="4611" width="17.33203125" style="470" customWidth="1"/>
    <col min="4612" max="4612" width="19.1640625" style="470" customWidth="1"/>
    <col min="4613" max="4613" width="23" style="470" customWidth="1"/>
    <col min="4614" max="4614" width="9.33203125" style="470"/>
    <col min="4615" max="4615" width="15.6640625" style="470" bestFit="1" customWidth="1"/>
    <col min="4616" max="4616" width="22.6640625" style="470" customWidth="1"/>
    <col min="4617" max="4617" width="24" style="470" customWidth="1"/>
    <col min="4618" max="4618" width="17" style="470" customWidth="1"/>
    <col min="4619" max="4619" width="12.1640625" style="470" bestFit="1" customWidth="1"/>
    <col min="4620" max="4620" width="15" style="470" bestFit="1" customWidth="1"/>
    <col min="4621" max="4864" width="9.33203125" style="470"/>
    <col min="4865" max="4865" width="23" style="470" customWidth="1"/>
    <col min="4866" max="4866" width="28.5" style="470" customWidth="1"/>
    <col min="4867" max="4867" width="17.33203125" style="470" customWidth="1"/>
    <col min="4868" max="4868" width="19.1640625" style="470" customWidth="1"/>
    <col min="4869" max="4869" width="23" style="470" customWidth="1"/>
    <col min="4870" max="4870" width="9.33203125" style="470"/>
    <col min="4871" max="4871" width="15.6640625" style="470" bestFit="1" customWidth="1"/>
    <col min="4872" max="4872" width="22.6640625" style="470" customWidth="1"/>
    <col min="4873" max="4873" width="24" style="470" customWidth="1"/>
    <col min="4874" max="4874" width="17" style="470" customWidth="1"/>
    <col min="4875" max="4875" width="12.1640625" style="470" bestFit="1" customWidth="1"/>
    <col min="4876" max="4876" width="15" style="470" bestFit="1" customWidth="1"/>
    <col min="4877" max="5120" width="9.33203125" style="470"/>
    <col min="5121" max="5121" width="23" style="470" customWidth="1"/>
    <col min="5122" max="5122" width="28.5" style="470" customWidth="1"/>
    <col min="5123" max="5123" width="17.33203125" style="470" customWidth="1"/>
    <col min="5124" max="5124" width="19.1640625" style="470" customWidth="1"/>
    <col min="5125" max="5125" width="23" style="470" customWidth="1"/>
    <col min="5126" max="5126" width="9.33203125" style="470"/>
    <col min="5127" max="5127" width="15.6640625" style="470" bestFit="1" customWidth="1"/>
    <col min="5128" max="5128" width="22.6640625" style="470" customWidth="1"/>
    <col min="5129" max="5129" width="24" style="470" customWidth="1"/>
    <col min="5130" max="5130" width="17" style="470" customWidth="1"/>
    <col min="5131" max="5131" width="12.1640625" style="470" bestFit="1" customWidth="1"/>
    <col min="5132" max="5132" width="15" style="470" bestFit="1" customWidth="1"/>
    <col min="5133" max="5376" width="9.33203125" style="470"/>
    <col min="5377" max="5377" width="23" style="470" customWidth="1"/>
    <col min="5378" max="5378" width="28.5" style="470" customWidth="1"/>
    <col min="5379" max="5379" width="17.33203125" style="470" customWidth="1"/>
    <col min="5380" max="5380" width="19.1640625" style="470" customWidth="1"/>
    <col min="5381" max="5381" width="23" style="470" customWidth="1"/>
    <col min="5382" max="5382" width="9.33203125" style="470"/>
    <col min="5383" max="5383" width="15.6640625" style="470" bestFit="1" customWidth="1"/>
    <col min="5384" max="5384" width="22.6640625" style="470" customWidth="1"/>
    <col min="5385" max="5385" width="24" style="470" customWidth="1"/>
    <col min="5386" max="5386" width="17" style="470" customWidth="1"/>
    <col min="5387" max="5387" width="12.1640625" style="470" bestFit="1" customWidth="1"/>
    <col min="5388" max="5388" width="15" style="470" bestFit="1" customWidth="1"/>
    <col min="5389" max="5632" width="9.33203125" style="470"/>
    <col min="5633" max="5633" width="23" style="470" customWidth="1"/>
    <col min="5634" max="5634" width="28.5" style="470" customWidth="1"/>
    <col min="5635" max="5635" width="17.33203125" style="470" customWidth="1"/>
    <col min="5636" max="5636" width="19.1640625" style="470" customWidth="1"/>
    <col min="5637" max="5637" width="23" style="470" customWidth="1"/>
    <col min="5638" max="5638" width="9.33203125" style="470"/>
    <col min="5639" max="5639" width="15.6640625" style="470" bestFit="1" customWidth="1"/>
    <col min="5640" max="5640" width="22.6640625" style="470" customWidth="1"/>
    <col min="5641" max="5641" width="24" style="470" customWidth="1"/>
    <col min="5642" max="5642" width="17" style="470" customWidth="1"/>
    <col min="5643" max="5643" width="12.1640625" style="470" bestFit="1" customWidth="1"/>
    <col min="5644" max="5644" width="15" style="470" bestFit="1" customWidth="1"/>
    <col min="5645" max="5888" width="9.33203125" style="470"/>
    <col min="5889" max="5889" width="23" style="470" customWidth="1"/>
    <col min="5890" max="5890" width="28.5" style="470" customWidth="1"/>
    <col min="5891" max="5891" width="17.33203125" style="470" customWidth="1"/>
    <col min="5892" max="5892" width="19.1640625" style="470" customWidth="1"/>
    <col min="5893" max="5893" width="23" style="470" customWidth="1"/>
    <col min="5894" max="5894" width="9.33203125" style="470"/>
    <col min="5895" max="5895" width="15.6640625" style="470" bestFit="1" customWidth="1"/>
    <col min="5896" max="5896" width="22.6640625" style="470" customWidth="1"/>
    <col min="5897" max="5897" width="24" style="470" customWidth="1"/>
    <col min="5898" max="5898" width="17" style="470" customWidth="1"/>
    <col min="5899" max="5899" width="12.1640625" style="470" bestFit="1" customWidth="1"/>
    <col min="5900" max="5900" width="15" style="470" bestFit="1" customWidth="1"/>
    <col min="5901" max="6144" width="9.33203125" style="470"/>
    <col min="6145" max="6145" width="23" style="470" customWidth="1"/>
    <col min="6146" max="6146" width="28.5" style="470" customWidth="1"/>
    <col min="6147" max="6147" width="17.33203125" style="470" customWidth="1"/>
    <col min="6148" max="6148" width="19.1640625" style="470" customWidth="1"/>
    <col min="6149" max="6149" width="23" style="470" customWidth="1"/>
    <col min="6150" max="6150" width="9.33203125" style="470"/>
    <col min="6151" max="6151" width="15.6640625" style="470" bestFit="1" customWidth="1"/>
    <col min="6152" max="6152" width="22.6640625" style="470" customWidth="1"/>
    <col min="6153" max="6153" width="24" style="470" customWidth="1"/>
    <col min="6154" max="6154" width="17" style="470" customWidth="1"/>
    <col min="6155" max="6155" width="12.1640625" style="470" bestFit="1" customWidth="1"/>
    <col min="6156" max="6156" width="15" style="470" bestFit="1" customWidth="1"/>
    <col min="6157" max="6400" width="9.33203125" style="470"/>
    <col min="6401" max="6401" width="23" style="470" customWidth="1"/>
    <col min="6402" max="6402" width="28.5" style="470" customWidth="1"/>
    <col min="6403" max="6403" width="17.33203125" style="470" customWidth="1"/>
    <col min="6404" max="6404" width="19.1640625" style="470" customWidth="1"/>
    <col min="6405" max="6405" width="23" style="470" customWidth="1"/>
    <col min="6406" max="6406" width="9.33203125" style="470"/>
    <col min="6407" max="6407" width="15.6640625" style="470" bestFit="1" customWidth="1"/>
    <col min="6408" max="6408" width="22.6640625" style="470" customWidth="1"/>
    <col min="6409" max="6409" width="24" style="470" customWidth="1"/>
    <col min="6410" max="6410" width="17" style="470" customWidth="1"/>
    <col min="6411" max="6411" width="12.1640625" style="470" bestFit="1" customWidth="1"/>
    <col min="6412" max="6412" width="15" style="470" bestFit="1" customWidth="1"/>
    <col min="6413" max="6656" width="9.33203125" style="470"/>
    <col min="6657" max="6657" width="23" style="470" customWidth="1"/>
    <col min="6658" max="6658" width="28.5" style="470" customWidth="1"/>
    <col min="6659" max="6659" width="17.33203125" style="470" customWidth="1"/>
    <col min="6660" max="6660" width="19.1640625" style="470" customWidth="1"/>
    <col min="6661" max="6661" width="23" style="470" customWidth="1"/>
    <col min="6662" max="6662" width="9.33203125" style="470"/>
    <col min="6663" max="6663" width="15.6640625" style="470" bestFit="1" customWidth="1"/>
    <col min="6664" max="6664" width="22.6640625" style="470" customWidth="1"/>
    <col min="6665" max="6665" width="24" style="470" customWidth="1"/>
    <col min="6666" max="6666" width="17" style="470" customWidth="1"/>
    <col min="6667" max="6667" width="12.1640625" style="470" bestFit="1" customWidth="1"/>
    <col min="6668" max="6668" width="15" style="470" bestFit="1" customWidth="1"/>
    <col min="6669" max="6912" width="9.33203125" style="470"/>
    <col min="6913" max="6913" width="23" style="470" customWidth="1"/>
    <col min="6914" max="6914" width="28.5" style="470" customWidth="1"/>
    <col min="6915" max="6915" width="17.33203125" style="470" customWidth="1"/>
    <col min="6916" max="6916" width="19.1640625" style="470" customWidth="1"/>
    <col min="6917" max="6917" width="23" style="470" customWidth="1"/>
    <col min="6918" max="6918" width="9.33203125" style="470"/>
    <col min="6919" max="6919" width="15.6640625" style="470" bestFit="1" customWidth="1"/>
    <col min="6920" max="6920" width="22.6640625" style="470" customWidth="1"/>
    <col min="6921" max="6921" width="24" style="470" customWidth="1"/>
    <col min="6922" max="6922" width="17" style="470" customWidth="1"/>
    <col min="6923" max="6923" width="12.1640625" style="470" bestFit="1" customWidth="1"/>
    <col min="6924" max="6924" width="15" style="470" bestFit="1" customWidth="1"/>
    <col min="6925" max="7168" width="9.33203125" style="470"/>
    <col min="7169" max="7169" width="23" style="470" customWidth="1"/>
    <col min="7170" max="7170" width="28.5" style="470" customWidth="1"/>
    <col min="7171" max="7171" width="17.33203125" style="470" customWidth="1"/>
    <col min="7172" max="7172" width="19.1640625" style="470" customWidth="1"/>
    <col min="7173" max="7173" width="23" style="470" customWidth="1"/>
    <col min="7174" max="7174" width="9.33203125" style="470"/>
    <col min="7175" max="7175" width="15.6640625" style="470" bestFit="1" customWidth="1"/>
    <col min="7176" max="7176" width="22.6640625" style="470" customWidth="1"/>
    <col min="7177" max="7177" width="24" style="470" customWidth="1"/>
    <col min="7178" max="7178" width="17" style="470" customWidth="1"/>
    <col min="7179" max="7179" width="12.1640625" style="470" bestFit="1" customWidth="1"/>
    <col min="7180" max="7180" width="15" style="470" bestFit="1" customWidth="1"/>
    <col min="7181" max="7424" width="9.33203125" style="470"/>
    <col min="7425" max="7425" width="23" style="470" customWidth="1"/>
    <col min="7426" max="7426" width="28.5" style="470" customWidth="1"/>
    <col min="7427" max="7427" width="17.33203125" style="470" customWidth="1"/>
    <col min="7428" max="7428" width="19.1640625" style="470" customWidth="1"/>
    <col min="7429" max="7429" width="23" style="470" customWidth="1"/>
    <col min="7430" max="7430" width="9.33203125" style="470"/>
    <col min="7431" max="7431" width="15.6640625" style="470" bestFit="1" customWidth="1"/>
    <col min="7432" max="7432" width="22.6640625" style="470" customWidth="1"/>
    <col min="7433" max="7433" width="24" style="470" customWidth="1"/>
    <col min="7434" max="7434" width="17" style="470" customWidth="1"/>
    <col min="7435" max="7435" width="12.1640625" style="470" bestFit="1" customWidth="1"/>
    <col min="7436" max="7436" width="15" style="470" bestFit="1" customWidth="1"/>
    <col min="7437" max="7680" width="9.33203125" style="470"/>
    <col min="7681" max="7681" width="23" style="470" customWidth="1"/>
    <col min="7682" max="7682" width="28.5" style="470" customWidth="1"/>
    <col min="7683" max="7683" width="17.33203125" style="470" customWidth="1"/>
    <col min="7684" max="7684" width="19.1640625" style="470" customWidth="1"/>
    <col min="7685" max="7685" width="23" style="470" customWidth="1"/>
    <col min="7686" max="7686" width="9.33203125" style="470"/>
    <col min="7687" max="7687" width="15.6640625" style="470" bestFit="1" customWidth="1"/>
    <col min="7688" max="7688" width="22.6640625" style="470" customWidth="1"/>
    <col min="7689" max="7689" width="24" style="470" customWidth="1"/>
    <col min="7690" max="7690" width="17" style="470" customWidth="1"/>
    <col min="7691" max="7691" width="12.1640625" style="470" bestFit="1" customWidth="1"/>
    <col min="7692" max="7692" width="15" style="470" bestFit="1" customWidth="1"/>
    <col min="7693" max="7936" width="9.33203125" style="470"/>
    <col min="7937" max="7937" width="23" style="470" customWidth="1"/>
    <col min="7938" max="7938" width="28.5" style="470" customWidth="1"/>
    <col min="7939" max="7939" width="17.33203125" style="470" customWidth="1"/>
    <col min="7940" max="7940" width="19.1640625" style="470" customWidth="1"/>
    <col min="7941" max="7941" width="23" style="470" customWidth="1"/>
    <col min="7942" max="7942" width="9.33203125" style="470"/>
    <col min="7943" max="7943" width="15.6640625" style="470" bestFit="1" customWidth="1"/>
    <col min="7944" max="7944" width="22.6640625" style="470" customWidth="1"/>
    <col min="7945" max="7945" width="24" style="470" customWidth="1"/>
    <col min="7946" max="7946" width="17" style="470" customWidth="1"/>
    <col min="7947" max="7947" width="12.1640625" style="470" bestFit="1" customWidth="1"/>
    <col min="7948" max="7948" width="15" style="470" bestFit="1" customWidth="1"/>
    <col min="7949" max="8192" width="9.33203125" style="470"/>
    <col min="8193" max="8193" width="23" style="470" customWidth="1"/>
    <col min="8194" max="8194" width="28.5" style="470" customWidth="1"/>
    <col min="8195" max="8195" width="17.33203125" style="470" customWidth="1"/>
    <col min="8196" max="8196" width="19.1640625" style="470" customWidth="1"/>
    <col min="8197" max="8197" width="23" style="470" customWidth="1"/>
    <col min="8198" max="8198" width="9.33203125" style="470"/>
    <col min="8199" max="8199" width="15.6640625" style="470" bestFit="1" customWidth="1"/>
    <col min="8200" max="8200" width="22.6640625" style="470" customWidth="1"/>
    <col min="8201" max="8201" width="24" style="470" customWidth="1"/>
    <col min="8202" max="8202" width="17" style="470" customWidth="1"/>
    <col min="8203" max="8203" width="12.1640625" style="470" bestFit="1" customWidth="1"/>
    <col min="8204" max="8204" width="15" style="470" bestFit="1" customWidth="1"/>
    <col min="8205" max="8448" width="9.33203125" style="470"/>
    <col min="8449" max="8449" width="23" style="470" customWidth="1"/>
    <col min="8450" max="8450" width="28.5" style="470" customWidth="1"/>
    <col min="8451" max="8451" width="17.33203125" style="470" customWidth="1"/>
    <col min="8452" max="8452" width="19.1640625" style="470" customWidth="1"/>
    <col min="8453" max="8453" width="23" style="470" customWidth="1"/>
    <col min="8454" max="8454" width="9.33203125" style="470"/>
    <col min="8455" max="8455" width="15.6640625" style="470" bestFit="1" customWidth="1"/>
    <col min="8456" max="8456" width="22.6640625" style="470" customWidth="1"/>
    <col min="8457" max="8457" width="24" style="470" customWidth="1"/>
    <col min="8458" max="8458" width="17" style="470" customWidth="1"/>
    <col min="8459" max="8459" width="12.1640625" style="470" bestFit="1" customWidth="1"/>
    <col min="8460" max="8460" width="15" style="470" bestFit="1" customWidth="1"/>
    <col min="8461" max="8704" width="9.33203125" style="470"/>
    <col min="8705" max="8705" width="23" style="470" customWidth="1"/>
    <col min="8706" max="8706" width="28.5" style="470" customWidth="1"/>
    <col min="8707" max="8707" width="17.33203125" style="470" customWidth="1"/>
    <col min="8708" max="8708" width="19.1640625" style="470" customWidth="1"/>
    <col min="8709" max="8709" width="23" style="470" customWidth="1"/>
    <col min="8710" max="8710" width="9.33203125" style="470"/>
    <col min="8711" max="8711" width="15.6640625" style="470" bestFit="1" customWidth="1"/>
    <col min="8712" max="8712" width="22.6640625" style="470" customWidth="1"/>
    <col min="8713" max="8713" width="24" style="470" customWidth="1"/>
    <col min="8714" max="8714" width="17" style="470" customWidth="1"/>
    <col min="8715" max="8715" width="12.1640625" style="470" bestFit="1" customWidth="1"/>
    <col min="8716" max="8716" width="15" style="470" bestFit="1" customWidth="1"/>
    <col min="8717" max="8960" width="9.33203125" style="470"/>
    <col min="8961" max="8961" width="23" style="470" customWidth="1"/>
    <col min="8962" max="8962" width="28.5" style="470" customWidth="1"/>
    <col min="8963" max="8963" width="17.33203125" style="470" customWidth="1"/>
    <col min="8964" max="8964" width="19.1640625" style="470" customWidth="1"/>
    <col min="8965" max="8965" width="23" style="470" customWidth="1"/>
    <col min="8966" max="8966" width="9.33203125" style="470"/>
    <col min="8967" max="8967" width="15.6640625" style="470" bestFit="1" customWidth="1"/>
    <col min="8968" max="8968" width="22.6640625" style="470" customWidth="1"/>
    <col min="8969" max="8969" width="24" style="470" customWidth="1"/>
    <col min="8970" max="8970" width="17" style="470" customWidth="1"/>
    <col min="8971" max="8971" width="12.1640625" style="470" bestFit="1" customWidth="1"/>
    <col min="8972" max="8972" width="15" style="470" bestFit="1" customWidth="1"/>
    <col min="8973" max="9216" width="9.33203125" style="470"/>
    <col min="9217" max="9217" width="23" style="470" customWidth="1"/>
    <col min="9218" max="9218" width="28.5" style="470" customWidth="1"/>
    <col min="9219" max="9219" width="17.33203125" style="470" customWidth="1"/>
    <col min="9220" max="9220" width="19.1640625" style="470" customWidth="1"/>
    <col min="9221" max="9221" width="23" style="470" customWidth="1"/>
    <col min="9222" max="9222" width="9.33203125" style="470"/>
    <col min="9223" max="9223" width="15.6640625" style="470" bestFit="1" customWidth="1"/>
    <col min="9224" max="9224" width="22.6640625" style="470" customWidth="1"/>
    <col min="9225" max="9225" width="24" style="470" customWidth="1"/>
    <col min="9226" max="9226" width="17" style="470" customWidth="1"/>
    <col min="9227" max="9227" width="12.1640625" style="470" bestFit="1" customWidth="1"/>
    <col min="9228" max="9228" width="15" style="470" bestFit="1" customWidth="1"/>
    <col min="9229" max="9472" width="9.33203125" style="470"/>
    <col min="9473" max="9473" width="23" style="470" customWidth="1"/>
    <col min="9474" max="9474" width="28.5" style="470" customWidth="1"/>
    <col min="9475" max="9475" width="17.33203125" style="470" customWidth="1"/>
    <col min="9476" max="9476" width="19.1640625" style="470" customWidth="1"/>
    <col min="9477" max="9477" width="23" style="470" customWidth="1"/>
    <col min="9478" max="9478" width="9.33203125" style="470"/>
    <col min="9479" max="9479" width="15.6640625" style="470" bestFit="1" customWidth="1"/>
    <col min="9480" max="9480" width="22.6640625" style="470" customWidth="1"/>
    <col min="9481" max="9481" width="24" style="470" customWidth="1"/>
    <col min="9482" max="9482" width="17" style="470" customWidth="1"/>
    <col min="9483" max="9483" width="12.1640625" style="470" bestFit="1" customWidth="1"/>
    <col min="9484" max="9484" width="15" style="470" bestFit="1" customWidth="1"/>
    <col min="9485" max="9728" width="9.33203125" style="470"/>
    <col min="9729" max="9729" width="23" style="470" customWidth="1"/>
    <col min="9730" max="9730" width="28.5" style="470" customWidth="1"/>
    <col min="9731" max="9731" width="17.33203125" style="470" customWidth="1"/>
    <col min="9732" max="9732" width="19.1640625" style="470" customWidth="1"/>
    <col min="9733" max="9733" width="23" style="470" customWidth="1"/>
    <col min="9734" max="9734" width="9.33203125" style="470"/>
    <col min="9735" max="9735" width="15.6640625" style="470" bestFit="1" customWidth="1"/>
    <col min="9736" max="9736" width="22.6640625" style="470" customWidth="1"/>
    <col min="9737" max="9737" width="24" style="470" customWidth="1"/>
    <col min="9738" max="9738" width="17" style="470" customWidth="1"/>
    <col min="9739" max="9739" width="12.1640625" style="470" bestFit="1" customWidth="1"/>
    <col min="9740" max="9740" width="15" style="470" bestFit="1" customWidth="1"/>
    <col min="9741" max="9984" width="9.33203125" style="470"/>
    <col min="9985" max="9985" width="23" style="470" customWidth="1"/>
    <col min="9986" max="9986" width="28.5" style="470" customWidth="1"/>
    <col min="9987" max="9987" width="17.33203125" style="470" customWidth="1"/>
    <col min="9988" max="9988" width="19.1640625" style="470" customWidth="1"/>
    <col min="9989" max="9989" width="23" style="470" customWidth="1"/>
    <col min="9990" max="9990" width="9.33203125" style="470"/>
    <col min="9991" max="9991" width="15.6640625" style="470" bestFit="1" customWidth="1"/>
    <col min="9992" max="9992" width="22.6640625" style="470" customWidth="1"/>
    <col min="9993" max="9993" width="24" style="470" customWidth="1"/>
    <col min="9994" max="9994" width="17" style="470" customWidth="1"/>
    <col min="9995" max="9995" width="12.1640625" style="470" bestFit="1" customWidth="1"/>
    <col min="9996" max="9996" width="15" style="470" bestFit="1" customWidth="1"/>
    <col min="9997" max="10240" width="9.33203125" style="470"/>
    <col min="10241" max="10241" width="23" style="470" customWidth="1"/>
    <col min="10242" max="10242" width="28.5" style="470" customWidth="1"/>
    <col min="10243" max="10243" width="17.33203125" style="470" customWidth="1"/>
    <col min="10244" max="10244" width="19.1640625" style="470" customWidth="1"/>
    <col min="10245" max="10245" width="23" style="470" customWidth="1"/>
    <col min="10246" max="10246" width="9.33203125" style="470"/>
    <col min="10247" max="10247" width="15.6640625" style="470" bestFit="1" customWidth="1"/>
    <col min="10248" max="10248" width="22.6640625" style="470" customWidth="1"/>
    <col min="10249" max="10249" width="24" style="470" customWidth="1"/>
    <col min="10250" max="10250" width="17" style="470" customWidth="1"/>
    <col min="10251" max="10251" width="12.1640625" style="470" bestFit="1" customWidth="1"/>
    <col min="10252" max="10252" width="15" style="470" bestFit="1" customWidth="1"/>
    <col min="10253" max="10496" width="9.33203125" style="470"/>
    <col min="10497" max="10497" width="23" style="470" customWidth="1"/>
    <col min="10498" max="10498" width="28.5" style="470" customWidth="1"/>
    <col min="10499" max="10499" width="17.33203125" style="470" customWidth="1"/>
    <col min="10500" max="10500" width="19.1640625" style="470" customWidth="1"/>
    <col min="10501" max="10501" width="23" style="470" customWidth="1"/>
    <col min="10502" max="10502" width="9.33203125" style="470"/>
    <col min="10503" max="10503" width="15.6640625" style="470" bestFit="1" customWidth="1"/>
    <col min="10504" max="10504" width="22.6640625" style="470" customWidth="1"/>
    <col min="10505" max="10505" width="24" style="470" customWidth="1"/>
    <col min="10506" max="10506" width="17" style="470" customWidth="1"/>
    <col min="10507" max="10507" width="12.1640625" style="470" bestFit="1" customWidth="1"/>
    <col min="10508" max="10508" width="15" style="470" bestFit="1" customWidth="1"/>
    <col min="10509" max="10752" width="9.33203125" style="470"/>
    <col min="10753" max="10753" width="23" style="470" customWidth="1"/>
    <col min="10754" max="10754" width="28.5" style="470" customWidth="1"/>
    <col min="10755" max="10755" width="17.33203125" style="470" customWidth="1"/>
    <col min="10756" max="10756" width="19.1640625" style="470" customWidth="1"/>
    <col min="10757" max="10757" width="23" style="470" customWidth="1"/>
    <col min="10758" max="10758" width="9.33203125" style="470"/>
    <col min="10759" max="10759" width="15.6640625" style="470" bestFit="1" customWidth="1"/>
    <col min="10760" max="10760" width="22.6640625" style="470" customWidth="1"/>
    <col min="10761" max="10761" width="24" style="470" customWidth="1"/>
    <col min="10762" max="10762" width="17" style="470" customWidth="1"/>
    <col min="10763" max="10763" width="12.1640625" style="470" bestFit="1" customWidth="1"/>
    <col min="10764" max="10764" width="15" style="470" bestFit="1" customWidth="1"/>
    <col min="10765" max="11008" width="9.33203125" style="470"/>
    <col min="11009" max="11009" width="23" style="470" customWidth="1"/>
    <col min="11010" max="11010" width="28.5" style="470" customWidth="1"/>
    <col min="11011" max="11011" width="17.33203125" style="470" customWidth="1"/>
    <col min="11012" max="11012" width="19.1640625" style="470" customWidth="1"/>
    <col min="11013" max="11013" width="23" style="470" customWidth="1"/>
    <col min="11014" max="11014" width="9.33203125" style="470"/>
    <col min="11015" max="11015" width="15.6640625" style="470" bestFit="1" customWidth="1"/>
    <col min="11016" max="11016" width="22.6640625" style="470" customWidth="1"/>
    <col min="11017" max="11017" width="24" style="470" customWidth="1"/>
    <col min="11018" max="11018" width="17" style="470" customWidth="1"/>
    <col min="11019" max="11019" width="12.1640625" style="470" bestFit="1" customWidth="1"/>
    <col min="11020" max="11020" width="15" style="470" bestFit="1" customWidth="1"/>
    <col min="11021" max="11264" width="9.33203125" style="470"/>
    <col min="11265" max="11265" width="23" style="470" customWidth="1"/>
    <col min="11266" max="11266" width="28.5" style="470" customWidth="1"/>
    <col min="11267" max="11267" width="17.33203125" style="470" customWidth="1"/>
    <col min="11268" max="11268" width="19.1640625" style="470" customWidth="1"/>
    <col min="11269" max="11269" width="23" style="470" customWidth="1"/>
    <col min="11270" max="11270" width="9.33203125" style="470"/>
    <col min="11271" max="11271" width="15.6640625" style="470" bestFit="1" customWidth="1"/>
    <col min="11272" max="11272" width="22.6640625" style="470" customWidth="1"/>
    <col min="11273" max="11273" width="24" style="470" customWidth="1"/>
    <col min="11274" max="11274" width="17" style="470" customWidth="1"/>
    <col min="11275" max="11275" width="12.1640625" style="470" bestFit="1" customWidth="1"/>
    <col min="11276" max="11276" width="15" style="470" bestFit="1" customWidth="1"/>
    <col min="11277" max="11520" width="9.33203125" style="470"/>
    <col min="11521" max="11521" width="23" style="470" customWidth="1"/>
    <col min="11522" max="11522" width="28.5" style="470" customWidth="1"/>
    <col min="11523" max="11523" width="17.33203125" style="470" customWidth="1"/>
    <col min="11524" max="11524" width="19.1640625" style="470" customWidth="1"/>
    <col min="11525" max="11525" width="23" style="470" customWidth="1"/>
    <col min="11526" max="11526" width="9.33203125" style="470"/>
    <col min="11527" max="11527" width="15.6640625" style="470" bestFit="1" customWidth="1"/>
    <col min="11528" max="11528" width="22.6640625" style="470" customWidth="1"/>
    <col min="11529" max="11529" width="24" style="470" customWidth="1"/>
    <col min="11530" max="11530" width="17" style="470" customWidth="1"/>
    <col min="11531" max="11531" width="12.1640625" style="470" bestFit="1" customWidth="1"/>
    <col min="11532" max="11532" width="15" style="470" bestFit="1" customWidth="1"/>
    <col min="11533" max="11776" width="9.33203125" style="470"/>
    <col min="11777" max="11777" width="23" style="470" customWidth="1"/>
    <col min="11778" max="11778" width="28.5" style="470" customWidth="1"/>
    <col min="11779" max="11779" width="17.33203125" style="470" customWidth="1"/>
    <col min="11780" max="11780" width="19.1640625" style="470" customWidth="1"/>
    <col min="11781" max="11781" width="23" style="470" customWidth="1"/>
    <col min="11782" max="11782" width="9.33203125" style="470"/>
    <col min="11783" max="11783" width="15.6640625" style="470" bestFit="1" customWidth="1"/>
    <col min="11784" max="11784" width="22.6640625" style="470" customWidth="1"/>
    <col min="11785" max="11785" width="24" style="470" customWidth="1"/>
    <col min="11786" max="11786" width="17" style="470" customWidth="1"/>
    <col min="11787" max="11787" width="12.1640625" style="470" bestFit="1" customWidth="1"/>
    <col min="11788" max="11788" width="15" style="470" bestFit="1" customWidth="1"/>
    <col min="11789" max="12032" width="9.33203125" style="470"/>
    <col min="12033" max="12033" width="23" style="470" customWidth="1"/>
    <col min="12034" max="12034" width="28.5" style="470" customWidth="1"/>
    <col min="12035" max="12035" width="17.33203125" style="470" customWidth="1"/>
    <col min="12036" max="12036" width="19.1640625" style="470" customWidth="1"/>
    <col min="12037" max="12037" width="23" style="470" customWidth="1"/>
    <col min="12038" max="12038" width="9.33203125" style="470"/>
    <col min="12039" max="12039" width="15.6640625" style="470" bestFit="1" customWidth="1"/>
    <col min="12040" max="12040" width="22.6640625" style="470" customWidth="1"/>
    <col min="12041" max="12041" width="24" style="470" customWidth="1"/>
    <col min="12042" max="12042" width="17" style="470" customWidth="1"/>
    <col min="12043" max="12043" width="12.1640625" style="470" bestFit="1" customWidth="1"/>
    <col min="12044" max="12044" width="15" style="470" bestFit="1" customWidth="1"/>
    <col min="12045" max="12288" width="9.33203125" style="470"/>
    <col min="12289" max="12289" width="23" style="470" customWidth="1"/>
    <col min="12290" max="12290" width="28.5" style="470" customWidth="1"/>
    <col min="12291" max="12291" width="17.33203125" style="470" customWidth="1"/>
    <col min="12292" max="12292" width="19.1640625" style="470" customWidth="1"/>
    <col min="12293" max="12293" width="23" style="470" customWidth="1"/>
    <col min="12294" max="12294" width="9.33203125" style="470"/>
    <col min="12295" max="12295" width="15.6640625" style="470" bestFit="1" customWidth="1"/>
    <col min="12296" max="12296" width="22.6640625" style="470" customWidth="1"/>
    <col min="12297" max="12297" width="24" style="470" customWidth="1"/>
    <col min="12298" max="12298" width="17" style="470" customWidth="1"/>
    <col min="12299" max="12299" width="12.1640625" style="470" bestFit="1" customWidth="1"/>
    <col min="12300" max="12300" width="15" style="470" bestFit="1" customWidth="1"/>
    <col min="12301" max="12544" width="9.33203125" style="470"/>
    <col min="12545" max="12545" width="23" style="470" customWidth="1"/>
    <col min="12546" max="12546" width="28.5" style="470" customWidth="1"/>
    <col min="12547" max="12547" width="17.33203125" style="470" customWidth="1"/>
    <col min="12548" max="12548" width="19.1640625" style="470" customWidth="1"/>
    <col min="12549" max="12549" width="23" style="470" customWidth="1"/>
    <col min="12550" max="12550" width="9.33203125" style="470"/>
    <col min="12551" max="12551" width="15.6640625" style="470" bestFit="1" customWidth="1"/>
    <col min="12552" max="12552" width="22.6640625" style="470" customWidth="1"/>
    <col min="12553" max="12553" width="24" style="470" customWidth="1"/>
    <col min="12554" max="12554" width="17" style="470" customWidth="1"/>
    <col min="12555" max="12555" width="12.1640625" style="470" bestFit="1" customWidth="1"/>
    <col min="12556" max="12556" width="15" style="470" bestFit="1" customWidth="1"/>
    <col min="12557" max="12800" width="9.33203125" style="470"/>
    <col min="12801" max="12801" width="23" style="470" customWidth="1"/>
    <col min="12802" max="12802" width="28.5" style="470" customWidth="1"/>
    <col min="12803" max="12803" width="17.33203125" style="470" customWidth="1"/>
    <col min="12804" max="12804" width="19.1640625" style="470" customWidth="1"/>
    <col min="12805" max="12805" width="23" style="470" customWidth="1"/>
    <col min="12806" max="12806" width="9.33203125" style="470"/>
    <col min="12807" max="12807" width="15.6640625" style="470" bestFit="1" customWidth="1"/>
    <col min="12808" max="12808" width="22.6640625" style="470" customWidth="1"/>
    <col min="12809" max="12809" width="24" style="470" customWidth="1"/>
    <col min="12810" max="12810" width="17" style="470" customWidth="1"/>
    <col min="12811" max="12811" width="12.1640625" style="470" bestFit="1" customWidth="1"/>
    <col min="12812" max="12812" width="15" style="470" bestFit="1" customWidth="1"/>
    <col min="12813" max="13056" width="9.33203125" style="470"/>
    <col min="13057" max="13057" width="23" style="470" customWidth="1"/>
    <col min="13058" max="13058" width="28.5" style="470" customWidth="1"/>
    <col min="13059" max="13059" width="17.33203125" style="470" customWidth="1"/>
    <col min="13060" max="13060" width="19.1640625" style="470" customWidth="1"/>
    <col min="13061" max="13061" width="23" style="470" customWidth="1"/>
    <col min="13062" max="13062" width="9.33203125" style="470"/>
    <col min="13063" max="13063" width="15.6640625" style="470" bestFit="1" customWidth="1"/>
    <col min="13064" max="13064" width="22.6640625" style="470" customWidth="1"/>
    <col min="13065" max="13065" width="24" style="470" customWidth="1"/>
    <col min="13066" max="13066" width="17" style="470" customWidth="1"/>
    <col min="13067" max="13067" width="12.1640625" style="470" bestFit="1" customWidth="1"/>
    <col min="13068" max="13068" width="15" style="470" bestFit="1" customWidth="1"/>
    <col min="13069" max="13312" width="9.33203125" style="470"/>
    <col min="13313" max="13313" width="23" style="470" customWidth="1"/>
    <col min="13314" max="13314" width="28.5" style="470" customWidth="1"/>
    <col min="13315" max="13315" width="17.33203125" style="470" customWidth="1"/>
    <col min="13316" max="13316" width="19.1640625" style="470" customWidth="1"/>
    <col min="13317" max="13317" width="23" style="470" customWidth="1"/>
    <col min="13318" max="13318" width="9.33203125" style="470"/>
    <col min="13319" max="13319" width="15.6640625" style="470" bestFit="1" customWidth="1"/>
    <col min="13320" max="13320" width="22.6640625" style="470" customWidth="1"/>
    <col min="13321" max="13321" width="24" style="470" customWidth="1"/>
    <col min="13322" max="13322" width="17" style="470" customWidth="1"/>
    <col min="13323" max="13323" width="12.1640625" style="470" bestFit="1" customWidth="1"/>
    <col min="13324" max="13324" width="15" style="470" bestFit="1" customWidth="1"/>
    <col min="13325" max="13568" width="9.33203125" style="470"/>
    <col min="13569" max="13569" width="23" style="470" customWidth="1"/>
    <col min="13570" max="13570" width="28.5" style="470" customWidth="1"/>
    <col min="13571" max="13571" width="17.33203125" style="470" customWidth="1"/>
    <col min="13572" max="13572" width="19.1640625" style="470" customWidth="1"/>
    <col min="13573" max="13573" width="23" style="470" customWidth="1"/>
    <col min="13574" max="13574" width="9.33203125" style="470"/>
    <col min="13575" max="13575" width="15.6640625" style="470" bestFit="1" customWidth="1"/>
    <col min="13576" max="13576" width="22.6640625" style="470" customWidth="1"/>
    <col min="13577" max="13577" width="24" style="470" customWidth="1"/>
    <col min="13578" max="13578" width="17" style="470" customWidth="1"/>
    <col min="13579" max="13579" width="12.1640625" style="470" bestFit="1" customWidth="1"/>
    <col min="13580" max="13580" width="15" style="470" bestFit="1" customWidth="1"/>
    <col min="13581" max="13824" width="9.33203125" style="470"/>
    <col min="13825" max="13825" width="23" style="470" customWidth="1"/>
    <col min="13826" max="13826" width="28.5" style="470" customWidth="1"/>
    <col min="13827" max="13827" width="17.33203125" style="470" customWidth="1"/>
    <col min="13828" max="13828" width="19.1640625" style="470" customWidth="1"/>
    <col min="13829" max="13829" width="23" style="470" customWidth="1"/>
    <col min="13830" max="13830" width="9.33203125" style="470"/>
    <col min="13831" max="13831" width="15.6640625" style="470" bestFit="1" customWidth="1"/>
    <col min="13832" max="13832" width="22.6640625" style="470" customWidth="1"/>
    <col min="13833" max="13833" width="24" style="470" customWidth="1"/>
    <col min="13834" max="13834" width="17" style="470" customWidth="1"/>
    <col min="13835" max="13835" width="12.1640625" style="470" bestFit="1" customWidth="1"/>
    <col min="13836" max="13836" width="15" style="470" bestFit="1" customWidth="1"/>
    <col min="13837" max="14080" width="9.33203125" style="470"/>
    <col min="14081" max="14081" width="23" style="470" customWidth="1"/>
    <col min="14082" max="14082" width="28.5" style="470" customWidth="1"/>
    <col min="14083" max="14083" width="17.33203125" style="470" customWidth="1"/>
    <col min="14084" max="14084" width="19.1640625" style="470" customWidth="1"/>
    <col min="14085" max="14085" width="23" style="470" customWidth="1"/>
    <col min="14086" max="14086" width="9.33203125" style="470"/>
    <col min="14087" max="14087" width="15.6640625" style="470" bestFit="1" customWidth="1"/>
    <col min="14088" max="14088" width="22.6640625" style="470" customWidth="1"/>
    <col min="14089" max="14089" width="24" style="470" customWidth="1"/>
    <col min="14090" max="14090" width="17" style="470" customWidth="1"/>
    <col min="14091" max="14091" width="12.1640625" style="470" bestFit="1" customWidth="1"/>
    <col min="14092" max="14092" width="15" style="470" bestFit="1" customWidth="1"/>
    <col min="14093" max="14336" width="9.33203125" style="470"/>
    <col min="14337" max="14337" width="23" style="470" customWidth="1"/>
    <col min="14338" max="14338" width="28.5" style="470" customWidth="1"/>
    <col min="14339" max="14339" width="17.33203125" style="470" customWidth="1"/>
    <col min="14340" max="14340" width="19.1640625" style="470" customWidth="1"/>
    <col min="14341" max="14341" width="23" style="470" customWidth="1"/>
    <col min="14342" max="14342" width="9.33203125" style="470"/>
    <col min="14343" max="14343" width="15.6640625" style="470" bestFit="1" customWidth="1"/>
    <col min="14344" max="14344" width="22.6640625" style="470" customWidth="1"/>
    <col min="14345" max="14345" width="24" style="470" customWidth="1"/>
    <col min="14346" max="14346" width="17" style="470" customWidth="1"/>
    <col min="14347" max="14347" width="12.1640625" style="470" bestFit="1" customWidth="1"/>
    <col min="14348" max="14348" width="15" style="470" bestFit="1" customWidth="1"/>
    <col min="14349" max="14592" width="9.33203125" style="470"/>
    <col min="14593" max="14593" width="23" style="470" customWidth="1"/>
    <col min="14594" max="14594" width="28.5" style="470" customWidth="1"/>
    <col min="14595" max="14595" width="17.33203125" style="470" customWidth="1"/>
    <col min="14596" max="14596" width="19.1640625" style="470" customWidth="1"/>
    <col min="14597" max="14597" width="23" style="470" customWidth="1"/>
    <col min="14598" max="14598" width="9.33203125" style="470"/>
    <col min="14599" max="14599" width="15.6640625" style="470" bestFit="1" customWidth="1"/>
    <col min="14600" max="14600" width="22.6640625" style="470" customWidth="1"/>
    <col min="14601" max="14601" width="24" style="470" customWidth="1"/>
    <col min="14602" max="14602" width="17" style="470" customWidth="1"/>
    <col min="14603" max="14603" width="12.1640625" style="470" bestFit="1" customWidth="1"/>
    <col min="14604" max="14604" width="15" style="470" bestFit="1" customWidth="1"/>
    <col min="14605" max="14848" width="9.33203125" style="470"/>
    <col min="14849" max="14849" width="23" style="470" customWidth="1"/>
    <col min="14850" max="14850" width="28.5" style="470" customWidth="1"/>
    <col min="14851" max="14851" width="17.33203125" style="470" customWidth="1"/>
    <col min="14852" max="14852" width="19.1640625" style="470" customWidth="1"/>
    <col min="14853" max="14853" width="23" style="470" customWidth="1"/>
    <col min="14854" max="14854" width="9.33203125" style="470"/>
    <col min="14855" max="14855" width="15.6640625" style="470" bestFit="1" customWidth="1"/>
    <col min="14856" max="14856" width="22.6640625" style="470" customWidth="1"/>
    <col min="14857" max="14857" width="24" style="470" customWidth="1"/>
    <col min="14858" max="14858" width="17" style="470" customWidth="1"/>
    <col min="14859" max="14859" width="12.1640625" style="470" bestFit="1" customWidth="1"/>
    <col min="14860" max="14860" width="15" style="470" bestFit="1" customWidth="1"/>
    <col min="14861" max="15104" width="9.33203125" style="470"/>
    <col min="15105" max="15105" width="23" style="470" customWidth="1"/>
    <col min="15106" max="15106" width="28.5" style="470" customWidth="1"/>
    <col min="15107" max="15107" width="17.33203125" style="470" customWidth="1"/>
    <col min="15108" max="15108" width="19.1640625" style="470" customWidth="1"/>
    <col min="15109" max="15109" width="23" style="470" customWidth="1"/>
    <col min="15110" max="15110" width="9.33203125" style="470"/>
    <col min="15111" max="15111" width="15.6640625" style="470" bestFit="1" customWidth="1"/>
    <col min="15112" max="15112" width="22.6640625" style="470" customWidth="1"/>
    <col min="15113" max="15113" width="24" style="470" customWidth="1"/>
    <col min="15114" max="15114" width="17" style="470" customWidth="1"/>
    <col min="15115" max="15115" width="12.1640625" style="470" bestFit="1" customWidth="1"/>
    <col min="15116" max="15116" width="15" style="470" bestFit="1" customWidth="1"/>
    <col min="15117" max="15360" width="9.33203125" style="470"/>
    <col min="15361" max="15361" width="23" style="470" customWidth="1"/>
    <col min="15362" max="15362" width="28.5" style="470" customWidth="1"/>
    <col min="15363" max="15363" width="17.33203125" style="470" customWidth="1"/>
    <col min="15364" max="15364" width="19.1640625" style="470" customWidth="1"/>
    <col min="15365" max="15365" width="23" style="470" customWidth="1"/>
    <col min="15366" max="15366" width="9.33203125" style="470"/>
    <col min="15367" max="15367" width="15.6640625" style="470" bestFit="1" customWidth="1"/>
    <col min="15368" max="15368" width="22.6640625" style="470" customWidth="1"/>
    <col min="15369" max="15369" width="24" style="470" customWidth="1"/>
    <col min="15370" max="15370" width="17" style="470" customWidth="1"/>
    <col min="15371" max="15371" width="12.1640625" style="470" bestFit="1" customWidth="1"/>
    <col min="15372" max="15372" width="15" style="470" bestFit="1" customWidth="1"/>
    <col min="15373" max="15616" width="9.33203125" style="470"/>
    <col min="15617" max="15617" width="23" style="470" customWidth="1"/>
    <col min="15618" max="15618" width="28.5" style="470" customWidth="1"/>
    <col min="15619" max="15619" width="17.33203125" style="470" customWidth="1"/>
    <col min="15620" max="15620" width="19.1640625" style="470" customWidth="1"/>
    <col min="15621" max="15621" width="23" style="470" customWidth="1"/>
    <col min="15622" max="15622" width="9.33203125" style="470"/>
    <col min="15623" max="15623" width="15.6640625" style="470" bestFit="1" customWidth="1"/>
    <col min="15624" max="15624" width="22.6640625" style="470" customWidth="1"/>
    <col min="15625" max="15625" width="24" style="470" customWidth="1"/>
    <col min="15626" max="15626" width="17" style="470" customWidth="1"/>
    <col min="15627" max="15627" width="12.1640625" style="470" bestFit="1" customWidth="1"/>
    <col min="15628" max="15628" width="15" style="470" bestFit="1" customWidth="1"/>
    <col min="15629" max="15872" width="9.33203125" style="470"/>
    <col min="15873" max="15873" width="23" style="470" customWidth="1"/>
    <col min="15874" max="15874" width="28.5" style="470" customWidth="1"/>
    <col min="15875" max="15875" width="17.33203125" style="470" customWidth="1"/>
    <col min="15876" max="15876" width="19.1640625" style="470" customWidth="1"/>
    <col min="15877" max="15877" width="23" style="470" customWidth="1"/>
    <col min="15878" max="15878" width="9.33203125" style="470"/>
    <col min="15879" max="15879" width="15.6640625" style="470" bestFit="1" customWidth="1"/>
    <col min="15880" max="15880" width="22.6640625" style="470" customWidth="1"/>
    <col min="15881" max="15881" width="24" style="470" customWidth="1"/>
    <col min="15882" max="15882" width="17" style="470" customWidth="1"/>
    <col min="15883" max="15883" width="12.1640625" style="470" bestFit="1" customWidth="1"/>
    <col min="15884" max="15884" width="15" style="470" bestFit="1" customWidth="1"/>
    <col min="15885" max="16128" width="9.33203125" style="470"/>
    <col min="16129" max="16129" width="23" style="470" customWidth="1"/>
    <col min="16130" max="16130" width="28.5" style="470" customWidth="1"/>
    <col min="16131" max="16131" width="17.33203125" style="470" customWidth="1"/>
    <col min="16132" max="16132" width="19.1640625" style="470" customWidth="1"/>
    <col min="16133" max="16133" width="23" style="470" customWidth="1"/>
    <col min="16134" max="16134" width="9.33203125" style="470"/>
    <col min="16135" max="16135" width="15.6640625" style="470" bestFit="1" customWidth="1"/>
    <col min="16136" max="16136" width="22.6640625" style="470" customWidth="1"/>
    <col min="16137" max="16137" width="24" style="470" customWidth="1"/>
    <col min="16138" max="16138" width="17" style="470" customWidth="1"/>
    <col min="16139" max="16139" width="12.1640625" style="470" bestFit="1" customWidth="1"/>
    <col min="16140" max="16140" width="15" style="470" bestFit="1" customWidth="1"/>
    <col min="16141" max="16384" width="9.33203125" style="470"/>
  </cols>
  <sheetData>
    <row r="2" spans="1:71">
      <c r="A2" s="471">
        <v>2010</v>
      </c>
      <c r="B2" s="2949" t="s">
        <v>971</v>
      </c>
      <c r="C2" s="2950"/>
      <c r="D2" s="2950"/>
      <c r="E2" s="2950"/>
      <c r="F2" s="2950"/>
      <c r="G2" s="2951"/>
    </row>
    <row r="3" spans="1:71" ht="36">
      <c r="A3" s="471" t="s">
        <v>683</v>
      </c>
      <c r="B3" s="472" t="s">
        <v>684</v>
      </c>
      <c r="C3" s="472" t="s">
        <v>685</v>
      </c>
      <c r="D3" s="472" t="s">
        <v>686</v>
      </c>
      <c r="E3" s="472" t="s">
        <v>972</v>
      </c>
      <c r="F3" s="473" t="s">
        <v>973</v>
      </c>
      <c r="G3" s="473" t="s">
        <v>974</v>
      </c>
    </row>
    <row r="4" spans="1:71">
      <c r="A4" s="478" t="s">
        <v>688</v>
      </c>
      <c r="B4" s="479">
        <v>0</v>
      </c>
      <c r="C4" s="479">
        <v>0</v>
      </c>
      <c r="D4" s="479">
        <v>0</v>
      </c>
      <c r="E4" s="479">
        <v>-8430446.6999999993</v>
      </c>
      <c r="F4" s="475"/>
      <c r="G4" s="477"/>
    </row>
    <row r="5" spans="1:71">
      <c r="A5" s="478" t="s">
        <v>57</v>
      </c>
      <c r="B5" s="479">
        <v>43345.08</v>
      </c>
      <c r="C5" s="479">
        <v>73899.47</v>
      </c>
      <c r="D5" s="479">
        <v>-30554.39</v>
      </c>
      <c r="E5" s="479">
        <f t="shared" ref="E5:E16" si="0">+E4+D5</f>
        <v>-8461001.0899999999</v>
      </c>
      <c r="F5" s="475">
        <v>3.3E-3</v>
      </c>
      <c r="G5" s="480">
        <f t="shared" ref="G5:G15" si="1">+(E4+E5)/2</f>
        <v>-8445723.8949999996</v>
      </c>
      <c r="H5" s="474"/>
    </row>
    <row r="6" spans="1:71">
      <c r="A6" s="478" t="s">
        <v>689</v>
      </c>
      <c r="B6" s="479">
        <v>72150.600000000006</v>
      </c>
      <c r="C6" s="479">
        <v>89147.23</v>
      </c>
      <c r="D6" s="479">
        <v>-16996.63</v>
      </c>
      <c r="E6" s="479">
        <f t="shared" si="0"/>
        <v>-8477997.7200000007</v>
      </c>
      <c r="F6" s="475">
        <v>3.3E-3</v>
      </c>
      <c r="G6" s="480">
        <f t="shared" si="1"/>
        <v>-8469499.4050000012</v>
      </c>
    </row>
    <row r="7" spans="1:71">
      <c r="A7" s="478" t="s">
        <v>690</v>
      </c>
      <c r="B7" s="479">
        <v>70990.97</v>
      </c>
      <c r="C7" s="479">
        <v>62945.4</v>
      </c>
      <c r="D7" s="479">
        <v>8045.57</v>
      </c>
      <c r="E7" s="479">
        <f t="shared" si="0"/>
        <v>-8469952.1500000004</v>
      </c>
      <c r="F7" s="475">
        <v>3.3E-3</v>
      </c>
      <c r="G7" s="480">
        <f t="shared" si="1"/>
        <v>-8473974.9350000005</v>
      </c>
    </row>
    <row r="8" spans="1:71">
      <c r="A8" s="478" t="s">
        <v>691</v>
      </c>
      <c r="B8" s="479">
        <v>60089.49</v>
      </c>
      <c r="C8" s="479">
        <v>86330.27</v>
      </c>
      <c r="D8" s="479">
        <v>-26240.78</v>
      </c>
      <c r="E8" s="479">
        <f t="shared" si="0"/>
        <v>-8496192.9299999997</v>
      </c>
      <c r="F8" s="475">
        <v>3.3E-3</v>
      </c>
      <c r="G8" s="480">
        <f t="shared" si="1"/>
        <v>-8483072.5399999991</v>
      </c>
      <c r="BS8" s="470" t="s">
        <v>978</v>
      </c>
    </row>
    <row r="9" spans="1:71">
      <c r="A9" s="478" t="s">
        <v>692</v>
      </c>
      <c r="B9" s="479">
        <v>92770.78</v>
      </c>
      <c r="C9" s="479">
        <v>44301.49</v>
      </c>
      <c r="D9" s="479">
        <v>48469.29</v>
      </c>
      <c r="E9" s="479">
        <f t="shared" si="0"/>
        <v>-8447723.6400000006</v>
      </c>
      <c r="F9" s="475">
        <v>3.3E-3</v>
      </c>
      <c r="G9" s="480">
        <f t="shared" si="1"/>
        <v>-8471958.2850000001</v>
      </c>
      <c r="I9" s="474"/>
      <c r="J9" s="474"/>
      <c r="K9" s="474"/>
      <c r="L9" s="474"/>
    </row>
    <row r="10" spans="1:71">
      <c r="A10" s="478" t="s">
        <v>693</v>
      </c>
      <c r="B10" s="479">
        <v>192193.19</v>
      </c>
      <c r="C10" s="479">
        <v>45984.09</v>
      </c>
      <c r="D10" s="479">
        <v>146209.1</v>
      </c>
      <c r="E10" s="479">
        <f t="shared" si="0"/>
        <v>-8301514.540000001</v>
      </c>
      <c r="F10" s="475">
        <v>3.3E-3</v>
      </c>
      <c r="G10" s="480">
        <f t="shared" si="1"/>
        <v>-8374619.0900000008</v>
      </c>
      <c r="I10" s="474"/>
      <c r="J10" s="474"/>
      <c r="K10" s="474"/>
      <c r="L10" s="474"/>
    </row>
    <row r="11" spans="1:71">
      <c r="A11" s="478" t="s">
        <v>694</v>
      </c>
      <c r="B11" s="479">
        <v>144666.74</v>
      </c>
      <c r="C11" s="479">
        <v>32299.13</v>
      </c>
      <c r="D11" s="479">
        <v>112367.61</v>
      </c>
      <c r="E11" s="479">
        <f t="shared" si="0"/>
        <v>-8189146.9300000006</v>
      </c>
      <c r="F11" s="475">
        <v>3.3E-3</v>
      </c>
      <c r="G11" s="480">
        <f t="shared" si="1"/>
        <v>-8245330.7350000013</v>
      </c>
    </row>
    <row r="12" spans="1:71">
      <c r="A12" s="478" t="s">
        <v>695</v>
      </c>
      <c r="B12" s="479">
        <v>97132.61</v>
      </c>
      <c r="C12" s="479">
        <v>40533.85</v>
      </c>
      <c r="D12" s="479">
        <v>56598.76</v>
      </c>
      <c r="E12" s="479">
        <f t="shared" si="0"/>
        <v>-8132548.1700000009</v>
      </c>
      <c r="F12" s="475">
        <v>3.3E-3</v>
      </c>
      <c r="G12" s="480">
        <f t="shared" si="1"/>
        <v>-8160847.5500000007</v>
      </c>
    </row>
    <row r="13" spans="1:71">
      <c r="A13" s="478" t="s">
        <v>696</v>
      </c>
      <c r="B13" s="479">
        <v>57920.88</v>
      </c>
      <c r="C13" s="479">
        <v>74837.3</v>
      </c>
      <c r="D13" s="479">
        <v>-16916.419999999998</v>
      </c>
      <c r="E13" s="479">
        <f t="shared" si="0"/>
        <v>-8149464.5900000008</v>
      </c>
      <c r="F13" s="475">
        <v>3.3E-3</v>
      </c>
      <c r="G13" s="480">
        <f t="shared" si="1"/>
        <v>-8141006.3800000008</v>
      </c>
    </row>
    <row r="14" spans="1:71">
      <c r="A14" s="478" t="s">
        <v>697</v>
      </c>
      <c r="B14" s="479">
        <v>16794.97</v>
      </c>
      <c r="C14" s="479">
        <v>114478.39</v>
      </c>
      <c r="D14" s="479">
        <v>-97683.42</v>
      </c>
      <c r="E14" s="479">
        <f t="shared" si="0"/>
        <v>-8247148.0100000007</v>
      </c>
      <c r="F14" s="475">
        <v>3.3E-3</v>
      </c>
      <c r="G14" s="480">
        <f t="shared" si="1"/>
        <v>-8198306.3000000007</v>
      </c>
    </row>
    <row r="15" spans="1:71">
      <c r="A15" s="478" t="s">
        <v>698</v>
      </c>
      <c r="B15" s="479">
        <v>35565.199999999997</v>
      </c>
      <c r="C15" s="479">
        <v>146032.57999999999</v>
      </c>
      <c r="D15" s="479">
        <v>-110467.38</v>
      </c>
      <c r="E15" s="479">
        <f t="shared" si="0"/>
        <v>-8357615.3900000006</v>
      </c>
      <c r="F15" s="475">
        <v>3.3E-3</v>
      </c>
      <c r="G15" s="480">
        <f t="shared" si="1"/>
        <v>-8302381.7000000011</v>
      </c>
    </row>
    <row r="16" spans="1:71">
      <c r="A16" s="478" t="s">
        <v>699</v>
      </c>
      <c r="B16" s="479">
        <v>19110.560000000001</v>
      </c>
      <c r="C16" s="479">
        <v>124377.83</v>
      </c>
      <c r="D16" s="479">
        <v>-105267.27</v>
      </c>
      <c r="E16" s="479">
        <f t="shared" si="0"/>
        <v>-8462882.6600000001</v>
      </c>
      <c r="F16" s="475">
        <v>3.3E-3</v>
      </c>
      <c r="G16" s="480">
        <f>+(E15+E16)/2</f>
        <v>-8410249.0250000004</v>
      </c>
    </row>
    <row r="17" spans="1:7">
      <c r="A17" s="478" t="s">
        <v>700</v>
      </c>
      <c r="B17" s="479">
        <v>0</v>
      </c>
      <c r="C17" s="479">
        <v>0</v>
      </c>
      <c r="D17" s="479">
        <v>0</v>
      </c>
      <c r="E17" s="499">
        <f>E16</f>
        <v>-8462882.6600000001</v>
      </c>
      <c r="F17" s="475"/>
      <c r="G17" s="477"/>
    </row>
    <row r="18" spans="1:7">
      <c r="A18" s="478" t="s">
        <v>701</v>
      </c>
      <c r="B18" s="479">
        <v>0</v>
      </c>
      <c r="C18" s="479">
        <v>0</v>
      </c>
      <c r="D18" s="479">
        <v>0</v>
      </c>
      <c r="E18" s="479">
        <v>-8462882.6600000001</v>
      </c>
      <c r="F18" s="475"/>
      <c r="G18" s="477"/>
    </row>
    <row r="19" spans="1:7">
      <c r="A19" s="478" t="s">
        <v>702</v>
      </c>
      <c r="B19" s="479">
        <v>0</v>
      </c>
      <c r="C19" s="479">
        <v>0</v>
      </c>
      <c r="D19" s="479">
        <v>0</v>
      </c>
      <c r="E19" s="479">
        <v>-8462882.6600000001</v>
      </c>
      <c r="F19" s="475"/>
      <c r="G19" s="477"/>
    </row>
    <row r="20" spans="1:7">
      <c r="A20" s="478" t="s">
        <v>703</v>
      </c>
      <c r="B20" s="479">
        <v>0</v>
      </c>
      <c r="C20" s="479">
        <v>0</v>
      </c>
      <c r="D20" s="479">
        <v>0</v>
      </c>
      <c r="E20" s="479">
        <v>-8462882.6600000001</v>
      </c>
      <c r="F20" s="475"/>
      <c r="G20" s="477"/>
    </row>
    <row r="21" spans="1:7">
      <c r="A21" s="481" t="s">
        <v>279</v>
      </c>
      <c r="B21" s="482">
        <f>SUM(B4:B20)</f>
        <v>902731.07000000007</v>
      </c>
      <c r="C21" s="482">
        <f>SUM(C4:C20)</f>
        <v>935167.02999999991</v>
      </c>
      <c r="D21" s="482">
        <f>SUM(D4:D20)</f>
        <v>-32435.959999999948</v>
      </c>
      <c r="E21" s="482">
        <f>E20</f>
        <v>-8462882.6600000001</v>
      </c>
      <c r="F21" s="483"/>
      <c r="G21" s="484"/>
    </row>
  </sheetData>
  <mergeCells count="1">
    <mergeCell ref="B2:G2"/>
  </mergeCells>
  <pageMargins left="0.75" right="0.75" top="0.7" bottom="0.6" header="0.5" footer="0.5"/>
  <pageSetup scale="98"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2:BS34"/>
  <sheetViews>
    <sheetView workbookViewId="0">
      <selection activeCell="F26" sqref="F26"/>
    </sheetView>
  </sheetViews>
  <sheetFormatPr defaultRowHeight="12.75"/>
  <cols>
    <col min="1" max="1" width="9.33203125" style="337"/>
    <col min="2" max="2" width="80.6640625" style="337" customWidth="1"/>
    <col min="3" max="3" width="15.33203125" style="337" customWidth="1"/>
    <col min="4" max="4" width="15.83203125" style="337" customWidth="1"/>
    <col min="5" max="6" width="9.33203125" style="337"/>
    <col min="7" max="7" width="12.5" style="337" bestFit="1" customWidth="1"/>
    <col min="8" max="257" width="9.33203125" style="337"/>
    <col min="258" max="258" width="80.6640625" style="337" customWidth="1"/>
    <col min="259" max="259" width="15.33203125" style="337" customWidth="1"/>
    <col min="260" max="260" width="15.83203125" style="337" customWidth="1"/>
    <col min="261" max="262" width="9.33203125" style="337"/>
    <col min="263" max="263" width="12.5" style="337" bestFit="1" customWidth="1"/>
    <col min="264" max="513" width="9.33203125" style="337"/>
    <col min="514" max="514" width="80.6640625" style="337" customWidth="1"/>
    <col min="515" max="515" width="15.33203125" style="337" customWidth="1"/>
    <col min="516" max="516" width="15.83203125" style="337" customWidth="1"/>
    <col min="517" max="518" width="9.33203125" style="337"/>
    <col min="519" max="519" width="12.5" style="337" bestFit="1" customWidth="1"/>
    <col min="520" max="769" width="9.33203125" style="337"/>
    <col min="770" max="770" width="80.6640625" style="337" customWidth="1"/>
    <col min="771" max="771" width="15.33203125" style="337" customWidth="1"/>
    <col min="772" max="772" width="15.83203125" style="337" customWidth="1"/>
    <col min="773" max="774" width="9.33203125" style="337"/>
    <col min="775" max="775" width="12.5" style="337" bestFit="1" customWidth="1"/>
    <col min="776" max="1025" width="9.33203125" style="337"/>
    <col min="1026" max="1026" width="80.6640625" style="337" customWidth="1"/>
    <col min="1027" max="1027" width="15.33203125" style="337" customWidth="1"/>
    <col min="1028" max="1028" width="15.83203125" style="337" customWidth="1"/>
    <col min="1029" max="1030" width="9.33203125" style="337"/>
    <col min="1031" max="1031" width="12.5" style="337" bestFit="1" customWidth="1"/>
    <col min="1032" max="1281" width="9.33203125" style="337"/>
    <col min="1282" max="1282" width="80.6640625" style="337" customWidth="1"/>
    <col min="1283" max="1283" width="15.33203125" style="337" customWidth="1"/>
    <col min="1284" max="1284" width="15.83203125" style="337" customWidth="1"/>
    <col min="1285" max="1286" width="9.33203125" style="337"/>
    <col min="1287" max="1287" width="12.5" style="337" bestFit="1" customWidth="1"/>
    <col min="1288" max="1537" width="9.33203125" style="337"/>
    <col min="1538" max="1538" width="80.6640625" style="337" customWidth="1"/>
    <col min="1539" max="1539" width="15.33203125" style="337" customWidth="1"/>
    <col min="1540" max="1540" width="15.83203125" style="337" customWidth="1"/>
    <col min="1541" max="1542" width="9.33203125" style="337"/>
    <col min="1543" max="1543" width="12.5" style="337" bestFit="1" customWidth="1"/>
    <col min="1544" max="1793" width="9.33203125" style="337"/>
    <col min="1794" max="1794" width="80.6640625" style="337" customWidth="1"/>
    <col min="1795" max="1795" width="15.33203125" style="337" customWidth="1"/>
    <col min="1796" max="1796" width="15.83203125" style="337" customWidth="1"/>
    <col min="1797" max="1798" width="9.33203125" style="337"/>
    <col min="1799" max="1799" width="12.5" style="337" bestFit="1" customWidth="1"/>
    <col min="1800" max="2049" width="9.33203125" style="337"/>
    <col min="2050" max="2050" width="80.6640625" style="337" customWidth="1"/>
    <col min="2051" max="2051" width="15.33203125" style="337" customWidth="1"/>
    <col min="2052" max="2052" width="15.83203125" style="337" customWidth="1"/>
    <col min="2053" max="2054" width="9.33203125" style="337"/>
    <col min="2055" max="2055" width="12.5" style="337" bestFit="1" customWidth="1"/>
    <col min="2056" max="2305" width="9.33203125" style="337"/>
    <col min="2306" max="2306" width="80.6640625" style="337" customWidth="1"/>
    <col min="2307" max="2307" width="15.33203125" style="337" customWidth="1"/>
    <col min="2308" max="2308" width="15.83203125" style="337" customWidth="1"/>
    <col min="2309" max="2310" width="9.33203125" style="337"/>
    <col min="2311" max="2311" width="12.5" style="337" bestFit="1" customWidth="1"/>
    <col min="2312" max="2561" width="9.33203125" style="337"/>
    <col min="2562" max="2562" width="80.6640625" style="337" customWidth="1"/>
    <col min="2563" max="2563" width="15.33203125" style="337" customWidth="1"/>
    <col min="2564" max="2564" width="15.83203125" style="337" customWidth="1"/>
    <col min="2565" max="2566" width="9.33203125" style="337"/>
    <col min="2567" max="2567" width="12.5" style="337" bestFit="1" customWidth="1"/>
    <col min="2568" max="2817" width="9.33203125" style="337"/>
    <col min="2818" max="2818" width="80.6640625" style="337" customWidth="1"/>
    <col min="2819" max="2819" width="15.33203125" style="337" customWidth="1"/>
    <col min="2820" max="2820" width="15.83203125" style="337" customWidth="1"/>
    <col min="2821" max="2822" width="9.33203125" style="337"/>
    <col min="2823" max="2823" width="12.5" style="337" bestFit="1" customWidth="1"/>
    <col min="2824" max="3073" width="9.33203125" style="337"/>
    <col min="3074" max="3074" width="80.6640625" style="337" customWidth="1"/>
    <col min="3075" max="3075" width="15.33203125" style="337" customWidth="1"/>
    <col min="3076" max="3076" width="15.83203125" style="337" customWidth="1"/>
    <col min="3077" max="3078" width="9.33203125" style="337"/>
    <col min="3079" max="3079" width="12.5" style="337" bestFit="1" customWidth="1"/>
    <col min="3080" max="3329" width="9.33203125" style="337"/>
    <col min="3330" max="3330" width="80.6640625" style="337" customWidth="1"/>
    <col min="3331" max="3331" width="15.33203125" style="337" customWidth="1"/>
    <col min="3332" max="3332" width="15.83203125" style="337" customWidth="1"/>
    <col min="3333" max="3334" width="9.33203125" style="337"/>
    <col min="3335" max="3335" width="12.5" style="337" bestFit="1" customWidth="1"/>
    <col min="3336" max="3585" width="9.33203125" style="337"/>
    <col min="3586" max="3586" width="80.6640625" style="337" customWidth="1"/>
    <col min="3587" max="3587" width="15.33203125" style="337" customWidth="1"/>
    <col min="3588" max="3588" width="15.83203125" style="337" customWidth="1"/>
    <col min="3589" max="3590" width="9.33203125" style="337"/>
    <col min="3591" max="3591" width="12.5" style="337" bestFit="1" customWidth="1"/>
    <col min="3592" max="3841" width="9.33203125" style="337"/>
    <col min="3842" max="3842" width="80.6640625" style="337" customWidth="1"/>
    <col min="3843" max="3843" width="15.33203125" style="337" customWidth="1"/>
    <col min="3844" max="3844" width="15.83203125" style="337" customWidth="1"/>
    <col min="3845" max="3846" width="9.33203125" style="337"/>
    <col min="3847" max="3847" width="12.5" style="337" bestFit="1" customWidth="1"/>
    <col min="3848" max="4097" width="9.33203125" style="337"/>
    <col min="4098" max="4098" width="80.6640625" style="337" customWidth="1"/>
    <col min="4099" max="4099" width="15.33203125" style="337" customWidth="1"/>
    <col min="4100" max="4100" width="15.83203125" style="337" customWidth="1"/>
    <col min="4101" max="4102" width="9.33203125" style="337"/>
    <col min="4103" max="4103" width="12.5" style="337" bestFit="1" customWidth="1"/>
    <col min="4104" max="4353" width="9.33203125" style="337"/>
    <col min="4354" max="4354" width="80.6640625" style="337" customWidth="1"/>
    <col min="4355" max="4355" width="15.33203125" style="337" customWidth="1"/>
    <col min="4356" max="4356" width="15.83203125" style="337" customWidth="1"/>
    <col min="4357" max="4358" width="9.33203125" style="337"/>
    <col min="4359" max="4359" width="12.5" style="337" bestFit="1" customWidth="1"/>
    <col min="4360" max="4609" width="9.33203125" style="337"/>
    <col min="4610" max="4610" width="80.6640625" style="337" customWidth="1"/>
    <col min="4611" max="4611" width="15.33203125" style="337" customWidth="1"/>
    <col min="4612" max="4612" width="15.83203125" style="337" customWidth="1"/>
    <col min="4613" max="4614" width="9.33203125" style="337"/>
    <col min="4615" max="4615" width="12.5" style="337" bestFit="1" customWidth="1"/>
    <col min="4616" max="4865" width="9.33203125" style="337"/>
    <col min="4866" max="4866" width="80.6640625" style="337" customWidth="1"/>
    <col min="4867" max="4867" width="15.33203125" style="337" customWidth="1"/>
    <col min="4868" max="4868" width="15.83203125" style="337" customWidth="1"/>
    <col min="4869" max="4870" width="9.33203125" style="337"/>
    <col min="4871" max="4871" width="12.5" style="337" bestFit="1" customWidth="1"/>
    <col min="4872" max="5121" width="9.33203125" style="337"/>
    <col min="5122" max="5122" width="80.6640625" style="337" customWidth="1"/>
    <col min="5123" max="5123" width="15.33203125" style="337" customWidth="1"/>
    <col min="5124" max="5124" width="15.83203125" style="337" customWidth="1"/>
    <col min="5125" max="5126" width="9.33203125" style="337"/>
    <col min="5127" max="5127" width="12.5" style="337" bestFit="1" customWidth="1"/>
    <col min="5128" max="5377" width="9.33203125" style="337"/>
    <col min="5378" max="5378" width="80.6640625" style="337" customWidth="1"/>
    <col min="5379" max="5379" width="15.33203125" style="337" customWidth="1"/>
    <col min="5380" max="5380" width="15.83203125" style="337" customWidth="1"/>
    <col min="5381" max="5382" width="9.33203125" style="337"/>
    <col min="5383" max="5383" width="12.5" style="337" bestFit="1" customWidth="1"/>
    <col min="5384" max="5633" width="9.33203125" style="337"/>
    <col min="5634" max="5634" width="80.6640625" style="337" customWidth="1"/>
    <col min="5635" max="5635" width="15.33203125" style="337" customWidth="1"/>
    <col min="5636" max="5636" width="15.83203125" style="337" customWidth="1"/>
    <col min="5637" max="5638" width="9.33203125" style="337"/>
    <col min="5639" max="5639" width="12.5" style="337" bestFit="1" customWidth="1"/>
    <col min="5640" max="5889" width="9.33203125" style="337"/>
    <col min="5890" max="5890" width="80.6640625" style="337" customWidth="1"/>
    <col min="5891" max="5891" width="15.33203125" style="337" customWidth="1"/>
    <col min="5892" max="5892" width="15.83203125" style="337" customWidth="1"/>
    <col min="5893" max="5894" width="9.33203125" style="337"/>
    <col min="5895" max="5895" width="12.5" style="337" bestFit="1" customWidth="1"/>
    <col min="5896" max="6145" width="9.33203125" style="337"/>
    <col min="6146" max="6146" width="80.6640625" style="337" customWidth="1"/>
    <col min="6147" max="6147" width="15.33203125" style="337" customWidth="1"/>
    <col min="6148" max="6148" width="15.83203125" style="337" customWidth="1"/>
    <col min="6149" max="6150" width="9.33203125" style="337"/>
    <col min="6151" max="6151" width="12.5" style="337" bestFit="1" customWidth="1"/>
    <col min="6152" max="6401" width="9.33203125" style="337"/>
    <col min="6402" max="6402" width="80.6640625" style="337" customWidth="1"/>
    <col min="6403" max="6403" width="15.33203125" style="337" customWidth="1"/>
    <col min="6404" max="6404" width="15.83203125" style="337" customWidth="1"/>
    <col min="6405" max="6406" width="9.33203125" style="337"/>
    <col min="6407" max="6407" width="12.5" style="337" bestFit="1" customWidth="1"/>
    <col min="6408" max="6657" width="9.33203125" style="337"/>
    <col min="6658" max="6658" width="80.6640625" style="337" customWidth="1"/>
    <col min="6659" max="6659" width="15.33203125" style="337" customWidth="1"/>
    <col min="6660" max="6660" width="15.83203125" style="337" customWidth="1"/>
    <col min="6661" max="6662" width="9.33203125" style="337"/>
    <col min="6663" max="6663" width="12.5" style="337" bestFit="1" customWidth="1"/>
    <col min="6664" max="6913" width="9.33203125" style="337"/>
    <col min="6914" max="6914" width="80.6640625" style="337" customWidth="1"/>
    <col min="6915" max="6915" width="15.33203125" style="337" customWidth="1"/>
    <col min="6916" max="6916" width="15.83203125" style="337" customWidth="1"/>
    <col min="6917" max="6918" width="9.33203125" style="337"/>
    <col min="6919" max="6919" width="12.5" style="337" bestFit="1" customWidth="1"/>
    <col min="6920" max="7169" width="9.33203125" style="337"/>
    <col min="7170" max="7170" width="80.6640625" style="337" customWidth="1"/>
    <col min="7171" max="7171" width="15.33203125" style="337" customWidth="1"/>
    <col min="7172" max="7172" width="15.83203125" style="337" customWidth="1"/>
    <col min="7173" max="7174" width="9.33203125" style="337"/>
    <col min="7175" max="7175" width="12.5" style="337" bestFit="1" customWidth="1"/>
    <col min="7176" max="7425" width="9.33203125" style="337"/>
    <col min="7426" max="7426" width="80.6640625" style="337" customWidth="1"/>
    <col min="7427" max="7427" width="15.33203125" style="337" customWidth="1"/>
    <col min="7428" max="7428" width="15.83203125" style="337" customWidth="1"/>
    <col min="7429" max="7430" width="9.33203125" style="337"/>
    <col min="7431" max="7431" width="12.5" style="337" bestFit="1" customWidth="1"/>
    <col min="7432" max="7681" width="9.33203125" style="337"/>
    <col min="7682" max="7682" width="80.6640625" style="337" customWidth="1"/>
    <col min="7683" max="7683" width="15.33203125" style="337" customWidth="1"/>
    <col min="7684" max="7684" width="15.83203125" style="337" customWidth="1"/>
    <col min="7685" max="7686" width="9.33203125" style="337"/>
    <col min="7687" max="7687" width="12.5" style="337" bestFit="1" customWidth="1"/>
    <col min="7688" max="7937" width="9.33203125" style="337"/>
    <col min="7938" max="7938" width="80.6640625" style="337" customWidth="1"/>
    <col min="7939" max="7939" width="15.33203125" style="337" customWidth="1"/>
    <col min="7940" max="7940" width="15.83203125" style="337" customWidth="1"/>
    <col min="7941" max="7942" width="9.33203125" style="337"/>
    <col min="7943" max="7943" width="12.5" style="337" bestFit="1" customWidth="1"/>
    <col min="7944" max="8193" width="9.33203125" style="337"/>
    <col min="8194" max="8194" width="80.6640625" style="337" customWidth="1"/>
    <col min="8195" max="8195" width="15.33203125" style="337" customWidth="1"/>
    <col min="8196" max="8196" width="15.83203125" style="337" customWidth="1"/>
    <col min="8197" max="8198" width="9.33203125" style="337"/>
    <col min="8199" max="8199" width="12.5" style="337" bestFit="1" customWidth="1"/>
    <col min="8200" max="8449" width="9.33203125" style="337"/>
    <col min="8450" max="8450" width="80.6640625" style="337" customWidth="1"/>
    <col min="8451" max="8451" width="15.33203125" style="337" customWidth="1"/>
    <col min="8452" max="8452" width="15.83203125" style="337" customWidth="1"/>
    <col min="8453" max="8454" width="9.33203125" style="337"/>
    <col min="8455" max="8455" width="12.5" style="337" bestFit="1" customWidth="1"/>
    <col min="8456" max="8705" width="9.33203125" style="337"/>
    <col min="8706" max="8706" width="80.6640625" style="337" customWidth="1"/>
    <col min="8707" max="8707" width="15.33203125" style="337" customWidth="1"/>
    <col min="8708" max="8708" width="15.83203125" style="337" customWidth="1"/>
    <col min="8709" max="8710" width="9.33203125" style="337"/>
    <col min="8711" max="8711" width="12.5" style="337" bestFit="1" customWidth="1"/>
    <col min="8712" max="8961" width="9.33203125" style="337"/>
    <col min="8962" max="8962" width="80.6640625" style="337" customWidth="1"/>
    <col min="8963" max="8963" width="15.33203125" style="337" customWidth="1"/>
    <col min="8964" max="8964" width="15.83203125" style="337" customWidth="1"/>
    <col min="8965" max="8966" width="9.33203125" style="337"/>
    <col min="8967" max="8967" width="12.5" style="337" bestFit="1" customWidth="1"/>
    <col min="8968" max="9217" width="9.33203125" style="337"/>
    <col min="9218" max="9218" width="80.6640625" style="337" customWidth="1"/>
    <col min="9219" max="9219" width="15.33203125" style="337" customWidth="1"/>
    <col min="9220" max="9220" width="15.83203125" style="337" customWidth="1"/>
    <col min="9221" max="9222" width="9.33203125" style="337"/>
    <col min="9223" max="9223" width="12.5" style="337" bestFit="1" customWidth="1"/>
    <col min="9224" max="9473" width="9.33203125" style="337"/>
    <col min="9474" max="9474" width="80.6640625" style="337" customWidth="1"/>
    <col min="9475" max="9475" width="15.33203125" style="337" customWidth="1"/>
    <col min="9476" max="9476" width="15.83203125" style="337" customWidth="1"/>
    <col min="9477" max="9478" width="9.33203125" style="337"/>
    <col min="9479" max="9479" width="12.5" style="337" bestFit="1" customWidth="1"/>
    <col min="9480" max="9729" width="9.33203125" style="337"/>
    <col min="9730" max="9730" width="80.6640625" style="337" customWidth="1"/>
    <col min="9731" max="9731" width="15.33203125" style="337" customWidth="1"/>
    <col min="9732" max="9732" width="15.83203125" style="337" customWidth="1"/>
    <col min="9733" max="9734" width="9.33203125" style="337"/>
    <col min="9735" max="9735" width="12.5" style="337" bestFit="1" customWidth="1"/>
    <col min="9736" max="9985" width="9.33203125" style="337"/>
    <col min="9986" max="9986" width="80.6640625" style="337" customWidth="1"/>
    <col min="9987" max="9987" width="15.33203125" style="337" customWidth="1"/>
    <col min="9988" max="9988" width="15.83203125" style="337" customWidth="1"/>
    <col min="9989" max="9990" width="9.33203125" style="337"/>
    <col min="9991" max="9991" width="12.5" style="337" bestFit="1" customWidth="1"/>
    <col min="9992" max="10241" width="9.33203125" style="337"/>
    <col min="10242" max="10242" width="80.6640625" style="337" customWidth="1"/>
    <col min="10243" max="10243" width="15.33203125" style="337" customWidth="1"/>
    <col min="10244" max="10244" width="15.83203125" style="337" customWidth="1"/>
    <col min="10245" max="10246" width="9.33203125" style="337"/>
    <col min="10247" max="10247" width="12.5" style="337" bestFit="1" customWidth="1"/>
    <col min="10248" max="10497" width="9.33203125" style="337"/>
    <col min="10498" max="10498" width="80.6640625" style="337" customWidth="1"/>
    <col min="10499" max="10499" width="15.33203125" style="337" customWidth="1"/>
    <col min="10500" max="10500" width="15.83203125" style="337" customWidth="1"/>
    <col min="10501" max="10502" width="9.33203125" style="337"/>
    <col min="10503" max="10503" width="12.5" style="337" bestFit="1" customWidth="1"/>
    <col min="10504" max="10753" width="9.33203125" style="337"/>
    <col min="10754" max="10754" width="80.6640625" style="337" customWidth="1"/>
    <col min="10755" max="10755" width="15.33203125" style="337" customWidth="1"/>
    <col min="10756" max="10756" width="15.83203125" style="337" customWidth="1"/>
    <col min="10757" max="10758" width="9.33203125" style="337"/>
    <col min="10759" max="10759" width="12.5" style="337" bestFit="1" customWidth="1"/>
    <col min="10760" max="11009" width="9.33203125" style="337"/>
    <col min="11010" max="11010" width="80.6640625" style="337" customWidth="1"/>
    <col min="11011" max="11011" width="15.33203125" style="337" customWidth="1"/>
    <col min="11012" max="11012" width="15.83203125" style="337" customWidth="1"/>
    <col min="11013" max="11014" width="9.33203125" style="337"/>
    <col min="11015" max="11015" width="12.5" style="337" bestFit="1" customWidth="1"/>
    <col min="11016" max="11265" width="9.33203125" style="337"/>
    <col min="11266" max="11266" width="80.6640625" style="337" customWidth="1"/>
    <col min="11267" max="11267" width="15.33203125" style="337" customWidth="1"/>
    <col min="11268" max="11268" width="15.83203125" style="337" customWidth="1"/>
    <col min="11269" max="11270" width="9.33203125" style="337"/>
    <col min="11271" max="11271" width="12.5" style="337" bestFit="1" customWidth="1"/>
    <col min="11272" max="11521" width="9.33203125" style="337"/>
    <col min="11522" max="11522" width="80.6640625" style="337" customWidth="1"/>
    <col min="11523" max="11523" width="15.33203125" style="337" customWidth="1"/>
    <col min="11524" max="11524" width="15.83203125" style="337" customWidth="1"/>
    <col min="11525" max="11526" width="9.33203125" style="337"/>
    <col min="11527" max="11527" width="12.5" style="337" bestFit="1" customWidth="1"/>
    <col min="11528" max="11777" width="9.33203125" style="337"/>
    <col min="11778" max="11778" width="80.6640625" style="337" customWidth="1"/>
    <col min="11779" max="11779" width="15.33203125" style="337" customWidth="1"/>
    <col min="11780" max="11780" width="15.83203125" style="337" customWidth="1"/>
    <col min="11781" max="11782" width="9.33203125" style="337"/>
    <col min="11783" max="11783" width="12.5" style="337" bestFit="1" customWidth="1"/>
    <col min="11784" max="12033" width="9.33203125" style="337"/>
    <col min="12034" max="12034" width="80.6640625" style="337" customWidth="1"/>
    <col min="12035" max="12035" width="15.33203125" style="337" customWidth="1"/>
    <col min="12036" max="12036" width="15.83203125" style="337" customWidth="1"/>
    <col min="12037" max="12038" width="9.33203125" style="337"/>
    <col min="12039" max="12039" width="12.5" style="337" bestFit="1" customWidth="1"/>
    <col min="12040" max="12289" width="9.33203125" style="337"/>
    <col min="12290" max="12290" width="80.6640625" style="337" customWidth="1"/>
    <col min="12291" max="12291" width="15.33203125" style="337" customWidth="1"/>
    <col min="12292" max="12292" width="15.83203125" style="337" customWidth="1"/>
    <col min="12293" max="12294" width="9.33203125" style="337"/>
    <col min="12295" max="12295" width="12.5" style="337" bestFit="1" customWidth="1"/>
    <col min="12296" max="12545" width="9.33203125" style="337"/>
    <col min="12546" max="12546" width="80.6640625" style="337" customWidth="1"/>
    <col min="12547" max="12547" width="15.33203125" style="337" customWidth="1"/>
    <col min="12548" max="12548" width="15.83203125" style="337" customWidth="1"/>
    <col min="12549" max="12550" width="9.33203125" style="337"/>
    <col min="12551" max="12551" width="12.5" style="337" bestFit="1" customWidth="1"/>
    <col min="12552" max="12801" width="9.33203125" style="337"/>
    <col min="12802" max="12802" width="80.6640625" style="337" customWidth="1"/>
    <col min="12803" max="12803" width="15.33203125" style="337" customWidth="1"/>
    <col min="12804" max="12804" width="15.83203125" style="337" customWidth="1"/>
    <col min="12805" max="12806" width="9.33203125" style="337"/>
    <col min="12807" max="12807" width="12.5" style="337" bestFit="1" customWidth="1"/>
    <col min="12808" max="13057" width="9.33203125" style="337"/>
    <col min="13058" max="13058" width="80.6640625" style="337" customWidth="1"/>
    <col min="13059" max="13059" width="15.33203125" style="337" customWidth="1"/>
    <col min="13060" max="13060" width="15.83203125" style="337" customWidth="1"/>
    <col min="13061" max="13062" width="9.33203125" style="337"/>
    <col min="13063" max="13063" width="12.5" style="337" bestFit="1" customWidth="1"/>
    <col min="13064" max="13313" width="9.33203125" style="337"/>
    <col min="13314" max="13314" width="80.6640625" style="337" customWidth="1"/>
    <col min="13315" max="13315" width="15.33203125" style="337" customWidth="1"/>
    <col min="13316" max="13316" width="15.83203125" style="337" customWidth="1"/>
    <col min="13317" max="13318" width="9.33203125" style="337"/>
    <col min="13319" max="13319" width="12.5" style="337" bestFit="1" customWidth="1"/>
    <col min="13320" max="13569" width="9.33203125" style="337"/>
    <col min="13570" max="13570" width="80.6640625" style="337" customWidth="1"/>
    <col min="13571" max="13571" width="15.33203125" style="337" customWidth="1"/>
    <col min="13572" max="13572" width="15.83203125" style="337" customWidth="1"/>
    <col min="13573" max="13574" width="9.33203125" style="337"/>
    <col min="13575" max="13575" width="12.5" style="337" bestFit="1" customWidth="1"/>
    <col min="13576" max="13825" width="9.33203125" style="337"/>
    <col min="13826" max="13826" width="80.6640625" style="337" customWidth="1"/>
    <col min="13827" max="13827" width="15.33203125" style="337" customWidth="1"/>
    <col min="13828" max="13828" width="15.83203125" style="337" customWidth="1"/>
    <col min="13829" max="13830" width="9.33203125" style="337"/>
    <col min="13831" max="13831" width="12.5" style="337" bestFit="1" customWidth="1"/>
    <col min="13832" max="14081" width="9.33203125" style="337"/>
    <col min="14082" max="14082" width="80.6640625" style="337" customWidth="1"/>
    <col min="14083" max="14083" width="15.33203125" style="337" customWidth="1"/>
    <col min="14084" max="14084" width="15.83203125" style="337" customWidth="1"/>
    <col min="14085" max="14086" width="9.33203125" style="337"/>
    <col min="14087" max="14087" width="12.5" style="337" bestFit="1" customWidth="1"/>
    <col min="14088" max="14337" width="9.33203125" style="337"/>
    <col min="14338" max="14338" width="80.6640625" style="337" customWidth="1"/>
    <col min="14339" max="14339" width="15.33203125" style="337" customWidth="1"/>
    <col min="14340" max="14340" width="15.83203125" style="337" customWidth="1"/>
    <col min="14341" max="14342" width="9.33203125" style="337"/>
    <col min="14343" max="14343" width="12.5" style="337" bestFit="1" customWidth="1"/>
    <col min="14344" max="14593" width="9.33203125" style="337"/>
    <col min="14594" max="14594" width="80.6640625" style="337" customWidth="1"/>
    <col min="14595" max="14595" width="15.33203125" style="337" customWidth="1"/>
    <col min="14596" max="14596" width="15.83203125" style="337" customWidth="1"/>
    <col min="14597" max="14598" width="9.33203125" style="337"/>
    <col min="14599" max="14599" width="12.5" style="337" bestFit="1" customWidth="1"/>
    <col min="14600" max="14849" width="9.33203125" style="337"/>
    <col min="14850" max="14850" width="80.6640625" style="337" customWidth="1"/>
    <col min="14851" max="14851" width="15.33203125" style="337" customWidth="1"/>
    <col min="14852" max="14852" width="15.83203125" style="337" customWidth="1"/>
    <col min="14853" max="14854" width="9.33203125" style="337"/>
    <col min="14855" max="14855" width="12.5" style="337" bestFit="1" customWidth="1"/>
    <col min="14856" max="15105" width="9.33203125" style="337"/>
    <col min="15106" max="15106" width="80.6640625" style="337" customWidth="1"/>
    <col min="15107" max="15107" width="15.33203125" style="337" customWidth="1"/>
    <col min="15108" max="15108" width="15.83203125" style="337" customWidth="1"/>
    <col min="15109" max="15110" width="9.33203125" style="337"/>
    <col min="15111" max="15111" width="12.5" style="337" bestFit="1" customWidth="1"/>
    <col min="15112" max="15361" width="9.33203125" style="337"/>
    <col min="15362" max="15362" width="80.6640625" style="337" customWidth="1"/>
    <col min="15363" max="15363" width="15.33203125" style="337" customWidth="1"/>
    <col min="15364" max="15364" width="15.83203125" style="337" customWidth="1"/>
    <col min="15365" max="15366" width="9.33203125" style="337"/>
    <col min="15367" max="15367" width="12.5" style="337" bestFit="1" customWidth="1"/>
    <col min="15368" max="15617" width="9.33203125" style="337"/>
    <col min="15618" max="15618" width="80.6640625" style="337" customWidth="1"/>
    <col min="15619" max="15619" width="15.33203125" style="337" customWidth="1"/>
    <col min="15620" max="15620" width="15.83203125" style="337" customWidth="1"/>
    <col min="15621" max="15622" width="9.33203125" style="337"/>
    <col min="15623" max="15623" width="12.5" style="337" bestFit="1" customWidth="1"/>
    <col min="15624" max="15873" width="9.33203125" style="337"/>
    <col min="15874" max="15874" width="80.6640625" style="337" customWidth="1"/>
    <col min="15875" max="15875" width="15.33203125" style="337" customWidth="1"/>
    <col min="15876" max="15876" width="15.83203125" style="337" customWidth="1"/>
    <col min="15877" max="15878" width="9.33203125" style="337"/>
    <col min="15879" max="15879" width="12.5" style="337" bestFit="1" customWidth="1"/>
    <col min="15880" max="16129" width="9.33203125" style="337"/>
    <col min="16130" max="16130" width="80.6640625" style="337" customWidth="1"/>
    <col min="16131" max="16131" width="15.33203125" style="337" customWidth="1"/>
    <col min="16132" max="16132" width="15.83203125" style="337" customWidth="1"/>
    <col min="16133" max="16134" width="9.33203125" style="337"/>
    <col min="16135" max="16135" width="12.5" style="337" bestFit="1" customWidth="1"/>
    <col min="16136" max="16384" width="9.33203125" style="337"/>
  </cols>
  <sheetData>
    <row r="2" spans="1:71">
      <c r="D2" s="49" t="str">
        <f>'Exhibit No._(CTM-2), Pg. 10-30'!BX2</f>
        <v>Exhibit No.__ (CTM-2) revised per Bench Request No. 26</v>
      </c>
    </row>
    <row r="3" spans="1:71" ht="13.5" thickBot="1">
      <c r="A3" s="338"/>
      <c r="B3" s="339"/>
      <c r="C3" s="339"/>
      <c r="D3" s="49" t="str">
        <f>'Exhibit No._(CTM-2), Pg. 10-30'!BX3</f>
        <v>Dockets UE-111048/UG-111049</v>
      </c>
    </row>
    <row r="4" spans="1:71" ht="13.5" thickBot="1">
      <c r="A4" s="340"/>
      <c r="B4" s="340"/>
      <c r="C4" s="340"/>
      <c r="D4" s="335" t="s">
        <v>627</v>
      </c>
    </row>
    <row r="5" spans="1:71">
      <c r="A5" s="341"/>
      <c r="B5" s="341"/>
      <c r="C5" s="341"/>
      <c r="D5" s="342"/>
      <c r="E5" s="342"/>
    </row>
    <row r="6" spans="1:71">
      <c r="A6" s="343" t="str">
        <f>'Exhibit No._(CTM-2), Pg. 10-30'!BU5</f>
        <v>Puget Sound Energy - Gas</v>
      </c>
      <c r="B6" s="344"/>
      <c r="C6" s="344"/>
      <c r="D6" s="344"/>
    </row>
    <row r="7" spans="1:71">
      <c r="A7" s="343" t="str">
        <f>'Exhibit No._(CTM-2), Pg. 10-30'!BU6</f>
        <v>DEFERRED GAINS/LOSSES ON PROPERTY SALES</v>
      </c>
      <c r="B7" s="344"/>
      <c r="C7" s="344"/>
      <c r="D7" s="344"/>
    </row>
    <row r="8" spans="1:71">
      <c r="A8" s="343" t="str">
        <f>'Exhibit No._(CTM-2), Pg. 10-30'!BU7</f>
        <v>For the Twelve Months Ended December 31, 2010</v>
      </c>
      <c r="B8" s="344"/>
      <c r="C8" s="344"/>
      <c r="D8" s="344"/>
      <c r="BS8" s="337" t="s">
        <v>978</v>
      </c>
    </row>
    <row r="9" spans="1:71">
      <c r="A9" s="343" t="str">
        <f>'Exhibit No._(CTM-2), Pg. 10-30'!BU8</f>
        <v>Adjustment Number - 6.16</v>
      </c>
      <c r="B9" s="344"/>
      <c r="C9" s="344"/>
      <c r="D9" s="344"/>
    </row>
    <row r="10" spans="1:71">
      <c r="A10" s="341"/>
      <c r="B10" s="341"/>
      <c r="C10" s="341"/>
      <c r="D10" s="341"/>
    </row>
    <row r="11" spans="1:71">
      <c r="A11" s="345" t="s">
        <v>24</v>
      </c>
      <c r="B11" s="346"/>
      <c r="C11" s="346"/>
      <c r="D11" s="341"/>
    </row>
    <row r="12" spans="1:71">
      <c r="A12" s="347" t="s">
        <v>38</v>
      </c>
      <c r="B12" s="348" t="s">
        <v>39</v>
      </c>
      <c r="C12" s="348"/>
      <c r="D12" s="349" t="s">
        <v>41</v>
      </c>
    </row>
    <row r="13" spans="1:71">
      <c r="A13" s="340"/>
      <c r="B13" s="340"/>
      <c r="C13" s="340"/>
      <c r="D13" s="340"/>
    </row>
    <row r="14" spans="1:71">
      <c r="A14" s="350" t="s">
        <v>57</v>
      </c>
      <c r="B14" s="340" t="s">
        <v>628</v>
      </c>
      <c r="C14" s="340"/>
      <c r="D14" s="351">
        <f>'6.16G - Rate Year'!D37</f>
        <v>-185547.28999999948</v>
      </c>
    </row>
    <row r="15" spans="1:71">
      <c r="A15" s="350">
        <f t="shared" ref="A15:A26" si="0">1+A14</f>
        <v>2</v>
      </c>
      <c r="B15" s="340" t="s">
        <v>629</v>
      </c>
      <c r="C15" s="340"/>
      <c r="D15" s="352">
        <f>'6.16G - Rate Year'!B37</f>
        <v>49436.470000000059</v>
      </c>
    </row>
    <row r="16" spans="1:71">
      <c r="A16" s="350">
        <f t="shared" si="0"/>
        <v>3</v>
      </c>
      <c r="B16" s="340" t="s">
        <v>478</v>
      </c>
      <c r="C16" s="340"/>
      <c r="D16" s="353">
        <f>SUM(D14:D15)</f>
        <v>-136110.81999999942</v>
      </c>
      <c r="G16" s="354"/>
    </row>
    <row r="17" spans="1:4">
      <c r="A17" s="350">
        <f t="shared" si="0"/>
        <v>4</v>
      </c>
      <c r="B17" s="340"/>
      <c r="C17" s="340"/>
      <c r="D17" s="340"/>
    </row>
    <row r="18" spans="1:4">
      <c r="A18" s="350">
        <f t="shared" si="0"/>
        <v>5</v>
      </c>
      <c r="B18" s="355" t="s">
        <v>484</v>
      </c>
      <c r="C18" s="356"/>
      <c r="D18" s="357">
        <f>D16/36*12</f>
        <v>-45370.273333333142</v>
      </c>
    </row>
    <row r="19" spans="1:4">
      <c r="A19" s="350">
        <f t="shared" si="0"/>
        <v>6</v>
      </c>
      <c r="B19" s="355"/>
      <c r="C19" s="340"/>
      <c r="D19" s="357"/>
    </row>
    <row r="20" spans="1:4">
      <c r="A20" s="350">
        <f t="shared" si="0"/>
        <v>7</v>
      </c>
      <c r="B20" s="340" t="s">
        <v>402</v>
      </c>
      <c r="C20" s="340"/>
      <c r="D20" s="358">
        <f>'6.16G - Charged to IS'!E42</f>
        <v>-187823.5</v>
      </c>
    </row>
    <row r="21" spans="1:4">
      <c r="A21" s="350">
        <f t="shared" si="0"/>
        <v>8</v>
      </c>
      <c r="B21" s="340"/>
      <c r="C21" s="340"/>
      <c r="D21" s="359"/>
    </row>
    <row r="22" spans="1:4">
      <c r="A22" s="350">
        <f t="shared" si="0"/>
        <v>9</v>
      </c>
      <c r="B22" s="340" t="s">
        <v>630</v>
      </c>
      <c r="C22" s="340"/>
      <c r="D22" s="352">
        <f>D18-D20</f>
        <v>142453.22666666686</v>
      </c>
    </row>
    <row r="23" spans="1:4">
      <c r="A23" s="350">
        <f t="shared" si="0"/>
        <v>10</v>
      </c>
      <c r="C23" s="360"/>
      <c r="D23" s="361"/>
    </row>
    <row r="24" spans="1:4">
      <c r="A24" s="350">
        <f t="shared" si="0"/>
        <v>11</v>
      </c>
      <c r="B24" s="340" t="s">
        <v>181</v>
      </c>
      <c r="C24" s="336">
        <f>'Exhibit No._(CTM-2), Pg. 7-9'!D19</f>
        <v>0.35</v>
      </c>
      <c r="D24" s="362">
        <f>-D22*C24</f>
        <v>-49858.629333333396</v>
      </c>
    </row>
    <row r="25" spans="1:4">
      <c r="A25" s="350">
        <f t="shared" si="0"/>
        <v>12</v>
      </c>
      <c r="B25" s="360"/>
      <c r="C25" s="340"/>
      <c r="D25" s="357"/>
    </row>
    <row r="26" spans="1:4" ht="13.5" thickBot="1">
      <c r="A26" s="350">
        <f t="shared" si="0"/>
        <v>13</v>
      </c>
      <c r="B26" s="340" t="s">
        <v>74</v>
      </c>
      <c r="C26" s="340"/>
      <c r="D26" s="363">
        <f>-D22-D24</f>
        <v>-92594.597333333455</v>
      </c>
    </row>
    <row r="27" spans="1:4" ht="14.25" thickTop="1">
      <c r="A27" s="364"/>
      <c r="B27" s="340"/>
      <c r="C27" s="340"/>
      <c r="D27" s="340"/>
    </row>
    <row r="28" spans="1:4">
      <c r="A28" s="365" t="s">
        <v>631</v>
      </c>
      <c r="B28" s="340" t="s">
        <v>632</v>
      </c>
      <c r="C28" s="340"/>
      <c r="D28" s="340"/>
    </row>
    <row r="29" spans="1:4" ht="13.5">
      <c r="A29" s="364"/>
      <c r="B29" s="340"/>
      <c r="C29" s="340"/>
      <c r="D29" s="340"/>
    </row>
    <row r="31" spans="1:4">
      <c r="A31" s="366"/>
      <c r="B31" s="367"/>
      <c r="C31" s="368"/>
    </row>
    <row r="32" spans="1:4">
      <c r="A32" s="368"/>
      <c r="B32" s="367"/>
      <c r="C32" s="357"/>
    </row>
    <row r="33" spans="1:3">
      <c r="A33" s="368"/>
      <c r="B33" s="368"/>
      <c r="C33" s="352"/>
    </row>
    <row r="34" spans="1:3">
      <c r="A34" s="368"/>
      <c r="B34" s="368"/>
      <c r="C34" s="369"/>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BS58"/>
  <sheetViews>
    <sheetView workbookViewId="0">
      <selection activeCell="G37" sqref="G37"/>
    </sheetView>
  </sheetViews>
  <sheetFormatPr defaultColWidth="10.33203125" defaultRowHeight="12.75"/>
  <cols>
    <col min="1" max="1" width="32" style="370" customWidth="1"/>
    <col min="2" max="2" width="21.83203125" style="370" customWidth="1"/>
    <col min="3" max="3" width="20.33203125" style="370" customWidth="1"/>
    <col min="4" max="4" width="21" style="370" customWidth="1"/>
    <col min="5" max="5" width="23.5" style="370" customWidth="1"/>
    <col min="6" max="12" width="10.33203125" style="370" customWidth="1"/>
    <col min="13" max="13" width="17.1640625" style="370" customWidth="1"/>
    <col min="14" max="256" width="10.33203125" style="370"/>
    <col min="257" max="257" width="32" style="370" customWidth="1"/>
    <col min="258" max="258" width="21.83203125" style="370" customWidth="1"/>
    <col min="259" max="259" width="20.33203125" style="370" customWidth="1"/>
    <col min="260" max="260" width="21" style="370" customWidth="1"/>
    <col min="261" max="261" width="23.5" style="370" customWidth="1"/>
    <col min="262" max="268" width="10.33203125" style="370" customWidth="1"/>
    <col min="269" max="269" width="17.1640625" style="370" customWidth="1"/>
    <col min="270" max="512" width="10.33203125" style="370"/>
    <col min="513" max="513" width="32" style="370" customWidth="1"/>
    <col min="514" max="514" width="21.83203125" style="370" customWidth="1"/>
    <col min="515" max="515" width="20.33203125" style="370" customWidth="1"/>
    <col min="516" max="516" width="21" style="370" customWidth="1"/>
    <col min="517" max="517" width="23.5" style="370" customWidth="1"/>
    <col min="518" max="524" width="10.33203125" style="370" customWidth="1"/>
    <col min="525" max="525" width="17.1640625" style="370" customWidth="1"/>
    <col min="526" max="768" width="10.33203125" style="370"/>
    <col min="769" max="769" width="32" style="370" customWidth="1"/>
    <col min="770" max="770" width="21.83203125" style="370" customWidth="1"/>
    <col min="771" max="771" width="20.33203125" style="370" customWidth="1"/>
    <col min="772" max="772" width="21" style="370" customWidth="1"/>
    <col min="773" max="773" width="23.5" style="370" customWidth="1"/>
    <col min="774" max="780" width="10.33203125" style="370" customWidth="1"/>
    <col min="781" max="781" width="17.1640625" style="370" customWidth="1"/>
    <col min="782" max="1024" width="10.33203125" style="370"/>
    <col min="1025" max="1025" width="32" style="370" customWidth="1"/>
    <col min="1026" max="1026" width="21.83203125" style="370" customWidth="1"/>
    <col min="1027" max="1027" width="20.33203125" style="370" customWidth="1"/>
    <col min="1028" max="1028" width="21" style="370" customWidth="1"/>
    <col min="1029" max="1029" width="23.5" style="370" customWidth="1"/>
    <col min="1030" max="1036" width="10.33203125" style="370" customWidth="1"/>
    <col min="1037" max="1037" width="17.1640625" style="370" customWidth="1"/>
    <col min="1038" max="1280" width="10.33203125" style="370"/>
    <col min="1281" max="1281" width="32" style="370" customWidth="1"/>
    <col min="1282" max="1282" width="21.83203125" style="370" customWidth="1"/>
    <col min="1283" max="1283" width="20.33203125" style="370" customWidth="1"/>
    <col min="1284" max="1284" width="21" style="370" customWidth="1"/>
    <col min="1285" max="1285" width="23.5" style="370" customWidth="1"/>
    <col min="1286" max="1292" width="10.33203125" style="370" customWidth="1"/>
    <col min="1293" max="1293" width="17.1640625" style="370" customWidth="1"/>
    <col min="1294" max="1536" width="10.33203125" style="370"/>
    <col min="1537" max="1537" width="32" style="370" customWidth="1"/>
    <col min="1538" max="1538" width="21.83203125" style="370" customWidth="1"/>
    <col min="1539" max="1539" width="20.33203125" style="370" customWidth="1"/>
    <col min="1540" max="1540" width="21" style="370" customWidth="1"/>
    <col min="1541" max="1541" width="23.5" style="370" customWidth="1"/>
    <col min="1542" max="1548" width="10.33203125" style="370" customWidth="1"/>
    <col min="1549" max="1549" width="17.1640625" style="370" customWidth="1"/>
    <col min="1550" max="1792" width="10.33203125" style="370"/>
    <col min="1793" max="1793" width="32" style="370" customWidth="1"/>
    <col min="1794" max="1794" width="21.83203125" style="370" customWidth="1"/>
    <col min="1795" max="1795" width="20.33203125" style="370" customWidth="1"/>
    <col min="1796" max="1796" width="21" style="370" customWidth="1"/>
    <col min="1797" max="1797" width="23.5" style="370" customWidth="1"/>
    <col min="1798" max="1804" width="10.33203125" style="370" customWidth="1"/>
    <col min="1805" max="1805" width="17.1640625" style="370" customWidth="1"/>
    <col min="1806" max="2048" width="10.33203125" style="370"/>
    <col min="2049" max="2049" width="32" style="370" customWidth="1"/>
    <col min="2050" max="2050" width="21.83203125" style="370" customWidth="1"/>
    <col min="2051" max="2051" width="20.33203125" style="370" customWidth="1"/>
    <col min="2052" max="2052" width="21" style="370" customWidth="1"/>
    <col min="2053" max="2053" width="23.5" style="370" customWidth="1"/>
    <col min="2054" max="2060" width="10.33203125" style="370" customWidth="1"/>
    <col min="2061" max="2061" width="17.1640625" style="370" customWidth="1"/>
    <col min="2062" max="2304" width="10.33203125" style="370"/>
    <col min="2305" max="2305" width="32" style="370" customWidth="1"/>
    <col min="2306" max="2306" width="21.83203125" style="370" customWidth="1"/>
    <col min="2307" max="2307" width="20.33203125" style="370" customWidth="1"/>
    <col min="2308" max="2308" width="21" style="370" customWidth="1"/>
    <col min="2309" max="2309" width="23.5" style="370" customWidth="1"/>
    <col min="2310" max="2316" width="10.33203125" style="370" customWidth="1"/>
    <col min="2317" max="2317" width="17.1640625" style="370" customWidth="1"/>
    <col min="2318" max="2560" width="10.33203125" style="370"/>
    <col min="2561" max="2561" width="32" style="370" customWidth="1"/>
    <col min="2562" max="2562" width="21.83203125" style="370" customWidth="1"/>
    <col min="2563" max="2563" width="20.33203125" style="370" customWidth="1"/>
    <col min="2564" max="2564" width="21" style="370" customWidth="1"/>
    <col min="2565" max="2565" width="23.5" style="370" customWidth="1"/>
    <col min="2566" max="2572" width="10.33203125" style="370" customWidth="1"/>
    <col min="2573" max="2573" width="17.1640625" style="370" customWidth="1"/>
    <col min="2574" max="2816" width="10.33203125" style="370"/>
    <col min="2817" max="2817" width="32" style="370" customWidth="1"/>
    <col min="2818" max="2818" width="21.83203125" style="370" customWidth="1"/>
    <col min="2819" max="2819" width="20.33203125" style="370" customWidth="1"/>
    <col min="2820" max="2820" width="21" style="370" customWidth="1"/>
    <col min="2821" max="2821" width="23.5" style="370" customWidth="1"/>
    <col min="2822" max="2828" width="10.33203125" style="370" customWidth="1"/>
    <col min="2829" max="2829" width="17.1640625" style="370" customWidth="1"/>
    <col min="2830" max="3072" width="10.33203125" style="370"/>
    <col min="3073" max="3073" width="32" style="370" customWidth="1"/>
    <col min="3074" max="3074" width="21.83203125" style="370" customWidth="1"/>
    <col min="3075" max="3075" width="20.33203125" style="370" customWidth="1"/>
    <col min="3076" max="3076" width="21" style="370" customWidth="1"/>
    <col min="3077" max="3077" width="23.5" style="370" customWidth="1"/>
    <col min="3078" max="3084" width="10.33203125" style="370" customWidth="1"/>
    <col min="3085" max="3085" width="17.1640625" style="370" customWidth="1"/>
    <col min="3086" max="3328" width="10.33203125" style="370"/>
    <col min="3329" max="3329" width="32" style="370" customWidth="1"/>
    <col min="3330" max="3330" width="21.83203125" style="370" customWidth="1"/>
    <col min="3331" max="3331" width="20.33203125" style="370" customWidth="1"/>
    <col min="3332" max="3332" width="21" style="370" customWidth="1"/>
    <col min="3333" max="3333" width="23.5" style="370" customWidth="1"/>
    <col min="3334" max="3340" width="10.33203125" style="370" customWidth="1"/>
    <col min="3341" max="3341" width="17.1640625" style="370" customWidth="1"/>
    <col min="3342" max="3584" width="10.33203125" style="370"/>
    <col min="3585" max="3585" width="32" style="370" customWidth="1"/>
    <col min="3586" max="3586" width="21.83203125" style="370" customWidth="1"/>
    <col min="3587" max="3587" width="20.33203125" style="370" customWidth="1"/>
    <col min="3588" max="3588" width="21" style="370" customWidth="1"/>
    <col min="3589" max="3589" width="23.5" style="370" customWidth="1"/>
    <col min="3590" max="3596" width="10.33203125" style="370" customWidth="1"/>
    <col min="3597" max="3597" width="17.1640625" style="370" customWidth="1"/>
    <col min="3598" max="3840" width="10.33203125" style="370"/>
    <col min="3841" max="3841" width="32" style="370" customWidth="1"/>
    <col min="3842" max="3842" width="21.83203125" style="370" customWidth="1"/>
    <col min="3843" max="3843" width="20.33203125" style="370" customWidth="1"/>
    <col min="3844" max="3844" width="21" style="370" customWidth="1"/>
    <col min="3845" max="3845" width="23.5" style="370" customWidth="1"/>
    <col min="3846" max="3852" width="10.33203125" style="370" customWidth="1"/>
    <col min="3853" max="3853" width="17.1640625" style="370" customWidth="1"/>
    <col min="3854" max="4096" width="10.33203125" style="370"/>
    <col min="4097" max="4097" width="32" style="370" customWidth="1"/>
    <col min="4098" max="4098" width="21.83203125" style="370" customWidth="1"/>
    <col min="4099" max="4099" width="20.33203125" style="370" customWidth="1"/>
    <col min="4100" max="4100" width="21" style="370" customWidth="1"/>
    <col min="4101" max="4101" width="23.5" style="370" customWidth="1"/>
    <col min="4102" max="4108" width="10.33203125" style="370" customWidth="1"/>
    <col min="4109" max="4109" width="17.1640625" style="370" customWidth="1"/>
    <col min="4110" max="4352" width="10.33203125" style="370"/>
    <col min="4353" max="4353" width="32" style="370" customWidth="1"/>
    <col min="4354" max="4354" width="21.83203125" style="370" customWidth="1"/>
    <col min="4355" max="4355" width="20.33203125" style="370" customWidth="1"/>
    <col min="4356" max="4356" width="21" style="370" customWidth="1"/>
    <col min="4357" max="4357" width="23.5" style="370" customWidth="1"/>
    <col min="4358" max="4364" width="10.33203125" style="370" customWidth="1"/>
    <col min="4365" max="4365" width="17.1640625" style="370" customWidth="1"/>
    <col min="4366" max="4608" width="10.33203125" style="370"/>
    <col min="4609" max="4609" width="32" style="370" customWidth="1"/>
    <col min="4610" max="4610" width="21.83203125" style="370" customWidth="1"/>
    <col min="4611" max="4611" width="20.33203125" style="370" customWidth="1"/>
    <col min="4612" max="4612" width="21" style="370" customWidth="1"/>
    <col min="4613" max="4613" width="23.5" style="370" customWidth="1"/>
    <col min="4614" max="4620" width="10.33203125" style="370" customWidth="1"/>
    <col min="4621" max="4621" width="17.1640625" style="370" customWidth="1"/>
    <col min="4622" max="4864" width="10.33203125" style="370"/>
    <col min="4865" max="4865" width="32" style="370" customWidth="1"/>
    <col min="4866" max="4866" width="21.83203125" style="370" customWidth="1"/>
    <col min="4867" max="4867" width="20.33203125" style="370" customWidth="1"/>
    <col min="4868" max="4868" width="21" style="370" customWidth="1"/>
    <col min="4869" max="4869" width="23.5" style="370" customWidth="1"/>
    <col min="4870" max="4876" width="10.33203125" style="370" customWidth="1"/>
    <col min="4877" max="4877" width="17.1640625" style="370" customWidth="1"/>
    <col min="4878" max="5120" width="10.33203125" style="370"/>
    <col min="5121" max="5121" width="32" style="370" customWidth="1"/>
    <col min="5122" max="5122" width="21.83203125" style="370" customWidth="1"/>
    <col min="5123" max="5123" width="20.33203125" style="370" customWidth="1"/>
    <col min="5124" max="5124" width="21" style="370" customWidth="1"/>
    <col min="5125" max="5125" width="23.5" style="370" customWidth="1"/>
    <col min="5126" max="5132" width="10.33203125" style="370" customWidth="1"/>
    <col min="5133" max="5133" width="17.1640625" style="370" customWidth="1"/>
    <col min="5134" max="5376" width="10.33203125" style="370"/>
    <col min="5377" max="5377" width="32" style="370" customWidth="1"/>
    <col min="5378" max="5378" width="21.83203125" style="370" customWidth="1"/>
    <col min="5379" max="5379" width="20.33203125" style="370" customWidth="1"/>
    <col min="5380" max="5380" width="21" style="370" customWidth="1"/>
    <col min="5381" max="5381" width="23.5" style="370" customWidth="1"/>
    <col min="5382" max="5388" width="10.33203125" style="370" customWidth="1"/>
    <col min="5389" max="5389" width="17.1640625" style="370" customWidth="1"/>
    <col min="5390" max="5632" width="10.33203125" style="370"/>
    <col min="5633" max="5633" width="32" style="370" customWidth="1"/>
    <col min="5634" max="5634" width="21.83203125" style="370" customWidth="1"/>
    <col min="5635" max="5635" width="20.33203125" style="370" customWidth="1"/>
    <col min="5636" max="5636" width="21" style="370" customWidth="1"/>
    <col min="5637" max="5637" width="23.5" style="370" customWidth="1"/>
    <col min="5638" max="5644" width="10.33203125" style="370" customWidth="1"/>
    <col min="5645" max="5645" width="17.1640625" style="370" customWidth="1"/>
    <col min="5646" max="5888" width="10.33203125" style="370"/>
    <col min="5889" max="5889" width="32" style="370" customWidth="1"/>
    <col min="5890" max="5890" width="21.83203125" style="370" customWidth="1"/>
    <col min="5891" max="5891" width="20.33203125" style="370" customWidth="1"/>
    <col min="5892" max="5892" width="21" style="370" customWidth="1"/>
    <col min="5893" max="5893" width="23.5" style="370" customWidth="1"/>
    <col min="5894" max="5900" width="10.33203125" style="370" customWidth="1"/>
    <col min="5901" max="5901" width="17.1640625" style="370" customWidth="1"/>
    <col min="5902" max="6144" width="10.33203125" style="370"/>
    <col min="6145" max="6145" width="32" style="370" customWidth="1"/>
    <col min="6146" max="6146" width="21.83203125" style="370" customWidth="1"/>
    <col min="6147" max="6147" width="20.33203125" style="370" customWidth="1"/>
    <col min="6148" max="6148" width="21" style="370" customWidth="1"/>
    <col min="6149" max="6149" width="23.5" style="370" customWidth="1"/>
    <col min="6150" max="6156" width="10.33203125" style="370" customWidth="1"/>
    <col min="6157" max="6157" width="17.1640625" style="370" customWidth="1"/>
    <col min="6158" max="6400" width="10.33203125" style="370"/>
    <col min="6401" max="6401" width="32" style="370" customWidth="1"/>
    <col min="6402" max="6402" width="21.83203125" style="370" customWidth="1"/>
    <col min="6403" max="6403" width="20.33203125" style="370" customWidth="1"/>
    <col min="6404" max="6404" width="21" style="370" customWidth="1"/>
    <col min="6405" max="6405" width="23.5" style="370" customWidth="1"/>
    <col min="6406" max="6412" width="10.33203125" style="370" customWidth="1"/>
    <col min="6413" max="6413" width="17.1640625" style="370" customWidth="1"/>
    <col min="6414" max="6656" width="10.33203125" style="370"/>
    <col min="6657" max="6657" width="32" style="370" customWidth="1"/>
    <col min="6658" max="6658" width="21.83203125" style="370" customWidth="1"/>
    <col min="6659" max="6659" width="20.33203125" style="370" customWidth="1"/>
    <col min="6660" max="6660" width="21" style="370" customWidth="1"/>
    <col min="6661" max="6661" width="23.5" style="370" customWidth="1"/>
    <col min="6662" max="6668" width="10.33203125" style="370" customWidth="1"/>
    <col min="6669" max="6669" width="17.1640625" style="370" customWidth="1"/>
    <col min="6670" max="6912" width="10.33203125" style="370"/>
    <col min="6913" max="6913" width="32" style="370" customWidth="1"/>
    <col min="6914" max="6914" width="21.83203125" style="370" customWidth="1"/>
    <col min="6915" max="6915" width="20.33203125" style="370" customWidth="1"/>
    <col min="6916" max="6916" width="21" style="370" customWidth="1"/>
    <col min="6917" max="6917" width="23.5" style="370" customWidth="1"/>
    <col min="6918" max="6924" width="10.33203125" style="370" customWidth="1"/>
    <col min="6925" max="6925" width="17.1640625" style="370" customWidth="1"/>
    <col min="6926" max="7168" width="10.33203125" style="370"/>
    <col min="7169" max="7169" width="32" style="370" customWidth="1"/>
    <col min="7170" max="7170" width="21.83203125" style="370" customWidth="1"/>
    <col min="7171" max="7171" width="20.33203125" style="370" customWidth="1"/>
    <col min="7172" max="7172" width="21" style="370" customWidth="1"/>
    <col min="7173" max="7173" width="23.5" style="370" customWidth="1"/>
    <col min="7174" max="7180" width="10.33203125" style="370" customWidth="1"/>
    <col min="7181" max="7181" width="17.1640625" style="370" customWidth="1"/>
    <col min="7182" max="7424" width="10.33203125" style="370"/>
    <col min="7425" max="7425" width="32" style="370" customWidth="1"/>
    <col min="7426" max="7426" width="21.83203125" style="370" customWidth="1"/>
    <col min="7427" max="7427" width="20.33203125" style="370" customWidth="1"/>
    <col min="7428" max="7428" width="21" style="370" customWidth="1"/>
    <col min="7429" max="7429" width="23.5" style="370" customWidth="1"/>
    <col min="7430" max="7436" width="10.33203125" style="370" customWidth="1"/>
    <col min="7437" max="7437" width="17.1640625" style="370" customWidth="1"/>
    <col min="7438" max="7680" width="10.33203125" style="370"/>
    <col min="7681" max="7681" width="32" style="370" customWidth="1"/>
    <col min="7682" max="7682" width="21.83203125" style="370" customWidth="1"/>
    <col min="7683" max="7683" width="20.33203125" style="370" customWidth="1"/>
    <col min="7684" max="7684" width="21" style="370" customWidth="1"/>
    <col min="7685" max="7685" width="23.5" style="370" customWidth="1"/>
    <col min="7686" max="7692" width="10.33203125" style="370" customWidth="1"/>
    <col min="7693" max="7693" width="17.1640625" style="370" customWidth="1"/>
    <col min="7694" max="7936" width="10.33203125" style="370"/>
    <col min="7937" max="7937" width="32" style="370" customWidth="1"/>
    <col min="7938" max="7938" width="21.83203125" style="370" customWidth="1"/>
    <col min="7939" max="7939" width="20.33203125" style="370" customWidth="1"/>
    <col min="7940" max="7940" width="21" style="370" customWidth="1"/>
    <col min="7941" max="7941" width="23.5" style="370" customWidth="1"/>
    <col min="7942" max="7948" width="10.33203125" style="370" customWidth="1"/>
    <col min="7949" max="7949" width="17.1640625" style="370" customWidth="1"/>
    <col min="7950" max="8192" width="10.33203125" style="370"/>
    <col min="8193" max="8193" width="32" style="370" customWidth="1"/>
    <col min="8194" max="8194" width="21.83203125" style="370" customWidth="1"/>
    <col min="8195" max="8195" width="20.33203125" style="370" customWidth="1"/>
    <col min="8196" max="8196" width="21" style="370" customWidth="1"/>
    <col min="8197" max="8197" width="23.5" style="370" customWidth="1"/>
    <col min="8198" max="8204" width="10.33203125" style="370" customWidth="1"/>
    <col min="8205" max="8205" width="17.1640625" style="370" customWidth="1"/>
    <col min="8206" max="8448" width="10.33203125" style="370"/>
    <col min="8449" max="8449" width="32" style="370" customWidth="1"/>
    <col min="8450" max="8450" width="21.83203125" style="370" customWidth="1"/>
    <col min="8451" max="8451" width="20.33203125" style="370" customWidth="1"/>
    <col min="8452" max="8452" width="21" style="370" customWidth="1"/>
    <col min="8453" max="8453" width="23.5" style="370" customWidth="1"/>
    <col min="8454" max="8460" width="10.33203125" style="370" customWidth="1"/>
    <col min="8461" max="8461" width="17.1640625" style="370" customWidth="1"/>
    <col min="8462" max="8704" width="10.33203125" style="370"/>
    <col min="8705" max="8705" width="32" style="370" customWidth="1"/>
    <col min="8706" max="8706" width="21.83203125" style="370" customWidth="1"/>
    <col min="8707" max="8707" width="20.33203125" style="370" customWidth="1"/>
    <col min="8708" max="8708" width="21" style="370" customWidth="1"/>
    <col min="8709" max="8709" width="23.5" style="370" customWidth="1"/>
    <col min="8710" max="8716" width="10.33203125" style="370" customWidth="1"/>
    <col min="8717" max="8717" width="17.1640625" style="370" customWidth="1"/>
    <col min="8718" max="8960" width="10.33203125" style="370"/>
    <col min="8961" max="8961" width="32" style="370" customWidth="1"/>
    <col min="8962" max="8962" width="21.83203125" style="370" customWidth="1"/>
    <col min="8963" max="8963" width="20.33203125" style="370" customWidth="1"/>
    <col min="8964" max="8964" width="21" style="370" customWidth="1"/>
    <col min="8965" max="8965" width="23.5" style="370" customWidth="1"/>
    <col min="8966" max="8972" width="10.33203125" style="370" customWidth="1"/>
    <col min="8973" max="8973" width="17.1640625" style="370" customWidth="1"/>
    <col min="8974" max="9216" width="10.33203125" style="370"/>
    <col min="9217" max="9217" width="32" style="370" customWidth="1"/>
    <col min="9218" max="9218" width="21.83203125" style="370" customWidth="1"/>
    <col min="9219" max="9219" width="20.33203125" style="370" customWidth="1"/>
    <col min="9220" max="9220" width="21" style="370" customWidth="1"/>
    <col min="9221" max="9221" width="23.5" style="370" customWidth="1"/>
    <col min="9222" max="9228" width="10.33203125" style="370" customWidth="1"/>
    <col min="9229" max="9229" width="17.1640625" style="370" customWidth="1"/>
    <col min="9230" max="9472" width="10.33203125" style="370"/>
    <col min="9473" max="9473" width="32" style="370" customWidth="1"/>
    <col min="9474" max="9474" width="21.83203125" style="370" customWidth="1"/>
    <col min="9475" max="9475" width="20.33203125" style="370" customWidth="1"/>
    <col min="9476" max="9476" width="21" style="370" customWidth="1"/>
    <col min="9477" max="9477" width="23.5" style="370" customWidth="1"/>
    <col min="9478" max="9484" width="10.33203125" style="370" customWidth="1"/>
    <col min="9485" max="9485" width="17.1640625" style="370" customWidth="1"/>
    <col min="9486" max="9728" width="10.33203125" style="370"/>
    <col min="9729" max="9729" width="32" style="370" customWidth="1"/>
    <col min="9730" max="9730" width="21.83203125" style="370" customWidth="1"/>
    <col min="9731" max="9731" width="20.33203125" style="370" customWidth="1"/>
    <col min="9732" max="9732" width="21" style="370" customWidth="1"/>
    <col min="9733" max="9733" width="23.5" style="370" customWidth="1"/>
    <col min="9734" max="9740" width="10.33203125" style="370" customWidth="1"/>
    <col min="9741" max="9741" width="17.1640625" style="370" customWidth="1"/>
    <col min="9742" max="9984" width="10.33203125" style="370"/>
    <col min="9985" max="9985" width="32" style="370" customWidth="1"/>
    <col min="9986" max="9986" width="21.83203125" style="370" customWidth="1"/>
    <col min="9987" max="9987" width="20.33203125" style="370" customWidth="1"/>
    <col min="9988" max="9988" width="21" style="370" customWidth="1"/>
    <col min="9989" max="9989" width="23.5" style="370" customWidth="1"/>
    <col min="9990" max="9996" width="10.33203125" style="370" customWidth="1"/>
    <col min="9997" max="9997" width="17.1640625" style="370" customWidth="1"/>
    <col min="9998" max="10240" width="10.33203125" style="370"/>
    <col min="10241" max="10241" width="32" style="370" customWidth="1"/>
    <col min="10242" max="10242" width="21.83203125" style="370" customWidth="1"/>
    <col min="10243" max="10243" width="20.33203125" style="370" customWidth="1"/>
    <col min="10244" max="10244" width="21" style="370" customWidth="1"/>
    <col min="10245" max="10245" width="23.5" style="370" customWidth="1"/>
    <col min="10246" max="10252" width="10.33203125" style="370" customWidth="1"/>
    <col min="10253" max="10253" width="17.1640625" style="370" customWidth="1"/>
    <col min="10254" max="10496" width="10.33203125" style="370"/>
    <col min="10497" max="10497" width="32" style="370" customWidth="1"/>
    <col min="10498" max="10498" width="21.83203125" style="370" customWidth="1"/>
    <col min="10499" max="10499" width="20.33203125" style="370" customWidth="1"/>
    <col min="10500" max="10500" width="21" style="370" customWidth="1"/>
    <col min="10501" max="10501" width="23.5" style="370" customWidth="1"/>
    <col min="10502" max="10508" width="10.33203125" style="370" customWidth="1"/>
    <col min="10509" max="10509" width="17.1640625" style="370" customWidth="1"/>
    <col min="10510" max="10752" width="10.33203125" style="370"/>
    <col min="10753" max="10753" width="32" style="370" customWidth="1"/>
    <col min="10754" max="10754" width="21.83203125" style="370" customWidth="1"/>
    <col min="10755" max="10755" width="20.33203125" style="370" customWidth="1"/>
    <col min="10756" max="10756" width="21" style="370" customWidth="1"/>
    <col min="10757" max="10757" width="23.5" style="370" customWidth="1"/>
    <col min="10758" max="10764" width="10.33203125" style="370" customWidth="1"/>
    <col min="10765" max="10765" width="17.1640625" style="370" customWidth="1"/>
    <col min="10766" max="11008" width="10.33203125" style="370"/>
    <col min="11009" max="11009" width="32" style="370" customWidth="1"/>
    <col min="11010" max="11010" width="21.83203125" style="370" customWidth="1"/>
    <col min="11011" max="11011" width="20.33203125" style="370" customWidth="1"/>
    <col min="11012" max="11012" width="21" style="370" customWidth="1"/>
    <col min="11013" max="11013" width="23.5" style="370" customWidth="1"/>
    <col min="11014" max="11020" width="10.33203125" style="370" customWidth="1"/>
    <col min="11021" max="11021" width="17.1640625" style="370" customWidth="1"/>
    <col min="11022" max="11264" width="10.33203125" style="370"/>
    <col min="11265" max="11265" width="32" style="370" customWidth="1"/>
    <col min="11266" max="11266" width="21.83203125" style="370" customWidth="1"/>
    <col min="11267" max="11267" width="20.33203125" style="370" customWidth="1"/>
    <col min="11268" max="11268" width="21" style="370" customWidth="1"/>
    <col min="11269" max="11269" width="23.5" style="370" customWidth="1"/>
    <col min="11270" max="11276" width="10.33203125" style="370" customWidth="1"/>
    <col min="11277" max="11277" width="17.1640625" style="370" customWidth="1"/>
    <col min="11278" max="11520" width="10.33203125" style="370"/>
    <col min="11521" max="11521" width="32" style="370" customWidth="1"/>
    <col min="11522" max="11522" width="21.83203125" style="370" customWidth="1"/>
    <col min="11523" max="11523" width="20.33203125" style="370" customWidth="1"/>
    <col min="11524" max="11524" width="21" style="370" customWidth="1"/>
    <col min="11525" max="11525" width="23.5" style="370" customWidth="1"/>
    <col min="11526" max="11532" width="10.33203125" style="370" customWidth="1"/>
    <col min="11533" max="11533" width="17.1640625" style="370" customWidth="1"/>
    <col min="11534" max="11776" width="10.33203125" style="370"/>
    <col min="11777" max="11777" width="32" style="370" customWidth="1"/>
    <col min="11778" max="11778" width="21.83203125" style="370" customWidth="1"/>
    <col min="11779" max="11779" width="20.33203125" style="370" customWidth="1"/>
    <col min="11780" max="11780" width="21" style="370" customWidth="1"/>
    <col min="11781" max="11781" width="23.5" style="370" customWidth="1"/>
    <col min="11782" max="11788" width="10.33203125" style="370" customWidth="1"/>
    <col min="11789" max="11789" width="17.1640625" style="370" customWidth="1"/>
    <col min="11790" max="12032" width="10.33203125" style="370"/>
    <col min="12033" max="12033" width="32" style="370" customWidth="1"/>
    <col min="12034" max="12034" width="21.83203125" style="370" customWidth="1"/>
    <col min="12035" max="12035" width="20.33203125" style="370" customWidth="1"/>
    <col min="12036" max="12036" width="21" style="370" customWidth="1"/>
    <col min="12037" max="12037" width="23.5" style="370" customWidth="1"/>
    <col min="12038" max="12044" width="10.33203125" style="370" customWidth="1"/>
    <col min="12045" max="12045" width="17.1640625" style="370" customWidth="1"/>
    <col min="12046" max="12288" width="10.33203125" style="370"/>
    <col min="12289" max="12289" width="32" style="370" customWidth="1"/>
    <col min="12290" max="12290" width="21.83203125" style="370" customWidth="1"/>
    <col min="12291" max="12291" width="20.33203125" style="370" customWidth="1"/>
    <col min="12292" max="12292" width="21" style="370" customWidth="1"/>
    <col min="12293" max="12293" width="23.5" style="370" customWidth="1"/>
    <col min="12294" max="12300" width="10.33203125" style="370" customWidth="1"/>
    <col min="12301" max="12301" width="17.1640625" style="370" customWidth="1"/>
    <col min="12302" max="12544" width="10.33203125" style="370"/>
    <col min="12545" max="12545" width="32" style="370" customWidth="1"/>
    <col min="12546" max="12546" width="21.83203125" style="370" customWidth="1"/>
    <col min="12547" max="12547" width="20.33203125" style="370" customWidth="1"/>
    <col min="12548" max="12548" width="21" style="370" customWidth="1"/>
    <col min="12549" max="12549" width="23.5" style="370" customWidth="1"/>
    <col min="12550" max="12556" width="10.33203125" style="370" customWidth="1"/>
    <col min="12557" max="12557" width="17.1640625" style="370" customWidth="1"/>
    <col min="12558" max="12800" width="10.33203125" style="370"/>
    <col min="12801" max="12801" width="32" style="370" customWidth="1"/>
    <col min="12802" max="12802" width="21.83203125" style="370" customWidth="1"/>
    <col min="12803" max="12803" width="20.33203125" style="370" customWidth="1"/>
    <col min="12804" max="12804" width="21" style="370" customWidth="1"/>
    <col min="12805" max="12805" width="23.5" style="370" customWidth="1"/>
    <col min="12806" max="12812" width="10.33203125" style="370" customWidth="1"/>
    <col min="12813" max="12813" width="17.1640625" style="370" customWidth="1"/>
    <col min="12814" max="13056" width="10.33203125" style="370"/>
    <col min="13057" max="13057" width="32" style="370" customWidth="1"/>
    <col min="13058" max="13058" width="21.83203125" style="370" customWidth="1"/>
    <col min="13059" max="13059" width="20.33203125" style="370" customWidth="1"/>
    <col min="13060" max="13060" width="21" style="370" customWidth="1"/>
    <col min="13061" max="13061" width="23.5" style="370" customWidth="1"/>
    <col min="13062" max="13068" width="10.33203125" style="370" customWidth="1"/>
    <col min="13069" max="13069" width="17.1640625" style="370" customWidth="1"/>
    <col min="13070" max="13312" width="10.33203125" style="370"/>
    <col min="13313" max="13313" width="32" style="370" customWidth="1"/>
    <col min="13314" max="13314" width="21.83203125" style="370" customWidth="1"/>
    <col min="13315" max="13315" width="20.33203125" style="370" customWidth="1"/>
    <col min="13316" max="13316" width="21" style="370" customWidth="1"/>
    <col min="13317" max="13317" width="23.5" style="370" customWidth="1"/>
    <col min="13318" max="13324" width="10.33203125" style="370" customWidth="1"/>
    <col min="13325" max="13325" width="17.1640625" style="370" customWidth="1"/>
    <col min="13326" max="13568" width="10.33203125" style="370"/>
    <col min="13569" max="13569" width="32" style="370" customWidth="1"/>
    <col min="13570" max="13570" width="21.83203125" style="370" customWidth="1"/>
    <col min="13571" max="13571" width="20.33203125" style="370" customWidth="1"/>
    <col min="13572" max="13572" width="21" style="370" customWidth="1"/>
    <col min="13573" max="13573" width="23.5" style="370" customWidth="1"/>
    <col min="13574" max="13580" width="10.33203125" style="370" customWidth="1"/>
    <col min="13581" max="13581" width="17.1640625" style="370" customWidth="1"/>
    <col min="13582" max="13824" width="10.33203125" style="370"/>
    <col min="13825" max="13825" width="32" style="370" customWidth="1"/>
    <col min="13826" max="13826" width="21.83203125" style="370" customWidth="1"/>
    <col min="13827" max="13827" width="20.33203125" style="370" customWidth="1"/>
    <col min="13828" max="13828" width="21" style="370" customWidth="1"/>
    <col min="13829" max="13829" width="23.5" style="370" customWidth="1"/>
    <col min="13830" max="13836" width="10.33203125" style="370" customWidth="1"/>
    <col min="13837" max="13837" width="17.1640625" style="370" customWidth="1"/>
    <col min="13838" max="14080" width="10.33203125" style="370"/>
    <col min="14081" max="14081" width="32" style="370" customWidth="1"/>
    <col min="14082" max="14082" width="21.83203125" style="370" customWidth="1"/>
    <col min="14083" max="14083" width="20.33203125" style="370" customWidth="1"/>
    <col min="14084" max="14084" width="21" style="370" customWidth="1"/>
    <col min="14085" max="14085" width="23.5" style="370" customWidth="1"/>
    <col min="14086" max="14092" width="10.33203125" style="370" customWidth="1"/>
    <col min="14093" max="14093" width="17.1640625" style="370" customWidth="1"/>
    <col min="14094" max="14336" width="10.33203125" style="370"/>
    <col min="14337" max="14337" width="32" style="370" customWidth="1"/>
    <col min="14338" max="14338" width="21.83203125" style="370" customWidth="1"/>
    <col min="14339" max="14339" width="20.33203125" style="370" customWidth="1"/>
    <col min="14340" max="14340" width="21" style="370" customWidth="1"/>
    <col min="14341" max="14341" width="23.5" style="370" customWidth="1"/>
    <col min="14342" max="14348" width="10.33203125" style="370" customWidth="1"/>
    <col min="14349" max="14349" width="17.1640625" style="370" customWidth="1"/>
    <col min="14350" max="14592" width="10.33203125" style="370"/>
    <col min="14593" max="14593" width="32" style="370" customWidth="1"/>
    <col min="14594" max="14594" width="21.83203125" style="370" customWidth="1"/>
    <col min="14595" max="14595" width="20.33203125" style="370" customWidth="1"/>
    <col min="14596" max="14596" width="21" style="370" customWidth="1"/>
    <col min="14597" max="14597" width="23.5" style="370" customWidth="1"/>
    <col min="14598" max="14604" width="10.33203125" style="370" customWidth="1"/>
    <col min="14605" max="14605" width="17.1640625" style="370" customWidth="1"/>
    <col min="14606" max="14848" width="10.33203125" style="370"/>
    <col min="14849" max="14849" width="32" style="370" customWidth="1"/>
    <col min="14850" max="14850" width="21.83203125" style="370" customWidth="1"/>
    <col min="14851" max="14851" width="20.33203125" style="370" customWidth="1"/>
    <col min="14852" max="14852" width="21" style="370" customWidth="1"/>
    <col min="14853" max="14853" width="23.5" style="370" customWidth="1"/>
    <col min="14854" max="14860" width="10.33203125" style="370" customWidth="1"/>
    <col min="14861" max="14861" width="17.1640625" style="370" customWidth="1"/>
    <col min="14862" max="15104" width="10.33203125" style="370"/>
    <col min="15105" max="15105" width="32" style="370" customWidth="1"/>
    <col min="15106" max="15106" width="21.83203125" style="370" customWidth="1"/>
    <col min="15107" max="15107" width="20.33203125" style="370" customWidth="1"/>
    <col min="15108" max="15108" width="21" style="370" customWidth="1"/>
    <col min="15109" max="15109" width="23.5" style="370" customWidth="1"/>
    <col min="15110" max="15116" width="10.33203125" style="370" customWidth="1"/>
    <col min="15117" max="15117" width="17.1640625" style="370" customWidth="1"/>
    <col min="15118" max="15360" width="10.33203125" style="370"/>
    <col min="15361" max="15361" width="32" style="370" customWidth="1"/>
    <col min="15362" max="15362" width="21.83203125" style="370" customWidth="1"/>
    <col min="15363" max="15363" width="20.33203125" style="370" customWidth="1"/>
    <col min="15364" max="15364" width="21" style="370" customWidth="1"/>
    <col min="15365" max="15365" width="23.5" style="370" customWidth="1"/>
    <col min="15366" max="15372" width="10.33203125" style="370" customWidth="1"/>
    <col min="15373" max="15373" width="17.1640625" style="370" customWidth="1"/>
    <col min="15374" max="15616" width="10.33203125" style="370"/>
    <col min="15617" max="15617" width="32" style="370" customWidth="1"/>
    <col min="15618" max="15618" width="21.83203125" style="370" customWidth="1"/>
    <col min="15619" max="15619" width="20.33203125" style="370" customWidth="1"/>
    <col min="15620" max="15620" width="21" style="370" customWidth="1"/>
    <col min="15621" max="15621" width="23.5" style="370" customWidth="1"/>
    <col min="15622" max="15628" width="10.33203125" style="370" customWidth="1"/>
    <col min="15629" max="15629" width="17.1640625" style="370" customWidth="1"/>
    <col min="15630" max="15872" width="10.33203125" style="370"/>
    <col min="15873" max="15873" width="32" style="370" customWidth="1"/>
    <col min="15874" max="15874" width="21.83203125" style="370" customWidth="1"/>
    <col min="15875" max="15875" width="20.33203125" style="370" customWidth="1"/>
    <col min="15876" max="15876" width="21" style="370" customWidth="1"/>
    <col min="15877" max="15877" width="23.5" style="370" customWidth="1"/>
    <col min="15878" max="15884" width="10.33203125" style="370" customWidth="1"/>
    <col min="15885" max="15885" width="17.1640625" style="370" customWidth="1"/>
    <col min="15886" max="16128" width="10.33203125" style="370"/>
    <col min="16129" max="16129" width="32" style="370" customWidth="1"/>
    <col min="16130" max="16130" width="21.83203125" style="370" customWidth="1"/>
    <col min="16131" max="16131" width="20.33203125" style="370" customWidth="1"/>
    <col min="16132" max="16132" width="21" style="370" customWidth="1"/>
    <col min="16133" max="16133" width="23.5" style="370" customWidth="1"/>
    <col min="16134" max="16140" width="10.33203125" style="370" customWidth="1"/>
    <col min="16141" max="16141" width="17.1640625" style="370" customWidth="1"/>
    <col min="16142" max="16384" width="10.33203125" style="370"/>
  </cols>
  <sheetData>
    <row r="1" spans="1:71" ht="13.5" thickBot="1"/>
    <row r="2" spans="1:71" ht="20.25" customHeight="1">
      <c r="A2" s="371"/>
      <c r="B2" s="2952" t="s">
        <v>633</v>
      </c>
      <c r="C2" s="2953"/>
      <c r="D2" s="2952" t="s">
        <v>634</v>
      </c>
      <c r="E2" s="2953"/>
      <c r="G2" s="370" t="s">
        <v>980</v>
      </c>
    </row>
    <row r="3" spans="1:71" ht="20.25" customHeight="1" thickBot="1">
      <c r="B3" s="2954" t="s">
        <v>635</v>
      </c>
      <c r="C3" s="2955"/>
      <c r="D3" s="2954" t="s">
        <v>635</v>
      </c>
      <c r="E3" s="2955"/>
    </row>
    <row r="4" spans="1:71">
      <c r="B4" s="372">
        <v>18700052</v>
      </c>
      <c r="C4" s="372">
        <v>18700032</v>
      </c>
      <c r="D4" s="373">
        <v>25600092</v>
      </c>
      <c r="E4" s="374">
        <v>25600072</v>
      </c>
    </row>
    <row r="5" spans="1:71">
      <c r="B5" s="372"/>
      <c r="C5" s="372" t="s">
        <v>636</v>
      </c>
      <c r="D5" s="373"/>
      <c r="E5" s="372" t="s">
        <v>636</v>
      </c>
    </row>
    <row r="6" spans="1:71">
      <c r="B6" s="372" t="s">
        <v>637</v>
      </c>
      <c r="C6" s="372" t="s">
        <v>638</v>
      </c>
      <c r="D6" s="373" t="s">
        <v>637</v>
      </c>
      <c r="E6" s="372" t="s">
        <v>638</v>
      </c>
    </row>
    <row r="7" spans="1:71">
      <c r="B7" s="372" t="s">
        <v>639</v>
      </c>
      <c r="C7" s="372" t="s">
        <v>639</v>
      </c>
      <c r="D7" s="373" t="s">
        <v>640</v>
      </c>
      <c r="E7" s="373" t="s">
        <v>640</v>
      </c>
    </row>
    <row r="8" spans="1:71" ht="13.5" customHeight="1" thickBot="1">
      <c r="B8" s="375" t="s">
        <v>641</v>
      </c>
      <c r="C8" s="375" t="s">
        <v>641</v>
      </c>
      <c r="D8" s="376" t="s">
        <v>641</v>
      </c>
      <c r="E8" s="376" t="s">
        <v>641</v>
      </c>
      <c r="BS8" s="370" t="s">
        <v>978</v>
      </c>
    </row>
    <row r="9" spans="1:71">
      <c r="A9" s="377" t="s">
        <v>642</v>
      </c>
      <c r="B9" s="378">
        <v>0</v>
      </c>
      <c r="C9" s="378">
        <v>0</v>
      </c>
      <c r="D9" s="378">
        <v>0</v>
      </c>
      <c r="E9" s="378"/>
    </row>
    <row r="10" spans="1:71" s="382" customFormat="1" ht="25.5">
      <c r="A10" s="379" t="s">
        <v>643</v>
      </c>
      <c r="B10" s="380"/>
      <c r="C10" s="380"/>
      <c r="D10" s="381"/>
      <c r="E10" s="381"/>
    </row>
    <row r="11" spans="1:71">
      <c r="A11" s="383" t="s">
        <v>644</v>
      </c>
      <c r="B11" s="384">
        <f>'6.16G - Acct 18700052'!B9</f>
        <v>164927.20000000001</v>
      </c>
      <c r="C11" s="384"/>
      <c r="D11" s="385">
        <f>-'6.16G - Acct 25600092'!C9</f>
        <v>-618993.97</v>
      </c>
      <c r="E11" s="385"/>
    </row>
    <row r="12" spans="1:71">
      <c r="A12" s="383" t="s">
        <v>645</v>
      </c>
      <c r="B12" s="384">
        <f>-'6.16G - Acct 18700052'!C9</f>
        <v>-5539.29</v>
      </c>
      <c r="C12" s="384"/>
      <c r="D12" s="385">
        <f>'6.16G - Acct 25600092'!B9</f>
        <v>20783.96</v>
      </c>
      <c r="E12" s="385"/>
    </row>
    <row r="13" spans="1:71">
      <c r="A13" s="386">
        <v>40329</v>
      </c>
      <c r="B13" s="384">
        <f>'6.16G - Acct 18700052'!D10</f>
        <v>-4581.3100000000004</v>
      </c>
      <c r="C13" s="384"/>
      <c r="D13" s="385">
        <f>'6.16G - Acct 25600092'!D10</f>
        <v>17194.28</v>
      </c>
      <c r="E13" s="385"/>
    </row>
    <row r="14" spans="1:71">
      <c r="A14" s="386">
        <v>40359</v>
      </c>
      <c r="B14" s="384">
        <f>B13</f>
        <v>-4581.3100000000004</v>
      </c>
      <c r="C14" s="384"/>
      <c r="D14" s="385">
        <f>D13</f>
        <v>17194.28</v>
      </c>
      <c r="E14" s="385"/>
    </row>
    <row r="15" spans="1:71">
      <c r="A15" s="386">
        <v>40390</v>
      </c>
      <c r="B15" s="384">
        <f t="shared" ref="B15:B36" si="0">B14</f>
        <v>-4581.3100000000004</v>
      </c>
      <c r="C15" s="384"/>
      <c r="D15" s="385">
        <f t="shared" ref="D15:D36" si="1">D14</f>
        <v>17194.28</v>
      </c>
      <c r="E15" s="385"/>
    </row>
    <row r="16" spans="1:71">
      <c r="A16" s="386">
        <v>40421</v>
      </c>
      <c r="B16" s="384">
        <f t="shared" si="0"/>
        <v>-4581.3100000000004</v>
      </c>
      <c r="C16" s="384"/>
      <c r="D16" s="385">
        <f t="shared" si="1"/>
        <v>17194.28</v>
      </c>
      <c r="E16" s="385"/>
    </row>
    <row r="17" spans="1:5">
      <c r="A17" s="386">
        <v>40451</v>
      </c>
      <c r="B17" s="384">
        <f t="shared" si="0"/>
        <v>-4581.3100000000004</v>
      </c>
      <c r="C17" s="384"/>
      <c r="D17" s="385">
        <f t="shared" si="1"/>
        <v>17194.28</v>
      </c>
      <c r="E17" s="385"/>
    </row>
    <row r="18" spans="1:5">
      <c r="A18" s="386">
        <v>40482</v>
      </c>
      <c r="B18" s="384">
        <f t="shared" si="0"/>
        <v>-4581.3100000000004</v>
      </c>
      <c r="C18" s="384"/>
      <c r="D18" s="385">
        <f t="shared" si="1"/>
        <v>17194.28</v>
      </c>
      <c r="E18" s="385"/>
    </row>
    <row r="19" spans="1:5">
      <c r="A19" s="386">
        <v>40512</v>
      </c>
      <c r="B19" s="384">
        <f t="shared" si="0"/>
        <v>-4581.3100000000004</v>
      </c>
      <c r="C19" s="384"/>
      <c r="D19" s="385">
        <f t="shared" si="1"/>
        <v>17194.28</v>
      </c>
      <c r="E19" s="385"/>
    </row>
    <row r="20" spans="1:5">
      <c r="A20" s="386">
        <v>40513</v>
      </c>
      <c r="B20" s="384">
        <f t="shared" si="0"/>
        <v>-4581.3100000000004</v>
      </c>
      <c r="C20" s="384"/>
      <c r="D20" s="385">
        <f t="shared" si="1"/>
        <v>17194.28</v>
      </c>
      <c r="E20" s="385"/>
    </row>
    <row r="21" spans="1:5">
      <c r="A21" s="387">
        <v>40574</v>
      </c>
      <c r="B21" s="385">
        <f t="shared" si="0"/>
        <v>-4581.3100000000004</v>
      </c>
      <c r="C21" s="384"/>
      <c r="D21" s="385">
        <f t="shared" si="1"/>
        <v>17194.28</v>
      </c>
      <c r="E21" s="385"/>
    </row>
    <row r="22" spans="1:5">
      <c r="A22" s="387">
        <v>40602</v>
      </c>
      <c r="B22" s="385">
        <f t="shared" si="0"/>
        <v>-4581.3100000000004</v>
      </c>
      <c r="C22" s="384"/>
      <c r="D22" s="385">
        <f t="shared" si="1"/>
        <v>17194.28</v>
      </c>
      <c r="E22" s="385"/>
    </row>
    <row r="23" spans="1:5">
      <c r="A23" s="387">
        <v>40633</v>
      </c>
      <c r="B23" s="385">
        <f t="shared" si="0"/>
        <v>-4581.3100000000004</v>
      </c>
      <c r="C23" s="384"/>
      <c r="D23" s="385">
        <f t="shared" si="1"/>
        <v>17194.28</v>
      </c>
      <c r="E23" s="385"/>
    </row>
    <row r="24" spans="1:5">
      <c r="A24" s="387">
        <v>40663</v>
      </c>
      <c r="B24" s="385">
        <f t="shared" si="0"/>
        <v>-4581.3100000000004</v>
      </c>
      <c r="C24" s="384"/>
      <c r="D24" s="385">
        <f t="shared" si="1"/>
        <v>17194.28</v>
      </c>
      <c r="E24" s="385"/>
    </row>
    <row r="25" spans="1:5">
      <c r="A25" s="387">
        <v>40693</v>
      </c>
      <c r="B25" s="385">
        <f t="shared" si="0"/>
        <v>-4581.3100000000004</v>
      </c>
      <c r="C25" s="384"/>
      <c r="D25" s="385">
        <f t="shared" si="1"/>
        <v>17194.28</v>
      </c>
      <c r="E25" s="385"/>
    </row>
    <row r="26" spans="1:5">
      <c r="A26" s="387">
        <v>40724</v>
      </c>
      <c r="B26" s="385">
        <f t="shared" si="0"/>
        <v>-4581.3100000000004</v>
      </c>
      <c r="C26" s="384"/>
      <c r="D26" s="385">
        <f t="shared" si="1"/>
        <v>17194.28</v>
      </c>
      <c r="E26" s="385"/>
    </row>
    <row r="27" spans="1:5">
      <c r="A27" s="387">
        <v>40755</v>
      </c>
      <c r="B27" s="385">
        <f t="shared" si="0"/>
        <v>-4581.3100000000004</v>
      </c>
      <c r="C27" s="384"/>
      <c r="D27" s="385">
        <f t="shared" si="1"/>
        <v>17194.28</v>
      </c>
      <c r="E27" s="385"/>
    </row>
    <row r="28" spans="1:5">
      <c r="A28" s="387">
        <v>40786</v>
      </c>
      <c r="B28" s="385">
        <f t="shared" si="0"/>
        <v>-4581.3100000000004</v>
      </c>
      <c r="C28" s="384"/>
      <c r="D28" s="385">
        <f t="shared" si="1"/>
        <v>17194.28</v>
      </c>
      <c r="E28" s="385"/>
    </row>
    <row r="29" spans="1:5">
      <c r="A29" s="387">
        <v>40816</v>
      </c>
      <c r="B29" s="385">
        <f t="shared" si="0"/>
        <v>-4581.3100000000004</v>
      </c>
      <c r="C29" s="384"/>
      <c r="D29" s="385">
        <f t="shared" si="1"/>
        <v>17194.28</v>
      </c>
      <c r="E29" s="385"/>
    </row>
    <row r="30" spans="1:5">
      <c r="A30" s="387">
        <v>40847</v>
      </c>
      <c r="B30" s="385">
        <f t="shared" si="0"/>
        <v>-4581.3100000000004</v>
      </c>
      <c r="C30" s="384"/>
      <c r="D30" s="385">
        <f t="shared" si="1"/>
        <v>17194.28</v>
      </c>
      <c r="E30" s="385"/>
    </row>
    <row r="31" spans="1:5">
      <c r="A31" s="387">
        <v>40877</v>
      </c>
      <c r="B31" s="385">
        <f t="shared" si="0"/>
        <v>-4581.3100000000004</v>
      </c>
      <c r="C31" s="384"/>
      <c r="D31" s="385">
        <f t="shared" si="1"/>
        <v>17194.28</v>
      </c>
      <c r="E31" s="385"/>
    </row>
    <row r="32" spans="1:5">
      <c r="A32" s="387">
        <v>40908</v>
      </c>
      <c r="B32" s="385">
        <f t="shared" si="0"/>
        <v>-4581.3100000000004</v>
      </c>
      <c r="C32" s="384"/>
      <c r="D32" s="385">
        <f t="shared" si="1"/>
        <v>17194.28</v>
      </c>
      <c r="E32" s="385"/>
    </row>
    <row r="33" spans="1:5">
      <c r="A33" s="387">
        <v>40939</v>
      </c>
      <c r="B33" s="385">
        <f t="shared" si="0"/>
        <v>-4581.3100000000004</v>
      </c>
      <c r="C33" s="384"/>
      <c r="D33" s="385">
        <f t="shared" si="1"/>
        <v>17194.28</v>
      </c>
      <c r="E33" s="385"/>
    </row>
    <row r="34" spans="1:5">
      <c r="A34" s="387">
        <v>40967</v>
      </c>
      <c r="B34" s="385">
        <f t="shared" si="0"/>
        <v>-4581.3100000000004</v>
      </c>
      <c r="C34" s="384"/>
      <c r="D34" s="385">
        <f t="shared" si="1"/>
        <v>17194.28</v>
      </c>
      <c r="E34" s="385"/>
    </row>
    <row r="35" spans="1:5">
      <c r="A35" s="387">
        <v>40999</v>
      </c>
      <c r="B35" s="385">
        <f t="shared" si="0"/>
        <v>-4581.3100000000004</v>
      </c>
      <c r="C35" s="384"/>
      <c r="D35" s="385">
        <f t="shared" si="1"/>
        <v>17194.28</v>
      </c>
      <c r="E35" s="385"/>
    </row>
    <row r="36" spans="1:5">
      <c r="A36" s="387">
        <v>41029</v>
      </c>
      <c r="B36" s="385">
        <f t="shared" si="0"/>
        <v>-4581.3100000000004</v>
      </c>
      <c r="C36" s="384"/>
      <c r="D36" s="385">
        <f t="shared" si="1"/>
        <v>17194.28</v>
      </c>
      <c r="E36" s="385"/>
    </row>
    <row r="37" spans="1:5">
      <c r="A37" s="388" t="s">
        <v>646</v>
      </c>
      <c r="B37" s="389">
        <f>SUM(B9:B36)</f>
        <v>49436.470000000059</v>
      </c>
      <c r="C37" s="389">
        <f>SUM(C9:C36)</f>
        <v>0</v>
      </c>
      <c r="D37" s="389">
        <f>SUM(D9:D36)</f>
        <v>-185547.28999999948</v>
      </c>
      <c r="E37" s="389">
        <f>SUM(E9:E36)</f>
        <v>0</v>
      </c>
    </row>
    <row r="38" spans="1:5">
      <c r="A38" s="390"/>
      <c r="B38" s="391"/>
      <c r="C38" s="391"/>
      <c r="D38" s="391"/>
    </row>
    <row r="39" spans="1:5">
      <c r="A39" s="371" t="s">
        <v>647</v>
      </c>
    </row>
    <row r="40" spans="1:5">
      <c r="A40" s="392" t="s">
        <v>648</v>
      </c>
    </row>
    <row r="41" spans="1:5">
      <c r="A41" s="392" t="s">
        <v>649</v>
      </c>
    </row>
    <row r="42" spans="1:5">
      <c r="A42" s="392" t="s">
        <v>650</v>
      </c>
    </row>
    <row r="44" spans="1:5">
      <c r="A44" s="371" t="s">
        <v>651</v>
      </c>
    </row>
    <row r="45" spans="1:5">
      <c r="A45" s="370" t="s">
        <v>652</v>
      </c>
    </row>
    <row r="46" spans="1:5">
      <c r="A46" s="370" t="s">
        <v>653</v>
      </c>
    </row>
    <row r="47" spans="1:5">
      <c r="A47" s="370" t="s">
        <v>654</v>
      </c>
    </row>
    <row r="48" spans="1:5">
      <c r="A48" s="370" t="s">
        <v>655</v>
      </c>
    </row>
    <row r="50" spans="2:5">
      <c r="B50" s="370" t="s">
        <v>656</v>
      </c>
      <c r="E50" s="393">
        <f>B37</f>
        <v>49436.470000000059</v>
      </c>
    </row>
    <row r="51" spans="2:5">
      <c r="B51" s="370" t="s">
        <v>657</v>
      </c>
      <c r="E51" s="394">
        <f>D37</f>
        <v>-185547.28999999948</v>
      </c>
    </row>
    <row r="52" spans="2:5">
      <c r="E52" s="395"/>
    </row>
    <row r="53" spans="2:5" ht="13.5" thickBot="1">
      <c r="B53" s="370" t="s">
        <v>658</v>
      </c>
      <c r="E53" s="391">
        <f>SUM(E50:E51)</f>
        <v>-136110.81999999942</v>
      </c>
    </row>
    <row r="54" spans="2:5" ht="13.5" thickTop="1">
      <c r="E54" s="396"/>
    </row>
    <row r="55" spans="2:5">
      <c r="E55" s="395"/>
    </row>
    <row r="56" spans="2:5">
      <c r="E56" s="397"/>
    </row>
    <row r="57" spans="2:5">
      <c r="E57" s="397"/>
    </row>
    <row r="58" spans="2:5">
      <c r="C58" s="398"/>
      <c r="D58" s="398"/>
      <c r="E58" s="399"/>
    </row>
  </sheetData>
  <mergeCells count="4">
    <mergeCell ref="B2:C2"/>
    <mergeCell ref="D2:E2"/>
    <mergeCell ref="B3:C3"/>
    <mergeCell ref="D3:E3"/>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BS43"/>
  <sheetViews>
    <sheetView workbookViewId="0">
      <selection activeCell="E10" sqref="E10"/>
    </sheetView>
  </sheetViews>
  <sheetFormatPr defaultColWidth="13.33203125" defaultRowHeight="12.75"/>
  <cols>
    <col min="1" max="1" width="10.5" style="401" bestFit="1" customWidth="1"/>
    <col min="2" max="2" width="14.33203125" style="401" bestFit="1" customWidth="1"/>
    <col min="3" max="3" width="22.6640625" style="401" bestFit="1" customWidth="1"/>
    <col min="4" max="4" width="29.1640625" style="401" bestFit="1" customWidth="1"/>
    <col min="5" max="5" width="21" style="401" bestFit="1" customWidth="1"/>
    <col min="6" max="6" width="13.83203125" style="401" bestFit="1" customWidth="1"/>
    <col min="7" max="7" width="19" style="401" bestFit="1" customWidth="1"/>
    <col min="8" max="8" width="27.33203125" style="401" bestFit="1" customWidth="1"/>
    <col min="9" max="256" width="13.33203125" style="401"/>
    <col min="257" max="257" width="10.5" style="401" bestFit="1" customWidth="1"/>
    <col min="258" max="258" width="14.33203125" style="401" bestFit="1" customWidth="1"/>
    <col min="259" max="259" width="22.6640625" style="401" bestFit="1" customWidth="1"/>
    <col min="260" max="260" width="29.1640625" style="401" bestFit="1" customWidth="1"/>
    <col min="261" max="261" width="21" style="401" bestFit="1" customWidth="1"/>
    <col min="262" max="262" width="13.83203125" style="401" bestFit="1" customWidth="1"/>
    <col min="263" max="263" width="19" style="401" bestFit="1" customWidth="1"/>
    <col min="264" max="264" width="27.33203125" style="401" bestFit="1" customWidth="1"/>
    <col min="265" max="512" width="13.33203125" style="401"/>
    <col min="513" max="513" width="10.5" style="401" bestFit="1" customWidth="1"/>
    <col min="514" max="514" width="14.33203125" style="401" bestFit="1" customWidth="1"/>
    <col min="515" max="515" width="22.6640625" style="401" bestFit="1" customWidth="1"/>
    <col min="516" max="516" width="29.1640625" style="401" bestFit="1" customWidth="1"/>
    <col min="517" max="517" width="21" style="401" bestFit="1" customWidth="1"/>
    <col min="518" max="518" width="13.83203125" style="401" bestFit="1" customWidth="1"/>
    <col min="519" max="519" width="19" style="401" bestFit="1" customWidth="1"/>
    <col min="520" max="520" width="27.33203125" style="401" bestFit="1" customWidth="1"/>
    <col min="521" max="768" width="13.33203125" style="401"/>
    <col min="769" max="769" width="10.5" style="401" bestFit="1" customWidth="1"/>
    <col min="770" max="770" width="14.33203125" style="401" bestFit="1" customWidth="1"/>
    <col min="771" max="771" width="22.6640625" style="401" bestFit="1" customWidth="1"/>
    <col min="772" max="772" width="29.1640625" style="401" bestFit="1" customWidth="1"/>
    <col min="773" max="773" width="21" style="401" bestFit="1" customWidth="1"/>
    <col min="774" max="774" width="13.83203125" style="401" bestFit="1" customWidth="1"/>
    <col min="775" max="775" width="19" style="401" bestFit="1" customWidth="1"/>
    <col min="776" max="776" width="27.33203125" style="401" bestFit="1" customWidth="1"/>
    <col min="777" max="1024" width="13.33203125" style="401"/>
    <col min="1025" max="1025" width="10.5" style="401" bestFit="1" customWidth="1"/>
    <col min="1026" max="1026" width="14.33203125" style="401" bestFit="1" customWidth="1"/>
    <col min="1027" max="1027" width="22.6640625" style="401" bestFit="1" customWidth="1"/>
    <col min="1028" max="1028" width="29.1640625" style="401" bestFit="1" customWidth="1"/>
    <col min="1029" max="1029" width="21" style="401" bestFit="1" customWidth="1"/>
    <col min="1030" max="1030" width="13.83203125" style="401" bestFit="1" customWidth="1"/>
    <col min="1031" max="1031" width="19" style="401" bestFit="1" customWidth="1"/>
    <col min="1032" max="1032" width="27.33203125" style="401" bestFit="1" customWidth="1"/>
    <col min="1033" max="1280" width="13.33203125" style="401"/>
    <col min="1281" max="1281" width="10.5" style="401" bestFit="1" customWidth="1"/>
    <col min="1282" max="1282" width="14.33203125" style="401" bestFit="1" customWidth="1"/>
    <col min="1283" max="1283" width="22.6640625" style="401" bestFit="1" customWidth="1"/>
    <col min="1284" max="1284" width="29.1640625" style="401" bestFit="1" customWidth="1"/>
    <col min="1285" max="1285" width="21" style="401" bestFit="1" customWidth="1"/>
    <col min="1286" max="1286" width="13.83203125" style="401" bestFit="1" customWidth="1"/>
    <col min="1287" max="1287" width="19" style="401" bestFit="1" customWidth="1"/>
    <col min="1288" max="1288" width="27.33203125" style="401" bestFit="1" customWidth="1"/>
    <col min="1289" max="1536" width="13.33203125" style="401"/>
    <col min="1537" max="1537" width="10.5" style="401" bestFit="1" customWidth="1"/>
    <col min="1538" max="1538" width="14.33203125" style="401" bestFit="1" customWidth="1"/>
    <col min="1539" max="1539" width="22.6640625" style="401" bestFit="1" customWidth="1"/>
    <col min="1540" max="1540" width="29.1640625" style="401" bestFit="1" customWidth="1"/>
    <col min="1541" max="1541" width="21" style="401" bestFit="1" customWidth="1"/>
    <col min="1542" max="1542" width="13.83203125" style="401" bestFit="1" customWidth="1"/>
    <col min="1543" max="1543" width="19" style="401" bestFit="1" customWidth="1"/>
    <col min="1544" max="1544" width="27.33203125" style="401" bestFit="1" customWidth="1"/>
    <col min="1545" max="1792" width="13.33203125" style="401"/>
    <col min="1793" max="1793" width="10.5" style="401" bestFit="1" customWidth="1"/>
    <col min="1794" max="1794" width="14.33203125" style="401" bestFit="1" customWidth="1"/>
    <col min="1795" max="1795" width="22.6640625" style="401" bestFit="1" customWidth="1"/>
    <col min="1796" max="1796" width="29.1640625" style="401" bestFit="1" customWidth="1"/>
    <col min="1797" max="1797" width="21" style="401" bestFit="1" customWidth="1"/>
    <col min="1798" max="1798" width="13.83203125" style="401" bestFit="1" customWidth="1"/>
    <col min="1799" max="1799" width="19" style="401" bestFit="1" customWidth="1"/>
    <col min="1800" max="1800" width="27.33203125" style="401" bestFit="1" customWidth="1"/>
    <col min="1801" max="2048" width="13.33203125" style="401"/>
    <col min="2049" max="2049" width="10.5" style="401" bestFit="1" customWidth="1"/>
    <col min="2050" max="2050" width="14.33203125" style="401" bestFit="1" customWidth="1"/>
    <col min="2051" max="2051" width="22.6640625" style="401" bestFit="1" customWidth="1"/>
    <col min="2052" max="2052" width="29.1640625" style="401" bestFit="1" customWidth="1"/>
    <col min="2053" max="2053" width="21" style="401" bestFit="1" customWidth="1"/>
    <col min="2054" max="2054" width="13.83203125" style="401" bestFit="1" customWidth="1"/>
    <col min="2055" max="2055" width="19" style="401" bestFit="1" customWidth="1"/>
    <col min="2056" max="2056" width="27.33203125" style="401" bestFit="1" customWidth="1"/>
    <col min="2057" max="2304" width="13.33203125" style="401"/>
    <col min="2305" max="2305" width="10.5" style="401" bestFit="1" customWidth="1"/>
    <col min="2306" max="2306" width="14.33203125" style="401" bestFit="1" customWidth="1"/>
    <col min="2307" max="2307" width="22.6640625" style="401" bestFit="1" customWidth="1"/>
    <col min="2308" max="2308" width="29.1640625" style="401" bestFit="1" customWidth="1"/>
    <col min="2309" max="2309" width="21" style="401" bestFit="1" customWidth="1"/>
    <col min="2310" max="2310" width="13.83203125" style="401" bestFit="1" customWidth="1"/>
    <col min="2311" max="2311" width="19" style="401" bestFit="1" customWidth="1"/>
    <col min="2312" max="2312" width="27.33203125" style="401" bestFit="1" customWidth="1"/>
    <col min="2313" max="2560" width="13.33203125" style="401"/>
    <col min="2561" max="2561" width="10.5" style="401" bestFit="1" customWidth="1"/>
    <col min="2562" max="2562" width="14.33203125" style="401" bestFit="1" customWidth="1"/>
    <col min="2563" max="2563" width="22.6640625" style="401" bestFit="1" customWidth="1"/>
    <col min="2564" max="2564" width="29.1640625" style="401" bestFit="1" customWidth="1"/>
    <col min="2565" max="2565" width="21" style="401" bestFit="1" customWidth="1"/>
    <col min="2566" max="2566" width="13.83203125" style="401" bestFit="1" customWidth="1"/>
    <col min="2567" max="2567" width="19" style="401" bestFit="1" customWidth="1"/>
    <col min="2568" max="2568" width="27.33203125" style="401" bestFit="1" customWidth="1"/>
    <col min="2569" max="2816" width="13.33203125" style="401"/>
    <col min="2817" max="2817" width="10.5" style="401" bestFit="1" customWidth="1"/>
    <col min="2818" max="2818" width="14.33203125" style="401" bestFit="1" customWidth="1"/>
    <col min="2819" max="2819" width="22.6640625" style="401" bestFit="1" customWidth="1"/>
    <col min="2820" max="2820" width="29.1640625" style="401" bestFit="1" customWidth="1"/>
    <col min="2821" max="2821" width="21" style="401" bestFit="1" customWidth="1"/>
    <col min="2822" max="2822" width="13.83203125" style="401" bestFit="1" customWidth="1"/>
    <col min="2823" max="2823" width="19" style="401" bestFit="1" customWidth="1"/>
    <col min="2824" max="2824" width="27.33203125" style="401" bestFit="1" customWidth="1"/>
    <col min="2825" max="3072" width="13.33203125" style="401"/>
    <col min="3073" max="3073" width="10.5" style="401" bestFit="1" customWidth="1"/>
    <col min="3074" max="3074" width="14.33203125" style="401" bestFit="1" customWidth="1"/>
    <col min="3075" max="3075" width="22.6640625" style="401" bestFit="1" customWidth="1"/>
    <col min="3076" max="3076" width="29.1640625" style="401" bestFit="1" customWidth="1"/>
    <col min="3077" max="3077" width="21" style="401" bestFit="1" customWidth="1"/>
    <col min="3078" max="3078" width="13.83203125" style="401" bestFit="1" customWidth="1"/>
    <col min="3079" max="3079" width="19" style="401" bestFit="1" customWidth="1"/>
    <col min="3080" max="3080" width="27.33203125" style="401" bestFit="1" customWidth="1"/>
    <col min="3081" max="3328" width="13.33203125" style="401"/>
    <col min="3329" max="3329" width="10.5" style="401" bestFit="1" customWidth="1"/>
    <col min="3330" max="3330" width="14.33203125" style="401" bestFit="1" customWidth="1"/>
    <col min="3331" max="3331" width="22.6640625" style="401" bestFit="1" customWidth="1"/>
    <col min="3332" max="3332" width="29.1640625" style="401" bestFit="1" customWidth="1"/>
    <col min="3333" max="3333" width="21" style="401" bestFit="1" customWidth="1"/>
    <col min="3334" max="3334" width="13.83203125" style="401" bestFit="1" customWidth="1"/>
    <col min="3335" max="3335" width="19" style="401" bestFit="1" customWidth="1"/>
    <col min="3336" max="3336" width="27.33203125" style="401" bestFit="1" customWidth="1"/>
    <col min="3337" max="3584" width="13.33203125" style="401"/>
    <col min="3585" max="3585" width="10.5" style="401" bestFit="1" customWidth="1"/>
    <col min="3586" max="3586" width="14.33203125" style="401" bestFit="1" customWidth="1"/>
    <col min="3587" max="3587" width="22.6640625" style="401" bestFit="1" customWidth="1"/>
    <col min="3588" max="3588" width="29.1640625" style="401" bestFit="1" customWidth="1"/>
    <col min="3589" max="3589" width="21" style="401" bestFit="1" customWidth="1"/>
    <col min="3590" max="3590" width="13.83203125" style="401" bestFit="1" customWidth="1"/>
    <col min="3591" max="3591" width="19" style="401" bestFit="1" customWidth="1"/>
    <col min="3592" max="3592" width="27.33203125" style="401" bestFit="1" customWidth="1"/>
    <col min="3593" max="3840" width="13.33203125" style="401"/>
    <col min="3841" max="3841" width="10.5" style="401" bestFit="1" customWidth="1"/>
    <col min="3842" max="3842" width="14.33203125" style="401" bestFit="1" customWidth="1"/>
    <col min="3843" max="3843" width="22.6640625" style="401" bestFit="1" customWidth="1"/>
    <col min="3844" max="3844" width="29.1640625" style="401" bestFit="1" customWidth="1"/>
    <col min="3845" max="3845" width="21" style="401" bestFit="1" customWidth="1"/>
    <col min="3846" max="3846" width="13.83203125" style="401" bestFit="1" customWidth="1"/>
    <col min="3847" max="3847" width="19" style="401" bestFit="1" customWidth="1"/>
    <col min="3848" max="3848" width="27.33203125" style="401" bestFit="1" customWidth="1"/>
    <col min="3849" max="4096" width="13.33203125" style="401"/>
    <col min="4097" max="4097" width="10.5" style="401" bestFit="1" customWidth="1"/>
    <col min="4098" max="4098" width="14.33203125" style="401" bestFit="1" customWidth="1"/>
    <col min="4099" max="4099" width="22.6640625" style="401" bestFit="1" customWidth="1"/>
    <col min="4100" max="4100" width="29.1640625" style="401" bestFit="1" customWidth="1"/>
    <col min="4101" max="4101" width="21" style="401" bestFit="1" customWidth="1"/>
    <col min="4102" max="4102" width="13.83203125" style="401" bestFit="1" customWidth="1"/>
    <col min="4103" max="4103" width="19" style="401" bestFit="1" customWidth="1"/>
    <col min="4104" max="4104" width="27.33203125" style="401" bestFit="1" customWidth="1"/>
    <col min="4105" max="4352" width="13.33203125" style="401"/>
    <col min="4353" max="4353" width="10.5" style="401" bestFit="1" customWidth="1"/>
    <col min="4354" max="4354" width="14.33203125" style="401" bestFit="1" customWidth="1"/>
    <col min="4355" max="4355" width="22.6640625" style="401" bestFit="1" customWidth="1"/>
    <col min="4356" max="4356" width="29.1640625" style="401" bestFit="1" customWidth="1"/>
    <col min="4357" max="4357" width="21" style="401" bestFit="1" customWidth="1"/>
    <col min="4358" max="4358" width="13.83203125" style="401" bestFit="1" customWidth="1"/>
    <col min="4359" max="4359" width="19" style="401" bestFit="1" customWidth="1"/>
    <col min="4360" max="4360" width="27.33203125" style="401" bestFit="1" customWidth="1"/>
    <col min="4361" max="4608" width="13.33203125" style="401"/>
    <col min="4609" max="4609" width="10.5" style="401" bestFit="1" customWidth="1"/>
    <col min="4610" max="4610" width="14.33203125" style="401" bestFit="1" customWidth="1"/>
    <col min="4611" max="4611" width="22.6640625" style="401" bestFit="1" customWidth="1"/>
    <col min="4612" max="4612" width="29.1640625" style="401" bestFit="1" customWidth="1"/>
    <col min="4613" max="4613" width="21" style="401" bestFit="1" customWidth="1"/>
    <col min="4614" max="4614" width="13.83203125" style="401" bestFit="1" customWidth="1"/>
    <col min="4615" max="4615" width="19" style="401" bestFit="1" customWidth="1"/>
    <col min="4616" max="4616" width="27.33203125" style="401" bestFit="1" customWidth="1"/>
    <col min="4617" max="4864" width="13.33203125" style="401"/>
    <col min="4865" max="4865" width="10.5" style="401" bestFit="1" customWidth="1"/>
    <col min="4866" max="4866" width="14.33203125" style="401" bestFit="1" customWidth="1"/>
    <col min="4867" max="4867" width="22.6640625" style="401" bestFit="1" customWidth="1"/>
    <col min="4868" max="4868" width="29.1640625" style="401" bestFit="1" customWidth="1"/>
    <col min="4869" max="4869" width="21" style="401" bestFit="1" customWidth="1"/>
    <col min="4870" max="4870" width="13.83203125" style="401" bestFit="1" customWidth="1"/>
    <col min="4871" max="4871" width="19" style="401" bestFit="1" customWidth="1"/>
    <col min="4872" max="4872" width="27.33203125" style="401" bestFit="1" customWidth="1"/>
    <col min="4873" max="5120" width="13.33203125" style="401"/>
    <col min="5121" max="5121" width="10.5" style="401" bestFit="1" customWidth="1"/>
    <col min="5122" max="5122" width="14.33203125" style="401" bestFit="1" customWidth="1"/>
    <col min="5123" max="5123" width="22.6640625" style="401" bestFit="1" customWidth="1"/>
    <col min="5124" max="5124" width="29.1640625" style="401" bestFit="1" customWidth="1"/>
    <col min="5125" max="5125" width="21" style="401" bestFit="1" customWidth="1"/>
    <col min="5126" max="5126" width="13.83203125" style="401" bestFit="1" customWidth="1"/>
    <col min="5127" max="5127" width="19" style="401" bestFit="1" customWidth="1"/>
    <col min="5128" max="5128" width="27.33203125" style="401" bestFit="1" customWidth="1"/>
    <col min="5129" max="5376" width="13.33203125" style="401"/>
    <col min="5377" max="5377" width="10.5" style="401" bestFit="1" customWidth="1"/>
    <col min="5378" max="5378" width="14.33203125" style="401" bestFit="1" customWidth="1"/>
    <col min="5379" max="5379" width="22.6640625" style="401" bestFit="1" customWidth="1"/>
    <col min="5380" max="5380" width="29.1640625" style="401" bestFit="1" customWidth="1"/>
    <col min="5381" max="5381" width="21" style="401" bestFit="1" customWidth="1"/>
    <col min="5382" max="5382" width="13.83203125" style="401" bestFit="1" customWidth="1"/>
    <col min="5383" max="5383" width="19" style="401" bestFit="1" customWidth="1"/>
    <col min="5384" max="5384" width="27.33203125" style="401" bestFit="1" customWidth="1"/>
    <col min="5385" max="5632" width="13.33203125" style="401"/>
    <col min="5633" max="5633" width="10.5" style="401" bestFit="1" customWidth="1"/>
    <col min="5634" max="5634" width="14.33203125" style="401" bestFit="1" customWidth="1"/>
    <col min="5635" max="5635" width="22.6640625" style="401" bestFit="1" customWidth="1"/>
    <col min="5636" max="5636" width="29.1640625" style="401" bestFit="1" customWidth="1"/>
    <col min="5637" max="5637" width="21" style="401" bestFit="1" customWidth="1"/>
    <col min="5638" max="5638" width="13.83203125" style="401" bestFit="1" customWidth="1"/>
    <col min="5639" max="5639" width="19" style="401" bestFit="1" customWidth="1"/>
    <col min="5640" max="5640" width="27.33203125" style="401" bestFit="1" customWidth="1"/>
    <col min="5641" max="5888" width="13.33203125" style="401"/>
    <col min="5889" max="5889" width="10.5" style="401" bestFit="1" customWidth="1"/>
    <col min="5890" max="5890" width="14.33203125" style="401" bestFit="1" customWidth="1"/>
    <col min="5891" max="5891" width="22.6640625" style="401" bestFit="1" customWidth="1"/>
    <col min="5892" max="5892" width="29.1640625" style="401" bestFit="1" customWidth="1"/>
    <col min="5893" max="5893" width="21" style="401" bestFit="1" customWidth="1"/>
    <col min="5894" max="5894" width="13.83203125" style="401" bestFit="1" customWidth="1"/>
    <col min="5895" max="5895" width="19" style="401" bestFit="1" customWidth="1"/>
    <col min="5896" max="5896" width="27.33203125" style="401" bestFit="1" customWidth="1"/>
    <col min="5897" max="6144" width="13.33203125" style="401"/>
    <col min="6145" max="6145" width="10.5" style="401" bestFit="1" customWidth="1"/>
    <col min="6146" max="6146" width="14.33203125" style="401" bestFit="1" customWidth="1"/>
    <col min="6147" max="6147" width="22.6640625" style="401" bestFit="1" customWidth="1"/>
    <col min="6148" max="6148" width="29.1640625" style="401" bestFit="1" customWidth="1"/>
    <col min="6149" max="6149" width="21" style="401" bestFit="1" customWidth="1"/>
    <col min="6150" max="6150" width="13.83203125" style="401" bestFit="1" customWidth="1"/>
    <col min="6151" max="6151" width="19" style="401" bestFit="1" customWidth="1"/>
    <col min="6152" max="6152" width="27.33203125" style="401" bestFit="1" customWidth="1"/>
    <col min="6153" max="6400" width="13.33203125" style="401"/>
    <col min="6401" max="6401" width="10.5" style="401" bestFit="1" customWidth="1"/>
    <col min="6402" max="6402" width="14.33203125" style="401" bestFit="1" customWidth="1"/>
    <col min="6403" max="6403" width="22.6640625" style="401" bestFit="1" customWidth="1"/>
    <col min="6404" max="6404" width="29.1640625" style="401" bestFit="1" customWidth="1"/>
    <col min="6405" max="6405" width="21" style="401" bestFit="1" customWidth="1"/>
    <col min="6406" max="6406" width="13.83203125" style="401" bestFit="1" customWidth="1"/>
    <col min="6407" max="6407" width="19" style="401" bestFit="1" customWidth="1"/>
    <col min="6408" max="6408" width="27.33203125" style="401" bestFit="1" customWidth="1"/>
    <col min="6409" max="6656" width="13.33203125" style="401"/>
    <col min="6657" max="6657" width="10.5" style="401" bestFit="1" customWidth="1"/>
    <col min="6658" max="6658" width="14.33203125" style="401" bestFit="1" customWidth="1"/>
    <col min="6659" max="6659" width="22.6640625" style="401" bestFit="1" customWidth="1"/>
    <col min="6660" max="6660" width="29.1640625" style="401" bestFit="1" customWidth="1"/>
    <col min="6661" max="6661" width="21" style="401" bestFit="1" customWidth="1"/>
    <col min="6662" max="6662" width="13.83203125" style="401" bestFit="1" customWidth="1"/>
    <col min="6663" max="6663" width="19" style="401" bestFit="1" customWidth="1"/>
    <col min="6664" max="6664" width="27.33203125" style="401" bestFit="1" customWidth="1"/>
    <col min="6665" max="6912" width="13.33203125" style="401"/>
    <col min="6913" max="6913" width="10.5" style="401" bestFit="1" customWidth="1"/>
    <col min="6914" max="6914" width="14.33203125" style="401" bestFit="1" customWidth="1"/>
    <col min="6915" max="6915" width="22.6640625" style="401" bestFit="1" customWidth="1"/>
    <col min="6916" max="6916" width="29.1640625" style="401" bestFit="1" customWidth="1"/>
    <col min="6917" max="6917" width="21" style="401" bestFit="1" customWidth="1"/>
    <col min="6918" max="6918" width="13.83203125" style="401" bestFit="1" customWidth="1"/>
    <col min="6919" max="6919" width="19" style="401" bestFit="1" customWidth="1"/>
    <col min="6920" max="6920" width="27.33203125" style="401" bestFit="1" customWidth="1"/>
    <col min="6921" max="7168" width="13.33203125" style="401"/>
    <col min="7169" max="7169" width="10.5" style="401" bestFit="1" customWidth="1"/>
    <col min="7170" max="7170" width="14.33203125" style="401" bestFit="1" customWidth="1"/>
    <col min="7171" max="7171" width="22.6640625" style="401" bestFit="1" customWidth="1"/>
    <col min="7172" max="7172" width="29.1640625" style="401" bestFit="1" customWidth="1"/>
    <col min="7173" max="7173" width="21" style="401" bestFit="1" customWidth="1"/>
    <col min="7174" max="7174" width="13.83203125" style="401" bestFit="1" customWidth="1"/>
    <col min="7175" max="7175" width="19" style="401" bestFit="1" customWidth="1"/>
    <col min="7176" max="7176" width="27.33203125" style="401" bestFit="1" customWidth="1"/>
    <col min="7177" max="7424" width="13.33203125" style="401"/>
    <col min="7425" max="7425" width="10.5" style="401" bestFit="1" customWidth="1"/>
    <col min="7426" max="7426" width="14.33203125" style="401" bestFit="1" customWidth="1"/>
    <col min="7427" max="7427" width="22.6640625" style="401" bestFit="1" customWidth="1"/>
    <col min="7428" max="7428" width="29.1640625" style="401" bestFit="1" customWidth="1"/>
    <col min="7429" max="7429" width="21" style="401" bestFit="1" customWidth="1"/>
    <col min="7430" max="7430" width="13.83203125" style="401" bestFit="1" customWidth="1"/>
    <col min="7431" max="7431" width="19" style="401" bestFit="1" customWidth="1"/>
    <col min="7432" max="7432" width="27.33203125" style="401" bestFit="1" customWidth="1"/>
    <col min="7433" max="7680" width="13.33203125" style="401"/>
    <col min="7681" max="7681" width="10.5" style="401" bestFit="1" customWidth="1"/>
    <col min="7682" max="7682" width="14.33203125" style="401" bestFit="1" customWidth="1"/>
    <col min="7683" max="7683" width="22.6640625" style="401" bestFit="1" customWidth="1"/>
    <col min="7684" max="7684" width="29.1640625" style="401" bestFit="1" customWidth="1"/>
    <col min="7685" max="7685" width="21" style="401" bestFit="1" customWidth="1"/>
    <col min="7686" max="7686" width="13.83203125" style="401" bestFit="1" customWidth="1"/>
    <col min="7687" max="7687" width="19" style="401" bestFit="1" customWidth="1"/>
    <col min="7688" max="7688" width="27.33203125" style="401" bestFit="1" customWidth="1"/>
    <col min="7689" max="7936" width="13.33203125" style="401"/>
    <col min="7937" max="7937" width="10.5" style="401" bestFit="1" customWidth="1"/>
    <col min="7938" max="7938" width="14.33203125" style="401" bestFit="1" customWidth="1"/>
    <col min="7939" max="7939" width="22.6640625" style="401" bestFit="1" customWidth="1"/>
    <col min="7940" max="7940" width="29.1640625" style="401" bestFit="1" customWidth="1"/>
    <col min="7941" max="7941" width="21" style="401" bestFit="1" customWidth="1"/>
    <col min="7942" max="7942" width="13.83203125" style="401" bestFit="1" customWidth="1"/>
    <col min="7943" max="7943" width="19" style="401" bestFit="1" customWidth="1"/>
    <col min="7944" max="7944" width="27.33203125" style="401" bestFit="1" customWidth="1"/>
    <col min="7945" max="8192" width="13.33203125" style="401"/>
    <col min="8193" max="8193" width="10.5" style="401" bestFit="1" customWidth="1"/>
    <col min="8194" max="8194" width="14.33203125" style="401" bestFit="1" customWidth="1"/>
    <col min="8195" max="8195" width="22.6640625" style="401" bestFit="1" customWidth="1"/>
    <col min="8196" max="8196" width="29.1640625" style="401" bestFit="1" customWidth="1"/>
    <col min="8197" max="8197" width="21" style="401" bestFit="1" customWidth="1"/>
    <col min="8198" max="8198" width="13.83203125" style="401" bestFit="1" customWidth="1"/>
    <col min="8199" max="8199" width="19" style="401" bestFit="1" customWidth="1"/>
    <col min="8200" max="8200" width="27.33203125" style="401" bestFit="1" customWidth="1"/>
    <col min="8201" max="8448" width="13.33203125" style="401"/>
    <col min="8449" max="8449" width="10.5" style="401" bestFit="1" customWidth="1"/>
    <col min="8450" max="8450" width="14.33203125" style="401" bestFit="1" customWidth="1"/>
    <col min="8451" max="8451" width="22.6640625" style="401" bestFit="1" customWidth="1"/>
    <col min="8452" max="8452" width="29.1640625" style="401" bestFit="1" customWidth="1"/>
    <col min="8453" max="8453" width="21" style="401" bestFit="1" customWidth="1"/>
    <col min="8454" max="8454" width="13.83203125" style="401" bestFit="1" customWidth="1"/>
    <col min="8455" max="8455" width="19" style="401" bestFit="1" customWidth="1"/>
    <col min="8456" max="8456" width="27.33203125" style="401" bestFit="1" customWidth="1"/>
    <col min="8457" max="8704" width="13.33203125" style="401"/>
    <col min="8705" max="8705" width="10.5" style="401" bestFit="1" customWidth="1"/>
    <col min="8706" max="8706" width="14.33203125" style="401" bestFit="1" customWidth="1"/>
    <col min="8707" max="8707" width="22.6640625" style="401" bestFit="1" customWidth="1"/>
    <col min="8708" max="8708" width="29.1640625" style="401" bestFit="1" customWidth="1"/>
    <col min="8709" max="8709" width="21" style="401" bestFit="1" customWidth="1"/>
    <col min="8710" max="8710" width="13.83203125" style="401" bestFit="1" customWidth="1"/>
    <col min="8711" max="8711" width="19" style="401" bestFit="1" customWidth="1"/>
    <col min="8712" max="8712" width="27.33203125" style="401" bestFit="1" customWidth="1"/>
    <col min="8713" max="8960" width="13.33203125" style="401"/>
    <col min="8961" max="8961" width="10.5" style="401" bestFit="1" customWidth="1"/>
    <col min="8962" max="8962" width="14.33203125" style="401" bestFit="1" customWidth="1"/>
    <col min="8963" max="8963" width="22.6640625" style="401" bestFit="1" customWidth="1"/>
    <col min="8964" max="8964" width="29.1640625" style="401" bestFit="1" customWidth="1"/>
    <col min="8965" max="8965" width="21" style="401" bestFit="1" customWidth="1"/>
    <col min="8966" max="8966" width="13.83203125" style="401" bestFit="1" customWidth="1"/>
    <col min="8967" max="8967" width="19" style="401" bestFit="1" customWidth="1"/>
    <col min="8968" max="8968" width="27.33203125" style="401" bestFit="1" customWidth="1"/>
    <col min="8969" max="9216" width="13.33203125" style="401"/>
    <col min="9217" max="9217" width="10.5" style="401" bestFit="1" customWidth="1"/>
    <col min="9218" max="9218" width="14.33203125" style="401" bestFit="1" customWidth="1"/>
    <col min="9219" max="9219" width="22.6640625" style="401" bestFit="1" customWidth="1"/>
    <col min="9220" max="9220" width="29.1640625" style="401" bestFit="1" customWidth="1"/>
    <col min="9221" max="9221" width="21" style="401" bestFit="1" customWidth="1"/>
    <col min="9222" max="9222" width="13.83203125" style="401" bestFit="1" customWidth="1"/>
    <col min="9223" max="9223" width="19" style="401" bestFit="1" customWidth="1"/>
    <col min="9224" max="9224" width="27.33203125" style="401" bestFit="1" customWidth="1"/>
    <col min="9225" max="9472" width="13.33203125" style="401"/>
    <col min="9473" max="9473" width="10.5" style="401" bestFit="1" customWidth="1"/>
    <col min="9474" max="9474" width="14.33203125" style="401" bestFit="1" customWidth="1"/>
    <col min="9475" max="9475" width="22.6640625" style="401" bestFit="1" customWidth="1"/>
    <col min="9476" max="9476" width="29.1640625" style="401" bestFit="1" customWidth="1"/>
    <col min="9477" max="9477" width="21" style="401" bestFit="1" customWidth="1"/>
    <col min="9478" max="9478" width="13.83203125" style="401" bestFit="1" customWidth="1"/>
    <col min="9479" max="9479" width="19" style="401" bestFit="1" customWidth="1"/>
    <col min="9480" max="9480" width="27.33203125" style="401" bestFit="1" customWidth="1"/>
    <col min="9481" max="9728" width="13.33203125" style="401"/>
    <col min="9729" max="9729" width="10.5" style="401" bestFit="1" customWidth="1"/>
    <col min="9730" max="9730" width="14.33203125" style="401" bestFit="1" customWidth="1"/>
    <col min="9731" max="9731" width="22.6640625" style="401" bestFit="1" customWidth="1"/>
    <col min="9732" max="9732" width="29.1640625" style="401" bestFit="1" customWidth="1"/>
    <col min="9733" max="9733" width="21" style="401" bestFit="1" customWidth="1"/>
    <col min="9734" max="9734" width="13.83203125" style="401" bestFit="1" customWidth="1"/>
    <col min="9735" max="9735" width="19" style="401" bestFit="1" customWidth="1"/>
    <col min="9736" max="9736" width="27.33203125" style="401" bestFit="1" customWidth="1"/>
    <col min="9737" max="9984" width="13.33203125" style="401"/>
    <col min="9985" max="9985" width="10.5" style="401" bestFit="1" customWidth="1"/>
    <col min="9986" max="9986" width="14.33203125" style="401" bestFit="1" customWidth="1"/>
    <col min="9987" max="9987" width="22.6640625" style="401" bestFit="1" customWidth="1"/>
    <col min="9988" max="9988" width="29.1640625" style="401" bestFit="1" customWidth="1"/>
    <col min="9989" max="9989" width="21" style="401" bestFit="1" customWidth="1"/>
    <col min="9990" max="9990" width="13.83203125" style="401" bestFit="1" customWidth="1"/>
    <col min="9991" max="9991" width="19" style="401" bestFit="1" customWidth="1"/>
    <col min="9992" max="9992" width="27.33203125" style="401" bestFit="1" customWidth="1"/>
    <col min="9993" max="10240" width="13.33203125" style="401"/>
    <col min="10241" max="10241" width="10.5" style="401" bestFit="1" customWidth="1"/>
    <col min="10242" max="10242" width="14.33203125" style="401" bestFit="1" customWidth="1"/>
    <col min="10243" max="10243" width="22.6640625" style="401" bestFit="1" customWidth="1"/>
    <col min="10244" max="10244" width="29.1640625" style="401" bestFit="1" customWidth="1"/>
    <col min="10245" max="10245" width="21" style="401" bestFit="1" customWidth="1"/>
    <col min="10246" max="10246" width="13.83203125" style="401" bestFit="1" customWidth="1"/>
    <col min="10247" max="10247" width="19" style="401" bestFit="1" customWidth="1"/>
    <col min="10248" max="10248" width="27.33203125" style="401" bestFit="1" customWidth="1"/>
    <col min="10249" max="10496" width="13.33203125" style="401"/>
    <col min="10497" max="10497" width="10.5" style="401" bestFit="1" customWidth="1"/>
    <col min="10498" max="10498" width="14.33203125" style="401" bestFit="1" customWidth="1"/>
    <col min="10499" max="10499" width="22.6640625" style="401" bestFit="1" customWidth="1"/>
    <col min="10500" max="10500" width="29.1640625" style="401" bestFit="1" customWidth="1"/>
    <col min="10501" max="10501" width="21" style="401" bestFit="1" customWidth="1"/>
    <col min="10502" max="10502" width="13.83203125" style="401" bestFit="1" customWidth="1"/>
    <col min="10503" max="10503" width="19" style="401" bestFit="1" customWidth="1"/>
    <col min="10504" max="10504" width="27.33203125" style="401" bestFit="1" customWidth="1"/>
    <col min="10505" max="10752" width="13.33203125" style="401"/>
    <col min="10753" max="10753" width="10.5" style="401" bestFit="1" customWidth="1"/>
    <col min="10754" max="10754" width="14.33203125" style="401" bestFit="1" customWidth="1"/>
    <col min="10755" max="10755" width="22.6640625" style="401" bestFit="1" customWidth="1"/>
    <col min="10756" max="10756" width="29.1640625" style="401" bestFit="1" customWidth="1"/>
    <col min="10757" max="10757" width="21" style="401" bestFit="1" customWidth="1"/>
    <col min="10758" max="10758" width="13.83203125" style="401" bestFit="1" customWidth="1"/>
    <col min="10759" max="10759" width="19" style="401" bestFit="1" customWidth="1"/>
    <col min="10760" max="10760" width="27.33203125" style="401" bestFit="1" customWidth="1"/>
    <col min="10761" max="11008" width="13.33203125" style="401"/>
    <col min="11009" max="11009" width="10.5" style="401" bestFit="1" customWidth="1"/>
    <col min="11010" max="11010" width="14.33203125" style="401" bestFit="1" customWidth="1"/>
    <col min="11011" max="11011" width="22.6640625" style="401" bestFit="1" customWidth="1"/>
    <col min="11012" max="11012" width="29.1640625" style="401" bestFit="1" customWidth="1"/>
    <col min="11013" max="11013" width="21" style="401" bestFit="1" customWidth="1"/>
    <col min="11014" max="11014" width="13.83203125" style="401" bestFit="1" customWidth="1"/>
    <col min="11015" max="11015" width="19" style="401" bestFit="1" customWidth="1"/>
    <col min="11016" max="11016" width="27.33203125" style="401" bestFit="1" customWidth="1"/>
    <col min="11017" max="11264" width="13.33203125" style="401"/>
    <col min="11265" max="11265" width="10.5" style="401" bestFit="1" customWidth="1"/>
    <col min="11266" max="11266" width="14.33203125" style="401" bestFit="1" customWidth="1"/>
    <col min="11267" max="11267" width="22.6640625" style="401" bestFit="1" customWidth="1"/>
    <col min="11268" max="11268" width="29.1640625" style="401" bestFit="1" customWidth="1"/>
    <col min="11269" max="11269" width="21" style="401" bestFit="1" customWidth="1"/>
    <col min="11270" max="11270" width="13.83203125" style="401" bestFit="1" customWidth="1"/>
    <col min="11271" max="11271" width="19" style="401" bestFit="1" customWidth="1"/>
    <col min="11272" max="11272" width="27.33203125" style="401" bestFit="1" customWidth="1"/>
    <col min="11273" max="11520" width="13.33203125" style="401"/>
    <col min="11521" max="11521" width="10.5" style="401" bestFit="1" customWidth="1"/>
    <col min="11522" max="11522" width="14.33203125" style="401" bestFit="1" customWidth="1"/>
    <col min="11523" max="11523" width="22.6640625" style="401" bestFit="1" customWidth="1"/>
    <col min="11524" max="11524" width="29.1640625" style="401" bestFit="1" customWidth="1"/>
    <col min="11525" max="11525" width="21" style="401" bestFit="1" customWidth="1"/>
    <col min="11526" max="11526" width="13.83203125" style="401" bestFit="1" customWidth="1"/>
    <col min="11527" max="11527" width="19" style="401" bestFit="1" customWidth="1"/>
    <col min="11528" max="11528" width="27.33203125" style="401" bestFit="1" customWidth="1"/>
    <col min="11529" max="11776" width="13.33203125" style="401"/>
    <col min="11777" max="11777" width="10.5" style="401" bestFit="1" customWidth="1"/>
    <col min="11778" max="11778" width="14.33203125" style="401" bestFit="1" customWidth="1"/>
    <col min="11779" max="11779" width="22.6640625" style="401" bestFit="1" customWidth="1"/>
    <col min="11780" max="11780" width="29.1640625" style="401" bestFit="1" customWidth="1"/>
    <col min="11781" max="11781" width="21" style="401" bestFit="1" customWidth="1"/>
    <col min="11782" max="11782" width="13.83203125" style="401" bestFit="1" customWidth="1"/>
    <col min="11783" max="11783" width="19" style="401" bestFit="1" customWidth="1"/>
    <col min="11784" max="11784" width="27.33203125" style="401" bestFit="1" customWidth="1"/>
    <col min="11785" max="12032" width="13.33203125" style="401"/>
    <col min="12033" max="12033" width="10.5" style="401" bestFit="1" customWidth="1"/>
    <col min="12034" max="12034" width="14.33203125" style="401" bestFit="1" customWidth="1"/>
    <col min="12035" max="12035" width="22.6640625" style="401" bestFit="1" customWidth="1"/>
    <col min="12036" max="12036" width="29.1640625" style="401" bestFit="1" customWidth="1"/>
    <col min="12037" max="12037" width="21" style="401" bestFit="1" customWidth="1"/>
    <col min="12038" max="12038" width="13.83203125" style="401" bestFit="1" customWidth="1"/>
    <col min="12039" max="12039" width="19" style="401" bestFit="1" customWidth="1"/>
    <col min="12040" max="12040" width="27.33203125" style="401" bestFit="1" customWidth="1"/>
    <col min="12041" max="12288" width="13.33203125" style="401"/>
    <col min="12289" max="12289" width="10.5" style="401" bestFit="1" customWidth="1"/>
    <col min="12290" max="12290" width="14.33203125" style="401" bestFit="1" customWidth="1"/>
    <col min="12291" max="12291" width="22.6640625" style="401" bestFit="1" customWidth="1"/>
    <col min="12292" max="12292" width="29.1640625" style="401" bestFit="1" customWidth="1"/>
    <col min="12293" max="12293" width="21" style="401" bestFit="1" customWidth="1"/>
    <col min="12294" max="12294" width="13.83203125" style="401" bestFit="1" customWidth="1"/>
    <col min="12295" max="12295" width="19" style="401" bestFit="1" customWidth="1"/>
    <col min="12296" max="12296" width="27.33203125" style="401" bestFit="1" customWidth="1"/>
    <col min="12297" max="12544" width="13.33203125" style="401"/>
    <col min="12545" max="12545" width="10.5" style="401" bestFit="1" customWidth="1"/>
    <col min="12546" max="12546" width="14.33203125" style="401" bestFit="1" customWidth="1"/>
    <col min="12547" max="12547" width="22.6640625" style="401" bestFit="1" customWidth="1"/>
    <col min="12548" max="12548" width="29.1640625" style="401" bestFit="1" customWidth="1"/>
    <col min="12549" max="12549" width="21" style="401" bestFit="1" customWidth="1"/>
    <col min="12550" max="12550" width="13.83203125" style="401" bestFit="1" customWidth="1"/>
    <col min="12551" max="12551" width="19" style="401" bestFit="1" customWidth="1"/>
    <col min="12552" max="12552" width="27.33203125" style="401" bestFit="1" customWidth="1"/>
    <col min="12553" max="12800" width="13.33203125" style="401"/>
    <col min="12801" max="12801" width="10.5" style="401" bestFit="1" customWidth="1"/>
    <col min="12802" max="12802" width="14.33203125" style="401" bestFit="1" customWidth="1"/>
    <col min="12803" max="12803" width="22.6640625" style="401" bestFit="1" customWidth="1"/>
    <col min="12804" max="12804" width="29.1640625" style="401" bestFit="1" customWidth="1"/>
    <col min="12805" max="12805" width="21" style="401" bestFit="1" customWidth="1"/>
    <col min="12806" max="12806" width="13.83203125" style="401" bestFit="1" customWidth="1"/>
    <col min="12807" max="12807" width="19" style="401" bestFit="1" customWidth="1"/>
    <col min="12808" max="12808" width="27.33203125" style="401" bestFit="1" customWidth="1"/>
    <col min="12809" max="13056" width="13.33203125" style="401"/>
    <col min="13057" max="13057" width="10.5" style="401" bestFit="1" customWidth="1"/>
    <col min="13058" max="13058" width="14.33203125" style="401" bestFit="1" customWidth="1"/>
    <col min="13059" max="13059" width="22.6640625" style="401" bestFit="1" customWidth="1"/>
    <col min="13060" max="13060" width="29.1640625" style="401" bestFit="1" customWidth="1"/>
    <col min="13061" max="13061" width="21" style="401" bestFit="1" customWidth="1"/>
    <col min="13062" max="13062" width="13.83203125" style="401" bestFit="1" customWidth="1"/>
    <col min="13063" max="13063" width="19" style="401" bestFit="1" customWidth="1"/>
    <col min="13064" max="13064" width="27.33203125" style="401" bestFit="1" customWidth="1"/>
    <col min="13065" max="13312" width="13.33203125" style="401"/>
    <col min="13313" max="13313" width="10.5" style="401" bestFit="1" customWidth="1"/>
    <col min="13314" max="13314" width="14.33203125" style="401" bestFit="1" customWidth="1"/>
    <col min="13315" max="13315" width="22.6640625" style="401" bestFit="1" customWidth="1"/>
    <col min="13316" max="13316" width="29.1640625" style="401" bestFit="1" customWidth="1"/>
    <col min="13317" max="13317" width="21" style="401" bestFit="1" customWidth="1"/>
    <col min="13318" max="13318" width="13.83203125" style="401" bestFit="1" customWidth="1"/>
    <col min="13319" max="13319" width="19" style="401" bestFit="1" customWidth="1"/>
    <col min="13320" max="13320" width="27.33203125" style="401" bestFit="1" customWidth="1"/>
    <col min="13321" max="13568" width="13.33203125" style="401"/>
    <col min="13569" max="13569" width="10.5" style="401" bestFit="1" customWidth="1"/>
    <col min="13570" max="13570" width="14.33203125" style="401" bestFit="1" customWidth="1"/>
    <col min="13571" max="13571" width="22.6640625" style="401" bestFit="1" customWidth="1"/>
    <col min="13572" max="13572" width="29.1640625" style="401" bestFit="1" customWidth="1"/>
    <col min="13573" max="13573" width="21" style="401" bestFit="1" customWidth="1"/>
    <col min="13574" max="13574" width="13.83203125" style="401" bestFit="1" customWidth="1"/>
    <col min="13575" max="13575" width="19" style="401" bestFit="1" customWidth="1"/>
    <col min="13576" max="13576" width="27.33203125" style="401" bestFit="1" customWidth="1"/>
    <col min="13577" max="13824" width="13.33203125" style="401"/>
    <col min="13825" max="13825" width="10.5" style="401" bestFit="1" customWidth="1"/>
    <col min="13826" max="13826" width="14.33203125" style="401" bestFit="1" customWidth="1"/>
    <col min="13827" max="13827" width="22.6640625" style="401" bestFit="1" customWidth="1"/>
    <col min="13828" max="13828" width="29.1640625" style="401" bestFit="1" customWidth="1"/>
    <col min="13829" max="13829" width="21" style="401" bestFit="1" customWidth="1"/>
    <col min="13830" max="13830" width="13.83203125" style="401" bestFit="1" customWidth="1"/>
    <col min="13831" max="13831" width="19" style="401" bestFit="1" customWidth="1"/>
    <col min="13832" max="13832" width="27.33203125" style="401" bestFit="1" customWidth="1"/>
    <col min="13833" max="14080" width="13.33203125" style="401"/>
    <col min="14081" max="14081" width="10.5" style="401" bestFit="1" customWidth="1"/>
    <col min="14082" max="14082" width="14.33203125" style="401" bestFit="1" customWidth="1"/>
    <col min="14083" max="14083" width="22.6640625" style="401" bestFit="1" customWidth="1"/>
    <col min="14084" max="14084" width="29.1640625" style="401" bestFit="1" customWidth="1"/>
    <col min="14085" max="14085" width="21" style="401" bestFit="1" customWidth="1"/>
    <col min="14086" max="14086" width="13.83203125" style="401" bestFit="1" customWidth="1"/>
    <col min="14087" max="14087" width="19" style="401" bestFit="1" customWidth="1"/>
    <col min="14088" max="14088" width="27.33203125" style="401" bestFit="1" customWidth="1"/>
    <col min="14089" max="14336" width="13.33203125" style="401"/>
    <col min="14337" max="14337" width="10.5" style="401" bestFit="1" customWidth="1"/>
    <col min="14338" max="14338" width="14.33203125" style="401" bestFit="1" customWidth="1"/>
    <col min="14339" max="14339" width="22.6640625" style="401" bestFit="1" customWidth="1"/>
    <col min="14340" max="14340" width="29.1640625" style="401" bestFit="1" customWidth="1"/>
    <col min="14341" max="14341" width="21" style="401" bestFit="1" customWidth="1"/>
    <col min="14342" max="14342" width="13.83203125" style="401" bestFit="1" customWidth="1"/>
    <col min="14343" max="14343" width="19" style="401" bestFit="1" customWidth="1"/>
    <col min="14344" max="14344" width="27.33203125" style="401" bestFit="1" customWidth="1"/>
    <col min="14345" max="14592" width="13.33203125" style="401"/>
    <col min="14593" max="14593" width="10.5" style="401" bestFit="1" customWidth="1"/>
    <col min="14594" max="14594" width="14.33203125" style="401" bestFit="1" customWidth="1"/>
    <col min="14595" max="14595" width="22.6640625" style="401" bestFit="1" customWidth="1"/>
    <col min="14596" max="14596" width="29.1640625" style="401" bestFit="1" customWidth="1"/>
    <col min="14597" max="14597" width="21" style="401" bestFit="1" customWidth="1"/>
    <col min="14598" max="14598" width="13.83203125" style="401" bestFit="1" customWidth="1"/>
    <col min="14599" max="14599" width="19" style="401" bestFit="1" customWidth="1"/>
    <col min="14600" max="14600" width="27.33203125" style="401" bestFit="1" customWidth="1"/>
    <col min="14601" max="14848" width="13.33203125" style="401"/>
    <col min="14849" max="14849" width="10.5" style="401" bestFit="1" customWidth="1"/>
    <col min="14850" max="14850" width="14.33203125" style="401" bestFit="1" customWidth="1"/>
    <col min="14851" max="14851" width="22.6640625" style="401" bestFit="1" customWidth="1"/>
    <col min="14852" max="14852" width="29.1640625" style="401" bestFit="1" customWidth="1"/>
    <col min="14853" max="14853" width="21" style="401" bestFit="1" customWidth="1"/>
    <col min="14854" max="14854" width="13.83203125" style="401" bestFit="1" customWidth="1"/>
    <col min="14855" max="14855" width="19" style="401" bestFit="1" customWidth="1"/>
    <col min="14856" max="14856" width="27.33203125" style="401" bestFit="1" customWidth="1"/>
    <col min="14857" max="15104" width="13.33203125" style="401"/>
    <col min="15105" max="15105" width="10.5" style="401" bestFit="1" customWidth="1"/>
    <col min="15106" max="15106" width="14.33203125" style="401" bestFit="1" customWidth="1"/>
    <col min="15107" max="15107" width="22.6640625" style="401" bestFit="1" customWidth="1"/>
    <col min="15108" max="15108" width="29.1640625" style="401" bestFit="1" customWidth="1"/>
    <col min="15109" max="15109" width="21" style="401" bestFit="1" customWidth="1"/>
    <col min="15110" max="15110" width="13.83203125" style="401" bestFit="1" customWidth="1"/>
    <col min="15111" max="15111" width="19" style="401" bestFit="1" customWidth="1"/>
    <col min="15112" max="15112" width="27.33203125" style="401" bestFit="1" customWidth="1"/>
    <col min="15113" max="15360" width="13.33203125" style="401"/>
    <col min="15361" max="15361" width="10.5" style="401" bestFit="1" customWidth="1"/>
    <col min="15362" max="15362" width="14.33203125" style="401" bestFit="1" customWidth="1"/>
    <col min="15363" max="15363" width="22.6640625" style="401" bestFit="1" customWidth="1"/>
    <col min="15364" max="15364" width="29.1640625" style="401" bestFit="1" customWidth="1"/>
    <col min="15365" max="15365" width="21" style="401" bestFit="1" customWidth="1"/>
    <col min="15366" max="15366" width="13.83203125" style="401" bestFit="1" customWidth="1"/>
    <col min="15367" max="15367" width="19" style="401" bestFit="1" customWidth="1"/>
    <col min="15368" max="15368" width="27.33203125" style="401" bestFit="1" customWidth="1"/>
    <col min="15369" max="15616" width="13.33203125" style="401"/>
    <col min="15617" max="15617" width="10.5" style="401" bestFit="1" customWidth="1"/>
    <col min="15618" max="15618" width="14.33203125" style="401" bestFit="1" customWidth="1"/>
    <col min="15619" max="15619" width="22.6640625" style="401" bestFit="1" customWidth="1"/>
    <col min="15620" max="15620" width="29.1640625" style="401" bestFit="1" customWidth="1"/>
    <col min="15621" max="15621" width="21" style="401" bestFit="1" customWidth="1"/>
    <col min="15622" max="15622" width="13.83203125" style="401" bestFit="1" customWidth="1"/>
    <col min="15623" max="15623" width="19" style="401" bestFit="1" customWidth="1"/>
    <col min="15624" max="15624" width="27.33203125" style="401" bestFit="1" customWidth="1"/>
    <col min="15625" max="15872" width="13.33203125" style="401"/>
    <col min="15873" max="15873" width="10.5" style="401" bestFit="1" customWidth="1"/>
    <col min="15874" max="15874" width="14.33203125" style="401" bestFit="1" customWidth="1"/>
    <col min="15875" max="15875" width="22.6640625" style="401" bestFit="1" customWidth="1"/>
    <col min="15876" max="15876" width="29.1640625" style="401" bestFit="1" customWidth="1"/>
    <col min="15877" max="15877" width="21" style="401" bestFit="1" customWidth="1"/>
    <col min="15878" max="15878" width="13.83203125" style="401" bestFit="1" customWidth="1"/>
    <col min="15879" max="15879" width="19" style="401" bestFit="1" customWidth="1"/>
    <col min="15880" max="15880" width="27.33203125" style="401" bestFit="1" customWidth="1"/>
    <col min="15881" max="16128" width="13.33203125" style="401"/>
    <col min="16129" max="16129" width="10.5" style="401" bestFit="1" customWidth="1"/>
    <col min="16130" max="16130" width="14.33203125" style="401" bestFit="1" customWidth="1"/>
    <col min="16131" max="16131" width="22.6640625" style="401" bestFit="1" customWidth="1"/>
    <col min="16132" max="16132" width="29.1640625" style="401" bestFit="1" customWidth="1"/>
    <col min="16133" max="16133" width="21" style="401" bestFit="1" customWidth="1"/>
    <col min="16134" max="16134" width="13.83203125" style="401" bestFit="1" customWidth="1"/>
    <col min="16135" max="16135" width="19" style="401" bestFit="1" customWidth="1"/>
    <col min="16136" max="16136" width="27.33203125" style="401" bestFit="1" customWidth="1"/>
    <col min="16137" max="16384" width="13.33203125" style="401"/>
  </cols>
  <sheetData>
    <row r="1" spans="1:71">
      <c r="A1" s="400" t="s">
        <v>659</v>
      </c>
    </row>
    <row r="2" spans="1:71">
      <c r="G2" s="401" t="s">
        <v>980</v>
      </c>
    </row>
    <row r="3" spans="1:71">
      <c r="A3" s="402" t="s">
        <v>660</v>
      </c>
    </row>
    <row r="4" spans="1:71">
      <c r="A4" s="403" t="s">
        <v>661</v>
      </c>
      <c r="B4" s="403" t="s">
        <v>662</v>
      </c>
      <c r="C4" s="403" t="s">
        <v>663</v>
      </c>
      <c r="D4" s="403" t="s">
        <v>664</v>
      </c>
      <c r="E4" s="403" t="s">
        <v>665</v>
      </c>
      <c r="F4" s="403" t="s">
        <v>666</v>
      </c>
      <c r="G4" s="404" t="s">
        <v>667</v>
      </c>
      <c r="H4" s="403" t="s">
        <v>668</v>
      </c>
    </row>
    <row r="5" spans="1:71">
      <c r="A5" s="401" t="s">
        <v>669</v>
      </c>
      <c r="B5" s="401" t="s">
        <v>670</v>
      </c>
      <c r="C5" s="401" t="s">
        <v>671</v>
      </c>
      <c r="D5" s="401" t="s">
        <v>672</v>
      </c>
      <c r="E5" s="405">
        <v>-32578.62</v>
      </c>
      <c r="F5" s="406">
        <v>40203</v>
      </c>
      <c r="G5" s="407" t="s">
        <v>673</v>
      </c>
      <c r="H5" s="401" t="s">
        <v>674</v>
      </c>
    </row>
    <row r="6" spans="1:71">
      <c r="A6" s="401" t="s">
        <v>669</v>
      </c>
      <c r="B6" s="401" t="s">
        <v>670</v>
      </c>
      <c r="C6" s="401" t="s">
        <v>671</v>
      </c>
      <c r="D6" s="401" t="s">
        <v>672</v>
      </c>
      <c r="E6" s="405">
        <v>-32578.62</v>
      </c>
      <c r="F6" s="406">
        <v>40234</v>
      </c>
      <c r="G6" s="407" t="s">
        <v>673</v>
      </c>
      <c r="H6" s="401" t="s">
        <v>674</v>
      </c>
    </row>
    <row r="7" spans="1:71">
      <c r="A7" s="401" t="s">
        <v>669</v>
      </c>
      <c r="B7" s="401" t="s">
        <v>670</v>
      </c>
      <c r="C7" s="401" t="s">
        <v>671</v>
      </c>
      <c r="D7" s="401" t="s">
        <v>672</v>
      </c>
      <c r="E7" s="405">
        <v>-32578.62</v>
      </c>
      <c r="F7" s="406">
        <v>40262</v>
      </c>
      <c r="G7" s="407" t="s">
        <v>673</v>
      </c>
      <c r="H7" s="401" t="s">
        <v>674</v>
      </c>
    </row>
    <row r="8" spans="1:71">
      <c r="A8" s="401" t="s">
        <v>669</v>
      </c>
      <c r="B8" s="401" t="s">
        <v>670</v>
      </c>
      <c r="C8" s="401" t="s">
        <v>671</v>
      </c>
      <c r="D8" s="401" t="s">
        <v>672</v>
      </c>
      <c r="E8" s="405">
        <v>-32578.62</v>
      </c>
      <c r="F8" s="406">
        <v>40293</v>
      </c>
      <c r="G8" s="407" t="s">
        <v>673</v>
      </c>
      <c r="H8" s="401" t="s">
        <v>674</v>
      </c>
      <c r="BS8" s="401" t="s">
        <v>978</v>
      </c>
    </row>
    <row r="9" spans="1:71">
      <c r="A9" s="401" t="s">
        <v>669</v>
      </c>
      <c r="B9" s="401" t="s">
        <v>670</v>
      </c>
      <c r="C9" s="401" t="s">
        <v>671</v>
      </c>
      <c r="D9" s="401" t="s">
        <v>672</v>
      </c>
      <c r="E9" s="405">
        <v>-20783.96</v>
      </c>
      <c r="F9" s="406">
        <v>40293</v>
      </c>
      <c r="G9" s="407" t="s">
        <v>675</v>
      </c>
      <c r="H9" s="401" t="s">
        <v>676</v>
      </c>
    </row>
    <row r="10" spans="1:71">
      <c r="A10" s="2026" t="s">
        <v>669</v>
      </c>
      <c r="B10" s="2026" t="s">
        <v>670</v>
      </c>
      <c r="C10" s="2026" t="s">
        <v>671</v>
      </c>
      <c r="D10" s="2026" t="s">
        <v>672</v>
      </c>
      <c r="E10" s="2027">
        <v>32578.62</v>
      </c>
      <c r="F10" s="2028">
        <v>40293</v>
      </c>
      <c r="G10" s="2029" t="s">
        <v>673</v>
      </c>
      <c r="H10" s="2026" t="s">
        <v>674</v>
      </c>
    </row>
    <row r="11" spans="1:71">
      <c r="A11" s="401" t="s">
        <v>669</v>
      </c>
      <c r="B11" s="401" t="s">
        <v>670</v>
      </c>
      <c r="C11" s="401" t="s">
        <v>671</v>
      </c>
      <c r="D11" s="401" t="s">
        <v>672</v>
      </c>
      <c r="E11" s="405">
        <v>-17194.28</v>
      </c>
      <c r="F11" s="406">
        <v>40323</v>
      </c>
      <c r="G11" s="407" t="s">
        <v>675</v>
      </c>
      <c r="H11" s="401" t="s">
        <v>676</v>
      </c>
    </row>
    <row r="12" spans="1:71">
      <c r="A12" s="401" t="s">
        <v>669</v>
      </c>
      <c r="B12" s="401" t="s">
        <v>670</v>
      </c>
      <c r="C12" s="401" t="s">
        <v>671</v>
      </c>
      <c r="D12" s="401" t="s">
        <v>672</v>
      </c>
      <c r="E12" s="405">
        <v>-17194.28</v>
      </c>
      <c r="F12" s="406">
        <v>40354</v>
      </c>
      <c r="G12" s="407" t="s">
        <v>675</v>
      </c>
      <c r="H12" s="401" t="s">
        <v>676</v>
      </c>
    </row>
    <row r="13" spans="1:71">
      <c r="A13" s="401" t="s">
        <v>669</v>
      </c>
      <c r="B13" s="401" t="s">
        <v>670</v>
      </c>
      <c r="C13" s="401" t="s">
        <v>671</v>
      </c>
      <c r="D13" s="401" t="s">
        <v>672</v>
      </c>
      <c r="E13" s="405">
        <v>-17194.28</v>
      </c>
      <c r="F13" s="406">
        <v>40384</v>
      </c>
      <c r="G13" s="407" t="s">
        <v>675</v>
      </c>
      <c r="H13" s="401" t="s">
        <v>676</v>
      </c>
    </row>
    <row r="14" spans="1:71">
      <c r="A14" s="401" t="s">
        <v>669</v>
      </c>
      <c r="B14" s="401" t="s">
        <v>670</v>
      </c>
      <c r="C14" s="401" t="s">
        <v>671</v>
      </c>
      <c r="D14" s="401" t="s">
        <v>672</v>
      </c>
      <c r="E14" s="405">
        <v>-17194.28</v>
      </c>
      <c r="F14" s="406">
        <v>40415</v>
      </c>
      <c r="G14" s="407" t="s">
        <v>675</v>
      </c>
      <c r="H14" s="401" t="s">
        <v>676</v>
      </c>
    </row>
    <row r="15" spans="1:71">
      <c r="A15" s="401" t="s">
        <v>669</v>
      </c>
      <c r="B15" s="401" t="s">
        <v>670</v>
      </c>
      <c r="C15" s="401" t="s">
        <v>671</v>
      </c>
      <c r="D15" s="401" t="s">
        <v>672</v>
      </c>
      <c r="E15" s="405">
        <v>-17194.28</v>
      </c>
      <c r="F15" s="406">
        <v>40446</v>
      </c>
      <c r="G15" s="407" t="s">
        <v>675</v>
      </c>
      <c r="H15" s="401" t="s">
        <v>676</v>
      </c>
    </row>
    <row r="16" spans="1:71">
      <c r="A16" s="401" t="s">
        <v>669</v>
      </c>
      <c r="B16" s="401" t="s">
        <v>670</v>
      </c>
      <c r="C16" s="401" t="s">
        <v>671</v>
      </c>
      <c r="D16" s="401" t="s">
        <v>672</v>
      </c>
      <c r="E16" s="405">
        <v>-17194.28</v>
      </c>
      <c r="F16" s="406">
        <v>40476</v>
      </c>
      <c r="G16" s="407" t="s">
        <v>675</v>
      </c>
      <c r="H16" s="401" t="s">
        <v>676</v>
      </c>
    </row>
    <row r="17" spans="1:8">
      <c r="A17" s="401" t="s">
        <v>669</v>
      </c>
      <c r="B17" s="401" t="s">
        <v>670</v>
      </c>
      <c r="C17" s="401" t="s">
        <v>671</v>
      </c>
      <c r="D17" s="401" t="s">
        <v>672</v>
      </c>
      <c r="E17" s="405">
        <v>-17194.28</v>
      </c>
      <c r="F17" s="406">
        <v>40507</v>
      </c>
      <c r="G17" s="407" t="s">
        <v>675</v>
      </c>
      <c r="H17" s="401" t="s">
        <v>676</v>
      </c>
    </row>
    <row r="18" spans="1:8">
      <c r="A18" s="408" t="s">
        <v>669</v>
      </c>
      <c r="B18" s="408" t="s">
        <v>670</v>
      </c>
      <c r="C18" s="408" t="s">
        <v>671</v>
      </c>
      <c r="D18" s="408" t="s">
        <v>672</v>
      </c>
      <c r="E18" s="409">
        <v>-17194.28</v>
      </c>
      <c r="F18" s="410">
        <v>40537</v>
      </c>
      <c r="G18" s="411" t="s">
        <v>675</v>
      </c>
      <c r="H18" s="408" t="s">
        <v>676</v>
      </c>
    </row>
    <row r="19" spans="1:8" ht="13.5" thickBot="1">
      <c r="A19" s="412"/>
      <c r="B19" s="412"/>
      <c r="C19" s="412"/>
      <c r="D19" s="412"/>
      <c r="E19" s="413">
        <f>SUM(E5:E18)</f>
        <v>-256074.06</v>
      </c>
      <c r="F19" s="414"/>
      <c r="G19" s="415"/>
      <c r="H19" s="412"/>
    </row>
    <row r="20" spans="1:8" ht="13.5" thickTop="1">
      <c r="G20" s="407"/>
    </row>
    <row r="21" spans="1:8">
      <c r="A21" s="416" t="s">
        <v>677</v>
      </c>
      <c r="G21" s="407"/>
    </row>
    <row r="22" spans="1:8">
      <c r="A22" s="403" t="s">
        <v>661</v>
      </c>
      <c r="B22" s="403" t="s">
        <v>662</v>
      </c>
      <c r="C22" s="403" t="s">
        <v>663</v>
      </c>
      <c r="D22" s="403" t="s">
        <v>664</v>
      </c>
      <c r="E22" s="403" t="s">
        <v>665</v>
      </c>
      <c r="F22" s="403" t="s">
        <v>666</v>
      </c>
      <c r="G22" s="404" t="s">
        <v>667</v>
      </c>
      <c r="H22" s="403" t="s">
        <v>668</v>
      </c>
    </row>
    <row r="23" spans="1:8">
      <c r="A23" s="401" t="s">
        <v>678</v>
      </c>
      <c r="B23" s="401" t="s">
        <v>670</v>
      </c>
      <c r="C23" s="401" t="s">
        <v>671</v>
      </c>
      <c r="D23" s="401" t="s">
        <v>679</v>
      </c>
      <c r="E23" s="405">
        <v>8686.93</v>
      </c>
      <c r="F23" s="406">
        <v>40203</v>
      </c>
      <c r="G23" s="407" t="s">
        <v>670</v>
      </c>
      <c r="H23" s="401" t="s">
        <v>671</v>
      </c>
    </row>
    <row r="24" spans="1:8">
      <c r="A24" s="401" t="s">
        <v>678</v>
      </c>
      <c r="B24" s="401" t="s">
        <v>670</v>
      </c>
      <c r="C24" s="401" t="s">
        <v>671</v>
      </c>
      <c r="D24" s="401" t="s">
        <v>679</v>
      </c>
      <c r="E24" s="405">
        <v>8686.93</v>
      </c>
      <c r="F24" s="406">
        <v>40234</v>
      </c>
      <c r="G24" s="407" t="s">
        <v>670</v>
      </c>
      <c r="H24" s="401" t="s">
        <v>671</v>
      </c>
    </row>
    <row r="25" spans="1:8">
      <c r="A25" s="401" t="s">
        <v>678</v>
      </c>
      <c r="B25" s="401" t="s">
        <v>670</v>
      </c>
      <c r="C25" s="401" t="s">
        <v>671</v>
      </c>
      <c r="D25" s="401" t="s">
        <v>679</v>
      </c>
      <c r="E25" s="405">
        <v>8686.93</v>
      </c>
      <c r="F25" s="406">
        <v>40262</v>
      </c>
      <c r="G25" s="407" t="s">
        <v>670</v>
      </c>
      <c r="H25" s="401" t="s">
        <v>671</v>
      </c>
    </row>
    <row r="26" spans="1:8">
      <c r="A26" s="2026" t="s">
        <v>678</v>
      </c>
      <c r="B26" s="2026" t="s">
        <v>670</v>
      </c>
      <c r="C26" s="2026" t="s">
        <v>671</v>
      </c>
      <c r="D26" s="2026" t="s">
        <v>679</v>
      </c>
      <c r="E26" s="2027">
        <v>-8686.93</v>
      </c>
      <c r="F26" s="2028">
        <v>40293</v>
      </c>
      <c r="G26" s="2029" t="s">
        <v>670</v>
      </c>
      <c r="H26" s="2026" t="s">
        <v>671</v>
      </c>
    </row>
    <row r="27" spans="1:8">
      <c r="A27" s="401" t="s">
        <v>678</v>
      </c>
      <c r="B27" s="401" t="s">
        <v>670</v>
      </c>
      <c r="C27" s="401" t="s">
        <v>671</v>
      </c>
      <c r="D27" s="401" t="s">
        <v>679</v>
      </c>
      <c r="E27" s="405">
        <v>8686.93</v>
      </c>
      <c r="F27" s="406">
        <v>40293</v>
      </c>
      <c r="G27" s="407" t="s">
        <v>670</v>
      </c>
      <c r="H27" s="401" t="s">
        <v>671</v>
      </c>
    </row>
    <row r="28" spans="1:8">
      <c r="A28" s="401" t="s">
        <v>678</v>
      </c>
      <c r="B28" s="401" t="s">
        <v>670</v>
      </c>
      <c r="C28" s="401" t="s">
        <v>671</v>
      </c>
      <c r="D28" s="401" t="s">
        <v>679</v>
      </c>
      <c r="E28" s="405">
        <v>5539.29</v>
      </c>
      <c r="F28" s="406">
        <v>40293</v>
      </c>
      <c r="G28" s="407" t="s">
        <v>670</v>
      </c>
      <c r="H28" s="401" t="s">
        <v>671</v>
      </c>
    </row>
    <row r="29" spans="1:8">
      <c r="A29" s="401" t="s">
        <v>678</v>
      </c>
      <c r="B29" s="401" t="s">
        <v>670</v>
      </c>
      <c r="C29" s="401" t="s">
        <v>671</v>
      </c>
      <c r="D29" s="401" t="s">
        <v>679</v>
      </c>
      <c r="E29" s="405">
        <v>4581.3100000000004</v>
      </c>
      <c r="F29" s="406">
        <v>40323</v>
      </c>
      <c r="G29" s="407" t="s">
        <v>670</v>
      </c>
      <c r="H29" s="401" t="s">
        <v>671</v>
      </c>
    </row>
    <row r="30" spans="1:8">
      <c r="A30" s="401" t="s">
        <v>678</v>
      </c>
      <c r="B30" s="401" t="s">
        <v>670</v>
      </c>
      <c r="C30" s="401" t="s">
        <v>671</v>
      </c>
      <c r="D30" s="401" t="s">
        <v>679</v>
      </c>
      <c r="E30" s="405">
        <v>4581.3100000000004</v>
      </c>
      <c r="F30" s="406">
        <v>40354</v>
      </c>
      <c r="G30" s="407" t="s">
        <v>670</v>
      </c>
      <c r="H30" s="401" t="s">
        <v>671</v>
      </c>
    </row>
    <row r="31" spans="1:8">
      <c r="A31" s="401" t="s">
        <v>678</v>
      </c>
      <c r="B31" s="401" t="s">
        <v>670</v>
      </c>
      <c r="C31" s="401" t="s">
        <v>671</v>
      </c>
      <c r="D31" s="401" t="s">
        <v>679</v>
      </c>
      <c r="E31" s="405">
        <v>4581.3100000000004</v>
      </c>
      <c r="F31" s="406">
        <v>40384</v>
      </c>
      <c r="G31" s="407" t="s">
        <v>670</v>
      </c>
      <c r="H31" s="401" t="s">
        <v>671</v>
      </c>
    </row>
    <row r="32" spans="1:8">
      <c r="A32" s="401" t="s">
        <v>678</v>
      </c>
      <c r="B32" s="401" t="s">
        <v>670</v>
      </c>
      <c r="C32" s="401" t="s">
        <v>671</v>
      </c>
      <c r="D32" s="401" t="s">
        <v>679</v>
      </c>
      <c r="E32" s="405">
        <v>4581.3100000000004</v>
      </c>
      <c r="F32" s="406">
        <v>40415</v>
      </c>
      <c r="G32" s="407" t="s">
        <v>670</v>
      </c>
      <c r="H32" s="401" t="s">
        <v>671</v>
      </c>
    </row>
    <row r="33" spans="1:8">
      <c r="A33" s="401" t="s">
        <v>678</v>
      </c>
      <c r="B33" s="401" t="s">
        <v>670</v>
      </c>
      <c r="C33" s="401" t="s">
        <v>671</v>
      </c>
      <c r="D33" s="401" t="s">
        <v>679</v>
      </c>
      <c r="E33" s="405">
        <v>4581.3100000000004</v>
      </c>
      <c r="F33" s="406">
        <v>40446</v>
      </c>
      <c r="G33" s="407" t="s">
        <v>670</v>
      </c>
      <c r="H33" s="401" t="s">
        <v>671</v>
      </c>
    </row>
    <row r="34" spans="1:8">
      <c r="A34" s="401" t="s">
        <v>678</v>
      </c>
      <c r="B34" s="401" t="s">
        <v>670</v>
      </c>
      <c r="C34" s="401" t="s">
        <v>671</v>
      </c>
      <c r="D34" s="401" t="s">
        <v>679</v>
      </c>
      <c r="E34" s="405">
        <v>4581.3100000000004</v>
      </c>
      <c r="F34" s="406">
        <v>40476</v>
      </c>
      <c r="G34" s="407" t="s">
        <v>670</v>
      </c>
      <c r="H34" s="401" t="s">
        <v>671</v>
      </c>
    </row>
    <row r="35" spans="1:8">
      <c r="A35" s="401" t="s">
        <v>678</v>
      </c>
      <c r="B35" s="401" t="s">
        <v>670</v>
      </c>
      <c r="C35" s="401" t="s">
        <v>671</v>
      </c>
      <c r="D35" s="401" t="s">
        <v>679</v>
      </c>
      <c r="E35" s="405">
        <v>4581.3100000000004</v>
      </c>
      <c r="F35" s="406">
        <v>40507</v>
      </c>
      <c r="G35" s="407" t="s">
        <v>670</v>
      </c>
      <c r="H35" s="401" t="s">
        <v>671</v>
      </c>
    </row>
    <row r="36" spans="1:8">
      <c r="A36" s="401" t="s">
        <v>678</v>
      </c>
      <c r="B36" s="401" t="s">
        <v>670</v>
      </c>
      <c r="C36" s="401" t="s">
        <v>671</v>
      </c>
      <c r="D36" s="401" t="s">
        <v>679</v>
      </c>
      <c r="E36" s="405">
        <v>4581.3100000000004</v>
      </c>
      <c r="F36" s="406">
        <v>40537</v>
      </c>
      <c r="G36" s="407" t="s">
        <v>670</v>
      </c>
      <c r="H36" s="401" t="s">
        <v>671</v>
      </c>
    </row>
    <row r="37" spans="1:8" ht="13.5" thickBot="1">
      <c r="A37" s="417"/>
      <c r="B37" s="417"/>
      <c r="C37" s="417"/>
      <c r="D37" s="417"/>
      <c r="E37" s="413">
        <f>SUM(E23:E36)</f>
        <v>68250.559999999983</v>
      </c>
      <c r="F37" s="418"/>
      <c r="G37" s="417"/>
      <c r="H37" s="417"/>
    </row>
    <row r="38" spans="1:8" ht="13.5" thickTop="1">
      <c r="A38" s="412"/>
      <c r="B38" s="412"/>
      <c r="C38" s="412"/>
      <c r="D38" s="412"/>
      <c r="E38" s="419"/>
      <c r="F38" s="414"/>
      <c r="G38" s="412"/>
      <c r="H38" s="412"/>
    </row>
    <row r="40" spans="1:8">
      <c r="E40" s="420">
        <f>E19</f>
        <v>-256074.06</v>
      </c>
    </row>
    <row r="41" spans="1:8">
      <c r="E41" s="421">
        <f>E37</f>
        <v>68250.559999999983</v>
      </c>
    </row>
    <row r="42" spans="1:8" ht="13.5" thickBot="1">
      <c r="E42" s="422">
        <f>SUM(E40:E41)</f>
        <v>-187823.5</v>
      </c>
    </row>
    <row r="43" spans="1:8" ht="13.5" thickTop="1"/>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BS22"/>
  <sheetViews>
    <sheetView workbookViewId="0">
      <selection activeCell="B24" sqref="B24"/>
    </sheetView>
  </sheetViews>
  <sheetFormatPr defaultColWidth="13.33203125" defaultRowHeight="12.75"/>
  <cols>
    <col min="1" max="1" width="22" style="401" bestFit="1" customWidth="1"/>
    <col min="2" max="2" width="13.1640625" style="401" bestFit="1" customWidth="1"/>
    <col min="3" max="3" width="12" style="401" bestFit="1" customWidth="1"/>
    <col min="4" max="4" width="13.1640625" style="401" bestFit="1" customWidth="1"/>
    <col min="5" max="5" width="20.33203125" style="401" bestFit="1" customWidth="1"/>
    <col min="6" max="256" width="13.33203125" style="401"/>
    <col min="257" max="257" width="22" style="401" bestFit="1" customWidth="1"/>
    <col min="258" max="258" width="13.1640625" style="401" bestFit="1" customWidth="1"/>
    <col min="259" max="259" width="12" style="401" bestFit="1" customWidth="1"/>
    <col min="260" max="260" width="13.1640625" style="401" bestFit="1" customWidth="1"/>
    <col min="261" max="261" width="20.33203125" style="401" bestFit="1" customWidth="1"/>
    <col min="262" max="512" width="13.33203125" style="401"/>
    <col min="513" max="513" width="22" style="401" bestFit="1" customWidth="1"/>
    <col min="514" max="514" width="13.1640625" style="401" bestFit="1" customWidth="1"/>
    <col min="515" max="515" width="12" style="401" bestFit="1" customWidth="1"/>
    <col min="516" max="516" width="13.1640625" style="401" bestFit="1" customWidth="1"/>
    <col min="517" max="517" width="20.33203125" style="401" bestFit="1" customWidth="1"/>
    <col min="518" max="768" width="13.33203125" style="401"/>
    <col min="769" max="769" width="22" style="401" bestFit="1" customWidth="1"/>
    <col min="770" max="770" width="13.1640625" style="401" bestFit="1" customWidth="1"/>
    <col min="771" max="771" width="12" style="401" bestFit="1" customWidth="1"/>
    <col min="772" max="772" width="13.1640625" style="401" bestFit="1" customWidth="1"/>
    <col min="773" max="773" width="20.33203125" style="401" bestFit="1" customWidth="1"/>
    <col min="774" max="1024" width="13.33203125" style="401"/>
    <col min="1025" max="1025" width="22" style="401" bestFit="1" customWidth="1"/>
    <col min="1026" max="1026" width="13.1640625" style="401" bestFit="1" customWidth="1"/>
    <col min="1027" max="1027" width="12" style="401" bestFit="1" customWidth="1"/>
    <col min="1028" max="1028" width="13.1640625" style="401" bestFit="1" customWidth="1"/>
    <col min="1029" max="1029" width="20.33203125" style="401" bestFit="1" customWidth="1"/>
    <col min="1030" max="1280" width="13.33203125" style="401"/>
    <col min="1281" max="1281" width="22" style="401" bestFit="1" customWidth="1"/>
    <col min="1282" max="1282" width="13.1640625" style="401" bestFit="1" customWidth="1"/>
    <col min="1283" max="1283" width="12" style="401" bestFit="1" customWidth="1"/>
    <col min="1284" max="1284" width="13.1640625" style="401" bestFit="1" customWidth="1"/>
    <col min="1285" max="1285" width="20.33203125" style="401" bestFit="1" customWidth="1"/>
    <col min="1286" max="1536" width="13.33203125" style="401"/>
    <col min="1537" max="1537" width="22" style="401" bestFit="1" customWidth="1"/>
    <col min="1538" max="1538" width="13.1640625" style="401" bestFit="1" customWidth="1"/>
    <col min="1539" max="1539" width="12" style="401" bestFit="1" customWidth="1"/>
    <col min="1540" max="1540" width="13.1640625" style="401" bestFit="1" customWidth="1"/>
    <col min="1541" max="1541" width="20.33203125" style="401" bestFit="1" customWidth="1"/>
    <col min="1542" max="1792" width="13.33203125" style="401"/>
    <col min="1793" max="1793" width="22" style="401" bestFit="1" customWidth="1"/>
    <col min="1794" max="1794" width="13.1640625" style="401" bestFit="1" customWidth="1"/>
    <col min="1795" max="1795" width="12" style="401" bestFit="1" customWidth="1"/>
    <col min="1796" max="1796" width="13.1640625" style="401" bestFit="1" customWidth="1"/>
    <col min="1797" max="1797" width="20.33203125" style="401" bestFit="1" customWidth="1"/>
    <col min="1798" max="2048" width="13.33203125" style="401"/>
    <col min="2049" max="2049" width="22" style="401" bestFit="1" customWidth="1"/>
    <col min="2050" max="2050" width="13.1640625" style="401" bestFit="1" customWidth="1"/>
    <col min="2051" max="2051" width="12" style="401" bestFit="1" customWidth="1"/>
    <col min="2052" max="2052" width="13.1640625" style="401" bestFit="1" customWidth="1"/>
    <col min="2053" max="2053" width="20.33203125" style="401" bestFit="1" customWidth="1"/>
    <col min="2054" max="2304" width="13.33203125" style="401"/>
    <col min="2305" max="2305" width="22" style="401" bestFit="1" customWidth="1"/>
    <col min="2306" max="2306" width="13.1640625" style="401" bestFit="1" customWidth="1"/>
    <col min="2307" max="2307" width="12" style="401" bestFit="1" customWidth="1"/>
    <col min="2308" max="2308" width="13.1640625" style="401" bestFit="1" customWidth="1"/>
    <col min="2309" max="2309" width="20.33203125" style="401" bestFit="1" customWidth="1"/>
    <col min="2310" max="2560" width="13.33203125" style="401"/>
    <col min="2561" max="2561" width="22" style="401" bestFit="1" customWidth="1"/>
    <col min="2562" max="2562" width="13.1640625" style="401" bestFit="1" customWidth="1"/>
    <col min="2563" max="2563" width="12" style="401" bestFit="1" customWidth="1"/>
    <col min="2564" max="2564" width="13.1640625" style="401" bestFit="1" customWidth="1"/>
    <col min="2565" max="2565" width="20.33203125" style="401" bestFit="1" customWidth="1"/>
    <col min="2566" max="2816" width="13.33203125" style="401"/>
    <col min="2817" max="2817" width="22" style="401" bestFit="1" customWidth="1"/>
    <col min="2818" max="2818" width="13.1640625" style="401" bestFit="1" customWidth="1"/>
    <col min="2819" max="2819" width="12" style="401" bestFit="1" customWidth="1"/>
    <col min="2820" max="2820" width="13.1640625" style="401" bestFit="1" customWidth="1"/>
    <col min="2821" max="2821" width="20.33203125" style="401" bestFit="1" customWidth="1"/>
    <col min="2822" max="3072" width="13.33203125" style="401"/>
    <col min="3073" max="3073" width="22" style="401" bestFit="1" customWidth="1"/>
    <col min="3074" max="3074" width="13.1640625" style="401" bestFit="1" customWidth="1"/>
    <col min="3075" max="3075" width="12" style="401" bestFit="1" customWidth="1"/>
    <col min="3076" max="3076" width="13.1640625" style="401" bestFit="1" customWidth="1"/>
    <col min="3077" max="3077" width="20.33203125" style="401" bestFit="1" customWidth="1"/>
    <col min="3078" max="3328" width="13.33203125" style="401"/>
    <col min="3329" max="3329" width="22" style="401" bestFit="1" customWidth="1"/>
    <col min="3330" max="3330" width="13.1640625" style="401" bestFit="1" customWidth="1"/>
    <col min="3331" max="3331" width="12" style="401" bestFit="1" customWidth="1"/>
    <col min="3332" max="3332" width="13.1640625" style="401" bestFit="1" customWidth="1"/>
    <col min="3333" max="3333" width="20.33203125" style="401" bestFit="1" customWidth="1"/>
    <col min="3334" max="3584" width="13.33203125" style="401"/>
    <col min="3585" max="3585" width="22" style="401" bestFit="1" customWidth="1"/>
    <col min="3586" max="3586" width="13.1640625" style="401" bestFit="1" customWidth="1"/>
    <col min="3587" max="3587" width="12" style="401" bestFit="1" customWidth="1"/>
    <col min="3588" max="3588" width="13.1640625" style="401" bestFit="1" customWidth="1"/>
    <col min="3589" max="3589" width="20.33203125" style="401" bestFit="1" customWidth="1"/>
    <col min="3590" max="3840" width="13.33203125" style="401"/>
    <col min="3841" max="3841" width="22" style="401" bestFit="1" customWidth="1"/>
    <col min="3842" max="3842" width="13.1640625" style="401" bestFit="1" customWidth="1"/>
    <col min="3843" max="3843" width="12" style="401" bestFit="1" customWidth="1"/>
    <col min="3844" max="3844" width="13.1640625" style="401" bestFit="1" customWidth="1"/>
    <col min="3845" max="3845" width="20.33203125" style="401" bestFit="1" customWidth="1"/>
    <col min="3846" max="4096" width="13.33203125" style="401"/>
    <col min="4097" max="4097" width="22" style="401" bestFit="1" customWidth="1"/>
    <col min="4098" max="4098" width="13.1640625" style="401" bestFit="1" customWidth="1"/>
    <col min="4099" max="4099" width="12" style="401" bestFit="1" customWidth="1"/>
    <col min="4100" max="4100" width="13.1640625" style="401" bestFit="1" customWidth="1"/>
    <col min="4101" max="4101" width="20.33203125" style="401" bestFit="1" customWidth="1"/>
    <col min="4102" max="4352" width="13.33203125" style="401"/>
    <col min="4353" max="4353" width="22" style="401" bestFit="1" customWidth="1"/>
    <col min="4354" max="4354" width="13.1640625" style="401" bestFit="1" customWidth="1"/>
    <col min="4355" max="4355" width="12" style="401" bestFit="1" customWidth="1"/>
    <col min="4356" max="4356" width="13.1640625" style="401" bestFit="1" customWidth="1"/>
    <col min="4357" max="4357" width="20.33203125" style="401" bestFit="1" customWidth="1"/>
    <col min="4358" max="4608" width="13.33203125" style="401"/>
    <col min="4609" max="4609" width="22" style="401" bestFit="1" customWidth="1"/>
    <col min="4610" max="4610" width="13.1640625" style="401" bestFit="1" customWidth="1"/>
    <col min="4611" max="4611" width="12" style="401" bestFit="1" customWidth="1"/>
    <col min="4612" max="4612" width="13.1640625" style="401" bestFit="1" customWidth="1"/>
    <col min="4613" max="4613" width="20.33203125" style="401" bestFit="1" customWidth="1"/>
    <col min="4614" max="4864" width="13.33203125" style="401"/>
    <col min="4865" max="4865" width="22" style="401" bestFit="1" customWidth="1"/>
    <col min="4866" max="4866" width="13.1640625" style="401" bestFit="1" customWidth="1"/>
    <col min="4867" max="4867" width="12" style="401" bestFit="1" customWidth="1"/>
    <col min="4868" max="4868" width="13.1640625" style="401" bestFit="1" customWidth="1"/>
    <col min="4869" max="4869" width="20.33203125" style="401" bestFit="1" customWidth="1"/>
    <col min="4870" max="5120" width="13.33203125" style="401"/>
    <col min="5121" max="5121" width="22" style="401" bestFit="1" customWidth="1"/>
    <col min="5122" max="5122" width="13.1640625" style="401" bestFit="1" customWidth="1"/>
    <col min="5123" max="5123" width="12" style="401" bestFit="1" customWidth="1"/>
    <col min="5124" max="5124" width="13.1640625" style="401" bestFit="1" customWidth="1"/>
    <col min="5125" max="5125" width="20.33203125" style="401" bestFit="1" customWidth="1"/>
    <col min="5126" max="5376" width="13.33203125" style="401"/>
    <col min="5377" max="5377" width="22" style="401" bestFit="1" customWidth="1"/>
    <col min="5378" max="5378" width="13.1640625" style="401" bestFit="1" customWidth="1"/>
    <col min="5379" max="5379" width="12" style="401" bestFit="1" customWidth="1"/>
    <col min="5380" max="5380" width="13.1640625" style="401" bestFit="1" customWidth="1"/>
    <col min="5381" max="5381" width="20.33203125" style="401" bestFit="1" customWidth="1"/>
    <col min="5382" max="5632" width="13.33203125" style="401"/>
    <col min="5633" max="5633" width="22" style="401" bestFit="1" customWidth="1"/>
    <col min="5634" max="5634" width="13.1640625" style="401" bestFit="1" customWidth="1"/>
    <col min="5635" max="5635" width="12" style="401" bestFit="1" customWidth="1"/>
    <col min="5636" max="5636" width="13.1640625" style="401" bestFit="1" customWidth="1"/>
    <col min="5637" max="5637" width="20.33203125" style="401" bestFit="1" customWidth="1"/>
    <col min="5638" max="5888" width="13.33203125" style="401"/>
    <col min="5889" max="5889" width="22" style="401" bestFit="1" customWidth="1"/>
    <col min="5890" max="5890" width="13.1640625" style="401" bestFit="1" customWidth="1"/>
    <col min="5891" max="5891" width="12" style="401" bestFit="1" customWidth="1"/>
    <col min="5892" max="5892" width="13.1640625" style="401" bestFit="1" customWidth="1"/>
    <col min="5893" max="5893" width="20.33203125" style="401" bestFit="1" customWidth="1"/>
    <col min="5894" max="6144" width="13.33203125" style="401"/>
    <col min="6145" max="6145" width="22" style="401" bestFit="1" customWidth="1"/>
    <col min="6146" max="6146" width="13.1640625" style="401" bestFit="1" customWidth="1"/>
    <col min="6147" max="6147" width="12" style="401" bestFit="1" customWidth="1"/>
    <col min="6148" max="6148" width="13.1640625" style="401" bestFit="1" customWidth="1"/>
    <col min="6149" max="6149" width="20.33203125" style="401" bestFit="1" customWidth="1"/>
    <col min="6150" max="6400" width="13.33203125" style="401"/>
    <col min="6401" max="6401" width="22" style="401" bestFit="1" customWidth="1"/>
    <col min="6402" max="6402" width="13.1640625" style="401" bestFit="1" customWidth="1"/>
    <col min="6403" max="6403" width="12" style="401" bestFit="1" customWidth="1"/>
    <col min="6404" max="6404" width="13.1640625" style="401" bestFit="1" customWidth="1"/>
    <col min="6405" max="6405" width="20.33203125" style="401" bestFit="1" customWidth="1"/>
    <col min="6406" max="6656" width="13.33203125" style="401"/>
    <col min="6657" max="6657" width="22" style="401" bestFit="1" customWidth="1"/>
    <col min="6658" max="6658" width="13.1640625" style="401" bestFit="1" customWidth="1"/>
    <col min="6659" max="6659" width="12" style="401" bestFit="1" customWidth="1"/>
    <col min="6660" max="6660" width="13.1640625" style="401" bestFit="1" customWidth="1"/>
    <col min="6661" max="6661" width="20.33203125" style="401" bestFit="1" customWidth="1"/>
    <col min="6662" max="6912" width="13.33203125" style="401"/>
    <col min="6913" max="6913" width="22" style="401" bestFit="1" customWidth="1"/>
    <col min="6914" max="6914" width="13.1640625" style="401" bestFit="1" customWidth="1"/>
    <col min="6915" max="6915" width="12" style="401" bestFit="1" customWidth="1"/>
    <col min="6916" max="6916" width="13.1640625" style="401" bestFit="1" customWidth="1"/>
    <col min="6917" max="6917" width="20.33203125" style="401" bestFit="1" customWidth="1"/>
    <col min="6918" max="7168" width="13.33203125" style="401"/>
    <col min="7169" max="7169" width="22" style="401" bestFit="1" customWidth="1"/>
    <col min="7170" max="7170" width="13.1640625" style="401" bestFit="1" customWidth="1"/>
    <col min="7171" max="7171" width="12" style="401" bestFit="1" customWidth="1"/>
    <col min="7172" max="7172" width="13.1640625" style="401" bestFit="1" customWidth="1"/>
    <col min="7173" max="7173" width="20.33203125" style="401" bestFit="1" customWidth="1"/>
    <col min="7174" max="7424" width="13.33203125" style="401"/>
    <col min="7425" max="7425" width="22" style="401" bestFit="1" customWidth="1"/>
    <col min="7426" max="7426" width="13.1640625" style="401" bestFit="1" customWidth="1"/>
    <col min="7427" max="7427" width="12" style="401" bestFit="1" customWidth="1"/>
    <col min="7428" max="7428" width="13.1640625" style="401" bestFit="1" customWidth="1"/>
    <col min="7429" max="7429" width="20.33203125" style="401" bestFit="1" customWidth="1"/>
    <col min="7430" max="7680" width="13.33203125" style="401"/>
    <col min="7681" max="7681" width="22" style="401" bestFit="1" customWidth="1"/>
    <col min="7682" max="7682" width="13.1640625" style="401" bestFit="1" customWidth="1"/>
    <col min="7683" max="7683" width="12" style="401" bestFit="1" customWidth="1"/>
    <col min="7684" max="7684" width="13.1640625" style="401" bestFit="1" customWidth="1"/>
    <col min="7685" max="7685" width="20.33203125" style="401" bestFit="1" customWidth="1"/>
    <col min="7686" max="7936" width="13.33203125" style="401"/>
    <col min="7937" max="7937" width="22" style="401" bestFit="1" customWidth="1"/>
    <col min="7938" max="7938" width="13.1640625" style="401" bestFit="1" customWidth="1"/>
    <col min="7939" max="7939" width="12" style="401" bestFit="1" customWidth="1"/>
    <col min="7940" max="7940" width="13.1640625" style="401" bestFit="1" customWidth="1"/>
    <col min="7941" max="7941" width="20.33203125" style="401" bestFit="1" customWidth="1"/>
    <col min="7942" max="8192" width="13.33203125" style="401"/>
    <col min="8193" max="8193" width="22" style="401" bestFit="1" customWidth="1"/>
    <col min="8194" max="8194" width="13.1640625" style="401" bestFit="1" customWidth="1"/>
    <col min="8195" max="8195" width="12" style="401" bestFit="1" customWidth="1"/>
    <col min="8196" max="8196" width="13.1640625" style="401" bestFit="1" customWidth="1"/>
    <col min="8197" max="8197" width="20.33203125" style="401" bestFit="1" customWidth="1"/>
    <col min="8198" max="8448" width="13.33203125" style="401"/>
    <col min="8449" max="8449" width="22" style="401" bestFit="1" customWidth="1"/>
    <col min="8450" max="8450" width="13.1640625" style="401" bestFit="1" customWidth="1"/>
    <col min="8451" max="8451" width="12" style="401" bestFit="1" customWidth="1"/>
    <col min="8452" max="8452" width="13.1640625" style="401" bestFit="1" customWidth="1"/>
    <col min="8453" max="8453" width="20.33203125" style="401" bestFit="1" customWidth="1"/>
    <col min="8454" max="8704" width="13.33203125" style="401"/>
    <col min="8705" max="8705" width="22" style="401" bestFit="1" customWidth="1"/>
    <col min="8706" max="8706" width="13.1640625" style="401" bestFit="1" customWidth="1"/>
    <col min="8707" max="8707" width="12" style="401" bestFit="1" customWidth="1"/>
    <col min="8708" max="8708" width="13.1640625" style="401" bestFit="1" customWidth="1"/>
    <col min="8709" max="8709" width="20.33203125" style="401" bestFit="1" customWidth="1"/>
    <col min="8710" max="8960" width="13.33203125" style="401"/>
    <col min="8961" max="8961" width="22" style="401" bestFit="1" customWidth="1"/>
    <col min="8962" max="8962" width="13.1640625" style="401" bestFit="1" customWidth="1"/>
    <col min="8963" max="8963" width="12" style="401" bestFit="1" customWidth="1"/>
    <col min="8964" max="8964" width="13.1640625" style="401" bestFit="1" customWidth="1"/>
    <col min="8965" max="8965" width="20.33203125" style="401" bestFit="1" customWidth="1"/>
    <col min="8966" max="9216" width="13.33203125" style="401"/>
    <col min="9217" max="9217" width="22" style="401" bestFit="1" customWidth="1"/>
    <col min="9218" max="9218" width="13.1640625" style="401" bestFit="1" customWidth="1"/>
    <col min="9219" max="9219" width="12" style="401" bestFit="1" customWidth="1"/>
    <col min="9220" max="9220" width="13.1640625" style="401" bestFit="1" customWidth="1"/>
    <col min="9221" max="9221" width="20.33203125" style="401" bestFit="1" customWidth="1"/>
    <col min="9222" max="9472" width="13.33203125" style="401"/>
    <col min="9473" max="9473" width="22" style="401" bestFit="1" customWidth="1"/>
    <col min="9474" max="9474" width="13.1640625" style="401" bestFit="1" customWidth="1"/>
    <col min="9475" max="9475" width="12" style="401" bestFit="1" customWidth="1"/>
    <col min="9476" max="9476" width="13.1640625" style="401" bestFit="1" customWidth="1"/>
    <col min="9477" max="9477" width="20.33203125" style="401" bestFit="1" customWidth="1"/>
    <col min="9478" max="9728" width="13.33203125" style="401"/>
    <col min="9729" max="9729" width="22" style="401" bestFit="1" customWidth="1"/>
    <col min="9730" max="9730" width="13.1640625" style="401" bestFit="1" customWidth="1"/>
    <col min="9731" max="9731" width="12" style="401" bestFit="1" customWidth="1"/>
    <col min="9732" max="9732" width="13.1640625" style="401" bestFit="1" customWidth="1"/>
    <col min="9733" max="9733" width="20.33203125" style="401" bestFit="1" customWidth="1"/>
    <col min="9734" max="9984" width="13.33203125" style="401"/>
    <col min="9985" max="9985" width="22" style="401" bestFit="1" customWidth="1"/>
    <col min="9986" max="9986" width="13.1640625" style="401" bestFit="1" customWidth="1"/>
    <col min="9987" max="9987" width="12" style="401" bestFit="1" customWidth="1"/>
    <col min="9988" max="9988" width="13.1640625" style="401" bestFit="1" customWidth="1"/>
    <col min="9989" max="9989" width="20.33203125" style="401" bestFit="1" customWidth="1"/>
    <col min="9990" max="10240" width="13.33203125" style="401"/>
    <col min="10241" max="10241" width="22" style="401" bestFit="1" customWidth="1"/>
    <col min="10242" max="10242" width="13.1640625" style="401" bestFit="1" customWidth="1"/>
    <col min="10243" max="10243" width="12" style="401" bestFit="1" customWidth="1"/>
    <col min="10244" max="10244" width="13.1640625" style="401" bestFit="1" customWidth="1"/>
    <col min="10245" max="10245" width="20.33203125" style="401" bestFit="1" customWidth="1"/>
    <col min="10246" max="10496" width="13.33203125" style="401"/>
    <col min="10497" max="10497" width="22" style="401" bestFit="1" customWidth="1"/>
    <col min="10498" max="10498" width="13.1640625" style="401" bestFit="1" customWidth="1"/>
    <col min="10499" max="10499" width="12" style="401" bestFit="1" customWidth="1"/>
    <col min="10500" max="10500" width="13.1640625" style="401" bestFit="1" customWidth="1"/>
    <col min="10501" max="10501" width="20.33203125" style="401" bestFit="1" customWidth="1"/>
    <col min="10502" max="10752" width="13.33203125" style="401"/>
    <col min="10753" max="10753" width="22" style="401" bestFit="1" customWidth="1"/>
    <col min="10754" max="10754" width="13.1640625" style="401" bestFit="1" customWidth="1"/>
    <col min="10755" max="10755" width="12" style="401" bestFit="1" customWidth="1"/>
    <col min="10756" max="10756" width="13.1640625" style="401" bestFit="1" customWidth="1"/>
    <col min="10757" max="10757" width="20.33203125" style="401" bestFit="1" customWidth="1"/>
    <col min="10758" max="11008" width="13.33203125" style="401"/>
    <col min="11009" max="11009" width="22" style="401" bestFit="1" customWidth="1"/>
    <col min="11010" max="11010" width="13.1640625" style="401" bestFit="1" customWidth="1"/>
    <col min="11011" max="11011" width="12" style="401" bestFit="1" customWidth="1"/>
    <col min="11012" max="11012" width="13.1640625" style="401" bestFit="1" customWidth="1"/>
    <col min="11013" max="11013" width="20.33203125" style="401" bestFit="1" customWidth="1"/>
    <col min="11014" max="11264" width="13.33203125" style="401"/>
    <col min="11265" max="11265" width="22" style="401" bestFit="1" customWidth="1"/>
    <col min="11266" max="11266" width="13.1640625" style="401" bestFit="1" customWidth="1"/>
    <col min="11267" max="11267" width="12" style="401" bestFit="1" customWidth="1"/>
    <col min="11268" max="11268" width="13.1640625" style="401" bestFit="1" customWidth="1"/>
    <col min="11269" max="11269" width="20.33203125" style="401" bestFit="1" customWidth="1"/>
    <col min="11270" max="11520" width="13.33203125" style="401"/>
    <col min="11521" max="11521" width="22" style="401" bestFit="1" customWidth="1"/>
    <col min="11522" max="11522" width="13.1640625" style="401" bestFit="1" customWidth="1"/>
    <col min="11523" max="11523" width="12" style="401" bestFit="1" customWidth="1"/>
    <col min="11524" max="11524" width="13.1640625" style="401" bestFit="1" customWidth="1"/>
    <col min="11525" max="11525" width="20.33203125" style="401" bestFit="1" customWidth="1"/>
    <col min="11526" max="11776" width="13.33203125" style="401"/>
    <col min="11777" max="11777" width="22" style="401" bestFit="1" customWidth="1"/>
    <col min="11778" max="11778" width="13.1640625" style="401" bestFit="1" customWidth="1"/>
    <col min="11779" max="11779" width="12" style="401" bestFit="1" customWidth="1"/>
    <col min="11780" max="11780" width="13.1640625" style="401" bestFit="1" customWidth="1"/>
    <col min="11781" max="11781" width="20.33203125" style="401" bestFit="1" customWidth="1"/>
    <col min="11782" max="12032" width="13.33203125" style="401"/>
    <col min="12033" max="12033" width="22" style="401" bestFit="1" customWidth="1"/>
    <col min="12034" max="12034" width="13.1640625" style="401" bestFit="1" customWidth="1"/>
    <col min="12035" max="12035" width="12" style="401" bestFit="1" customWidth="1"/>
    <col min="12036" max="12036" width="13.1640625" style="401" bestFit="1" customWidth="1"/>
    <col min="12037" max="12037" width="20.33203125" style="401" bestFit="1" customWidth="1"/>
    <col min="12038" max="12288" width="13.33203125" style="401"/>
    <col min="12289" max="12289" width="22" style="401" bestFit="1" customWidth="1"/>
    <col min="12290" max="12290" width="13.1640625" style="401" bestFit="1" customWidth="1"/>
    <col min="12291" max="12291" width="12" style="401" bestFit="1" customWidth="1"/>
    <col min="12292" max="12292" width="13.1640625" style="401" bestFit="1" customWidth="1"/>
    <col min="12293" max="12293" width="20.33203125" style="401" bestFit="1" customWidth="1"/>
    <col min="12294" max="12544" width="13.33203125" style="401"/>
    <col min="12545" max="12545" width="22" style="401" bestFit="1" customWidth="1"/>
    <col min="12546" max="12546" width="13.1640625" style="401" bestFit="1" customWidth="1"/>
    <col min="12547" max="12547" width="12" style="401" bestFit="1" customWidth="1"/>
    <col min="12548" max="12548" width="13.1640625" style="401" bestFit="1" customWidth="1"/>
    <col min="12549" max="12549" width="20.33203125" style="401" bestFit="1" customWidth="1"/>
    <col min="12550" max="12800" width="13.33203125" style="401"/>
    <col min="12801" max="12801" width="22" style="401" bestFit="1" customWidth="1"/>
    <col min="12802" max="12802" width="13.1640625" style="401" bestFit="1" customWidth="1"/>
    <col min="12803" max="12803" width="12" style="401" bestFit="1" customWidth="1"/>
    <col min="12804" max="12804" width="13.1640625" style="401" bestFit="1" customWidth="1"/>
    <col min="12805" max="12805" width="20.33203125" style="401" bestFit="1" customWidth="1"/>
    <col min="12806" max="13056" width="13.33203125" style="401"/>
    <col min="13057" max="13057" width="22" style="401" bestFit="1" customWidth="1"/>
    <col min="13058" max="13058" width="13.1640625" style="401" bestFit="1" customWidth="1"/>
    <col min="13059" max="13059" width="12" style="401" bestFit="1" customWidth="1"/>
    <col min="13060" max="13060" width="13.1640625" style="401" bestFit="1" customWidth="1"/>
    <col min="13061" max="13061" width="20.33203125" style="401" bestFit="1" customWidth="1"/>
    <col min="13062" max="13312" width="13.33203125" style="401"/>
    <col min="13313" max="13313" width="22" style="401" bestFit="1" customWidth="1"/>
    <col min="13314" max="13314" width="13.1640625" style="401" bestFit="1" customWidth="1"/>
    <col min="13315" max="13315" width="12" style="401" bestFit="1" customWidth="1"/>
    <col min="13316" max="13316" width="13.1640625" style="401" bestFit="1" customWidth="1"/>
    <col min="13317" max="13317" width="20.33203125" style="401" bestFit="1" customWidth="1"/>
    <col min="13318" max="13568" width="13.33203125" style="401"/>
    <col min="13569" max="13569" width="22" style="401" bestFit="1" customWidth="1"/>
    <col min="13570" max="13570" width="13.1640625" style="401" bestFit="1" customWidth="1"/>
    <col min="13571" max="13571" width="12" style="401" bestFit="1" customWidth="1"/>
    <col min="13572" max="13572" width="13.1640625" style="401" bestFit="1" customWidth="1"/>
    <col min="13573" max="13573" width="20.33203125" style="401" bestFit="1" customWidth="1"/>
    <col min="13574" max="13824" width="13.33203125" style="401"/>
    <col min="13825" max="13825" width="22" style="401" bestFit="1" customWidth="1"/>
    <col min="13826" max="13826" width="13.1640625" style="401" bestFit="1" customWidth="1"/>
    <col min="13827" max="13827" width="12" style="401" bestFit="1" customWidth="1"/>
    <col min="13828" max="13828" width="13.1640625" style="401" bestFit="1" customWidth="1"/>
    <col min="13829" max="13829" width="20.33203125" style="401" bestFit="1" customWidth="1"/>
    <col min="13830" max="14080" width="13.33203125" style="401"/>
    <col min="14081" max="14081" width="22" style="401" bestFit="1" customWidth="1"/>
    <col min="14082" max="14082" width="13.1640625" style="401" bestFit="1" customWidth="1"/>
    <col min="14083" max="14083" width="12" style="401" bestFit="1" customWidth="1"/>
    <col min="14084" max="14084" width="13.1640625" style="401" bestFit="1" customWidth="1"/>
    <col min="14085" max="14085" width="20.33203125" style="401" bestFit="1" customWidth="1"/>
    <col min="14086" max="14336" width="13.33203125" style="401"/>
    <col min="14337" max="14337" width="22" style="401" bestFit="1" customWidth="1"/>
    <col min="14338" max="14338" width="13.1640625" style="401" bestFit="1" customWidth="1"/>
    <col min="14339" max="14339" width="12" style="401" bestFit="1" customWidth="1"/>
    <col min="14340" max="14340" width="13.1640625" style="401" bestFit="1" customWidth="1"/>
    <col min="14341" max="14341" width="20.33203125" style="401" bestFit="1" customWidth="1"/>
    <col min="14342" max="14592" width="13.33203125" style="401"/>
    <col min="14593" max="14593" width="22" style="401" bestFit="1" customWidth="1"/>
    <col min="14594" max="14594" width="13.1640625" style="401" bestFit="1" customWidth="1"/>
    <col min="14595" max="14595" width="12" style="401" bestFit="1" customWidth="1"/>
    <col min="14596" max="14596" width="13.1640625" style="401" bestFit="1" customWidth="1"/>
    <col min="14597" max="14597" width="20.33203125" style="401" bestFit="1" customWidth="1"/>
    <col min="14598" max="14848" width="13.33203125" style="401"/>
    <col min="14849" max="14849" width="22" style="401" bestFit="1" customWidth="1"/>
    <col min="14850" max="14850" width="13.1640625" style="401" bestFit="1" customWidth="1"/>
    <col min="14851" max="14851" width="12" style="401" bestFit="1" customWidth="1"/>
    <col min="14852" max="14852" width="13.1640625" style="401" bestFit="1" customWidth="1"/>
    <col min="14853" max="14853" width="20.33203125" style="401" bestFit="1" customWidth="1"/>
    <col min="14854" max="15104" width="13.33203125" style="401"/>
    <col min="15105" max="15105" width="22" style="401" bestFit="1" customWidth="1"/>
    <col min="15106" max="15106" width="13.1640625" style="401" bestFit="1" customWidth="1"/>
    <col min="15107" max="15107" width="12" style="401" bestFit="1" customWidth="1"/>
    <col min="15108" max="15108" width="13.1640625" style="401" bestFit="1" customWidth="1"/>
    <col min="15109" max="15109" width="20.33203125" style="401" bestFit="1" customWidth="1"/>
    <col min="15110" max="15360" width="13.33203125" style="401"/>
    <col min="15361" max="15361" width="22" style="401" bestFit="1" customWidth="1"/>
    <col min="15362" max="15362" width="13.1640625" style="401" bestFit="1" customWidth="1"/>
    <col min="15363" max="15363" width="12" style="401" bestFit="1" customWidth="1"/>
    <col min="15364" max="15364" width="13.1640625" style="401" bestFit="1" customWidth="1"/>
    <col min="15365" max="15365" width="20.33203125" style="401" bestFit="1" customWidth="1"/>
    <col min="15366" max="15616" width="13.33203125" style="401"/>
    <col min="15617" max="15617" width="22" style="401" bestFit="1" customWidth="1"/>
    <col min="15618" max="15618" width="13.1640625" style="401" bestFit="1" customWidth="1"/>
    <col min="15619" max="15619" width="12" style="401" bestFit="1" customWidth="1"/>
    <col min="15620" max="15620" width="13.1640625" style="401" bestFit="1" customWidth="1"/>
    <col min="15621" max="15621" width="20.33203125" style="401" bestFit="1" customWidth="1"/>
    <col min="15622" max="15872" width="13.33203125" style="401"/>
    <col min="15873" max="15873" width="22" style="401" bestFit="1" customWidth="1"/>
    <col min="15874" max="15874" width="13.1640625" style="401" bestFit="1" customWidth="1"/>
    <col min="15875" max="15875" width="12" style="401" bestFit="1" customWidth="1"/>
    <col min="15876" max="15876" width="13.1640625" style="401" bestFit="1" customWidth="1"/>
    <col min="15877" max="15877" width="20.33203125" style="401" bestFit="1" customWidth="1"/>
    <col min="15878" max="16128" width="13.33203125" style="401"/>
    <col min="16129" max="16129" width="22" style="401" bestFit="1" customWidth="1"/>
    <col min="16130" max="16130" width="13.1640625" style="401" bestFit="1" customWidth="1"/>
    <col min="16131" max="16131" width="12" style="401" bestFit="1" customWidth="1"/>
    <col min="16132" max="16132" width="13.1640625" style="401" bestFit="1" customWidth="1"/>
    <col min="16133" max="16133" width="20.33203125" style="401" bestFit="1" customWidth="1"/>
    <col min="16134" max="16384" width="13.33203125" style="401"/>
  </cols>
  <sheetData>
    <row r="1" spans="1:71">
      <c r="A1" s="400" t="s">
        <v>680</v>
      </c>
    </row>
    <row r="2" spans="1:71">
      <c r="A2" s="400" t="s">
        <v>681</v>
      </c>
      <c r="G2" s="401" t="s">
        <v>980</v>
      </c>
    </row>
    <row r="3" spans="1:71">
      <c r="A3" s="423" t="s">
        <v>682</v>
      </c>
    </row>
    <row r="4" spans="1:71">
      <c r="A4" s="403" t="s">
        <v>683</v>
      </c>
      <c r="B4" s="403" t="s">
        <v>684</v>
      </c>
      <c r="C4" s="403" t="s">
        <v>685</v>
      </c>
      <c r="D4" s="403" t="s">
        <v>686</v>
      </c>
      <c r="E4" s="403" t="s">
        <v>687</v>
      </c>
    </row>
    <row r="5" spans="1:71">
      <c r="A5" s="401" t="s">
        <v>688</v>
      </c>
      <c r="B5" s="405">
        <v>0</v>
      </c>
      <c r="C5" s="405">
        <v>0</v>
      </c>
      <c r="D5" s="405">
        <v>0</v>
      </c>
      <c r="E5" s="405">
        <v>0</v>
      </c>
    </row>
    <row r="6" spans="1:71">
      <c r="A6" s="401" t="s">
        <v>57</v>
      </c>
      <c r="B6" s="405">
        <v>0</v>
      </c>
      <c r="C6" s="405">
        <v>0</v>
      </c>
      <c r="D6" s="405">
        <v>0</v>
      </c>
      <c r="E6" s="405">
        <v>0</v>
      </c>
    </row>
    <row r="7" spans="1:71">
      <c r="A7" s="401" t="s">
        <v>689</v>
      </c>
      <c r="B7" s="405">
        <v>0</v>
      </c>
      <c r="C7" s="405">
        <v>0</v>
      </c>
      <c r="D7" s="405">
        <v>0</v>
      </c>
      <c r="E7" s="405">
        <v>0</v>
      </c>
    </row>
    <row r="8" spans="1:71">
      <c r="A8" s="401" t="s">
        <v>690</v>
      </c>
      <c r="B8" s="405">
        <v>0</v>
      </c>
      <c r="C8" s="405">
        <v>0</v>
      </c>
      <c r="D8" s="405">
        <v>0</v>
      </c>
      <c r="E8" s="405">
        <v>0</v>
      </c>
      <c r="BS8" s="401" t="s">
        <v>978</v>
      </c>
    </row>
    <row r="9" spans="1:71">
      <c r="A9" s="401" t="s">
        <v>691</v>
      </c>
      <c r="B9" s="405">
        <v>164927.20000000001</v>
      </c>
      <c r="C9" s="405">
        <v>5539.29</v>
      </c>
      <c r="D9" s="405">
        <v>159387.91</v>
      </c>
      <c r="E9" s="405">
        <v>159387.91</v>
      </c>
    </row>
    <row r="10" spans="1:71">
      <c r="A10" s="401" t="s">
        <v>692</v>
      </c>
      <c r="B10" s="405">
        <v>0</v>
      </c>
      <c r="C10" s="405">
        <v>4581.3100000000004</v>
      </c>
      <c r="D10" s="405">
        <v>-4581.3100000000004</v>
      </c>
      <c r="E10" s="405">
        <v>154806.6</v>
      </c>
    </row>
    <row r="11" spans="1:71">
      <c r="A11" s="401" t="s">
        <v>693</v>
      </c>
      <c r="B11" s="405">
        <v>0</v>
      </c>
      <c r="C11" s="405">
        <v>4581.3100000000004</v>
      </c>
      <c r="D11" s="405">
        <v>-4581.3100000000004</v>
      </c>
      <c r="E11" s="405">
        <v>150225.29</v>
      </c>
    </row>
    <row r="12" spans="1:71">
      <c r="A12" s="401" t="s">
        <v>694</v>
      </c>
      <c r="B12" s="405">
        <v>0</v>
      </c>
      <c r="C12" s="405">
        <v>4581.3100000000004</v>
      </c>
      <c r="D12" s="405">
        <v>-4581.3100000000004</v>
      </c>
      <c r="E12" s="405">
        <v>145643.98000000001</v>
      </c>
    </row>
    <row r="13" spans="1:71">
      <c r="A13" s="401" t="s">
        <v>695</v>
      </c>
      <c r="B13" s="405">
        <v>0</v>
      </c>
      <c r="C13" s="405">
        <v>4581.3100000000004</v>
      </c>
      <c r="D13" s="405">
        <v>-4581.3100000000004</v>
      </c>
      <c r="E13" s="405">
        <v>141062.67000000001</v>
      </c>
    </row>
    <row r="14" spans="1:71">
      <c r="A14" s="401" t="s">
        <v>696</v>
      </c>
      <c r="B14" s="405">
        <v>0</v>
      </c>
      <c r="C14" s="405">
        <v>4581.3100000000004</v>
      </c>
      <c r="D14" s="405">
        <v>-4581.3100000000004</v>
      </c>
      <c r="E14" s="405">
        <v>136481.35999999999</v>
      </c>
    </row>
    <row r="15" spans="1:71">
      <c r="A15" s="401" t="s">
        <v>697</v>
      </c>
      <c r="B15" s="405">
        <v>0</v>
      </c>
      <c r="C15" s="405">
        <v>4581.3100000000004</v>
      </c>
      <c r="D15" s="405">
        <v>-4581.3100000000004</v>
      </c>
      <c r="E15" s="405">
        <v>131900.04999999999</v>
      </c>
    </row>
    <row r="16" spans="1:71">
      <c r="A16" s="401" t="s">
        <v>698</v>
      </c>
      <c r="B16" s="405">
        <v>0</v>
      </c>
      <c r="C16" s="405">
        <v>4581.3100000000004</v>
      </c>
      <c r="D16" s="405">
        <v>-4581.3100000000004</v>
      </c>
      <c r="E16" s="405">
        <v>127318.74</v>
      </c>
    </row>
    <row r="17" spans="1:5">
      <c r="A17" s="401" t="s">
        <v>699</v>
      </c>
      <c r="B17" s="405">
        <v>0</v>
      </c>
      <c r="C17" s="405">
        <v>4581.3100000000004</v>
      </c>
      <c r="D17" s="405">
        <v>-4581.3100000000004</v>
      </c>
      <c r="E17" s="405">
        <v>122737.43</v>
      </c>
    </row>
    <row r="18" spans="1:5">
      <c r="A18" s="401" t="s">
        <v>700</v>
      </c>
      <c r="B18" s="405">
        <v>0</v>
      </c>
      <c r="C18" s="405">
        <v>0</v>
      </c>
      <c r="D18" s="405">
        <v>0</v>
      </c>
      <c r="E18" s="405">
        <v>122737.43</v>
      </c>
    </row>
    <row r="19" spans="1:5">
      <c r="A19" s="401" t="s">
        <v>701</v>
      </c>
      <c r="B19" s="405">
        <v>0</v>
      </c>
      <c r="C19" s="405">
        <v>0</v>
      </c>
      <c r="D19" s="405">
        <v>0</v>
      </c>
      <c r="E19" s="405">
        <v>122737.43</v>
      </c>
    </row>
    <row r="20" spans="1:5">
      <c r="A20" s="401" t="s">
        <v>702</v>
      </c>
      <c r="B20" s="405">
        <v>0</v>
      </c>
      <c r="C20" s="405">
        <v>0</v>
      </c>
      <c r="D20" s="405">
        <v>0</v>
      </c>
      <c r="E20" s="405">
        <v>122737.43</v>
      </c>
    </row>
    <row r="21" spans="1:5">
      <c r="A21" s="401" t="s">
        <v>703</v>
      </c>
      <c r="B21" s="405">
        <v>0</v>
      </c>
      <c r="C21" s="405">
        <v>0</v>
      </c>
      <c r="D21" s="405">
        <v>0</v>
      </c>
      <c r="E21" s="405">
        <v>122737.43</v>
      </c>
    </row>
    <row r="22" spans="1:5">
      <c r="A22" s="401" t="s">
        <v>279</v>
      </c>
      <c r="B22" s="405">
        <v>164927.20000000001</v>
      </c>
      <c r="C22" s="405">
        <v>42189.77</v>
      </c>
      <c r="D22" s="405">
        <v>122737.43</v>
      </c>
      <c r="E22" s="405">
        <v>122737.43</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BS22"/>
  <sheetViews>
    <sheetView workbookViewId="0">
      <selection activeCell="B22" sqref="B22"/>
    </sheetView>
  </sheetViews>
  <sheetFormatPr defaultColWidth="13.33203125" defaultRowHeight="12.75"/>
  <cols>
    <col min="1" max="1" width="22" style="424" bestFit="1" customWidth="1"/>
    <col min="2" max="3" width="13.1640625" style="424" bestFit="1" customWidth="1"/>
    <col min="4" max="4" width="13.83203125" style="424" bestFit="1" customWidth="1"/>
    <col min="5" max="5" width="20.33203125" style="424" bestFit="1" customWidth="1"/>
    <col min="6" max="256" width="13.33203125" style="424"/>
    <col min="257" max="257" width="22" style="424" bestFit="1" customWidth="1"/>
    <col min="258" max="259" width="13.1640625" style="424" bestFit="1" customWidth="1"/>
    <col min="260" max="260" width="13.83203125" style="424" bestFit="1" customWidth="1"/>
    <col min="261" max="261" width="20.33203125" style="424" bestFit="1" customWidth="1"/>
    <col min="262" max="512" width="13.33203125" style="424"/>
    <col min="513" max="513" width="22" style="424" bestFit="1" customWidth="1"/>
    <col min="514" max="515" width="13.1640625" style="424" bestFit="1" customWidth="1"/>
    <col min="516" max="516" width="13.83203125" style="424" bestFit="1" customWidth="1"/>
    <col min="517" max="517" width="20.33203125" style="424" bestFit="1" customWidth="1"/>
    <col min="518" max="768" width="13.33203125" style="424"/>
    <col min="769" max="769" width="22" style="424" bestFit="1" customWidth="1"/>
    <col min="770" max="771" width="13.1640625" style="424" bestFit="1" customWidth="1"/>
    <col min="772" max="772" width="13.83203125" style="424" bestFit="1" customWidth="1"/>
    <col min="773" max="773" width="20.33203125" style="424" bestFit="1" customWidth="1"/>
    <col min="774" max="1024" width="13.33203125" style="424"/>
    <col min="1025" max="1025" width="22" style="424" bestFit="1" customWidth="1"/>
    <col min="1026" max="1027" width="13.1640625" style="424" bestFit="1" customWidth="1"/>
    <col min="1028" max="1028" width="13.83203125" style="424" bestFit="1" customWidth="1"/>
    <col min="1029" max="1029" width="20.33203125" style="424" bestFit="1" customWidth="1"/>
    <col min="1030" max="1280" width="13.33203125" style="424"/>
    <col min="1281" max="1281" width="22" style="424" bestFit="1" customWidth="1"/>
    <col min="1282" max="1283" width="13.1640625" style="424" bestFit="1" customWidth="1"/>
    <col min="1284" max="1284" width="13.83203125" style="424" bestFit="1" customWidth="1"/>
    <col min="1285" max="1285" width="20.33203125" style="424" bestFit="1" customWidth="1"/>
    <col min="1286" max="1536" width="13.33203125" style="424"/>
    <col min="1537" max="1537" width="22" style="424" bestFit="1" customWidth="1"/>
    <col min="1538" max="1539" width="13.1640625" style="424" bestFit="1" customWidth="1"/>
    <col min="1540" max="1540" width="13.83203125" style="424" bestFit="1" customWidth="1"/>
    <col min="1541" max="1541" width="20.33203125" style="424" bestFit="1" customWidth="1"/>
    <col min="1542" max="1792" width="13.33203125" style="424"/>
    <col min="1793" max="1793" width="22" style="424" bestFit="1" customWidth="1"/>
    <col min="1794" max="1795" width="13.1640625" style="424" bestFit="1" customWidth="1"/>
    <col min="1796" max="1796" width="13.83203125" style="424" bestFit="1" customWidth="1"/>
    <col min="1797" max="1797" width="20.33203125" style="424" bestFit="1" customWidth="1"/>
    <col min="1798" max="2048" width="13.33203125" style="424"/>
    <col min="2049" max="2049" width="22" style="424" bestFit="1" customWidth="1"/>
    <col min="2050" max="2051" width="13.1640625" style="424" bestFit="1" customWidth="1"/>
    <col min="2052" max="2052" width="13.83203125" style="424" bestFit="1" customWidth="1"/>
    <col min="2053" max="2053" width="20.33203125" style="424" bestFit="1" customWidth="1"/>
    <col min="2054" max="2304" width="13.33203125" style="424"/>
    <col min="2305" max="2305" width="22" style="424" bestFit="1" customWidth="1"/>
    <col min="2306" max="2307" width="13.1640625" style="424" bestFit="1" customWidth="1"/>
    <col min="2308" max="2308" width="13.83203125" style="424" bestFit="1" customWidth="1"/>
    <col min="2309" max="2309" width="20.33203125" style="424" bestFit="1" customWidth="1"/>
    <col min="2310" max="2560" width="13.33203125" style="424"/>
    <col min="2561" max="2561" width="22" style="424" bestFit="1" customWidth="1"/>
    <col min="2562" max="2563" width="13.1640625" style="424" bestFit="1" customWidth="1"/>
    <col min="2564" max="2564" width="13.83203125" style="424" bestFit="1" customWidth="1"/>
    <col min="2565" max="2565" width="20.33203125" style="424" bestFit="1" customWidth="1"/>
    <col min="2566" max="2816" width="13.33203125" style="424"/>
    <col min="2817" max="2817" width="22" style="424" bestFit="1" customWidth="1"/>
    <col min="2818" max="2819" width="13.1640625" style="424" bestFit="1" customWidth="1"/>
    <col min="2820" max="2820" width="13.83203125" style="424" bestFit="1" customWidth="1"/>
    <col min="2821" max="2821" width="20.33203125" style="424" bestFit="1" customWidth="1"/>
    <col min="2822" max="3072" width="13.33203125" style="424"/>
    <col min="3073" max="3073" width="22" style="424" bestFit="1" customWidth="1"/>
    <col min="3074" max="3075" width="13.1640625" style="424" bestFit="1" customWidth="1"/>
    <col min="3076" max="3076" width="13.83203125" style="424" bestFit="1" customWidth="1"/>
    <col min="3077" max="3077" width="20.33203125" style="424" bestFit="1" customWidth="1"/>
    <col min="3078" max="3328" width="13.33203125" style="424"/>
    <col min="3329" max="3329" width="22" style="424" bestFit="1" customWidth="1"/>
    <col min="3330" max="3331" width="13.1640625" style="424" bestFit="1" customWidth="1"/>
    <col min="3332" max="3332" width="13.83203125" style="424" bestFit="1" customWidth="1"/>
    <col min="3333" max="3333" width="20.33203125" style="424" bestFit="1" customWidth="1"/>
    <col min="3334" max="3584" width="13.33203125" style="424"/>
    <col min="3585" max="3585" width="22" style="424" bestFit="1" customWidth="1"/>
    <col min="3586" max="3587" width="13.1640625" style="424" bestFit="1" customWidth="1"/>
    <col min="3588" max="3588" width="13.83203125" style="424" bestFit="1" customWidth="1"/>
    <col min="3589" max="3589" width="20.33203125" style="424" bestFit="1" customWidth="1"/>
    <col min="3590" max="3840" width="13.33203125" style="424"/>
    <col min="3841" max="3841" width="22" style="424" bestFit="1" customWidth="1"/>
    <col min="3842" max="3843" width="13.1640625" style="424" bestFit="1" customWidth="1"/>
    <col min="3844" max="3844" width="13.83203125" style="424" bestFit="1" customWidth="1"/>
    <col min="3845" max="3845" width="20.33203125" style="424" bestFit="1" customWidth="1"/>
    <col min="3846" max="4096" width="13.33203125" style="424"/>
    <col min="4097" max="4097" width="22" style="424" bestFit="1" customWidth="1"/>
    <col min="4098" max="4099" width="13.1640625" style="424" bestFit="1" customWidth="1"/>
    <col min="4100" max="4100" width="13.83203125" style="424" bestFit="1" customWidth="1"/>
    <col min="4101" max="4101" width="20.33203125" style="424" bestFit="1" customWidth="1"/>
    <col min="4102" max="4352" width="13.33203125" style="424"/>
    <col min="4353" max="4353" width="22" style="424" bestFit="1" customWidth="1"/>
    <col min="4354" max="4355" width="13.1640625" style="424" bestFit="1" customWidth="1"/>
    <col min="4356" max="4356" width="13.83203125" style="424" bestFit="1" customWidth="1"/>
    <col min="4357" max="4357" width="20.33203125" style="424" bestFit="1" customWidth="1"/>
    <col min="4358" max="4608" width="13.33203125" style="424"/>
    <col min="4609" max="4609" width="22" style="424" bestFit="1" customWidth="1"/>
    <col min="4610" max="4611" width="13.1640625" style="424" bestFit="1" customWidth="1"/>
    <col min="4612" max="4612" width="13.83203125" style="424" bestFit="1" customWidth="1"/>
    <col min="4613" max="4613" width="20.33203125" style="424" bestFit="1" customWidth="1"/>
    <col min="4614" max="4864" width="13.33203125" style="424"/>
    <col min="4865" max="4865" width="22" style="424" bestFit="1" customWidth="1"/>
    <col min="4866" max="4867" width="13.1640625" style="424" bestFit="1" customWidth="1"/>
    <col min="4868" max="4868" width="13.83203125" style="424" bestFit="1" customWidth="1"/>
    <col min="4869" max="4869" width="20.33203125" style="424" bestFit="1" customWidth="1"/>
    <col min="4870" max="5120" width="13.33203125" style="424"/>
    <col min="5121" max="5121" width="22" style="424" bestFit="1" customWidth="1"/>
    <col min="5122" max="5123" width="13.1640625" style="424" bestFit="1" customWidth="1"/>
    <col min="5124" max="5124" width="13.83203125" style="424" bestFit="1" customWidth="1"/>
    <col min="5125" max="5125" width="20.33203125" style="424" bestFit="1" customWidth="1"/>
    <col min="5126" max="5376" width="13.33203125" style="424"/>
    <col min="5377" max="5377" width="22" style="424" bestFit="1" customWidth="1"/>
    <col min="5378" max="5379" width="13.1640625" style="424" bestFit="1" customWidth="1"/>
    <col min="5380" max="5380" width="13.83203125" style="424" bestFit="1" customWidth="1"/>
    <col min="5381" max="5381" width="20.33203125" style="424" bestFit="1" customWidth="1"/>
    <col min="5382" max="5632" width="13.33203125" style="424"/>
    <col min="5633" max="5633" width="22" style="424" bestFit="1" customWidth="1"/>
    <col min="5634" max="5635" width="13.1640625" style="424" bestFit="1" customWidth="1"/>
    <col min="5636" max="5636" width="13.83203125" style="424" bestFit="1" customWidth="1"/>
    <col min="5637" max="5637" width="20.33203125" style="424" bestFit="1" customWidth="1"/>
    <col min="5638" max="5888" width="13.33203125" style="424"/>
    <col min="5889" max="5889" width="22" style="424" bestFit="1" customWidth="1"/>
    <col min="5890" max="5891" width="13.1640625" style="424" bestFit="1" customWidth="1"/>
    <col min="5892" max="5892" width="13.83203125" style="424" bestFit="1" customWidth="1"/>
    <col min="5893" max="5893" width="20.33203125" style="424" bestFit="1" customWidth="1"/>
    <col min="5894" max="6144" width="13.33203125" style="424"/>
    <col min="6145" max="6145" width="22" style="424" bestFit="1" customWidth="1"/>
    <col min="6146" max="6147" width="13.1640625" style="424" bestFit="1" customWidth="1"/>
    <col min="6148" max="6148" width="13.83203125" style="424" bestFit="1" customWidth="1"/>
    <col min="6149" max="6149" width="20.33203125" style="424" bestFit="1" customWidth="1"/>
    <col min="6150" max="6400" width="13.33203125" style="424"/>
    <col min="6401" max="6401" width="22" style="424" bestFit="1" customWidth="1"/>
    <col min="6402" max="6403" width="13.1640625" style="424" bestFit="1" customWidth="1"/>
    <col min="6404" max="6404" width="13.83203125" style="424" bestFit="1" customWidth="1"/>
    <col min="6405" max="6405" width="20.33203125" style="424" bestFit="1" customWidth="1"/>
    <col min="6406" max="6656" width="13.33203125" style="424"/>
    <col min="6657" max="6657" width="22" style="424" bestFit="1" customWidth="1"/>
    <col min="6658" max="6659" width="13.1640625" style="424" bestFit="1" customWidth="1"/>
    <col min="6660" max="6660" width="13.83203125" style="424" bestFit="1" customWidth="1"/>
    <col min="6661" max="6661" width="20.33203125" style="424" bestFit="1" customWidth="1"/>
    <col min="6662" max="6912" width="13.33203125" style="424"/>
    <col min="6913" max="6913" width="22" style="424" bestFit="1" customWidth="1"/>
    <col min="6914" max="6915" width="13.1640625" style="424" bestFit="1" customWidth="1"/>
    <col min="6916" max="6916" width="13.83203125" style="424" bestFit="1" customWidth="1"/>
    <col min="6917" max="6917" width="20.33203125" style="424" bestFit="1" customWidth="1"/>
    <col min="6918" max="7168" width="13.33203125" style="424"/>
    <col min="7169" max="7169" width="22" style="424" bestFit="1" customWidth="1"/>
    <col min="7170" max="7171" width="13.1640625" style="424" bestFit="1" customWidth="1"/>
    <col min="7172" max="7172" width="13.83203125" style="424" bestFit="1" customWidth="1"/>
    <col min="7173" max="7173" width="20.33203125" style="424" bestFit="1" customWidth="1"/>
    <col min="7174" max="7424" width="13.33203125" style="424"/>
    <col min="7425" max="7425" width="22" style="424" bestFit="1" customWidth="1"/>
    <col min="7426" max="7427" width="13.1640625" style="424" bestFit="1" customWidth="1"/>
    <col min="7428" max="7428" width="13.83203125" style="424" bestFit="1" customWidth="1"/>
    <col min="7429" max="7429" width="20.33203125" style="424" bestFit="1" customWidth="1"/>
    <col min="7430" max="7680" width="13.33203125" style="424"/>
    <col min="7681" max="7681" width="22" style="424" bestFit="1" customWidth="1"/>
    <col min="7682" max="7683" width="13.1640625" style="424" bestFit="1" customWidth="1"/>
    <col min="7684" max="7684" width="13.83203125" style="424" bestFit="1" customWidth="1"/>
    <col min="7685" max="7685" width="20.33203125" style="424" bestFit="1" customWidth="1"/>
    <col min="7686" max="7936" width="13.33203125" style="424"/>
    <col min="7937" max="7937" width="22" style="424" bestFit="1" customWidth="1"/>
    <col min="7938" max="7939" width="13.1640625" style="424" bestFit="1" customWidth="1"/>
    <col min="7940" max="7940" width="13.83203125" style="424" bestFit="1" customWidth="1"/>
    <col min="7941" max="7941" width="20.33203125" style="424" bestFit="1" customWidth="1"/>
    <col min="7942" max="8192" width="13.33203125" style="424"/>
    <col min="8193" max="8193" width="22" style="424" bestFit="1" customWidth="1"/>
    <col min="8194" max="8195" width="13.1640625" style="424" bestFit="1" customWidth="1"/>
    <col min="8196" max="8196" width="13.83203125" style="424" bestFit="1" customWidth="1"/>
    <col min="8197" max="8197" width="20.33203125" style="424" bestFit="1" customWidth="1"/>
    <col min="8198" max="8448" width="13.33203125" style="424"/>
    <col min="8449" max="8449" width="22" style="424" bestFit="1" customWidth="1"/>
    <col min="8450" max="8451" width="13.1640625" style="424" bestFit="1" customWidth="1"/>
    <col min="8452" max="8452" width="13.83203125" style="424" bestFit="1" customWidth="1"/>
    <col min="8453" max="8453" width="20.33203125" style="424" bestFit="1" customWidth="1"/>
    <col min="8454" max="8704" width="13.33203125" style="424"/>
    <col min="8705" max="8705" width="22" style="424" bestFit="1" customWidth="1"/>
    <col min="8706" max="8707" width="13.1640625" style="424" bestFit="1" customWidth="1"/>
    <col min="8708" max="8708" width="13.83203125" style="424" bestFit="1" customWidth="1"/>
    <col min="8709" max="8709" width="20.33203125" style="424" bestFit="1" customWidth="1"/>
    <col min="8710" max="8960" width="13.33203125" style="424"/>
    <col min="8961" max="8961" width="22" style="424" bestFit="1" customWidth="1"/>
    <col min="8962" max="8963" width="13.1640625" style="424" bestFit="1" customWidth="1"/>
    <col min="8964" max="8964" width="13.83203125" style="424" bestFit="1" customWidth="1"/>
    <col min="8965" max="8965" width="20.33203125" style="424" bestFit="1" customWidth="1"/>
    <col min="8966" max="9216" width="13.33203125" style="424"/>
    <col min="9217" max="9217" width="22" style="424" bestFit="1" customWidth="1"/>
    <col min="9218" max="9219" width="13.1640625" style="424" bestFit="1" customWidth="1"/>
    <col min="9220" max="9220" width="13.83203125" style="424" bestFit="1" customWidth="1"/>
    <col min="9221" max="9221" width="20.33203125" style="424" bestFit="1" customWidth="1"/>
    <col min="9222" max="9472" width="13.33203125" style="424"/>
    <col min="9473" max="9473" width="22" style="424" bestFit="1" customWidth="1"/>
    <col min="9474" max="9475" width="13.1640625" style="424" bestFit="1" customWidth="1"/>
    <col min="9476" max="9476" width="13.83203125" style="424" bestFit="1" customWidth="1"/>
    <col min="9477" max="9477" width="20.33203125" style="424" bestFit="1" customWidth="1"/>
    <col min="9478" max="9728" width="13.33203125" style="424"/>
    <col min="9729" max="9729" width="22" style="424" bestFit="1" customWidth="1"/>
    <col min="9730" max="9731" width="13.1640625" style="424" bestFit="1" customWidth="1"/>
    <col min="9732" max="9732" width="13.83203125" style="424" bestFit="1" customWidth="1"/>
    <col min="9733" max="9733" width="20.33203125" style="424" bestFit="1" customWidth="1"/>
    <col min="9734" max="9984" width="13.33203125" style="424"/>
    <col min="9985" max="9985" width="22" style="424" bestFit="1" customWidth="1"/>
    <col min="9986" max="9987" width="13.1640625" style="424" bestFit="1" customWidth="1"/>
    <col min="9988" max="9988" width="13.83203125" style="424" bestFit="1" customWidth="1"/>
    <col min="9989" max="9989" width="20.33203125" style="424" bestFit="1" customWidth="1"/>
    <col min="9990" max="10240" width="13.33203125" style="424"/>
    <col min="10241" max="10241" width="22" style="424" bestFit="1" customWidth="1"/>
    <col min="10242" max="10243" width="13.1640625" style="424" bestFit="1" customWidth="1"/>
    <col min="10244" max="10244" width="13.83203125" style="424" bestFit="1" customWidth="1"/>
    <col min="10245" max="10245" width="20.33203125" style="424" bestFit="1" customWidth="1"/>
    <col min="10246" max="10496" width="13.33203125" style="424"/>
    <col min="10497" max="10497" width="22" style="424" bestFit="1" customWidth="1"/>
    <col min="10498" max="10499" width="13.1640625" style="424" bestFit="1" customWidth="1"/>
    <col min="10500" max="10500" width="13.83203125" style="424" bestFit="1" customWidth="1"/>
    <col min="10501" max="10501" width="20.33203125" style="424" bestFit="1" customWidth="1"/>
    <col min="10502" max="10752" width="13.33203125" style="424"/>
    <col min="10753" max="10753" width="22" style="424" bestFit="1" customWidth="1"/>
    <col min="10754" max="10755" width="13.1640625" style="424" bestFit="1" customWidth="1"/>
    <col min="10756" max="10756" width="13.83203125" style="424" bestFit="1" customWidth="1"/>
    <col min="10757" max="10757" width="20.33203125" style="424" bestFit="1" customWidth="1"/>
    <col min="10758" max="11008" width="13.33203125" style="424"/>
    <col min="11009" max="11009" width="22" style="424" bestFit="1" customWidth="1"/>
    <col min="11010" max="11011" width="13.1640625" style="424" bestFit="1" customWidth="1"/>
    <col min="11012" max="11012" width="13.83203125" style="424" bestFit="1" customWidth="1"/>
    <col min="11013" max="11013" width="20.33203125" style="424" bestFit="1" customWidth="1"/>
    <col min="11014" max="11264" width="13.33203125" style="424"/>
    <col min="11265" max="11265" width="22" style="424" bestFit="1" customWidth="1"/>
    <col min="11266" max="11267" width="13.1640625" style="424" bestFit="1" customWidth="1"/>
    <col min="11268" max="11268" width="13.83203125" style="424" bestFit="1" customWidth="1"/>
    <col min="11269" max="11269" width="20.33203125" style="424" bestFit="1" customWidth="1"/>
    <col min="11270" max="11520" width="13.33203125" style="424"/>
    <col min="11521" max="11521" width="22" style="424" bestFit="1" customWidth="1"/>
    <col min="11522" max="11523" width="13.1640625" style="424" bestFit="1" customWidth="1"/>
    <col min="11524" max="11524" width="13.83203125" style="424" bestFit="1" customWidth="1"/>
    <col min="11525" max="11525" width="20.33203125" style="424" bestFit="1" customWidth="1"/>
    <col min="11526" max="11776" width="13.33203125" style="424"/>
    <col min="11777" max="11777" width="22" style="424" bestFit="1" customWidth="1"/>
    <col min="11778" max="11779" width="13.1640625" style="424" bestFit="1" customWidth="1"/>
    <col min="11780" max="11780" width="13.83203125" style="424" bestFit="1" customWidth="1"/>
    <col min="11781" max="11781" width="20.33203125" style="424" bestFit="1" customWidth="1"/>
    <col min="11782" max="12032" width="13.33203125" style="424"/>
    <col min="12033" max="12033" width="22" style="424" bestFit="1" customWidth="1"/>
    <col min="12034" max="12035" width="13.1640625" style="424" bestFit="1" customWidth="1"/>
    <col min="12036" max="12036" width="13.83203125" style="424" bestFit="1" customWidth="1"/>
    <col min="12037" max="12037" width="20.33203125" style="424" bestFit="1" customWidth="1"/>
    <col min="12038" max="12288" width="13.33203125" style="424"/>
    <col min="12289" max="12289" width="22" style="424" bestFit="1" customWidth="1"/>
    <col min="12290" max="12291" width="13.1640625" style="424" bestFit="1" customWidth="1"/>
    <col min="12292" max="12292" width="13.83203125" style="424" bestFit="1" customWidth="1"/>
    <col min="12293" max="12293" width="20.33203125" style="424" bestFit="1" customWidth="1"/>
    <col min="12294" max="12544" width="13.33203125" style="424"/>
    <col min="12545" max="12545" width="22" style="424" bestFit="1" customWidth="1"/>
    <col min="12546" max="12547" width="13.1640625" style="424" bestFit="1" customWidth="1"/>
    <col min="12548" max="12548" width="13.83203125" style="424" bestFit="1" customWidth="1"/>
    <col min="12549" max="12549" width="20.33203125" style="424" bestFit="1" customWidth="1"/>
    <col min="12550" max="12800" width="13.33203125" style="424"/>
    <col min="12801" max="12801" width="22" style="424" bestFit="1" customWidth="1"/>
    <col min="12802" max="12803" width="13.1640625" style="424" bestFit="1" customWidth="1"/>
    <col min="12804" max="12804" width="13.83203125" style="424" bestFit="1" customWidth="1"/>
    <col min="12805" max="12805" width="20.33203125" style="424" bestFit="1" customWidth="1"/>
    <col min="12806" max="13056" width="13.33203125" style="424"/>
    <col min="13057" max="13057" width="22" style="424" bestFit="1" customWidth="1"/>
    <col min="13058" max="13059" width="13.1640625" style="424" bestFit="1" customWidth="1"/>
    <col min="13060" max="13060" width="13.83203125" style="424" bestFit="1" customWidth="1"/>
    <col min="13061" max="13061" width="20.33203125" style="424" bestFit="1" customWidth="1"/>
    <col min="13062" max="13312" width="13.33203125" style="424"/>
    <col min="13313" max="13313" width="22" style="424" bestFit="1" customWidth="1"/>
    <col min="13314" max="13315" width="13.1640625" style="424" bestFit="1" customWidth="1"/>
    <col min="13316" max="13316" width="13.83203125" style="424" bestFit="1" customWidth="1"/>
    <col min="13317" max="13317" width="20.33203125" style="424" bestFit="1" customWidth="1"/>
    <col min="13318" max="13568" width="13.33203125" style="424"/>
    <col min="13569" max="13569" width="22" style="424" bestFit="1" customWidth="1"/>
    <col min="13570" max="13571" width="13.1640625" style="424" bestFit="1" customWidth="1"/>
    <col min="13572" max="13572" width="13.83203125" style="424" bestFit="1" customWidth="1"/>
    <col min="13573" max="13573" width="20.33203125" style="424" bestFit="1" customWidth="1"/>
    <col min="13574" max="13824" width="13.33203125" style="424"/>
    <col min="13825" max="13825" width="22" style="424" bestFit="1" customWidth="1"/>
    <col min="13826" max="13827" width="13.1640625" style="424" bestFit="1" customWidth="1"/>
    <col min="13828" max="13828" width="13.83203125" style="424" bestFit="1" customWidth="1"/>
    <col min="13829" max="13829" width="20.33203125" style="424" bestFit="1" customWidth="1"/>
    <col min="13830" max="14080" width="13.33203125" style="424"/>
    <col min="14081" max="14081" width="22" style="424" bestFit="1" customWidth="1"/>
    <col min="14082" max="14083" width="13.1640625" style="424" bestFit="1" customWidth="1"/>
    <col min="14084" max="14084" width="13.83203125" style="424" bestFit="1" customWidth="1"/>
    <col min="14085" max="14085" width="20.33203125" style="424" bestFit="1" customWidth="1"/>
    <col min="14086" max="14336" width="13.33203125" style="424"/>
    <col min="14337" max="14337" width="22" style="424" bestFit="1" customWidth="1"/>
    <col min="14338" max="14339" width="13.1640625" style="424" bestFit="1" customWidth="1"/>
    <col min="14340" max="14340" width="13.83203125" style="424" bestFit="1" customWidth="1"/>
    <col min="14341" max="14341" width="20.33203125" style="424" bestFit="1" customWidth="1"/>
    <col min="14342" max="14592" width="13.33203125" style="424"/>
    <col min="14593" max="14593" width="22" style="424" bestFit="1" customWidth="1"/>
    <col min="14594" max="14595" width="13.1640625" style="424" bestFit="1" customWidth="1"/>
    <col min="14596" max="14596" width="13.83203125" style="424" bestFit="1" customWidth="1"/>
    <col min="14597" max="14597" width="20.33203125" style="424" bestFit="1" customWidth="1"/>
    <col min="14598" max="14848" width="13.33203125" style="424"/>
    <col min="14849" max="14849" width="22" style="424" bestFit="1" customWidth="1"/>
    <col min="14850" max="14851" width="13.1640625" style="424" bestFit="1" customWidth="1"/>
    <col min="14852" max="14852" width="13.83203125" style="424" bestFit="1" customWidth="1"/>
    <col min="14853" max="14853" width="20.33203125" style="424" bestFit="1" customWidth="1"/>
    <col min="14854" max="15104" width="13.33203125" style="424"/>
    <col min="15105" max="15105" width="22" style="424" bestFit="1" customWidth="1"/>
    <col min="15106" max="15107" width="13.1640625" style="424" bestFit="1" customWidth="1"/>
    <col min="15108" max="15108" width="13.83203125" style="424" bestFit="1" customWidth="1"/>
    <col min="15109" max="15109" width="20.33203125" style="424" bestFit="1" customWidth="1"/>
    <col min="15110" max="15360" width="13.33203125" style="424"/>
    <col min="15361" max="15361" width="22" style="424" bestFit="1" customWidth="1"/>
    <col min="15362" max="15363" width="13.1640625" style="424" bestFit="1" customWidth="1"/>
    <col min="15364" max="15364" width="13.83203125" style="424" bestFit="1" customWidth="1"/>
    <col min="15365" max="15365" width="20.33203125" style="424" bestFit="1" customWidth="1"/>
    <col min="15366" max="15616" width="13.33203125" style="424"/>
    <col min="15617" max="15617" width="22" style="424" bestFit="1" customWidth="1"/>
    <col min="15618" max="15619" width="13.1640625" style="424" bestFit="1" customWidth="1"/>
    <col min="15620" max="15620" width="13.83203125" style="424" bestFit="1" customWidth="1"/>
    <col min="15621" max="15621" width="20.33203125" style="424" bestFit="1" customWidth="1"/>
    <col min="15622" max="15872" width="13.33203125" style="424"/>
    <col min="15873" max="15873" width="22" style="424" bestFit="1" customWidth="1"/>
    <col min="15874" max="15875" width="13.1640625" style="424" bestFit="1" customWidth="1"/>
    <col min="15876" max="15876" width="13.83203125" style="424" bestFit="1" customWidth="1"/>
    <col min="15877" max="15877" width="20.33203125" style="424" bestFit="1" customWidth="1"/>
    <col min="15878" max="16128" width="13.33203125" style="424"/>
    <col min="16129" max="16129" width="22" style="424" bestFit="1" customWidth="1"/>
    <col min="16130" max="16131" width="13.1640625" style="424" bestFit="1" customWidth="1"/>
    <col min="16132" max="16132" width="13.83203125" style="424" bestFit="1" customWidth="1"/>
    <col min="16133" max="16133" width="20.33203125" style="424" bestFit="1" customWidth="1"/>
    <col min="16134" max="16384" width="13.33203125" style="424"/>
  </cols>
  <sheetData>
    <row r="1" spans="1:71">
      <c r="A1" s="400" t="s">
        <v>680</v>
      </c>
    </row>
    <row r="2" spans="1:71">
      <c r="A2" s="400" t="s">
        <v>704</v>
      </c>
      <c r="G2" s="424" t="s">
        <v>980</v>
      </c>
    </row>
    <row r="3" spans="1:71">
      <c r="A3" s="423" t="s">
        <v>682</v>
      </c>
    </row>
    <row r="4" spans="1:71">
      <c r="A4" s="425" t="s">
        <v>683</v>
      </c>
      <c r="B4" s="425" t="s">
        <v>684</v>
      </c>
      <c r="C4" s="425" t="s">
        <v>685</v>
      </c>
      <c r="D4" s="425" t="s">
        <v>686</v>
      </c>
      <c r="E4" s="425" t="s">
        <v>687</v>
      </c>
    </row>
    <row r="5" spans="1:71">
      <c r="A5" s="426" t="s">
        <v>688</v>
      </c>
      <c r="B5" s="427">
        <v>0</v>
      </c>
      <c r="C5" s="427">
        <v>0</v>
      </c>
      <c r="D5" s="427">
        <v>0</v>
      </c>
      <c r="E5" s="427">
        <v>0</v>
      </c>
    </row>
    <row r="6" spans="1:71">
      <c r="A6" s="426" t="s">
        <v>57</v>
      </c>
      <c r="B6" s="427">
        <v>0</v>
      </c>
      <c r="C6" s="427">
        <v>0</v>
      </c>
      <c r="D6" s="427">
        <v>0</v>
      </c>
      <c r="E6" s="427">
        <v>0</v>
      </c>
    </row>
    <row r="7" spans="1:71">
      <c r="A7" s="426" t="s">
        <v>689</v>
      </c>
      <c r="B7" s="427">
        <v>0</v>
      </c>
      <c r="C7" s="427">
        <v>0</v>
      </c>
      <c r="D7" s="427">
        <v>0</v>
      </c>
      <c r="E7" s="427">
        <v>0</v>
      </c>
    </row>
    <row r="8" spans="1:71">
      <c r="A8" s="426" t="s">
        <v>690</v>
      </c>
      <c r="B8" s="427">
        <v>0</v>
      </c>
      <c r="C8" s="427">
        <v>0</v>
      </c>
      <c r="D8" s="427">
        <v>0</v>
      </c>
      <c r="E8" s="427">
        <v>0</v>
      </c>
      <c r="BS8" s="424" t="s">
        <v>978</v>
      </c>
    </row>
    <row r="9" spans="1:71">
      <c r="A9" s="426" t="s">
        <v>691</v>
      </c>
      <c r="B9" s="427">
        <v>20783.96</v>
      </c>
      <c r="C9" s="427">
        <v>618993.97</v>
      </c>
      <c r="D9" s="427">
        <v>-598210.01</v>
      </c>
      <c r="E9" s="427">
        <v>-598210.01</v>
      </c>
    </row>
    <row r="10" spans="1:71">
      <c r="A10" s="426" t="s">
        <v>692</v>
      </c>
      <c r="B10" s="427">
        <v>17194.28</v>
      </c>
      <c r="C10" s="427">
        <v>0</v>
      </c>
      <c r="D10" s="427">
        <v>17194.28</v>
      </c>
      <c r="E10" s="427">
        <v>-581015.73</v>
      </c>
    </row>
    <row r="11" spans="1:71">
      <c r="A11" s="426" t="s">
        <v>693</v>
      </c>
      <c r="B11" s="427">
        <v>17194.28</v>
      </c>
      <c r="C11" s="427">
        <v>0</v>
      </c>
      <c r="D11" s="427">
        <v>17194.28</v>
      </c>
      <c r="E11" s="427">
        <v>-563821.44999999995</v>
      </c>
    </row>
    <row r="12" spans="1:71">
      <c r="A12" s="426" t="s">
        <v>694</v>
      </c>
      <c r="B12" s="427">
        <v>17194.28</v>
      </c>
      <c r="C12" s="427">
        <v>0</v>
      </c>
      <c r="D12" s="427">
        <v>17194.28</v>
      </c>
      <c r="E12" s="427">
        <v>-546627.17000000004</v>
      </c>
    </row>
    <row r="13" spans="1:71">
      <c r="A13" s="426" t="s">
        <v>695</v>
      </c>
      <c r="B13" s="427">
        <v>17194.28</v>
      </c>
      <c r="C13" s="427">
        <v>0</v>
      </c>
      <c r="D13" s="427">
        <v>17194.28</v>
      </c>
      <c r="E13" s="427">
        <v>-529432.89</v>
      </c>
    </row>
    <row r="14" spans="1:71">
      <c r="A14" s="426" t="s">
        <v>696</v>
      </c>
      <c r="B14" s="427">
        <v>17194.28</v>
      </c>
      <c r="C14" s="427">
        <v>0</v>
      </c>
      <c r="D14" s="427">
        <v>17194.28</v>
      </c>
      <c r="E14" s="427">
        <v>-512238.61</v>
      </c>
    </row>
    <row r="15" spans="1:71">
      <c r="A15" s="426" t="s">
        <v>697</v>
      </c>
      <c r="B15" s="427">
        <v>17194.28</v>
      </c>
      <c r="C15" s="427">
        <v>0</v>
      </c>
      <c r="D15" s="427">
        <v>17194.28</v>
      </c>
      <c r="E15" s="427">
        <v>-495044.33</v>
      </c>
    </row>
    <row r="16" spans="1:71">
      <c r="A16" s="426" t="s">
        <v>698</v>
      </c>
      <c r="B16" s="427">
        <v>17194.28</v>
      </c>
      <c r="C16" s="427">
        <v>0</v>
      </c>
      <c r="D16" s="427">
        <v>17194.28</v>
      </c>
      <c r="E16" s="427">
        <v>-477850.05</v>
      </c>
    </row>
    <row r="17" spans="1:5">
      <c r="A17" s="426" t="s">
        <v>699</v>
      </c>
      <c r="B17" s="427">
        <v>17194.28</v>
      </c>
      <c r="C17" s="427">
        <v>0</v>
      </c>
      <c r="D17" s="427">
        <v>17194.28</v>
      </c>
      <c r="E17" s="427">
        <v>-460655.77</v>
      </c>
    </row>
    <row r="18" spans="1:5">
      <c r="A18" s="426" t="s">
        <v>700</v>
      </c>
      <c r="B18" s="427">
        <v>0</v>
      </c>
      <c r="C18" s="427">
        <v>0</v>
      </c>
      <c r="D18" s="427">
        <v>0</v>
      </c>
      <c r="E18" s="427">
        <v>-460655.77</v>
      </c>
    </row>
    <row r="19" spans="1:5">
      <c r="A19" s="426" t="s">
        <v>701</v>
      </c>
      <c r="B19" s="427">
        <v>0</v>
      </c>
      <c r="C19" s="427">
        <v>0</v>
      </c>
      <c r="D19" s="427">
        <v>0</v>
      </c>
      <c r="E19" s="427">
        <v>-460655.77</v>
      </c>
    </row>
    <row r="20" spans="1:5">
      <c r="A20" s="426" t="s">
        <v>702</v>
      </c>
      <c r="B20" s="427">
        <v>0</v>
      </c>
      <c r="C20" s="427">
        <v>0</v>
      </c>
      <c r="D20" s="427">
        <v>0</v>
      </c>
      <c r="E20" s="427">
        <v>-460655.77</v>
      </c>
    </row>
    <row r="21" spans="1:5">
      <c r="A21" s="426" t="s">
        <v>703</v>
      </c>
      <c r="B21" s="427">
        <v>0</v>
      </c>
      <c r="C21" s="427">
        <v>0</v>
      </c>
      <c r="D21" s="427">
        <v>0</v>
      </c>
      <c r="E21" s="427">
        <v>-460655.77</v>
      </c>
    </row>
    <row r="22" spans="1:5">
      <c r="A22" s="426" t="s">
        <v>279</v>
      </c>
      <c r="B22" s="427">
        <v>158338.20000000001</v>
      </c>
      <c r="C22" s="427">
        <v>618993.97</v>
      </c>
      <c r="D22" s="427">
        <v>-460655.77</v>
      </c>
      <c r="E22" s="427">
        <v>-460655.77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autoPageBreaks="0" fitToPage="1"/>
  </sheetPr>
  <dimension ref="A1:O65"/>
  <sheetViews>
    <sheetView zoomScale="90" zoomScaleNormal="90" workbookViewId="0">
      <pane xSplit="1" ySplit="11" topLeftCell="B12" activePane="bottomRight" state="frozen"/>
      <selection activeCell="A2" sqref="A2"/>
      <selection pane="topRight" activeCell="A2" sqref="A2"/>
      <selection pane="bottomLeft" activeCell="A2" sqref="A2"/>
      <selection pane="bottomRight" activeCell="G43" sqref="G43"/>
    </sheetView>
  </sheetViews>
  <sheetFormatPr defaultRowHeight="15.75"/>
  <cols>
    <col min="1" max="1" width="7.5" style="2231" bestFit="1" customWidth="1"/>
    <col min="2" max="2" width="67.1640625" style="2231" bestFit="1" customWidth="1"/>
    <col min="3" max="3" width="15" style="2231" bestFit="1" customWidth="1"/>
    <col min="4" max="4" width="15.33203125" style="2231" bestFit="1" customWidth="1"/>
    <col min="5" max="5" width="20.1640625" style="2278" customWidth="1"/>
    <col min="6" max="6" width="7.5" style="2231" bestFit="1" customWidth="1"/>
    <col min="7" max="7" width="64.6640625" style="2231" customWidth="1"/>
    <col min="8" max="8" width="15" style="2231" bestFit="1" customWidth="1"/>
    <col min="9" max="9" width="15.33203125" style="2231" bestFit="1" customWidth="1"/>
    <col min="10" max="10" width="20.83203125" style="2278" customWidth="1"/>
    <col min="11" max="11" width="7.5" style="2231" bestFit="1" customWidth="1"/>
    <col min="12" max="12" width="79.33203125" style="2231" bestFit="1" customWidth="1"/>
    <col min="13" max="13" width="15" style="2231" bestFit="1" customWidth="1"/>
    <col min="14" max="14" width="15.33203125" style="2231" bestFit="1" customWidth="1"/>
    <col min="15" max="15" width="19.1640625" style="2278" customWidth="1"/>
    <col min="16" max="16384" width="9.33203125" style="2231"/>
  </cols>
  <sheetData>
    <row r="1" spans="1:15" s="2227" customFormat="1" hidden="1">
      <c r="E1" s="2640">
        <f>'Exhibit No._(CTM-2), Pg. 2-6'!AN1+1</f>
        <v>7</v>
      </c>
      <c r="J1" s="2227">
        <f>E1+1</f>
        <v>8</v>
      </c>
      <c r="O1" s="2227">
        <f>J1+1</f>
        <v>9</v>
      </c>
    </row>
    <row r="2" spans="1:15">
      <c r="E2" s="2222" t="s">
        <v>3014</v>
      </c>
      <c r="J2" s="2222" t="s">
        <v>3014</v>
      </c>
      <c r="O2" s="2222" t="s">
        <v>3014</v>
      </c>
    </row>
    <row r="3" spans="1:15" ht="16.5" thickBot="1">
      <c r="A3" s="2228"/>
      <c r="E3" s="2223" t="str">
        <f>'Exhibit No._(CTM-2), Pg. 2-6'!$L3</f>
        <v>Dockets UE-111048/UG-111049</v>
      </c>
      <c r="F3" s="2228"/>
      <c r="J3" s="2223" t="str">
        <f>'Exhibit No._(CTM-2), Pg. 2-6'!$L3</f>
        <v>Dockets UE-111048/UG-111049</v>
      </c>
      <c r="K3" s="2228"/>
      <c r="O3" s="2223" t="str">
        <f>'Exhibit No._(CTM-2), Pg. 2-6'!$L3</f>
        <v>Dockets UE-111048/UG-111049</v>
      </c>
    </row>
    <row r="4" spans="1:15" ht="17.25" thickTop="1" thickBot="1">
      <c r="E4" s="2641" t="str">
        <f>"Page "&amp;E1&amp;" of "&amp;'Exhibit No._(CTM-2), Pg. 32-34'!$N$1</f>
        <v>Page 7 of 34</v>
      </c>
      <c r="J4" s="2641" t="str">
        <f>"Page "&amp;J1&amp;" of "&amp;'Exhibit No._(CTM-2), Pg. 32-34'!$N$1</f>
        <v>Page 8 of 34</v>
      </c>
      <c r="O4" s="2641" t="str">
        <f>"Page "&amp;O1&amp;" of "&amp;'Exhibit No._(CTM-2), Pg. 32-34'!$N$1</f>
        <v>Page 9 of 34</v>
      </c>
    </row>
    <row r="5" spans="1:15" s="2228" customFormat="1" ht="16.5" thickTop="1">
      <c r="A5" s="2235" t="s">
        <v>976</v>
      </c>
      <c r="B5" s="2237"/>
      <c r="C5" s="2237"/>
      <c r="D5" s="2237"/>
      <c r="E5" s="2237"/>
      <c r="F5" s="2235" t="s">
        <v>976</v>
      </c>
      <c r="G5" s="2237"/>
      <c r="H5" s="2237"/>
      <c r="I5" s="2237"/>
      <c r="J5" s="2237"/>
      <c r="K5" s="2235" t="s">
        <v>976</v>
      </c>
      <c r="L5" s="2237"/>
      <c r="M5" s="2237"/>
      <c r="N5" s="2237"/>
      <c r="O5" s="2237"/>
    </row>
    <row r="6" spans="1:15" s="2228" customFormat="1">
      <c r="A6" s="2237" t="s">
        <v>390</v>
      </c>
      <c r="B6" s="2302"/>
      <c r="C6" s="2302"/>
      <c r="D6" s="2302"/>
      <c r="E6" s="2302"/>
      <c r="F6" s="2237" t="s">
        <v>451</v>
      </c>
      <c r="G6" s="2302"/>
      <c r="H6" s="2302"/>
      <c r="I6" s="2302"/>
      <c r="J6" s="2302"/>
      <c r="K6" s="2237" t="s">
        <v>452</v>
      </c>
      <c r="L6" s="2302"/>
      <c r="M6" s="2302"/>
      <c r="N6" s="2302"/>
      <c r="O6" s="2302"/>
    </row>
    <row r="7" spans="1:15" s="2228" customFormat="1">
      <c r="A7" s="2237" t="s">
        <v>978</v>
      </c>
      <c r="B7" s="2238"/>
      <c r="C7" s="2238"/>
      <c r="D7" s="2238"/>
      <c r="E7" s="2238"/>
      <c r="F7" s="2237" t="s">
        <v>978</v>
      </c>
      <c r="G7" s="2238"/>
      <c r="H7" s="2238"/>
      <c r="I7" s="2238"/>
      <c r="J7" s="2238"/>
      <c r="K7" s="2237" t="s">
        <v>978</v>
      </c>
      <c r="L7" s="2238"/>
      <c r="M7" s="2238"/>
      <c r="N7" s="2238"/>
      <c r="O7" s="2238"/>
    </row>
    <row r="8" spans="1:15" s="2228" customFormat="1">
      <c r="A8" s="2235" t="str">
        <f>"Adjustment Number - "&amp;'Exhibit No._(CTM-2), Pg. 2-6'!$N$13</f>
        <v>Adjustment Number - 5.01</v>
      </c>
      <c r="B8" s="2237"/>
      <c r="C8" s="2237"/>
      <c r="D8" s="2237"/>
      <c r="E8" s="2237"/>
      <c r="F8" s="2235" t="str">
        <f>"Adjustment Number - "&amp;'Exhibit No._(CTM-2), Pg. 2-6'!O$13</f>
        <v>Adjustment Number - 5.02</v>
      </c>
      <c r="G8" s="2237"/>
      <c r="H8" s="2237"/>
      <c r="I8" s="2237"/>
      <c r="J8" s="2237"/>
      <c r="K8" s="2235" t="str">
        <f>"Adjustment Number - "&amp;'Exhibit No._(CTM-2), Pg. 2-6'!P$13</f>
        <v>Adjustment Number - 5.03</v>
      </c>
      <c r="L8" s="2237"/>
      <c r="M8" s="2237"/>
      <c r="N8" s="2237"/>
      <c r="O8" s="2237"/>
    </row>
    <row r="9" spans="1:15" s="2228" customFormat="1"/>
    <row r="10" spans="1:15" s="2228" customFormat="1">
      <c r="A10" s="2317" t="s">
        <v>24</v>
      </c>
      <c r="C10" s="2276"/>
      <c r="D10" s="2317"/>
      <c r="E10" s="2317"/>
      <c r="F10" s="2317" t="s">
        <v>24</v>
      </c>
      <c r="H10" s="2642"/>
      <c r="I10" s="34"/>
      <c r="J10" s="34"/>
      <c r="K10" s="2317" t="s">
        <v>24</v>
      </c>
      <c r="M10" s="2642"/>
      <c r="N10" s="34"/>
      <c r="O10" s="34"/>
    </row>
    <row r="11" spans="1:15" s="2228" customFormat="1">
      <c r="A11" s="2240" t="s">
        <v>38</v>
      </c>
      <c r="B11" s="2241" t="s">
        <v>39</v>
      </c>
      <c r="C11" s="2326" t="s">
        <v>36</v>
      </c>
      <c r="D11" s="2327" t="s">
        <v>40</v>
      </c>
      <c r="E11" s="2319" t="s">
        <v>42</v>
      </c>
      <c r="F11" s="2240" t="s">
        <v>38</v>
      </c>
      <c r="G11" s="2320" t="s">
        <v>39</v>
      </c>
      <c r="H11" s="2240" t="s">
        <v>36</v>
      </c>
      <c r="I11" s="2240" t="s">
        <v>40</v>
      </c>
      <c r="J11" s="2240" t="s">
        <v>42</v>
      </c>
      <c r="K11" s="2240" t="s">
        <v>38</v>
      </c>
      <c r="L11" s="2320" t="s">
        <v>39</v>
      </c>
      <c r="M11" s="2240" t="s">
        <v>36</v>
      </c>
      <c r="N11" s="2240" t="s">
        <v>40</v>
      </c>
      <c r="O11" s="2240" t="s">
        <v>42</v>
      </c>
    </row>
    <row r="12" spans="1:15">
      <c r="C12" s="2575"/>
      <c r="D12" s="2575"/>
      <c r="E12" s="2575"/>
      <c r="H12" s="2575"/>
      <c r="I12" s="2575"/>
      <c r="J12" s="2575"/>
      <c r="M12" s="2575"/>
      <c r="N12" s="2575"/>
      <c r="O12" s="2575"/>
    </row>
    <row r="13" spans="1:15">
      <c r="A13" s="2239">
        <v>1</v>
      </c>
      <c r="B13" s="2643" t="s">
        <v>391</v>
      </c>
      <c r="C13" s="2270"/>
      <c r="D13" s="2270"/>
      <c r="E13" s="2270"/>
      <c r="F13" s="2239">
        <v>1</v>
      </c>
      <c r="G13" s="2644" t="s">
        <v>391</v>
      </c>
      <c r="H13" s="2462"/>
      <c r="I13" s="2462"/>
      <c r="J13" s="2462"/>
      <c r="K13" s="2239">
        <v>1</v>
      </c>
      <c r="L13" s="2645" t="s">
        <v>391</v>
      </c>
      <c r="M13" s="2779"/>
      <c r="N13" s="2779"/>
      <c r="O13" s="2779"/>
    </row>
    <row r="14" spans="1:15">
      <c r="A14" s="2239">
        <v>2</v>
      </c>
      <c r="B14" s="2390" t="s">
        <v>264</v>
      </c>
      <c r="C14" s="2352">
        <v>7798988</v>
      </c>
      <c r="D14" s="2352">
        <v>1535588.9709753334</v>
      </c>
      <c r="E14" s="2352">
        <f>+D14-C14</f>
        <v>-6263399.0290246662</v>
      </c>
      <c r="F14" s="2239">
        <f>F13+1</f>
        <v>2</v>
      </c>
      <c r="G14" s="2462" t="s">
        <v>485</v>
      </c>
      <c r="H14" s="2646">
        <f>'5.02G'!C13</f>
        <v>1062621.399639</v>
      </c>
      <c r="I14" s="2646">
        <f>'5.02G'!D13</f>
        <v>1363155.1164870001</v>
      </c>
      <c r="J14" s="2646">
        <f>+I14-H14</f>
        <v>300533.71684800019</v>
      </c>
      <c r="K14" s="2239">
        <f>K13+1</f>
        <v>2</v>
      </c>
      <c r="L14" s="2647" t="s">
        <v>501</v>
      </c>
      <c r="M14" s="2648">
        <f>'5.03G'!C14</f>
        <v>8525942.4000000022</v>
      </c>
      <c r="N14" s="2648">
        <f>'5.03G'!D14</f>
        <v>7541081.2947186148</v>
      </c>
      <c r="O14" s="2648">
        <f>N14-M14</f>
        <v>-984861.10528138746</v>
      </c>
    </row>
    <row r="15" spans="1:15">
      <c r="A15" s="2239">
        <v>3</v>
      </c>
      <c r="B15" s="2390" t="s">
        <v>392</v>
      </c>
      <c r="C15" s="2513">
        <f>SUM(C14:C14)</f>
        <v>7798988</v>
      </c>
      <c r="D15" s="2513">
        <f>SUM(D14:D14)</f>
        <v>1535588.9709753334</v>
      </c>
      <c r="E15" s="2513">
        <f>SUM(E14:E14)</f>
        <v>-6263399.0290246662</v>
      </c>
      <c r="F15" s="2239">
        <f t="shared" ref="F15:F25" si="0">F14+1</f>
        <v>3</v>
      </c>
      <c r="G15" s="2462"/>
      <c r="H15" s="2649"/>
      <c r="I15" s="2649"/>
      <c r="J15" s="2649"/>
      <c r="K15" s="2239">
        <f t="shared" ref="K15:K20" si="1">K14+1</f>
        <v>3</v>
      </c>
      <c r="L15" s="2249" t="s">
        <v>2335</v>
      </c>
      <c r="M15" s="2474">
        <f>SUM(M14:M14)</f>
        <v>8525942.4000000022</v>
      </c>
      <c r="N15" s="2474">
        <f>SUM(N14:N14)</f>
        <v>7541081.2947186148</v>
      </c>
      <c r="O15" s="2474">
        <f>SUM(O14:O14)</f>
        <v>-984861.10528138746</v>
      </c>
    </row>
    <row r="16" spans="1:15">
      <c r="A16" s="2239">
        <v>4</v>
      </c>
      <c r="C16" s="2457"/>
      <c r="D16" s="2457"/>
      <c r="E16" s="2457"/>
      <c r="F16" s="2239">
        <f t="shared" si="0"/>
        <v>4</v>
      </c>
      <c r="G16" s="2647" t="s">
        <v>61</v>
      </c>
      <c r="H16" s="2649"/>
      <c r="I16" s="2649"/>
      <c r="J16" s="2649">
        <f>J14</f>
        <v>300533.71684800019</v>
      </c>
      <c r="K16" s="2239">
        <f t="shared" si="1"/>
        <v>4</v>
      </c>
      <c r="L16" s="2775"/>
      <c r="M16" s="2783"/>
      <c r="N16" s="2783"/>
      <c r="O16" s="2784"/>
    </row>
    <row r="17" spans="1:15">
      <c r="A17" s="2239">
        <v>5</v>
      </c>
      <c r="B17" s="2647" t="s">
        <v>61</v>
      </c>
      <c r="C17" s="2553"/>
      <c r="D17" s="2553"/>
      <c r="E17" s="2553">
        <f>E15</f>
        <v>-6263399.0290246662</v>
      </c>
      <c r="F17" s="2239">
        <f t="shared" si="0"/>
        <v>5</v>
      </c>
      <c r="G17" s="2462"/>
      <c r="H17" s="2649"/>
      <c r="I17" s="2649"/>
      <c r="J17" s="2649"/>
      <c r="K17" s="2239">
        <f t="shared" si="1"/>
        <v>5</v>
      </c>
      <c r="L17" s="2363" t="s">
        <v>488</v>
      </c>
      <c r="M17" s="2650"/>
      <c r="N17" s="2651"/>
      <c r="O17" s="2652">
        <f>-O15</f>
        <v>984861.10528138746</v>
      </c>
    </row>
    <row r="18" spans="1:15">
      <c r="A18" s="2239">
        <v>6</v>
      </c>
      <c r="B18" s="2647"/>
      <c r="C18" s="2553"/>
      <c r="D18" s="2553"/>
      <c r="E18" s="2553"/>
      <c r="F18" s="2239">
        <f t="shared" si="0"/>
        <v>6</v>
      </c>
      <c r="G18" s="2647" t="s">
        <v>490</v>
      </c>
      <c r="H18" s="2649"/>
      <c r="I18" s="2653">
        <f>D19</f>
        <v>0.35</v>
      </c>
      <c r="J18" s="2649">
        <f>-J16*I18</f>
        <v>-105186.80089680006</v>
      </c>
      <c r="K18" s="2239">
        <f t="shared" si="1"/>
        <v>6</v>
      </c>
      <c r="L18" s="2430" t="s">
        <v>489</v>
      </c>
      <c r="M18" s="2430"/>
      <c r="N18" s="2654">
        <f>I18</f>
        <v>0.35</v>
      </c>
      <c r="O18" s="2652">
        <f>O17*N18</f>
        <v>344701.38684848556</v>
      </c>
    </row>
    <row r="19" spans="1:15">
      <c r="A19" s="2239">
        <v>7</v>
      </c>
      <c r="B19" s="2647" t="s">
        <v>490</v>
      </c>
      <c r="C19" s="2553"/>
      <c r="D19" s="2653">
        <v>0.35</v>
      </c>
      <c r="E19" s="2553">
        <f>-E17*0.35</f>
        <v>2192189.6601586333</v>
      </c>
      <c r="F19" s="2239">
        <f t="shared" si="0"/>
        <v>7</v>
      </c>
      <c r="G19" s="2462"/>
      <c r="H19" s="2649"/>
      <c r="I19" s="2649"/>
      <c r="J19" s="2649"/>
      <c r="K19" s="2239">
        <f t="shared" si="1"/>
        <v>7</v>
      </c>
      <c r="L19" s="2775"/>
      <c r="M19" s="2783"/>
      <c r="N19" s="2783"/>
      <c r="O19" s="2789"/>
    </row>
    <row r="20" spans="1:15" ht="16.5" thickBot="1">
      <c r="A20" s="2239">
        <v>8</v>
      </c>
      <c r="B20" s="2647"/>
      <c r="C20" s="2553"/>
      <c r="D20" s="2553"/>
      <c r="E20" s="2655"/>
      <c r="F20" s="2239">
        <f t="shared" si="0"/>
        <v>8</v>
      </c>
      <c r="G20" s="2647" t="s">
        <v>72</v>
      </c>
      <c r="H20" s="2656"/>
      <c r="I20" s="2656"/>
      <c r="J20" s="2657">
        <f>-J16-J18</f>
        <v>-195346.91595120012</v>
      </c>
      <c r="K20" s="2239">
        <f t="shared" si="1"/>
        <v>8</v>
      </c>
      <c r="L20" s="2508" t="s">
        <v>74</v>
      </c>
      <c r="M20" s="2232"/>
      <c r="N20" s="2380"/>
      <c r="O20" s="2658">
        <f>O17-O18</f>
        <v>640159.71843290189</v>
      </c>
    </row>
    <row r="21" spans="1:15" ht="17.25" thickTop="1" thickBot="1">
      <c r="A21" s="2239">
        <v>9</v>
      </c>
      <c r="B21" s="2647" t="s">
        <v>74</v>
      </c>
      <c r="C21" s="2439"/>
      <c r="D21" s="2439"/>
      <c r="E21" s="2659">
        <f>-E17-E19</f>
        <v>4071209.3688660329</v>
      </c>
      <c r="F21" s="2239">
        <f t="shared" si="0"/>
        <v>9</v>
      </c>
      <c r="G21" s="2660"/>
      <c r="H21" s="2656"/>
      <c r="I21" s="2656"/>
      <c r="J21" s="2656"/>
      <c r="K21" s="2239"/>
      <c r="L21" s="2643"/>
      <c r="M21" s="2442"/>
      <c r="N21" s="2442"/>
      <c r="O21" s="2442"/>
    </row>
    <row r="22" spans="1:15" ht="16.5" thickTop="1">
      <c r="A22" s="2239">
        <v>10</v>
      </c>
      <c r="B22" s="2661"/>
      <c r="C22" s="2439"/>
      <c r="D22" s="2439"/>
      <c r="E22" s="2439"/>
      <c r="F22" s="2239">
        <f t="shared" si="0"/>
        <v>10</v>
      </c>
      <c r="G22" s="2644" t="s">
        <v>393</v>
      </c>
      <c r="H22" s="2656"/>
      <c r="I22" s="2656"/>
      <c r="J22" s="2656"/>
      <c r="K22" s="2239"/>
      <c r="L22" s="2661"/>
      <c r="M22" s="2442"/>
      <c r="N22" s="2442"/>
      <c r="O22" s="2442"/>
    </row>
    <row r="23" spans="1:15">
      <c r="A23" s="2239">
        <v>11</v>
      </c>
      <c r="B23" s="2643" t="s">
        <v>393</v>
      </c>
      <c r="C23" s="2439"/>
      <c r="D23" s="2439"/>
      <c r="E23" s="2439"/>
      <c r="F23" s="2239">
        <f t="shared" si="0"/>
        <v>11</v>
      </c>
      <c r="G23" s="2660" t="s">
        <v>486</v>
      </c>
      <c r="H23" s="2662"/>
      <c r="I23" s="2462"/>
      <c r="J23" s="2663">
        <f>-J16/2</f>
        <v>-150266.85842400009</v>
      </c>
      <c r="K23" s="2239"/>
      <c r="L23" s="2661"/>
      <c r="M23" s="2575"/>
      <c r="N23" s="2575"/>
      <c r="O23" s="2575"/>
    </row>
    <row r="24" spans="1:15">
      <c r="A24" s="2239">
        <v>12</v>
      </c>
      <c r="B24" s="2661" t="s">
        <v>491</v>
      </c>
      <c r="C24" s="2439"/>
      <c r="D24" s="2439"/>
      <c r="E24" s="2553">
        <v>-2431349.2040442782</v>
      </c>
      <c r="F24" s="2239">
        <f t="shared" si="0"/>
        <v>12</v>
      </c>
      <c r="G24" s="2660" t="s">
        <v>493</v>
      </c>
      <c r="H24" s="2662"/>
      <c r="I24" s="2662">
        <f>I18</f>
        <v>0.35</v>
      </c>
      <c r="J24" s="2663">
        <f>-J23*I24</f>
        <v>52593.400448400032</v>
      </c>
      <c r="K24" s="2239"/>
      <c r="M24" s="2232"/>
      <c r="N24" s="2232"/>
      <c r="O24" s="2232"/>
    </row>
    <row r="25" spans="1:15" ht="16.5" thickBot="1">
      <c r="A25" s="2239">
        <v>13</v>
      </c>
      <c r="B25" s="2661" t="s">
        <v>492</v>
      </c>
      <c r="C25" s="2439"/>
      <c r="D25" s="2439"/>
      <c r="E25" s="2553">
        <v>212502.75437810807</v>
      </c>
      <c r="F25" s="2239">
        <f t="shared" si="0"/>
        <v>13</v>
      </c>
      <c r="G25" s="2660" t="s">
        <v>394</v>
      </c>
      <c r="H25" s="2664"/>
      <c r="I25" s="2664"/>
      <c r="J25" s="2665">
        <f>SUM(J23:J24)</f>
        <v>-97673.45797560006</v>
      </c>
      <c r="K25" s="2271"/>
      <c r="L25" s="2271"/>
      <c r="M25" s="2271"/>
      <c r="N25" s="2271"/>
      <c r="O25" s="2666"/>
    </row>
    <row r="26" spans="1:15" ht="16.5" thickTop="1">
      <c r="A26" s="2239">
        <v>14</v>
      </c>
      <c r="B26" s="2643"/>
      <c r="C26" s="2439"/>
      <c r="D26" s="2439"/>
      <c r="E26" s="2667"/>
      <c r="F26" s="2239"/>
      <c r="H26" s="2232"/>
      <c r="I26" s="2232"/>
      <c r="J26" s="2232"/>
      <c r="L26" s="2228"/>
      <c r="O26" s="2231"/>
    </row>
    <row r="27" spans="1:15" ht="16.5" thickBot="1">
      <c r="A27" s="2239">
        <v>15</v>
      </c>
      <c r="B27" s="2661" t="s">
        <v>394</v>
      </c>
      <c r="C27" s="2430"/>
      <c r="D27" s="2430"/>
      <c r="E27" s="2659">
        <f>SUM(E24:E25)</f>
        <v>-2218846.4496661704</v>
      </c>
      <c r="F27" s="2271"/>
      <c r="G27" s="2271"/>
      <c r="H27" s="2271"/>
      <c r="I27" s="2271"/>
      <c r="J27" s="2666"/>
      <c r="O27" s="2231"/>
    </row>
    <row r="28" spans="1:15" s="2271" customFormat="1" ht="16.5" thickTop="1">
      <c r="A28" s="2231"/>
      <c r="B28" s="2231"/>
      <c r="C28" s="2231"/>
      <c r="D28" s="2231"/>
      <c r="E28" s="2231"/>
      <c r="F28" s="2231"/>
      <c r="J28" s="2666"/>
      <c r="K28" s="2231"/>
      <c r="L28" s="2231"/>
      <c r="M28" s="2231"/>
      <c r="N28" s="2231"/>
      <c r="O28" s="2231"/>
    </row>
    <row r="29" spans="1:15">
      <c r="A29" s="2271"/>
      <c r="B29" s="2271"/>
      <c r="C29" s="2271"/>
      <c r="D29" s="2271"/>
      <c r="E29" s="2666"/>
      <c r="G29" s="2271"/>
      <c r="H29" s="2271"/>
      <c r="I29" s="2271"/>
      <c r="J29" s="2666"/>
      <c r="O29" s="2231"/>
    </row>
    <row r="30" spans="1:15">
      <c r="E30" s="2485"/>
      <c r="G30" s="2271"/>
      <c r="H30" s="2271"/>
      <c r="I30" s="2271"/>
      <c r="J30" s="2666"/>
      <c r="O30" s="2231"/>
    </row>
    <row r="31" spans="1:15">
      <c r="E31" s="2231"/>
      <c r="J31" s="2231"/>
      <c r="K31" s="2411"/>
      <c r="L31" s="2411"/>
      <c r="M31" s="2411"/>
      <c r="N31" s="2411"/>
      <c r="O31" s="2411"/>
    </row>
    <row r="32" spans="1:15">
      <c r="E32" s="2231"/>
      <c r="J32" s="2231"/>
      <c r="O32" s="2231"/>
    </row>
    <row r="33" spans="1:15">
      <c r="E33" s="2231"/>
      <c r="F33" s="2411"/>
      <c r="G33" s="2411"/>
      <c r="H33" s="2411"/>
      <c r="I33" s="2411"/>
      <c r="J33" s="2411"/>
    </row>
    <row r="34" spans="1:15" s="2411" customFormat="1">
      <c r="A34" s="2231"/>
      <c r="B34" s="2231"/>
      <c r="C34" s="2231"/>
      <c r="D34" s="2231"/>
      <c r="E34" s="2231"/>
      <c r="F34" s="2231"/>
      <c r="G34" s="2231"/>
      <c r="H34" s="2231"/>
      <c r="I34" s="2231"/>
      <c r="J34" s="2231"/>
      <c r="K34" s="2231"/>
      <c r="L34" s="2231"/>
      <c r="M34" s="2231"/>
      <c r="N34" s="2231"/>
      <c r="O34" s="2278"/>
    </row>
    <row r="35" spans="1:15">
      <c r="A35" s="2411"/>
      <c r="B35" s="2411"/>
      <c r="C35" s="2411"/>
      <c r="D35" s="2411"/>
      <c r="E35" s="2411"/>
    </row>
    <row r="36" spans="1:15">
      <c r="E36" s="2231"/>
    </row>
    <row r="43" spans="1:15">
      <c r="K43" s="2239"/>
      <c r="L43" s="2354"/>
      <c r="M43" s="2354"/>
      <c r="N43" s="2232"/>
      <c r="O43" s="2486"/>
    </row>
    <row r="45" spans="1:15">
      <c r="F45" s="2239"/>
      <c r="G45" s="2354"/>
      <c r="H45" s="2354"/>
      <c r="I45" s="2232"/>
      <c r="J45" s="2486"/>
      <c r="K45" s="2239"/>
    </row>
    <row r="46" spans="1:15">
      <c r="K46" s="2239"/>
    </row>
    <row r="47" spans="1:15">
      <c r="A47" s="2239"/>
      <c r="B47" s="2354"/>
      <c r="C47" s="2354"/>
      <c r="D47" s="2232"/>
      <c r="E47" s="2486"/>
      <c r="F47" s="2239"/>
      <c r="K47" s="2239"/>
    </row>
    <row r="48" spans="1:15">
      <c r="F48" s="2239"/>
    </row>
    <row r="49" spans="1:15">
      <c r="A49" s="2239"/>
      <c r="F49" s="2239"/>
      <c r="K49" s="2239"/>
    </row>
    <row r="50" spans="1:15">
      <c r="A50" s="2239"/>
      <c r="K50" s="2239"/>
      <c r="L50" s="2232"/>
      <c r="M50" s="2232"/>
      <c r="N50" s="2232"/>
      <c r="O50" s="2486"/>
    </row>
    <row r="51" spans="1:15">
      <c r="A51" s="2239"/>
      <c r="F51" s="2239"/>
      <c r="K51" s="2239"/>
      <c r="L51" s="2232"/>
      <c r="M51" s="2232"/>
      <c r="N51" s="2668"/>
      <c r="O51" s="2486"/>
    </row>
    <row r="52" spans="1:15">
      <c r="F52" s="2239"/>
      <c r="G52" s="2232"/>
      <c r="H52" s="2232"/>
      <c r="I52" s="2232"/>
      <c r="J52" s="2486"/>
      <c r="K52" s="2239"/>
      <c r="L52" s="2232"/>
      <c r="M52" s="2232"/>
      <c r="N52" s="2232"/>
      <c r="O52" s="2486"/>
    </row>
    <row r="53" spans="1:15">
      <c r="A53" s="2239"/>
      <c r="F53" s="2239"/>
      <c r="G53" s="2232"/>
      <c r="H53" s="2232"/>
      <c r="I53" s="2668"/>
      <c r="J53" s="2486"/>
      <c r="K53" s="2239"/>
      <c r="L53" s="2669"/>
      <c r="M53" s="2669"/>
      <c r="N53" s="2668"/>
      <c r="O53" s="2486"/>
    </row>
    <row r="54" spans="1:15">
      <c r="A54" s="2239"/>
      <c r="B54" s="2232"/>
      <c r="C54" s="2232"/>
      <c r="D54" s="2232"/>
      <c r="E54" s="2486"/>
      <c r="F54" s="2239"/>
      <c r="G54" s="2232"/>
      <c r="H54" s="2232"/>
      <c r="I54" s="2232"/>
      <c r="J54" s="2486"/>
      <c r="K54" s="2239"/>
      <c r="L54" s="2669"/>
      <c r="M54" s="2669"/>
      <c r="N54" s="2668"/>
      <c r="O54" s="2486"/>
    </row>
    <row r="55" spans="1:15">
      <c r="A55" s="2239"/>
      <c r="B55" s="2232"/>
      <c r="C55" s="2232"/>
      <c r="D55" s="2668"/>
      <c r="E55" s="2486"/>
      <c r="F55" s="2239"/>
      <c r="G55" s="2669"/>
      <c r="H55" s="2669"/>
      <c r="I55" s="2668"/>
      <c r="J55" s="2486"/>
      <c r="L55" s="2669"/>
      <c r="M55" s="2669"/>
      <c r="N55" s="2668"/>
      <c r="O55" s="2486"/>
    </row>
    <row r="56" spans="1:15">
      <c r="A56" s="2239"/>
      <c r="B56" s="2232"/>
      <c r="C56" s="2232"/>
      <c r="D56" s="2232"/>
      <c r="E56" s="2486"/>
      <c r="F56" s="2239"/>
      <c r="G56" s="2669"/>
      <c r="H56" s="2669"/>
      <c r="I56" s="2668"/>
      <c r="J56" s="2486"/>
      <c r="K56" s="2369"/>
      <c r="L56" s="2669"/>
      <c r="M56" s="2669"/>
      <c r="N56" s="2670"/>
    </row>
    <row r="57" spans="1:15">
      <c r="A57" s="2239"/>
      <c r="B57" s="2669"/>
      <c r="C57" s="2669"/>
      <c r="D57" s="2668"/>
      <c r="E57" s="2486"/>
      <c r="G57" s="2669"/>
      <c r="H57" s="2669"/>
      <c r="I57" s="2668"/>
      <c r="J57" s="2486"/>
      <c r="K57" s="2369"/>
      <c r="L57" s="2669"/>
      <c r="M57" s="2669"/>
      <c r="N57" s="2670"/>
    </row>
    <row r="58" spans="1:15">
      <c r="A58" s="2239"/>
      <c r="B58" s="2669"/>
      <c r="C58" s="2669"/>
      <c r="D58" s="2668"/>
      <c r="E58" s="2486"/>
      <c r="F58" s="2369"/>
      <c r="G58" s="2669"/>
      <c r="H58" s="2669"/>
      <c r="I58" s="2670"/>
      <c r="K58" s="2369"/>
      <c r="L58" s="2669"/>
      <c r="M58" s="2669"/>
      <c r="N58" s="2670"/>
    </row>
    <row r="59" spans="1:15">
      <c r="B59" s="2669"/>
      <c r="C59" s="2669"/>
      <c r="D59" s="2668"/>
      <c r="E59" s="2486"/>
      <c r="F59" s="2369"/>
      <c r="G59" s="2669"/>
      <c r="H59" s="2669"/>
      <c r="I59" s="2670"/>
      <c r="K59" s="2369"/>
      <c r="L59" s="2669"/>
      <c r="M59" s="2669"/>
      <c r="N59" s="2670"/>
    </row>
    <row r="60" spans="1:15">
      <c r="A60" s="2369"/>
      <c r="B60" s="2669"/>
      <c r="C60" s="2669"/>
      <c r="D60" s="2670"/>
      <c r="F60" s="2369"/>
      <c r="G60" s="2669"/>
      <c r="H60" s="2669"/>
      <c r="I60" s="2670"/>
      <c r="K60" s="2369"/>
      <c r="L60" s="2669"/>
      <c r="M60" s="2669"/>
      <c r="N60" s="2670"/>
    </row>
    <row r="61" spans="1:15">
      <c r="A61" s="2369"/>
      <c r="B61" s="2669"/>
      <c r="C61" s="2669"/>
      <c r="D61" s="2670"/>
      <c r="F61" s="2369"/>
      <c r="G61" s="2669"/>
      <c r="H61" s="2669"/>
      <c r="I61" s="2670"/>
      <c r="K61" s="2369"/>
      <c r="L61" s="2669"/>
      <c r="M61" s="2669"/>
      <c r="N61" s="2670"/>
    </row>
    <row r="62" spans="1:15">
      <c r="A62" s="2369"/>
      <c r="B62" s="2669"/>
      <c r="C62" s="2669"/>
      <c r="D62" s="2670"/>
      <c r="F62" s="2369"/>
      <c r="G62" s="2669"/>
      <c r="H62" s="2669"/>
      <c r="I62" s="2670"/>
    </row>
    <row r="63" spans="1:15">
      <c r="A63" s="2369"/>
      <c r="B63" s="2669"/>
      <c r="C63" s="2669"/>
      <c r="D63" s="2670"/>
      <c r="F63" s="2369"/>
      <c r="G63" s="2669"/>
      <c r="H63" s="2669"/>
      <c r="I63" s="2670"/>
    </row>
    <row r="64" spans="1:15">
      <c r="A64" s="2369"/>
      <c r="B64" s="2669"/>
      <c r="C64" s="2669"/>
      <c r="D64" s="2670"/>
    </row>
    <row r="65" spans="1:4">
      <c r="A65" s="2369"/>
      <c r="B65" s="2669"/>
      <c r="C65" s="2669"/>
      <c r="D65" s="2670"/>
    </row>
  </sheetData>
  <phoneticPr fontId="0" type="noConversion"/>
  <conditionalFormatting sqref="A1:O1">
    <cfRule type="cellIs" dxfId="4" priority="2" stopIfTrue="1" operator="notEqual">
      <formula>0</formula>
    </cfRule>
  </conditionalFormatting>
  <printOptions horizontalCentered="1"/>
  <pageMargins left="0.45" right="0.45" top="0.5" bottom="0.5" header="0" footer="0.05"/>
  <pageSetup fitToWidth="0" orientation="landscape" r:id="rId1"/>
  <colBreaks count="2" manualBreakCount="2">
    <brk id="5" max="1048575" man="1"/>
    <brk id="10" max="1048575" man="1"/>
  </col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3" tint="0.39997558519241921"/>
    <pageSetUpPr autoPageBreaks="0" fitToPage="1"/>
  </sheetPr>
  <dimension ref="A1:FE326"/>
  <sheetViews>
    <sheetView zoomScale="90" zoomScaleNormal="90" workbookViewId="0">
      <pane xSplit="1" ySplit="11" topLeftCell="B12" activePane="bottomRight" state="frozen"/>
      <selection activeCell="A2" sqref="A2"/>
      <selection pane="topRight" activeCell="A2" sqref="A2"/>
      <selection pane="bottomLeft" activeCell="A2" sqref="A2"/>
      <selection pane="bottomRight" activeCell="CW20" sqref="CW20"/>
    </sheetView>
  </sheetViews>
  <sheetFormatPr defaultRowHeight="15.75"/>
  <cols>
    <col min="1" max="1" width="7.5" style="2231" bestFit="1" customWidth="1"/>
    <col min="2" max="2" width="52.1640625" style="2231" customWidth="1"/>
    <col min="3" max="5" width="20.6640625" style="2231" customWidth="1"/>
    <col min="6" max="6" width="21.33203125" style="2231" customWidth="1"/>
    <col min="7" max="7" width="7.5" style="2231" bestFit="1" customWidth="1"/>
    <col min="8" max="8" width="86.33203125" style="2231" bestFit="1" customWidth="1"/>
    <col min="9" max="9" width="12.33203125" style="2231" bestFit="1" customWidth="1"/>
    <col min="10" max="10" width="18" style="2231" bestFit="1" customWidth="1"/>
    <col min="11" max="11" width="19" style="2231" customWidth="1"/>
    <col min="12" max="12" width="7.5" style="2231" bestFit="1" customWidth="1"/>
    <col min="13" max="13" width="84.6640625" style="2231" bestFit="1" customWidth="1"/>
    <col min="14" max="14" width="11" style="2231" bestFit="1" customWidth="1"/>
    <col min="15" max="15" width="19.1640625" style="2231" customWidth="1"/>
    <col min="16" max="16" width="7.5" style="2231" bestFit="1" customWidth="1"/>
    <col min="17" max="17" width="100.6640625" style="2231" bestFit="1" customWidth="1"/>
    <col min="18" max="18" width="6.1640625" style="2231" bestFit="1" customWidth="1"/>
    <col min="19" max="19" width="20" style="2231" customWidth="1"/>
    <col min="20" max="20" width="7.5" style="2231" bestFit="1" customWidth="1"/>
    <col min="21" max="21" width="85.33203125" style="2231" customWidth="1"/>
    <col min="22" max="22" width="20.5" style="2231" bestFit="1" customWidth="1"/>
    <col min="23" max="23" width="22.1640625" style="2231" customWidth="1"/>
    <col min="24" max="24" width="8.1640625" style="2231" bestFit="1" customWidth="1"/>
    <col min="25" max="25" width="82.6640625" style="2231" bestFit="1" customWidth="1"/>
    <col min="26" max="26" width="18.1640625" style="2231" customWidth="1"/>
    <col min="27" max="27" width="18.5" style="2231" customWidth="1"/>
    <col min="28" max="28" width="18.83203125" style="2231" customWidth="1"/>
    <col min="29" max="29" width="7.5" style="2231" bestFit="1" customWidth="1"/>
    <col min="30" max="30" width="55.1640625" style="2231" bestFit="1" customWidth="1"/>
    <col min="31" max="31" width="17.33203125" style="2231" customWidth="1"/>
    <col min="32" max="33" width="18.33203125" style="2231" customWidth="1"/>
    <col min="34" max="34" width="7.5" style="2231" customWidth="1"/>
    <col min="35" max="35" width="66.33203125" style="2231" bestFit="1" customWidth="1"/>
    <col min="36" max="37" width="17.83203125" style="2231" customWidth="1"/>
    <col min="38" max="38" width="19" style="2231" customWidth="1"/>
    <col min="39" max="39" width="7.5" style="2231" bestFit="1" customWidth="1"/>
    <col min="40" max="40" width="48.5" style="2231" customWidth="1"/>
    <col min="41" max="41" width="15.83203125" style="2231" customWidth="1"/>
    <col min="42" max="42" width="20.6640625" style="2231" bestFit="1" customWidth="1"/>
    <col min="43" max="43" width="17" style="2231" bestFit="1" customWidth="1"/>
    <col min="44" max="44" width="20.5" style="2231" bestFit="1" customWidth="1"/>
    <col min="45" max="45" width="18.6640625" style="2231" customWidth="1"/>
    <col min="46" max="46" width="7.5" style="2231" bestFit="1" customWidth="1"/>
    <col min="47" max="47" width="55.1640625" style="2231" bestFit="1" customWidth="1"/>
    <col min="48" max="48" width="17.33203125" style="2231" customWidth="1"/>
    <col min="49" max="49" width="18.83203125" style="2231" customWidth="1"/>
    <col min="50" max="50" width="18.6640625" style="2231" customWidth="1"/>
    <col min="51" max="51" width="6.83203125" style="2231" customWidth="1"/>
    <col min="52" max="52" width="78.83203125" style="2231" customWidth="1"/>
    <col min="53" max="53" width="6.1640625" style="2231" bestFit="1" customWidth="1"/>
    <col min="54" max="54" width="7.33203125" style="2231" customWidth="1"/>
    <col min="55" max="55" width="35.33203125" style="2231" customWidth="1"/>
    <col min="56" max="56" width="7.5" style="2231" bestFit="1" customWidth="1"/>
    <col min="57" max="57" width="79.1640625" style="2231" customWidth="1"/>
    <col min="58" max="58" width="7.33203125" style="2231" customWidth="1"/>
    <col min="59" max="59" width="26.6640625" style="2231" customWidth="1"/>
    <col min="60" max="60" width="7.5" style="2231" bestFit="1" customWidth="1"/>
    <col min="61" max="61" width="56.33203125" style="2231" bestFit="1" customWidth="1"/>
    <col min="62" max="62" width="18.1640625" style="2231" bestFit="1" customWidth="1"/>
    <col min="63" max="63" width="17.33203125" style="2231" bestFit="1" customWidth="1"/>
    <col min="64" max="64" width="20" style="2231" customWidth="1"/>
    <col min="65" max="65" width="7.5" style="2231" bestFit="1" customWidth="1"/>
    <col min="66" max="66" width="74.6640625" style="2231" bestFit="1" customWidth="1"/>
    <col min="67" max="67" width="18.33203125" style="2231" customWidth="1"/>
    <col min="68" max="68" width="19.1640625" style="2231" customWidth="1"/>
    <col min="69" max="69" width="7.5" style="2278" bestFit="1" customWidth="1"/>
    <col min="70" max="70" width="83.33203125" style="2278" bestFit="1" customWidth="1"/>
    <col min="71" max="72" width="20.1640625" style="2278" customWidth="1"/>
    <col min="73" max="73" width="7.5" style="2231" bestFit="1" customWidth="1"/>
    <col min="74" max="74" width="79.6640625" style="2231" bestFit="1" customWidth="1"/>
    <col min="75" max="75" width="14.1640625" style="2231" customWidth="1"/>
    <col min="76" max="76" width="18.5" style="2231" customWidth="1"/>
    <col min="77" max="77" width="7.5" style="2231" bestFit="1" customWidth="1"/>
    <col min="78" max="78" width="64.6640625" style="2231" customWidth="1"/>
    <col min="79" max="79" width="15.5" style="2231" bestFit="1" customWidth="1"/>
    <col min="80" max="81" width="18.83203125" style="2231" customWidth="1"/>
    <col min="82" max="82" width="7.5" style="2231" bestFit="1" customWidth="1"/>
    <col min="83" max="83" width="60.1640625" style="2231" customWidth="1"/>
    <col min="84" max="85" width="17.33203125" style="2231" customWidth="1"/>
    <col min="86" max="86" width="20" style="2231" customWidth="1"/>
    <col min="87" max="87" width="7.5" style="2231" bestFit="1" customWidth="1"/>
    <col min="88" max="88" width="55.6640625" style="2231" bestFit="1" customWidth="1"/>
    <col min="89" max="89" width="15.6640625" style="2231" customWidth="1"/>
    <col min="90" max="91" width="18" style="2231" customWidth="1"/>
    <col min="92" max="92" width="19" style="2231" customWidth="1"/>
    <col min="93" max="93" width="7.5" style="2231" bestFit="1" customWidth="1"/>
    <col min="94" max="94" width="73.33203125" style="2231" bestFit="1" customWidth="1"/>
    <col min="95" max="97" width="18" style="2231" customWidth="1"/>
    <col min="98" max="98" width="6.83203125" style="2231" customWidth="1"/>
    <col min="99" max="99" width="73.6640625" style="2231" customWidth="1"/>
    <col min="100" max="100" width="13.6640625" style="2231" customWidth="1"/>
    <col min="101" max="101" width="25.5" style="2231" customWidth="1"/>
    <col min="102" max="111" width="9.33203125" style="2775"/>
    <col min="112" max="112" width="6.83203125" style="2231" customWidth="1"/>
    <col min="113" max="113" width="52.1640625" style="2231" customWidth="1"/>
    <col min="114" max="114" width="17.6640625" style="2231" customWidth="1"/>
    <col min="115" max="115" width="22.33203125" style="2231" customWidth="1"/>
    <col min="116" max="116" width="19.1640625" style="2231" customWidth="1"/>
    <col min="117" max="117" width="15.1640625" style="2231" customWidth="1"/>
    <col min="118" max="118" width="7.1640625" style="2231" bestFit="1" customWidth="1"/>
    <col min="119" max="119" width="48" style="2231" customWidth="1"/>
    <col min="120" max="120" width="26.83203125" style="2231" customWidth="1"/>
    <col min="121" max="122" width="26.33203125" style="2231" customWidth="1"/>
    <col min="123" max="123" width="22.5" style="2231" bestFit="1" customWidth="1"/>
    <col min="124" max="124" width="18.6640625" style="2231" customWidth="1"/>
    <col min="125" max="125" width="32.33203125" style="2231" customWidth="1"/>
    <col min="126" max="126" width="7.1640625" style="2231" bestFit="1" customWidth="1"/>
    <col min="127" max="127" width="56.5" style="2231" customWidth="1"/>
    <col min="128" max="128" width="23.83203125" style="2231" customWidth="1"/>
    <col min="129" max="129" width="28" style="2231" bestFit="1" customWidth="1"/>
    <col min="130" max="130" width="15.5" style="2231" bestFit="1" customWidth="1"/>
    <col min="131" max="131" width="26.33203125" style="2231" bestFit="1" customWidth="1"/>
    <col min="132" max="132" width="15.33203125" style="2231" bestFit="1" customWidth="1"/>
    <col min="133" max="133" width="22.33203125" style="2231" customWidth="1"/>
    <col min="134" max="134" width="16.6640625" style="2231" customWidth="1"/>
    <col min="135" max="135" width="7.1640625" style="2231" bestFit="1" customWidth="1"/>
    <col min="136" max="136" width="56.5" style="2231" customWidth="1"/>
    <col min="137" max="137" width="27.5" style="2231" customWidth="1"/>
    <col min="138" max="138" width="20.6640625" style="2231" customWidth="1"/>
    <col min="139" max="139" width="26.5" style="2231" bestFit="1" customWidth="1"/>
    <col min="140" max="140" width="24.83203125" style="2231" customWidth="1"/>
    <col min="141" max="141" width="22.33203125" style="2231" customWidth="1"/>
    <col min="142" max="142" width="23.6640625" style="2231" customWidth="1"/>
    <col min="143" max="143" width="7.1640625" style="2231" bestFit="1" customWidth="1"/>
    <col min="144" max="144" width="59.83203125" style="2231" bestFit="1" customWidth="1"/>
    <col min="145" max="149" width="23.6640625" style="2231" customWidth="1"/>
    <col min="150" max="150" width="24.83203125" style="2231" bestFit="1" customWidth="1"/>
    <col min="151" max="151" width="20.5" style="2231" bestFit="1" customWidth="1"/>
    <col min="152" max="152" width="10.83203125" style="2231" customWidth="1"/>
    <col min="153" max="153" width="56.5" style="2231" bestFit="1" customWidth="1"/>
    <col min="154" max="154" width="19.83203125" style="2231" bestFit="1" customWidth="1"/>
    <col min="155" max="155" width="22" style="2231" bestFit="1" customWidth="1"/>
    <col min="156" max="156" width="20.5" style="2231" bestFit="1" customWidth="1"/>
    <col min="157" max="157" width="24.83203125" style="2231" customWidth="1"/>
    <col min="158" max="158" width="23.33203125" style="2231" customWidth="1"/>
    <col min="159" max="159" width="2.83203125" style="2231" customWidth="1"/>
    <col min="160" max="160" width="17.33203125" style="2231" bestFit="1" customWidth="1"/>
    <col min="161" max="161" width="21.1640625" style="2231" customWidth="1"/>
    <col min="162" max="16384" width="9.33203125" style="2231"/>
  </cols>
  <sheetData>
    <row r="1" spans="1:161" s="2227" customFormat="1" hidden="1">
      <c r="F1" s="2227">
        <f>'Exhibit No._(CTM-2), Pg. 7-9'!O1+1</f>
        <v>10</v>
      </c>
      <c r="K1" s="2227">
        <f>F1+1</f>
        <v>11</v>
      </c>
      <c r="O1" s="2227">
        <f>K1+1</f>
        <v>12</v>
      </c>
      <c r="S1" s="2227">
        <f>O1+1</f>
        <v>13</v>
      </c>
      <c r="W1" s="2227">
        <f>S1+1</f>
        <v>14</v>
      </c>
      <c r="AB1" s="2227">
        <f>W1+1</f>
        <v>15</v>
      </c>
      <c r="AG1" s="2227">
        <f>AB1+1</f>
        <v>16</v>
      </c>
      <c r="AL1" s="2227">
        <f>AG1+1</f>
        <v>17</v>
      </c>
      <c r="AS1" s="2227">
        <f>AL1+1</f>
        <v>18</v>
      </c>
      <c r="AX1" s="2227">
        <f>AS1+1</f>
        <v>19</v>
      </c>
      <c r="BC1" s="2227">
        <f>AX1+1</f>
        <v>20</v>
      </c>
      <c r="BG1" s="2227">
        <f>BC1+1</f>
        <v>21</v>
      </c>
      <c r="BL1" s="2227">
        <f>BG1+1</f>
        <v>22</v>
      </c>
      <c r="BP1" s="2227">
        <f>BL1+1</f>
        <v>23</v>
      </c>
      <c r="BT1" s="2227">
        <f>BP1+1</f>
        <v>24</v>
      </c>
      <c r="BX1" s="2227">
        <f>BT1+1</f>
        <v>25</v>
      </c>
      <c r="CC1" s="2227">
        <f>BX1+1</f>
        <v>26</v>
      </c>
      <c r="CH1" s="2227">
        <f>CC1+1</f>
        <v>27</v>
      </c>
      <c r="CN1" s="2227">
        <f>CH1+1</f>
        <v>28</v>
      </c>
      <c r="CS1" s="2227">
        <f>CN1+1</f>
        <v>29</v>
      </c>
      <c r="CW1" s="2227">
        <f>CS1+1</f>
        <v>30</v>
      </c>
    </row>
    <row r="2" spans="1:161">
      <c r="A2" s="2228"/>
      <c r="F2" s="2222" t="s">
        <v>3014</v>
      </c>
      <c r="G2" s="2277"/>
      <c r="H2" s="2256"/>
      <c r="I2" s="2256"/>
      <c r="K2" s="2222" t="s">
        <v>3014</v>
      </c>
      <c r="L2" s="2223"/>
      <c r="M2" s="2223"/>
      <c r="N2" s="2223"/>
      <c r="O2" s="2222" t="s">
        <v>3014</v>
      </c>
      <c r="P2" s="2228"/>
      <c r="S2" s="2222" t="s">
        <v>3014</v>
      </c>
      <c r="T2" s="2228"/>
      <c r="W2" s="2222" t="s">
        <v>3014</v>
      </c>
      <c r="AB2" s="2222" t="s">
        <v>3014</v>
      </c>
      <c r="AD2" s="2228"/>
      <c r="AG2" s="2222" t="s">
        <v>3014</v>
      </c>
      <c r="AL2" s="2222" t="s">
        <v>3014</v>
      </c>
      <c r="AS2" s="2222" t="s">
        <v>3014</v>
      </c>
      <c r="AU2" s="2228"/>
      <c r="AX2" s="2222" t="s">
        <v>3014</v>
      </c>
      <c r="BC2" s="2222" t="s">
        <v>3014</v>
      </c>
      <c r="BG2" s="2222" t="s">
        <v>3014</v>
      </c>
      <c r="BL2" s="2222" t="s">
        <v>3014</v>
      </c>
      <c r="BP2" s="2222" t="s">
        <v>3014</v>
      </c>
      <c r="BT2" s="2222" t="s">
        <v>3014</v>
      </c>
      <c r="BX2" s="2222" t="s">
        <v>3014</v>
      </c>
      <c r="CC2" s="2222" t="s">
        <v>3014</v>
      </c>
      <c r="CH2" s="2222" t="s">
        <v>3014</v>
      </c>
      <c r="CN2" s="2222" t="s">
        <v>3014</v>
      </c>
      <c r="CS2" s="2222" t="s">
        <v>3014</v>
      </c>
      <c r="CW2" s="2222" t="s">
        <v>3014</v>
      </c>
    </row>
    <row r="3" spans="1:161" ht="16.5" thickBot="1">
      <c r="A3" s="2228"/>
      <c r="F3" s="2223" t="str">
        <f>'Exhibit No._(CTM-2), Pg. 2-6'!$L$3</f>
        <v>Dockets UE-111048/UG-111049</v>
      </c>
      <c r="G3" s="2256"/>
      <c r="H3" s="2256"/>
      <c r="I3" s="2256"/>
      <c r="K3" s="2223" t="str">
        <f>'Exhibit No._(CTM-2), Pg. 2-6'!$L$3</f>
        <v>Dockets UE-111048/UG-111049</v>
      </c>
      <c r="L3" s="2279"/>
      <c r="M3" s="2279"/>
      <c r="N3" s="2279"/>
      <c r="O3" s="2223" t="str">
        <f>'Exhibit No._(CTM-2), Pg. 2-6'!$L$3</f>
        <v>Dockets UE-111048/UG-111049</v>
      </c>
      <c r="S3" s="2223" t="str">
        <f>'Exhibit No._(CTM-2), Pg. 2-6'!$L$3</f>
        <v>Dockets UE-111048/UG-111049</v>
      </c>
      <c r="W3" s="2223" t="str">
        <f>'Exhibit No._(CTM-2), Pg. 2-6'!$L$3</f>
        <v>Dockets UE-111048/UG-111049</v>
      </c>
      <c r="X3" s="2228"/>
      <c r="Z3" s="2280"/>
      <c r="AB3" s="2223" t="str">
        <f>'Exhibit No._(CTM-2), Pg. 2-6'!$L$3</f>
        <v>Dockets UE-111048/UG-111049</v>
      </c>
      <c r="AC3" s="2228"/>
      <c r="AD3" s="2228"/>
      <c r="AG3" s="2223" t="str">
        <f>'Exhibit No._(CTM-2), Pg. 2-6'!$L$3</f>
        <v>Dockets UE-111048/UG-111049</v>
      </c>
      <c r="AH3" s="2228"/>
      <c r="AI3" s="2229"/>
      <c r="AJ3" s="2230"/>
      <c r="AK3" s="2230"/>
      <c r="AL3" s="2223" t="str">
        <f>'Exhibit No._(CTM-2), Pg. 2-6'!$L$3</f>
        <v>Dockets UE-111048/UG-111049</v>
      </c>
      <c r="AM3" s="2228"/>
      <c r="AN3" s="2273"/>
      <c r="AO3" s="2273"/>
      <c r="AP3" s="2273"/>
      <c r="AQ3" s="2273"/>
      <c r="AR3" s="2273"/>
      <c r="AS3" s="2223" t="str">
        <f>'Exhibit No._(CTM-2), Pg. 2-6'!$L$3</f>
        <v>Dockets UE-111048/UG-111049</v>
      </c>
      <c r="AT3" s="2228"/>
      <c r="AU3" s="2228"/>
      <c r="AX3" s="2223" t="str">
        <f>'Exhibit No._(CTM-2), Pg. 2-6'!$L$3</f>
        <v>Dockets UE-111048/UG-111049</v>
      </c>
      <c r="AY3" s="2228"/>
      <c r="BC3" s="2223" t="str">
        <f>'Exhibit No._(CTM-2), Pg. 2-6'!$L$3</f>
        <v>Dockets UE-111048/UG-111049</v>
      </c>
      <c r="BD3" s="2228"/>
      <c r="BG3" s="2223" t="str">
        <f>'Exhibit No._(CTM-2), Pg. 2-6'!$L$3</f>
        <v>Dockets UE-111048/UG-111049</v>
      </c>
      <c r="BH3" s="2228"/>
      <c r="BI3" s="2256"/>
      <c r="BJ3" s="2256"/>
      <c r="BK3" s="2256"/>
      <c r="BL3" s="2223" t="str">
        <f>'Exhibit No._(CTM-2), Pg. 2-6'!$L$3</f>
        <v>Dockets UE-111048/UG-111049</v>
      </c>
      <c r="BM3" s="2228"/>
      <c r="BN3" s="2281"/>
      <c r="BO3" s="2281"/>
      <c r="BP3" s="2223" t="str">
        <f>'Exhibit No._(CTM-2), Pg. 2-6'!$L$3</f>
        <v>Dockets UE-111048/UG-111049</v>
      </c>
      <c r="BQ3" s="2228"/>
      <c r="BR3" s="2282"/>
      <c r="BT3" s="2223" t="str">
        <f>'Exhibit No._(CTM-2), Pg. 2-6'!$L$3</f>
        <v>Dockets UE-111048/UG-111049</v>
      </c>
      <c r="BU3" s="2228"/>
      <c r="BV3" s="2229"/>
      <c r="BW3" s="2229"/>
      <c r="BX3" s="2223" t="str">
        <f>'Exhibit No._(CTM-2), Pg. 2-6'!$L$3</f>
        <v>Dockets UE-111048/UG-111049</v>
      </c>
      <c r="BY3" s="2228"/>
      <c r="CC3" s="2223" t="str">
        <f>'Exhibit No._(CTM-2), Pg. 2-6'!$L$3</f>
        <v>Dockets UE-111048/UG-111049</v>
      </c>
      <c r="CD3" s="2228"/>
      <c r="CE3" s="2228"/>
      <c r="CH3" s="2223" t="str">
        <f>'Exhibit No._(CTM-2), Pg. 2-6'!$L$3</f>
        <v>Dockets UE-111048/UG-111049</v>
      </c>
      <c r="CI3" s="2228"/>
      <c r="CJ3" s="2228"/>
      <c r="CN3" s="2223" t="str">
        <f>'Exhibit No._(CTM-2), Pg. 2-6'!$L$3</f>
        <v>Dockets UE-111048/UG-111049</v>
      </c>
      <c r="CO3" s="2228"/>
      <c r="CP3" s="2228"/>
      <c r="CS3" s="2223" t="str">
        <f>'Exhibit No._(CTM-2), Pg. 2-6'!$L$3</f>
        <v>Dockets UE-111048/UG-111049</v>
      </c>
      <c r="CT3" s="2228"/>
      <c r="CU3" s="2228"/>
      <c r="CW3" s="2223" t="str">
        <f>'Exhibit No._(CTM-2), Pg. 2-6'!$L$3</f>
        <v>Dockets UE-111048/UG-111049</v>
      </c>
      <c r="CX3" s="2776"/>
      <c r="CY3" s="2776"/>
      <c r="CZ3" s="2776"/>
      <c r="DA3" s="2776"/>
      <c r="DB3" s="2776"/>
      <c r="DC3" s="2776"/>
      <c r="DD3" s="2776"/>
      <c r="DE3" s="2776"/>
      <c r="DF3" s="2776"/>
      <c r="DG3" s="2776"/>
    </row>
    <row r="4" spans="1:161" s="2267" customFormat="1" ht="16.5" thickBot="1">
      <c r="A4" s="2229"/>
      <c r="F4" s="2283" t="str">
        <f>"Page "&amp;F1&amp;" of "&amp;'Exhibit No._(CTM-2), Pg. 32-34'!$N$1</f>
        <v>Page 10 of 34</v>
      </c>
      <c r="G4" s="2284"/>
      <c r="H4" s="2284"/>
      <c r="I4" s="2284"/>
      <c r="K4" s="2283" t="str">
        <f>"Page "&amp;K1&amp;" of "&amp;'Exhibit No._(CTM-2), Pg. 32-34'!$N$1</f>
        <v>Page 11 of 34</v>
      </c>
      <c r="L4" s="2285"/>
      <c r="M4" s="2285"/>
      <c r="N4" s="2285"/>
      <c r="O4" s="2283" t="str">
        <f>"Page "&amp;O1&amp;" of "&amp;'Exhibit No._(CTM-2), Pg. 32-34'!$N$1</f>
        <v>Page 12 of 34</v>
      </c>
      <c r="S4" s="2283" t="str">
        <f>"Page "&amp;S1&amp;" of "&amp;'Exhibit No._(CTM-2), Pg. 32-34'!$N$1</f>
        <v>Page 13 of 34</v>
      </c>
      <c r="U4" s="2286" t="s">
        <v>18</v>
      </c>
      <c r="W4" s="2283" t="str">
        <f>"Page "&amp;W1&amp;" of "&amp;'Exhibit No._(CTM-2), Pg. 32-34'!$N$1</f>
        <v>Page 14 of 34</v>
      </c>
      <c r="Z4" s="2287"/>
      <c r="AA4" s="2229"/>
      <c r="AB4" s="2283" t="str">
        <f>"Page "&amp;AB1&amp;" of "&amp;'Exhibit No._(CTM-2), Pg. 32-34'!$N$1</f>
        <v>Page 15 of 34</v>
      </c>
      <c r="AC4" s="2288"/>
      <c r="AD4" s="2289"/>
      <c r="AE4" s="2288"/>
      <c r="AF4" s="2288"/>
      <c r="AG4" s="2283" t="str">
        <f>"Page "&amp;AG1&amp;" of "&amp;'Exhibit No._(CTM-2), Pg. 32-34'!$N$1</f>
        <v>Page 16 of 34</v>
      </c>
      <c r="AL4" s="2283" t="str">
        <f>"Page "&amp;AL1&amp;" of "&amp;'Exhibit No._(CTM-2), Pg. 32-34'!$N$1</f>
        <v>Page 17 of 34</v>
      </c>
      <c r="AN4" s="2290"/>
      <c r="AO4" s="2290"/>
      <c r="AP4" s="2290"/>
      <c r="AQ4" s="2290"/>
      <c r="AR4" s="2290"/>
      <c r="AS4" s="2283" t="str">
        <f>"Page "&amp;AS1&amp;" of "&amp;'Exhibit No._(CTM-2), Pg. 32-34'!$N$1</f>
        <v>Page 18 of 34</v>
      </c>
      <c r="AT4" s="2288"/>
      <c r="AU4" s="2289"/>
      <c r="AV4" s="2288"/>
      <c r="AW4" s="2288"/>
      <c r="AX4" s="2283" t="str">
        <f>"Page "&amp;AX1&amp;" of "&amp;'Exhibit No._(CTM-2), Pg. 32-34'!$N$1</f>
        <v>Page 19 of 34</v>
      </c>
      <c r="BC4" s="2283" t="str">
        <f>"Page "&amp;BC1&amp;" of "&amp;'Exhibit No._(CTM-2), Pg. 32-34'!$N$1</f>
        <v>Page 20 of 34</v>
      </c>
      <c r="BG4" s="2283" t="str">
        <f>"Page "&amp;BG1&amp;" of "&amp;'Exhibit No._(CTM-2), Pg. 32-34'!$N$1</f>
        <v>Page 21 of 34</v>
      </c>
      <c r="BH4" s="2291"/>
      <c r="BI4" s="2292"/>
      <c r="BJ4" s="2292"/>
      <c r="BK4" s="2292"/>
      <c r="BL4" s="2283" t="str">
        <f>"Page "&amp;BL1&amp;" of "&amp;'Exhibit No._(CTM-2), Pg. 32-34'!$N$1</f>
        <v>Page 22 of 34</v>
      </c>
      <c r="BN4" s="2289"/>
      <c r="BO4" s="2289"/>
      <c r="BP4" s="2283" t="str">
        <f>"Page "&amp;BP1&amp;" of "&amp;'Exhibit No._(CTM-2), Pg. 32-34'!$N$1</f>
        <v>Page 23 of 34</v>
      </c>
      <c r="BQ4" s="2293"/>
      <c r="BR4" s="2294"/>
      <c r="BS4" s="2293"/>
      <c r="BT4" s="2283" t="str">
        <f>"Page "&amp;BT1&amp;" of "&amp;'Exhibit No._(CTM-2), Pg. 32-34'!$N$1</f>
        <v>Page 24 of 34</v>
      </c>
      <c r="BU4" s="2229"/>
      <c r="BV4" s="2229"/>
      <c r="BW4" s="2229"/>
      <c r="BX4" s="2283" t="str">
        <f>"Page "&amp;BX1&amp;" of "&amp;'Exhibit No._(CTM-2), Pg. 32-34'!$N$1</f>
        <v>Page 25 of 34</v>
      </c>
      <c r="CC4" s="2283" t="str">
        <f>"Page "&amp;CC1&amp;" of "&amp;'Exhibit No._(CTM-2), Pg. 32-34'!$N$1</f>
        <v>Page 26 of 34</v>
      </c>
      <c r="CH4" s="2283" t="str">
        <f>"Page "&amp;CH1&amp;" of "&amp;'Exhibit No._(CTM-2), Pg. 32-34'!$N$1</f>
        <v>Page 27 of 34</v>
      </c>
      <c r="CJ4" s="2229"/>
      <c r="CN4" s="2283" t="str">
        <f>"Page "&amp;CN1&amp;" of "&amp;'Exhibit No._(CTM-2), Pg. 32-34'!$N$1</f>
        <v>Page 28 of 34</v>
      </c>
      <c r="CP4" s="2229"/>
      <c r="CS4" s="2283" t="str">
        <f>"Page "&amp;CS1&amp;" of "&amp;'Exhibit No._(CTM-2), Pg. 32-34'!$N$1</f>
        <v>Page 29 of 34</v>
      </c>
      <c r="CW4" s="2283" t="str">
        <f>"Page "&amp;CW1&amp;" of "&amp;'Exhibit No._(CTM-2), Pg. 32-34'!$N$1</f>
        <v>Page 30 of 34</v>
      </c>
      <c r="CX4" s="2777"/>
      <c r="CY4" s="2777"/>
      <c r="CZ4" s="2777"/>
      <c r="DA4" s="2777"/>
      <c r="DB4" s="2777"/>
      <c r="DC4" s="2777"/>
      <c r="DD4" s="2777"/>
      <c r="DE4" s="2777"/>
      <c r="DF4" s="2777"/>
      <c r="DG4" s="2777"/>
    </row>
    <row r="5" spans="1:161" s="2228" customFormat="1">
      <c r="A5" s="2235" t="s">
        <v>20</v>
      </c>
      <c r="B5" s="2237"/>
      <c r="C5" s="2237"/>
      <c r="D5" s="2237"/>
      <c r="E5" s="2237"/>
      <c r="F5" s="2237"/>
      <c r="G5" s="2235" t="s">
        <v>976</v>
      </c>
      <c r="H5" s="2237"/>
      <c r="I5" s="2237"/>
      <c r="J5" s="2237"/>
      <c r="K5" s="2295"/>
      <c r="L5" s="2296" t="s">
        <v>20</v>
      </c>
      <c r="M5" s="2296"/>
      <c r="N5" s="2296"/>
      <c r="O5" s="2296"/>
      <c r="P5" s="2235" t="s">
        <v>976</v>
      </c>
      <c r="Q5" s="2237"/>
      <c r="R5" s="2237"/>
      <c r="S5" s="2295"/>
      <c r="T5" s="2235" t="s">
        <v>976</v>
      </c>
      <c r="U5" s="2237"/>
      <c r="V5" s="2237"/>
      <c r="W5" s="2237"/>
      <c r="X5" s="2235" t="s">
        <v>976</v>
      </c>
      <c r="Y5" s="2237"/>
      <c r="Z5" s="2297"/>
      <c r="AA5" s="2237"/>
      <c r="AB5" s="2237"/>
      <c r="AC5" s="2235" t="s">
        <v>976</v>
      </c>
      <c r="AD5" s="2298"/>
      <c r="AE5" s="2298"/>
      <c r="AF5" s="2298"/>
      <c r="AG5" s="2298"/>
      <c r="AH5" s="2235" t="s">
        <v>976</v>
      </c>
      <c r="AI5" s="2237"/>
      <c r="AJ5" s="2237"/>
      <c r="AK5" s="2237"/>
      <c r="AL5" s="2237"/>
      <c r="AM5" s="2235" t="s">
        <v>976</v>
      </c>
      <c r="AN5" s="2237"/>
      <c r="AO5" s="2237"/>
      <c r="AP5" s="2237"/>
      <c r="AQ5" s="2237"/>
      <c r="AR5" s="2237"/>
      <c r="AS5" s="2237"/>
      <c r="AT5" s="2235" t="s">
        <v>976</v>
      </c>
      <c r="AU5" s="2298"/>
      <c r="AV5" s="2298"/>
      <c r="AW5" s="2298"/>
      <c r="AX5" s="2298"/>
      <c r="AY5" s="2235" t="s">
        <v>976</v>
      </c>
      <c r="AZ5" s="2237"/>
      <c r="BA5" s="2237"/>
      <c r="BB5" s="2237"/>
      <c r="BC5" s="2237"/>
      <c r="BD5" s="2235" t="s">
        <v>976</v>
      </c>
      <c r="BE5" s="2237"/>
      <c r="BF5" s="2237"/>
      <c r="BG5" s="2237"/>
      <c r="BH5" s="2235" t="s">
        <v>976</v>
      </c>
      <c r="BI5" s="2299"/>
      <c r="BJ5" s="2299"/>
      <c r="BK5" s="2299"/>
      <c r="BL5" s="2300"/>
      <c r="BM5" s="2235" t="s">
        <v>976</v>
      </c>
      <c r="BN5" s="2298"/>
      <c r="BO5" s="2298"/>
      <c r="BP5" s="2298"/>
      <c r="BQ5" s="2235" t="s">
        <v>976</v>
      </c>
      <c r="BR5" s="2237"/>
      <c r="BS5" s="2237"/>
      <c r="BT5" s="2237"/>
      <c r="BU5" s="2235" t="s">
        <v>976</v>
      </c>
      <c r="BV5" s="2298"/>
      <c r="BW5" s="2298"/>
      <c r="BX5" s="2298"/>
      <c r="BY5" s="2235" t="s">
        <v>976</v>
      </c>
      <c r="BZ5" s="2237"/>
      <c r="CA5" s="2237"/>
      <c r="CB5" s="2237"/>
      <c r="CC5" s="2237"/>
      <c r="CD5" s="2235" t="s">
        <v>976</v>
      </c>
      <c r="CE5" s="2237"/>
      <c r="CF5" s="2237"/>
      <c r="CG5" s="2237"/>
      <c r="CH5" s="2237"/>
      <c r="CI5" s="2235" t="s">
        <v>976</v>
      </c>
      <c r="CJ5" s="2237"/>
      <c r="CK5" s="2237"/>
      <c r="CL5" s="2237"/>
      <c r="CM5" s="2237"/>
      <c r="CN5" s="2237"/>
      <c r="CO5" s="2235" t="s">
        <v>976</v>
      </c>
      <c r="CP5" s="2235"/>
      <c r="CQ5" s="2235"/>
      <c r="CR5" s="2235"/>
      <c r="CS5" s="2237"/>
      <c r="CT5" s="2235" t="s">
        <v>976</v>
      </c>
      <c r="CU5" s="2235"/>
      <c r="CV5" s="2235"/>
      <c r="CW5" s="2235"/>
    </row>
    <row r="6" spans="1:161" s="2228" customFormat="1">
      <c r="A6" s="2235" t="s">
        <v>209</v>
      </c>
      <c r="B6" s="2235"/>
      <c r="C6" s="2235"/>
      <c r="D6" s="2235"/>
      <c r="E6" s="2237"/>
      <c r="F6" s="2301"/>
      <c r="G6" s="2237" t="s">
        <v>245</v>
      </c>
      <c r="H6" s="2237"/>
      <c r="I6" s="2237"/>
      <c r="J6" s="2237"/>
      <c r="K6" s="2295"/>
      <c r="L6" s="2296" t="s">
        <v>229</v>
      </c>
      <c r="M6" s="2296"/>
      <c r="N6" s="2296"/>
      <c r="O6" s="2296"/>
      <c r="P6" s="2237" t="s">
        <v>87</v>
      </c>
      <c r="Q6" s="2237"/>
      <c r="R6" s="2237"/>
      <c r="S6" s="2295"/>
      <c r="T6" s="2237" t="s">
        <v>133</v>
      </c>
      <c r="U6" s="2237"/>
      <c r="V6" s="2237"/>
      <c r="W6" s="2237"/>
      <c r="X6" s="2237" t="s">
        <v>135</v>
      </c>
      <c r="Y6" s="2237"/>
      <c r="Z6" s="2297"/>
      <c r="AA6" s="2237"/>
      <c r="AB6" s="2302"/>
      <c r="AC6" s="2237" t="s">
        <v>375</v>
      </c>
      <c r="AD6" s="2298"/>
      <c r="AE6" s="2298"/>
      <c r="AF6" s="2298"/>
      <c r="AG6" s="2298"/>
      <c r="AH6" s="2235" t="s">
        <v>385</v>
      </c>
      <c r="AI6" s="2237"/>
      <c r="AJ6" s="2235"/>
      <c r="AK6" s="2235"/>
      <c r="AL6" s="2237"/>
      <c r="AM6" s="2235" t="s">
        <v>134</v>
      </c>
      <c r="AN6" s="2237"/>
      <c r="AO6" s="2237"/>
      <c r="AP6" s="2237"/>
      <c r="AQ6" s="2237"/>
      <c r="AR6" s="2237"/>
      <c r="AS6" s="2237"/>
      <c r="AT6" s="2237" t="s">
        <v>159</v>
      </c>
      <c r="AU6" s="2298"/>
      <c r="AV6" s="2298"/>
      <c r="AW6" s="2298"/>
      <c r="AX6" s="2298"/>
      <c r="AY6" s="2237" t="s">
        <v>136</v>
      </c>
      <c r="AZ6" s="2237"/>
      <c r="BA6" s="2237"/>
      <c r="BB6" s="2237"/>
      <c r="BC6" s="2302"/>
      <c r="BD6" s="2237" t="s">
        <v>453</v>
      </c>
      <c r="BE6" s="2237"/>
      <c r="BF6" s="2237"/>
      <c r="BG6" s="2302"/>
      <c r="BH6" s="2296" t="s">
        <v>170</v>
      </c>
      <c r="BI6" s="2299"/>
      <c r="BJ6" s="2299"/>
      <c r="BK6" s="2299"/>
      <c r="BL6" s="2302"/>
      <c r="BM6" s="2237" t="s">
        <v>179</v>
      </c>
      <c r="BN6" s="2298"/>
      <c r="BO6" s="2298"/>
      <c r="BP6" s="2298"/>
      <c r="BQ6" s="2237" t="s">
        <v>139</v>
      </c>
      <c r="BR6" s="2237"/>
      <c r="BS6" s="2237"/>
      <c r="BT6" s="2302"/>
      <c r="BU6" s="2296" t="s">
        <v>180</v>
      </c>
      <c r="BV6" s="2298"/>
      <c r="BW6" s="2298"/>
      <c r="BX6" s="2298"/>
      <c r="BY6" s="2235" t="s">
        <v>140</v>
      </c>
      <c r="BZ6" s="2302"/>
      <c r="CA6" s="2302"/>
      <c r="CB6" s="2302"/>
      <c r="CC6" s="2302"/>
      <c r="CD6" s="2235" t="s">
        <v>143</v>
      </c>
      <c r="CE6" s="2302"/>
      <c r="CF6" s="2302"/>
      <c r="CG6" s="2302"/>
      <c r="CH6" s="2302"/>
      <c r="CI6" s="2237" t="s">
        <v>137</v>
      </c>
      <c r="CJ6" s="2237"/>
      <c r="CK6" s="2237"/>
      <c r="CL6" s="2237"/>
      <c r="CM6" s="2237"/>
      <c r="CN6" s="2302"/>
      <c r="CO6" s="2237" t="s">
        <v>105</v>
      </c>
      <c r="CP6" s="2237"/>
      <c r="CQ6" s="2237"/>
      <c r="CR6" s="2237"/>
      <c r="CS6" s="2237"/>
      <c r="CT6" s="2237" t="s">
        <v>138</v>
      </c>
      <c r="CU6" s="2237"/>
      <c r="CV6" s="2237"/>
      <c r="CW6" s="2237"/>
    </row>
    <row r="7" spans="1:161" s="2228" customFormat="1">
      <c r="A7" s="2237" t="s">
        <v>447</v>
      </c>
      <c r="B7" s="2235"/>
      <c r="C7" s="2235"/>
      <c r="D7" s="2235"/>
      <c r="E7" s="2237"/>
      <c r="F7" s="2238"/>
      <c r="G7" s="2237" t="s">
        <v>978</v>
      </c>
      <c r="H7" s="2237"/>
      <c r="I7" s="2237"/>
      <c r="J7" s="2237"/>
      <c r="K7" s="2295"/>
      <c r="L7" s="2237" t="s">
        <v>978</v>
      </c>
      <c r="M7" s="2237"/>
      <c r="N7" s="2237"/>
      <c r="O7" s="2237"/>
      <c r="P7" s="2237" t="s">
        <v>978</v>
      </c>
      <c r="Q7" s="2237"/>
      <c r="R7" s="2237"/>
      <c r="S7" s="2295"/>
      <c r="T7" s="2237" t="s">
        <v>978</v>
      </c>
      <c r="U7" s="2237"/>
      <c r="V7" s="2237"/>
      <c r="W7" s="2238"/>
      <c r="X7" s="2237" t="s">
        <v>978</v>
      </c>
      <c r="Y7" s="2237"/>
      <c r="Z7" s="2297"/>
      <c r="AA7" s="2237"/>
      <c r="AB7" s="2238"/>
      <c r="AC7" s="2237" t="s">
        <v>978</v>
      </c>
      <c r="AD7" s="2298"/>
      <c r="AE7" s="2298"/>
      <c r="AF7" s="2298"/>
      <c r="AG7" s="2298"/>
      <c r="AH7" s="2237" t="s">
        <v>978</v>
      </c>
      <c r="AI7" s="2237"/>
      <c r="AJ7" s="2235"/>
      <c r="AK7" s="2235"/>
      <c r="AL7" s="2237"/>
      <c r="AM7" s="2235" t="s">
        <v>978</v>
      </c>
      <c r="AN7" s="2237"/>
      <c r="AO7" s="2237"/>
      <c r="AP7" s="2237"/>
      <c r="AQ7" s="2237"/>
      <c r="AR7" s="2237"/>
      <c r="AS7" s="2237"/>
      <c r="AT7" s="2237" t="s">
        <v>978</v>
      </c>
      <c r="AU7" s="2298"/>
      <c r="AV7" s="2298"/>
      <c r="AW7" s="2298"/>
      <c r="AX7" s="2298"/>
      <c r="AY7" s="2237" t="s">
        <v>978</v>
      </c>
      <c r="AZ7" s="2235"/>
      <c r="BA7" s="2237"/>
      <c r="BB7" s="2237"/>
      <c r="BC7" s="2303"/>
      <c r="BD7" s="2237" t="s">
        <v>978</v>
      </c>
      <c r="BE7" s="2235"/>
      <c r="BF7" s="2237"/>
      <c r="BG7" s="2303"/>
      <c r="BH7" s="2237" t="s">
        <v>978</v>
      </c>
      <c r="BI7" s="2299"/>
      <c r="BJ7" s="2299"/>
      <c r="BK7" s="2299"/>
      <c r="BL7" s="2238"/>
      <c r="BM7" s="2237" t="s">
        <v>978</v>
      </c>
      <c r="BN7" s="2298"/>
      <c r="BO7" s="2298"/>
      <c r="BP7" s="2298"/>
      <c r="BQ7" s="2237" t="s">
        <v>978</v>
      </c>
      <c r="BR7" s="2235"/>
      <c r="BS7" s="2237"/>
      <c r="BT7" s="2238"/>
      <c r="BU7" s="2237" t="s">
        <v>978</v>
      </c>
      <c r="BV7" s="2298"/>
      <c r="BW7" s="2298"/>
      <c r="BX7" s="2298"/>
      <c r="BY7" s="2237" t="s">
        <v>978</v>
      </c>
      <c r="BZ7" s="2238"/>
      <c r="CA7" s="2238"/>
      <c r="CB7" s="2238"/>
      <c r="CC7" s="2238"/>
      <c r="CD7" s="2237" t="s">
        <v>978</v>
      </c>
      <c r="CE7" s="2238"/>
      <c r="CF7" s="2238"/>
      <c r="CG7" s="2238"/>
      <c r="CH7" s="2238"/>
      <c r="CI7" s="2237" t="s">
        <v>978</v>
      </c>
      <c r="CJ7" s="2237"/>
      <c r="CK7" s="2237"/>
      <c r="CL7" s="2237"/>
      <c r="CM7" s="2237"/>
      <c r="CN7" s="2238"/>
      <c r="CO7" s="2237" t="s">
        <v>978</v>
      </c>
      <c r="CP7" s="2237"/>
      <c r="CQ7" s="2237"/>
      <c r="CR7" s="2237"/>
      <c r="CS7" s="2237"/>
      <c r="CT7" s="2237" t="s">
        <v>978</v>
      </c>
      <c r="CU7" s="2237"/>
      <c r="CV7" s="2237"/>
      <c r="CW7" s="2237"/>
    </row>
    <row r="8" spans="1:161" s="2228" customFormat="1">
      <c r="A8" s="2235" t="str">
        <f>"Adjustment Number - "&amp;'Exhibit No._(CTM-2), Pg. 2-6'!Q$13</f>
        <v>Adjustment Number - 6.01</v>
      </c>
      <c r="B8" s="2235"/>
      <c r="C8" s="2235"/>
      <c r="D8" s="2235"/>
      <c r="E8" s="2237"/>
      <c r="F8" s="2237"/>
      <c r="G8" s="2235" t="str">
        <f>"Adjustment Number - "&amp;'Exhibit No._(CTM-2), Pg. 2-6'!R$13</f>
        <v>Adjustment Number - 6.02</v>
      </c>
      <c r="H8" s="2235"/>
      <c r="I8" s="2237"/>
      <c r="J8" s="2235"/>
      <c r="K8" s="2295"/>
      <c r="L8" s="2235" t="str">
        <f>"Adjustment Number - "&amp;'Exhibit No._(CTM-2), Pg. 2-6'!S$13</f>
        <v>Adjustment Number - 6.03</v>
      </c>
      <c r="M8" s="2235"/>
      <c r="N8" s="2235"/>
      <c r="O8" s="2235"/>
      <c r="P8" s="2235" t="str">
        <f>"Adjustment Number - "&amp;'Exhibit No._(CTM-2), Pg. 2-6'!T$13</f>
        <v>Adjustment Number - 6.04</v>
      </c>
      <c r="Q8" s="2235"/>
      <c r="R8" s="2235"/>
      <c r="S8" s="2295"/>
      <c r="T8" s="2235" t="str">
        <f>"Adjustment Number - "&amp;'Exhibit No._(CTM-2), Pg. 2-6'!U$13</f>
        <v>Adjustment Number - 6.05</v>
      </c>
      <c r="U8" s="2235"/>
      <c r="V8" s="2235"/>
      <c r="W8" s="2235"/>
      <c r="X8" s="2235" t="str">
        <f>"Adjustment Number - "&amp;'Exhibit No._(CTM-2), Pg. 2-6'!V$13</f>
        <v>Adjustment Number - 6.06</v>
      </c>
      <c r="Y8" s="2237"/>
      <c r="Z8" s="2297"/>
      <c r="AA8" s="2237"/>
      <c r="AB8" s="2237"/>
      <c r="AC8" s="2235" t="str">
        <f>"Adjustment Number - "&amp;'Exhibit No._(CTM-2), Pg. 2-6'!W$13</f>
        <v>Adjustment Number - 6.07</v>
      </c>
      <c r="AD8" s="2298"/>
      <c r="AE8" s="2298"/>
      <c r="AF8" s="2298"/>
      <c r="AG8" s="2298"/>
      <c r="AH8" s="2235" t="str">
        <f>"Adjustment Number - "&amp;'Exhibit No._(CTM-2), Pg. 2-6'!X$13</f>
        <v>Adjustment Number - 6.08</v>
      </c>
      <c r="AI8" s="2237"/>
      <c r="AJ8" s="2235"/>
      <c r="AK8" s="2235"/>
      <c r="AL8" s="2235"/>
      <c r="AM8" s="2235" t="str">
        <f>"Adjustment Number - "&amp;'Exhibit No._(CTM-2), Pg. 2-6'!Y$13</f>
        <v>Adjustment Number - 6.09</v>
      </c>
      <c r="AN8" s="2237"/>
      <c r="AO8" s="2237"/>
      <c r="AP8" s="2237"/>
      <c r="AQ8" s="2237"/>
      <c r="AR8" s="2237"/>
      <c r="AS8" s="2237"/>
      <c r="AT8" s="2304" t="str">
        <f>"Adjustment Number - 6.10"</f>
        <v>Adjustment Number - 6.10</v>
      </c>
      <c r="AU8" s="2298"/>
      <c r="AV8" s="2298"/>
      <c r="AW8" s="2298"/>
      <c r="AX8" s="2298"/>
      <c r="AY8" s="2235" t="str">
        <f>"Adjustment Number - "&amp;'Exhibit No._(CTM-2), Pg. 2-6'!AA$13</f>
        <v>Adjustment Number - 6.11</v>
      </c>
      <c r="AZ8" s="2235"/>
      <c r="BA8" s="2235"/>
      <c r="BB8" s="2237"/>
      <c r="BC8" s="2303"/>
      <c r="BD8" s="2235" t="str">
        <f>"Adjustment Number - "&amp;'Exhibit No._(CTM-2), Pg. 2-6'!AB$13</f>
        <v>Adjustment Number - 6.12</v>
      </c>
      <c r="BE8" s="2235"/>
      <c r="BF8" s="2237"/>
      <c r="BG8" s="2303"/>
      <c r="BH8" s="2235" t="str">
        <f>"Adjustment Number - "&amp;'Exhibit No._(CTM-2), Pg. 2-6'!AC$13</f>
        <v>Adjustment Number - 6.13</v>
      </c>
      <c r="BI8" s="2299"/>
      <c r="BJ8" s="2299"/>
      <c r="BK8" s="2296"/>
      <c r="BL8" s="2238"/>
      <c r="BM8" s="2235" t="str">
        <f>"Adjustment Number - "&amp;'Exhibit No._(CTM-2), Pg. 2-6'!AD$13</f>
        <v>Adjustment Number - 6.14</v>
      </c>
      <c r="BN8" s="2298"/>
      <c r="BO8" s="2298"/>
      <c r="BP8" s="2298"/>
      <c r="BQ8" s="2235" t="str">
        <f>"Adjustment Number - "&amp;'Exhibit No._(CTM-2), Pg. 2-6'!AE$13</f>
        <v>Adjustment Number - 6.15</v>
      </c>
      <c r="BR8" s="2235"/>
      <c r="BS8" s="2237"/>
      <c r="BT8" s="2237"/>
      <c r="BU8" s="2235" t="str">
        <f>"Adjustment Number - "&amp;'Exhibit No._(CTM-2), Pg. 2-6'!AF$13</f>
        <v>Adjustment Number - 6.16</v>
      </c>
      <c r="BV8" s="2298"/>
      <c r="BW8" s="2298"/>
      <c r="BX8" s="2298"/>
      <c r="BY8" s="2235" t="str">
        <f>"Adjustment Number - "&amp;'Exhibit No._(CTM-2), Pg. 2-6'!AG$13</f>
        <v>Adjustment Number - 6.17</v>
      </c>
      <c r="BZ8" s="2237"/>
      <c r="CA8" s="2237"/>
      <c r="CB8" s="2237"/>
      <c r="CC8" s="2237"/>
      <c r="CD8" s="2235" t="str">
        <f>"Adjustment Number - "&amp;'Exhibit No._(CTM-2), Pg. 2-6'!AH$13</f>
        <v>Adjustment Number - 6.18</v>
      </c>
      <c r="CE8" s="2237"/>
      <c r="CF8" s="2237"/>
      <c r="CG8" s="2237"/>
      <c r="CH8" s="2237"/>
      <c r="CI8" s="2235" t="str">
        <f>"Adjustment Number - "&amp;'Exhibit No._(CTM-2), Pg. 2-6'!AI$13</f>
        <v>Adjustment Number - 6.19</v>
      </c>
      <c r="CJ8" s="2237"/>
      <c r="CK8" s="2237"/>
      <c r="CL8" s="2237"/>
      <c r="CM8" s="2237"/>
      <c r="CN8" s="2238"/>
      <c r="CO8" s="2235" t="str">
        <f>"Adjustment Number - 6.20"</f>
        <v>Adjustment Number - 6.20</v>
      </c>
      <c r="CP8" s="2237"/>
      <c r="CQ8" s="2237"/>
      <c r="CR8" s="2237"/>
      <c r="CS8" s="2237"/>
      <c r="CT8" s="2235" t="str">
        <f>"Adjustment Number - "&amp;'Exhibit No._(CTM-2), Pg. 2-6'!AK$13</f>
        <v>Adjustment Number - 6.21</v>
      </c>
      <c r="CU8" s="2235"/>
      <c r="CV8" s="2235"/>
      <c r="CW8" s="2235"/>
    </row>
    <row r="9" spans="1:161" s="2228" customFormat="1">
      <c r="G9" s="2305"/>
      <c r="H9" s="2306"/>
      <c r="I9" s="2306"/>
      <c r="J9" s="2306"/>
      <c r="K9" s="2306"/>
      <c r="L9" s="2307"/>
      <c r="M9" s="2308"/>
      <c r="N9" s="2308"/>
      <c r="O9" s="2282"/>
      <c r="Q9" s="2309"/>
      <c r="R9" s="2309"/>
      <c r="S9" s="2310"/>
      <c r="U9" s="2309"/>
      <c r="V9" s="2311"/>
      <c r="W9" s="2311"/>
      <c r="X9" s="2312"/>
      <c r="Z9" s="2313"/>
      <c r="AP9" s="2314"/>
      <c r="AQ9" s="2314"/>
      <c r="AR9" s="2314"/>
      <c r="AZ9" s="2309"/>
      <c r="BA9" s="2309"/>
      <c r="BE9" s="2309"/>
      <c r="BH9" s="2277"/>
      <c r="BI9" s="2279"/>
      <c r="BJ9" s="2279"/>
      <c r="BK9" s="2315"/>
      <c r="BL9" s="2315"/>
      <c r="CJ9" s="2309"/>
      <c r="CK9" s="2309"/>
      <c r="CL9" s="2309"/>
      <c r="CT9" s="2316"/>
      <c r="CU9" s="2309"/>
    </row>
    <row r="10" spans="1:161" s="2228" customFormat="1">
      <c r="A10" s="2317" t="s">
        <v>24</v>
      </c>
      <c r="B10" s="2309"/>
      <c r="E10" s="2317"/>
      <c r="F10" s="2317"/>
      <c r="G10" s="2317" t="s">
        <v>24</v>
      </c>
      <c r="H10" s="2306"/>
      <c r="I10" s="2306"/>
      <c r="J10" s="2306"/>
      <c r="K10" s="2306"/>
      <c r="L10" s="2306" t="s">
        <v>24</v>
      </c>
      <c r="M10" s="2282"/>
      <c r="N10" s="2305"/>
      <c r="O10" s="2305"/>
      <c r="P10" s="2317" t="s">
        <v>24</v>
      </c>
      <c r="S10" s="2310"/>
      <c r="T10" s="2317" t="s">
        <v>24</v>
      </c>
      <c r="V10" s="2318"/>
      <c r="W10" s="34" t="s">
        <v>18</v>
      </c>
      <c r="X10" s="2312" t="s">
        <v>26</v>
      </c>
      <c r="Z10" s="2313"/>
      <c r="AA10" s="2317"/>
      <c r="AB10" s="2317"/>
      <c r="AC10" s="2317" t="s">
        <v>24</v>
      </c>
      <c r="AE10" s="2276"/>
      <c r="AF10" s="2317"/>
      <c r="AG10" s="2317"/>
      <c r="AH10" s="2305" t="s">
        <v>24</v>
      </c>
      <c r="AI10" s="2277"/>
      <c r="AJ10" s="2277"/>
      <c r="AK10" s="2306"/>
      <c r="AL10" s="2277"/>
      <c r="AM10" s="2317" t="s">
        <v>24</v>
      </c>
      <c r="AN10" s="2309"/>
      <c r="AO10" s="2317" t="s">
        <v>164</v>
      </c>
      <c r="AP10" s="2314" t="s">
        <v>165</v>
      </c>
      <c r="AQ10" s="2314" t="s">
        <v>381</v>
      </c>
      <c r="AR10" s="2314" t="s">
        <v>164</v>
      </c>
      <c r="AT10" s="2317" t="s">
        <v>24</v>
      </c>
      <c r="AV10" s="2276"/>
      <c r="AW10" s="2317"/>
      <c r="AX10" s="2317"/>
      <c r="AY10" s="34" t="s">
        <v>24</v>
      </c>
      <c r="BD10" s="34" t="s">
        <v>24</v>
      </c>
      <c r="BH10" s="2306" t="s">
        <v>24</v>
      </c>
      <c r="BI10" s="2315"/>
      <c r="BJ10" s="2306"/>
      <c r="BK10" s="2315"/>
      <c r="BL10" s="2315"/>
      <c r="BM10" s="34" t="s">
        <v>24</v>
      </c>
      <c r="BN10" s="34"/>
      <c r="BO10" s="34"/>
      <c r="BP10" s="34"/>
      <c r="BQ10" s="34" t="s">
        <v>24</v>
      </c>
      <c r="BU10" s="34" t="s">
        <v>24</v>
      </c>
      <c r="BW10" s="34"/>
      <c r="BX10" s="34"/>
      <c r="BY10" s="2317" t="s">
        <v>24</v>
      </c>
      <c r="CD10" s="2317" t="s">
        <v>24</v>
      </c>
      <c r="CI10" s="34" t="s">
        <v>24</v>
      </c>
      <c r="CL10" s="34"/>
      <c r="CN10" s="34"/>
      <c r="CO10" s="34" t="s">
        <v>24</v>
      </c>
      <c r="CS10" s="34"/>
      <c r="CT10" s="34" t="s">
        <v>24</v>
      </c>
    </row>
    <row r="11" spans="1:161" s="2228" customFormat="1">
      <c r="A11" s="2319" t="s">
        <v>38</v>
      </c>
      <c r="B11" s="2320" t="s">
        <v>39</v>
      </c>
      <c r="C11" s="2319"/>
      <c r="D11" s="2319"/>
      <c r="E11" s="2244"/>
      <c r="F11" s="2319" t="s">
        <v>42</v>
      </c>
      <c r="G11" s="2319" t="s">
        <v>38</v>
      </c>
      <c r="H11" s="2321" t="s">
        <v>39</v>
      </c>
      <c r="I11" s="2321"/>
      <c r="J11" s="2321"/>
      <c r="K11" s="2322" t="s">
        <v>42</v>
      </c>
      <c r="L11" s="2322" t="s">
        <v>38</v>
      </c>
      <c r="M11" s="2323" t="s">
        <v>39</v>
      </c>
      <c r="N11" s="2324"/>
      <c r="O11" s="2322" t="s">
        <v>42</v>
      </c>
      <c r="P11" s="2319" t="s">
        <v>38</v>
      </c>
      <c r="Q11" s="2244" t="s">
        <v>39</v>
      </c>
      <c r="R11" s="2320"/>
      <c r="S11" s="2324" t="s">
        <v>42</v>
      </c>
      <c r="T11" s="2319" t="s">
        <v>38</v>
      </c>
      <c r="U11" s="2244" t="s">
        <v>39</v>
      </c>
      <c r="V11" s="2240"/>
      <c r="W11" s="2324" t="s">
        <v>42</v>
      </c>
      <c r="X11" s="2325" t="s">
        <v>38</v>
      </c>
      <c r="Y11" s="2244" t="s">
        <v>39</v>
      </c>
      <c r="Z11" s="2326" t="s">
        <v>36</v>
      </c>
      <c r="AA11" s="2319" t="s">
        <v>40</v>
      </c>
      <c r="AB11" s="2319" t="s">
        <v>42</v>
      </c>
      <c r="AC11" s="2240" t="s">
        <v>38</v>
      </c>
      <c r="AD11" s="2320" t="s">
        <v>39</v>
      </c>
      <c r="AE11" s="2326" t="s">
        <v>36</v>
      </c>
      <c r="AF11" s="2327" t="s">
        <v>40</v>
      </c>
      <c r="AG11" s="2319" t="s">
        <v>42</v>
      </c>
      <c r="AH11" s="2322" t="s">
        <v>38</v>
      </c>
      <c r="AI11" s="2323" t="s">
        <v>39</v>
      </c>
      <c r="AJ11" s="2324" t="s">
        <v>36</v>
      </c>
      <c r="AK11" s="2324" t="s">
        <v>40</v>
      </c>
      <c r="AL11" s="2324" t="s">
        <v>42</v>
      </c>
      <c r="AM11" s="2319" t="s">
        <v>38</v>
      </c>
      <c r="AN11" s="2241" t="s">
        <v>39</v>
      </c>
      <c r="AO11" s="2240" t="s">
        <v>166</v>
      </c>
      <c r="AP11" s="2328" t="s">
        <v>167</v>
      </c>
      <c r="AQ11" s="2328" t="s">
        <v>167</v>
      </c>
      <c r="AR11" s="2328" t="s">
        <v>167</v>
      </c>
      <c r="AS11" s="2324" t="s">
        <v>42</v>
      </c>
      <c r="AT11" s="2240" t="s">
        <v>38</v>
      </c>
      <c r="AU11" s="2320" t="s">
        <v>39</v>
      </c>
      <c r="AV11" s="2326" t="s">
        <v>36</v>
      </c>
      <c r="AW11" s="2327" t="s">
        <v>40</v>
      </c>
      <c r="AX11" s="2319" t="s">
        <v>42</v>
      </c>
      <c r="AY11" s="2240" t="s">
        <v>38</v>
      </c>
      <c r="AZ11" s="2244" t="s">
        <v>39</v>
      </c>
      <c r="BA11" s="2329" t="s">
        <v>18</v>
      </c>
      <c r="BB11" s="2329"/>
      <c r="BC11" s="2324" t="s">
        <v>42</v>
      </c>
      <c r="BD11" s="2240" t="s">
        <v>38</v>
      </c>
      <c r="BE11" s="2244" t="s">
        <v>39</v>
      </c>
      <c r="BF11" s="2329"/>
      <c r="BG11" s="2324" t="s">
        <v>42</v>
      </c>
      <c r="BH11" s="2322" t="s">
        <v>38</v>
      </c>
      <c r="BI11" s="2323" t="s">
        <v>39</v>
      </c>
      <c r="BJ11" s="2322" t="s">
        <v>43</v>
      </c>
      <c r="BK11" s="2322" t="s">
        <v>40</v>
      </c>
      <c r="BL11" s="2322" t="s">
        <v>42</v>
      </c>
      <c r="BM11" s="2240" t="s">
        <v>38</v>
      </c>
      <c r="BN11" s="2320" t="s">
        <v>39</v>
      </c>
      <c r="BO11" s="2240"/>
      <c r="BP11" s="2240" t="s">
        <v>42</v>
      </c>
      <c r="BQ11" s="2240" t="s">
        <v>38</v>
      </c>
      <c r="BR11" s="2241" t="s">
        <v>39</v>
      </c>
      <c r="BS11" s="2244"/>
      <c r="BT11" s="2324" t="s">
        <v>42</v>
      </c>
      <c r="BU11" s="2240" t="s">
        <v>38</v>
      </c>
      <c r="BV11" s="2244" t="s">
        <v>39</v>
      </c>
      <c r="BW11" s="2240"/>
      <c r="BX11" s="2324" t="s">
        <v>42</v>
      </c>
      <c r="BY11" s="2240" t="s">
        <v>38</v>
      </c>
      <c r="BZ11" s="2241" t="s">
        <v>39</v>
      </c>
      <c r="CA11" s="2319" t="s">
        <v>36</v>
      </c>
      <c r="CB11" s="2319" t="s">
        <v>40</v>
      </c>
      <c r="CC11" s="2324" t="s">
        <v>42</v>
      </c>
      <c r="CD11" s="2240" t="s">
        <v>38</v>
      </c>
      <c r="CE11" s="2241" t="s">
        <v>39</v>
      </c>
      <c r="CF11" s="2319" t="s">
        <v>36</v>
      </c>
      <c r="CG11" s="2319" t="s">
        <v>40</v>
      </c>
      <c r="CH11" s="2324" t="s">
        <v>42</v>
      </c>
      <c r="CI11" s="2319" t="s">
        <v>38</v>
      </c>
      <c r="CJ11" s="2320" t="s">
        <v>39</v>
      </c>
      <c r="CK11" s="2320"/>
      <c r="CL11" s="2240" t="s">
        <v>43</v>
      </c>
      <c r="CM11" s="2240" t="s">
        <v>44</v>
      </c>
      <c r="CN11" s="2240" t="s">
        <v>42</v>
      </c>
      <c r="CO11" s="2240" t="s">
        <v>38</v>
      </c>
      <c r="CP11" s="2320" t="s">
        <v>39</v>
      </c>
      <c r="CQ11" s="2240"/>
      <c r="CR11" s="2240"/>
      <c r="CS11" s="2324" t="s">
        <v>42</v>
      </c>
      <c r="CT11" s="2240" t="s">
        <v>38</v>
      </c>
      <c r="CU11" s="2320" t="s">
        <v>39</v>
      </c>
      <c r="CV11" s="2240"/>
      <c r="CW11" s="2324" t="s">
        <v>42</v>
      </c>
      <c r="DM11" s="2311"/>
      <c r="FE11" s="2231"/>
    </row>
    <row r="12" spans="1:161">
      <c r="A12" s="2239"/>
      <c r="B12" s="2330"/>
      <c r="C12" s="2330"/>
      <c r="D12" s="2232"/>
      <c r="H12" s="2331"/>
      <c r="I12" s="2331"/>
      <c r="J12" s="2332"/>
      <c r="K12" s="2332"/>
      <c r="L12" s="2333"/>
      <c r="M12" s="2334"/>
      <c r="N12" s="2334"/>
      <c r="O12" s="2335"/>
      <c r="R12" s="2228"/>
      <c r="S12" s="2336"/>
      <c r="T12" s="2239"/>
      <c r="U12" s="2337"/>
      <c r="V12" s="2338"/>
      <c r="W12" s="2339"/>
      <c r="AH12" s="2256"/>
      <c r="AI12" s="2256"/>
      <c r="AJ12" s="2256"/>
      <c r="AK12" s="2256"/>
      <c r="AL12" s="2256"/>
      <c r="BH12" s="2340"/>
      <c r="BI12" s="2255"/>
      <c r="BJ12" s="2255"/>
      <c r="BK12" s="2255"/>
      <c r="BL12" s="2255"/>
      <c r="BP12" s="2239"/>
      <c r="BQ12" s="2231"/>
      <c r="BR12" s="2231"/>
      <c r="BS12" s="2231"/>
      <c r="BT12" s="2231"/>
      <c r="CI12" s="2239"/>
      <c r="CJ12" s="2249"/>
      <c r="CK12" s="2249"/>
      <c r="CO12" s="2248"/>
      <c r="CP12" s="2248"/>
      <c r="CQ12" s="2248"/>
      <c r="CR12" s="2248"/>
      <c r="CS12" s="2248"/>
    </row>
    <row r="13" spans="1:161">
      <c r="A13" s="2239">
        <v>1</v>
      </c>
      <c r="B13" s="2341" t="s">
        <v>212</v>
      </c>
      <c r="C13" s="2255"/>
      <c r="D13" s="2255"/>
      <c r="E13" s="2256"/>
      <c r="G13" s="2239">
        <v>1</v>
      </c>
      <c r="H13" s="2256" t="s">
        <v>233</v>
      </c>
      <c r="I13" s="2256"/>
      <c r="J13" s="2256"/>
      <c r="K13" s="2256"/>
      <c r="L13" s="2342">
        <v>1</v>
      </c>
      <c r="M13" s="2343" t="s">
        <v>249</v>
      </c>
      <c r="N13" s="2268"/>
      <c r="O13" s="2268"/>
      <c r="P13" s="2239">
        <v>1</v>
      </c>
      <c r="Q13" s="2344" t="s">
        <v>2897</v>
      </c>
      <c r="R13" s="2345"/>
      <c r="S13" s="2346">
        <v>-4693113.005099982</v>
      </c>
      <c r="T13" s="2239">
        <v>1</v>
      </c>
      <c r="U13" s="2347" t="s">
        <v>102</v>
      </c>
      <c r="V13" s="2268">
        <f>'Exhibit No._(CTM-2), Pg. 2-6'!J49-V28</f>
        <v>1620730225.04597</v>
      </c>
      <c r="W13" s="2339" t="str">
        <f>IF(V13='Exhibit No._(CTM-2), Pg. 2-6'!AN49,"","NEEDS UPDATING")</f>
        <v/>
      </c>
      <c r="X13" s="2342">
        <v>1</v>
      </c>
      <c r="Y13" s="2348" t="s">
        <v>60</v>
      </c>
      <c r="Z13" s="2349"/>
      <c r="AA13" s="2350"/>
      <c r="AB13" s="2350"/>
      <c r="AC13" s="2239">
        <v>1</v>
      </c>
      <c r="AD13" s="2351" t="s">
        <v>380</v>
      </c>
      <c r="AH13" s="2239">
        <v>1</v>
      </c>
      <c r="AI13" s="2270" t="s">
        <v>507</v>
      </c>
      <c r="AJ13" s="2352">
        <v>111906.9486</v>
      </c>
      <c r="AK13" s="2352">
        <v>70635.64953333333</v>
      </c>
      <c r="AL13" s="2352">
        <f>AK13-AJ13</f>
        <v>-41271.299066666674</v>
      </c>
      <c r="AM13" s="2353" t="s">
        <v>57</v>
      </c>
      <c r="AN13" s="2231" t="s">
        <v>262</v>
      </c>
      <c r="AO13" s="2239" t="s">
        <v>480</v>
      </c>
      <c r="AP13" s="2239" t="s">
        <v>479</v>
      </c>
      <c r="AQ13" s="2239" t="s">
        <v>479</v>
      </c>
      <c r="AR13" s="2239" t="s">
        <v>479</v>
      </c>
      <c r="AT13" s="2239">
        <v>1</v>
      </c>
      <c r="AU13" s="2354" t="s">
        <v>64</v>
      </c>
      <c r="AV13" s="2355"/>
      <c r="AW13" s="2355"/>
      <c r="AY13" s="2239">
        <v>1</v>
      </c>
      <c r="AZ13" s="2344" t="s">
        <v>21</v>
      </c>
      <c r="BA13" s="2776"/>
      <c r="BB13" s="2346"/>
      <c r="BC13" s="2346">
        <v>15215101.989999996</v>
      </c>
      <c r="BD13" s="2239">
        <v>1</v>
      </c>
      <c r="BE13" s="2231" t="s">
        <v>470</v>
      </c>
      <c r="BG13" s="2356">
        <f>'6.12G'!D12</f>
        <v>38731991.745145999</v>
      </c>
      <c r="BH13" s="2239">
        <v>1</v>
      </c>
      <c r="BI13" s="2255" t="s">
        <v>512</v>
      </c>
      <c r="BJ13" s="2357">
        <v>224469.67463476537</v>
      </c>
      <c r="BK13" s="2357">
        <f>188505.835074288*75%</f>
        <v>141379.376305716</v>
      </c>
      <c r="BL13" s="2358">
        <f>+BK13-BJ13</f>
        <v>-83090.298329049372</v>
      </c>
      <c r="BM13" s="2239">
        <v>1</v>
      </c>
      <c r="BN13" s="2232" t="s">
        <v>505</v>
      </c>
      <c r="BP13" s="2359">
        <f>'6.14G'!D13</f>
        <v>21705.010131999999</v>
      </c>
      <c r="BQ13" s="2353">
        <v>1</v>
      </c>
      <c r="BR13" s="2249" t="s">
        <v>175</v>
      </c>
      <c r="BS13" s="2360"/>
      <c r="BT13" s="2361"/>
      <c r="BU13" s="2362">
        <v>1</v>
      </c>
      <c r="BV13" s="2256" t="s">
        <v>476</v>
      </c>
      <c r="BW13" s="2256"/>
      <c r="BX13" s="2268">
        <f>'6.16G'!D14</f>
        <v>-185547.28999999948</v>
      </c>
      <c r="BY13" s="2239">
        <v>1</v>
      </c>
      <c r="BZ13" s="2231" t="s">
        <v>128</v>
      </c>
      <c r="CA13" s="2346">
        <v>617988.79489200003</v>
      </c>
      <c r="CB13" s="2346">
        <v>684758.82733599993</v>
      </c>
      <c r="CC13" s="2346">
        <f>+CB13-CA13</f>
        <v>66770.032443999895</v>
      </c>
      <c r="CD13" s="2239">
        <v>1</v>
      </c>
      <c r="CE13" s="2363" t="s">
        <v>103</v>
      </c>
      <c r="CF13" s="2346">
        <v>1592583.3262175201</v>
      </c>
      <c r="CG13" s="2346">
        <v>2717147.034</v>
      </c>
      <c r="CH13" s="2346">
        <f>+CG13-CF13</f>
        <v>1124563.7077824799</v>
      </c>
      <c r="CI13" s="2239">
        <v>1</v>
      </c>
      <c r="CJ13" s="2231" t="s">
        <v>107</v>
      </c>
      <c r="CL13" s="2339"/>
      <c r="CM13" s="2364"/>
      <c r="CN13" s="2339"/>
      <c r="CO13" s="2239">
        <v>1</v>
      </c>
      <c r="CP13" s="2365" t="s">
        <v>345</v>
      </c>
      <c r="CQ13" s="2366"/>
      <c r="CR13" s="2366"/>
      <c r="CS13" s="2367"/>
      <c r="CT13" s="2239">
        <v>1</v>
      </c>
      <c r="CU13" s="2368" t="s">
        <v>106</v>
      </c>
      <c r="CV13" s="2369"/>
      <c r="CW13" s="2369"/>
      <c r="DM13" s="2370"/>
    </row>
    <row r="14" spans="1:161">
      <c r="A14" s="2239">
        <f>+A13+1</f>
        <v>2</v>
      </c>
      <c r="B14" s="2256"/>
      <c r="C14" s="2371" t="s">
        <v>36</v>
      </c>
      <c r="D14" s="2372" t="s">
        <v>213</v>
      </c>
      <c r="E14" s="2373" t="s">
        <v>222</v>
      </c>
      <c r="G14" s="2239">
        <f t="shared" ref="G14:G66" si="0">G13+1</f>
        <v>2</v>
      </c>
      <c r="H14" s="2374" t="s">
        <v>407</v>
      </c>
      <c r="I14" s="2375"/>
      <c r="J14" s="3036">
        <v>3271184.785153294</v>
      </c>
      <c r="K14" s="2256"/>
      <c r="L14" s="2376">
        <f>L13+1</f>
        <v>2</v>
      </c>
      <c r="M14" s="2255" t="s">
        <v>254</v>
      </c>
      <c r="N14" s="2377"/>
      <c r="O14" s="2259">
        <f>'6.03G'!E13</f>
        <v>3488170.7346030003</v>
      </c>
      <c r="P14" s="2239">
        <f>P13+1</f>
        <v>2</v>
      </c>
      <c r="Q14" s="2249"/>
      <c r="R14" s="2249"/>
      <c r="S14" s="2378"/>
      <c r="T14" s="2239">
        <f>+T13+1</f>
        <v>2</v>
      </c>
      <c r="U14" s="2347" t="s">
        <v>18</v>
      </c>
      <c r="V14" s="2778" t="s">
        <v>18</v>
      </c>
      <c r="W14" s="2339"/>
      <c r="X14" s="2342">
        <f>X13+1</f>
        <v>2</v>
      </c>
      <c r="Y14" s="2379" t="s">
        <v>495</v>
      </c>
      <c r="Z14" s="2779"/>
      <c r="AA14" s="2779"/>
      <c r="AB14" s="2779"/>
      <c r="AC14" s="2239">
        <v>2</v>
      </c>
      <c r="AD14" s="2381" t="s">
        <v>264</v>
      </c>
      <c r="AE14" s="2261">
        <v>6052437.7629140001</v>
      </c>
      <c r="AF14" s="2261">
        <v>5460131.5481889276</v>
      </c>
      <c r="AG14" s="2382">
        <f>AF14-AE14</f>
        <v>-592306.2147250725</v>
      </c>
      <c r="AH14" s="2239">
        <f t="shared" ref="AH14:AH27" si="1">AH13+1</f>
        <v>2</v>
      </c>
      <c r="AI14" s="2270" t="s">
        <v>508</v>
      </c>
      <c r="AJ14" s="2352">
        <v>524688.34583200002</v>
      </c>
      <c r="AK14" s="2352">
        <v>649512.46317800076</v>
      </c>
      <c r="AL14" s="2352">
        <f>AK14-AJ14</f>
        <v>124824.11734600074</v>
      </c>
      <c r="AM14" s="2353">
        <f t="shared" ref="AM14:AM28" si="2">1+AM13</f>
        <v>2</v>
      </c>
      <c r="AN14" s="2383">
        <v>2007</v>
      </c>
      <c r="AO14" s="2259">
        <f>'6.09G'!C14</f>
        <v>3389028.06</v>
      </c>
      <c r="AP14" s="2259">
        <f>'6.09G'!D14</f>
        <v>1224844682</v>
      </c>
      <c r="AQ14" s="2259">
        <f>'6.09G'!E14</f>
        <v>17471949</v>
      </c>
      <c r="AR14" s="2384">
        <f>AP14-AQ14</f>
        <v>1207372733</v>
      </c>
      <c r="AS14" s="2385">
        <f>ROUND(AO14/AR14,6)</f>
        <v>2.807E-3</v>
      </c>
      <c r="AT14" s="2239">
        <f t="shared" ref="AT14:AT34" si="3">AT13+1</f>
        <v>2</v>
      </c>
      <c r="AU14" s="2386" t="s">
        <v>109</v>
      </c>
      <c r="AV14" s="2355">
        <v>8772.5339374412724</v>
      </c>
      <c r="AW14" s="2355">
        <f>7783.43829964505*0.5</f>
        <v>3891.7191498225252</v>
      </c>
      <c r="AX14" s="2355">
        <f>AW14-AV14</f>
        <v>-4880.8147876187468</v>
      </c>
      <c r="AY14" s="2239">
        <f>AY13+1</f>
        <v>2</v>
      </c>
      <c r="AZ14" s="2249" t="s">
        <v>59</v>
      </c>
      <c r="BA14" s="2776"/>
      <c r="BB14" s="2776"/>
      <c r="BC14" s="2387">
        <v>14375106.24</v>
      </c>
      <c r="BD14" s="2239">
        <f t="shared" ref="BD14:BD25" si="4">BD13+1</f>
        <v>2</v>
      </c>
      <c r="BE14" s="2231" t="s">
        <v>471</v>
      </c>
      <c r="BG14" s="2388">
        <f>'6.12G'!C12</f>
        <v>38656212.872784995</v>
      </c>
      <c r="BH14" s="2239">
        <f t="shared" ref="BH14:BH21" si="5">BH13+1</f>
        <v>2</v>
      </c>
      <c r="BI14" s="2255"/>
      <c r="BJ14" s="2389"/>
      <c r="BK14" s="2389"/>
      <c r="BL14" s="2389"/>
      <c r="BM14" s="2239">
        <f>BM13+1</f>
        <v>2</v>
      </c>
      <c r="BN14" s="2232"/>
      <c r="BP14" s="2391"/>
      <c r="BQ14" s="2353">
        <f t="shared" ref="BQ14:BQ26" si="6">+BQ13+1</f>
        <v>2</v>
      </c>
      <c r="BR14" s="2249"/>
      <c r="BS14" s="2360"/>
      <c r="BT14" s="2361"/>
      <c r="BU14" s="2362">
        <f>BU13+1</f>
        <v>2</v>
      </c>
      <c r="BV14" s="2256" t="s">
        <v>477</v>
      </c>
      <c r="BW14" s="2256"/>
      <c r="BX14" s="2268">
        <f>'6.16G'!D15</f>
        <v>49436.470000000059</v>
      </c>
      <c r="BY14" s="2239">
        <f t="shared" ref="BY14:BY19" si="7">BY13+1</f>
        <v>2</v>
      </c>
      <c r="BZ14" s="2231" t="s">
        <v>129</v>
      </c>
      <c r="CA14" s="2392">
        <v>1094950.7254472261</v>
      </c>
      <c r="CB14" s="2392">
        <v>973177.96643170028</v>
      </c>
      <c r="CC14" s="2393">
        <f>+CB14-CA14</f>
        <v>-121772.75901552581</v>
      </c>
      <c r="CD14" s="2239">
        <v>2</v>
      </c>
      <c r="CE14" s="2249" t="s">
        <v>152</v>
      </c>
      <c r="CF14" s="2346">
        <v>227966.488171156</v>
      </c>
      <c r="CG14" s="2346">
        <v>0</v>
      </c>
      <c r="CH14" s="2346">
        <f>+CG14-CF14</f>
        <v>-227966.488171156</v>
      </c>
      <c r="CI14" s="2239">
        <f t="shared" ref="CI14:CI25" si="8">CI13+1</f>
        <v>2</v>
      </c>
      <c r="CJ14" s="2249" t="s">
        <v>109</v>
      </c>
      <c r="CK14" s="2249"/>
      <c r="CL14" s="2394">
        <v>136391</v>
      </c>
      <c r="CM14" s="2394">
        <v>139942.00138196471</v>
      </c>
      <c r="CN14" s="2393">
        <f>CM14-CL14</f>
        <v>3551.0013819647138</v>
      </c>
      <c r="CO14" s="2239">
        <f t="shared" ref="CO14:CO43" si="9">CO13+1</f>
        <v>2</v>
      </c>
      <c r="CP14" s="2255" t="s">
        <v>112</v>
      </c>
      <c r="CQ14" s="2333"/>
      <c r="CR14" s="2395">
        <v>2621976.368942</v>
      </c>
      <c r="CT14" s="2239">
        <f>CT13+1</f>
        <v>2</v>
      </c>
      <c r="CU14" s="2231" t="s">
        <v>481</v>
      </c>
      <c r="CV14" s="2369"/>
      <c r="CW14" s="3027">
        <v>6138648.4992000004</v>
      </c>
      <c r="DM14" s="2397"/>
    </row>
    <row r="15" spans="1:161" ht="16.5" thickBot="1">
      <c r="A15" s="2239">
        <f t="shared" ref="A15:A57" si="10">+A14+1</f>
        <v>3</v>
      </c>
      <c r="B15" s="2256"/>
      <c r="C15" s="2398" t="s">
        <v>222</v>
      </c>
      <c r="D15" s="2399" t="s">
        <v>222</v>
      </c>
      <c r="E15" s="2400" t="s">
        <v>214</v>
      </c>
      <c r="G15" s="2239">
        <f t="shared" si="0"/>
        <v>3</v>
      </c>
      <c r="H15" s="2374" t="s">
        <v>500</v>
      </c>
      <c r="I15" s="2375"/>
      <c r="J15" s="3036">
        <v>17985993.131538689</v>
      </c>
      <c r="K15" s="2256"/>
      <c r="L15" s="2376">
        <f t="shared" ref="L15:L37" si="11">L14+1</f>
        <v>3</v>
      </c>
      <c r="M15" s="2255" t="s">
        <v>255</v>
      </c>
      <c r="N15" s="2377"/>
      <c r="O15" s="2259">
        <f>'6.03G'!E14</f>
        <v>15438475.33</v>
      </c>
      <c r="P15" s="2239">
        <f t="shared" ref="P15:P20" si="12">P14+1</f>
        <v>3</v>
      </c>
      <c r="Q15" s="2249" t="s">
        <v>63</v>
      </c>
      <c r="R15" s="2401"/>
      <c r="S15" s="2402"/>
      <c r="T15" s="2239">
        <f t="shared" ref="T15:T23" si="13">+T14+1</f>
        <v>3</v>
      </c>
      <c r="U15" s="2231" t="s">
        <v>191</v>
      </c>
      <c r="V15" s="2268">
        <f>SUM(V13:V14)</f>
        <v>1620730225.04597</v>
      </c>
      <c r="W15" s="2339"/>
      <c r="X15" s="2342">
        <f>X14+1</f>
        <v>3</v>
      </c>
      <c r="Y15" s="2379" t="s">
        <v>496</v>
      </c>
      <c r="Z15" s="2403">
        <v>72884.584785279993</v>
      </c>
      <c r="AA15" s="2403">
        <v>0</v>
      </c>
      <c r="AB15" s="2403">
        <f t="shared" ref="AB15:AB21" si="14">AA15-Z15</f>
        <v>-72884.584785279993</v>
      </c>
      <c r="AC15" s="2239">
        <v>3</v>
      </c>
      <c r="AD15" s="2381" t="s">
        <v>61</v>
      </c>
      <c r="AE15" s="2259">
        <f>AE14</f>
        <v>6052437.7629140001</v>
      </c>
      <c r="AF15" s="2259">
        <f>AF14</f>
        <v>5460131.5481889276</v>
      </c>
      <c r="AG15" s="2404">
        <f>AF15-AE15</f>
        <v>-592306.2147250725</v>
      </c>
      <c r="AH15" s="2239">
        <f t="shared" si="1"/>
        <v>3</v>
      </c>
      <c r="AI15" s="2256"/>
      <c r="AJ15" s="2405"/>
      <c r="AK15" s="2405"/>
      <c r="AL15" s="2405"/>
      <c r="AM15" s="2353">
        <f t="shared" si="2"/>
        <v>3</v>
      </c>
      <c r="AN15" s="2406">
        <v>2008</v>
      </c>
      <c r="AO15" s="2259">
        <f>'6.09G'!C15</f>
        <v>3664591.5999999996</v>
      </c>
      <c r="AP15" s="2259">
        <f>'6.09G'!D15</f>
        <v>1193302341</v>
      </c>
      <c r="AQ15" s="2259">
        <f>'6.09G'!E15</f>
        <v>17237406</v>
      </c>
      <c r="AR15" s="2384">
        <f>AP15-AQ15</f>
        <v>1176064935</v>
      </c>
      <c r="AS15" s="2385">
        <f>ROUND(AO15/AR15,6)</f>
        <v>3.1159999999999998E-3</v>
      </c>
      <c r="AT15" s="2239">
        <f t="shared" si="3"/>
        <v>3</v>
      </c>
      <c r="AU15" s="2386" t="s">
        <v>110</v>
      </c>
      <c r="AV15" s="2355">
        <v>29147.45146956294</v>
      </c>
      <c r="AW15" s="2355">
        <f>25382.9325440654*0.5</f>
        <v>12691.4662720327</v>
      </c>
      <c r="AX15" s="2355">
        <f t="shared" ref="AX15:AX21" si="15">AW15-AV15</f>
        <v>-16455.985197530241</v>
      </c>
      <c r="AY15" s="2239">
        <f>AY14+1</f>
        <v>3</v>
      </c>
      <c r="AZ15" s="2249" t="s">
        <v>62</v>
      </c>
      <c r="BA15" s="2776"/>
      <c r="BB15" s="2776"/>
      <c r="BC15" s="2346">
        <f>-(BC14-BC13)</f>
        <v>839995.74999999627</v>
      </c>
      <c r="BD15" s="2239">
        <f t="shared" si="4"/>
        <v>3</v>
      </c>
      <c r="BE15" s="2231" t="s">
        <v>472</v>
      </c>
      <c r="BG15" s="2356">
        <f>(BG13-BG14)</f>
        <v>75778.872361004353</v>
      </c>
      <c r="BH15" s="2239">
        <f t="shared" si="5"/>
        <v>3</v>
      </c>
      <c r="BI15" s="2255" t="s">
        <v>171</v>
      </c>
      <c r="BJ15" s="2407"/>
      <c r="BK15" s="2407"/>
      <c r="BL15" s="2408">
        <f>SUM(BL13:BL14)</f>
        <v>-83090.298329049372</v>
      </c>
      <c r="BM15" s="2239">
        <f>+BM14+1</f>
        <v>3</v>
      </c>
      <c r="BN15" s="2232" t="s">
        <v>74</v>
      </c>
      <c r="BP15" s="2409">
        <f>-BP13</f>
        <v>-21705.010131999999</v>
      </c>
      <c r="BQ15" s="2353">
        <f t="shared" si="6"/>
        <v>3</v>
      </c>
      <c r="BR15" s="2249" t="s">
        <v>461</v>
      </c>
      <c r="BS15" s="2410">
        <v>542850</v>
      </c>
      <c r="BT15" s="2411"/>
      <c r="BU15" s="2362">
        <f t="shared" ref="BU15:BU22" si="16">BU14+1</f>
        <v>3</v>
      </c>
      <c r="BV15" s="2256" t="s">
        <v>478</v>
      </c>
      <c r="BW15" s="2256"/>
      <c r="BX15" s="2412">
        <f>SUM(BX13:BX14)</f>
        <v>-136110.81999999942</v>
      </c>
      <c r="BY15" s="2239">
        <f t="shared" si="7"/>
        <v>3</v>
      </c>
      <c r="BZ15" s="2249" t="s">
        <v>62</v>
      </c>
      <c r="CA15" s="2413">
        <f>SUM(CA13:CA14)</f>
        <v>1712939.5203392261</v>
      </c>
      <c r="CB15" s="2413">
        <f>CA15+CC15</f>
        <v>1657936.7937677002</v>
      </c>
      <c r="CC15" s="2413">
        <f>SUM(CC13:CC14)</f>
        <v>-55002.726571525913</v>
      </c>
      <c r="CD15" s="2239">
        <v>3</v>
      </c>
      <c r="CF15" s="2414"/>
      <c r="CG15" s="2414"/>
      <c r="CH15" s="2415"/>
      <c r="CI15" s="2239">
        <f t="shared" si="8"/>
        <v>3</v>
      </c>
      <c r="CJ15" s="2249" t="s">
        <v>110</v>
      </c>
      <c r="CK15" s="2249"/>
      <c r="CL15" s="2394">
        <v>446961</v>
      </c>
      <c r="CM15" s="2394">
        <v>459248</v>
      </c>
      <c r="CN15" s="2393">
        <f t="shared" ref="CN15:CN22" si="17">CM15-CL15</f>
        <v>12287</v>
      </c>
      <c r="CO15" s="2239">
        <f t="shared" si="9"/>
        <v>3</v>
      </c>
      <c r="CP15" s="2366" t="s">
        <v>71</v>
      </c>
      <c r="CQ15" s="2416">
        <v>2.9700000000000001E-2</v>
      </c>
      <c r="CR15" s="2417">
        <f>+CR14*CQ15</f>
        <v>77872.698157577397</v>
      </c>
      <c r="CS15" s="2395"/>
      <c r="CT15" s="2239">
        <f t="shared" ref="CT15:CT28" si="18">CT14+1</f>
        <v>3</v>
      </c>
      <c r="CU15" s="2231" t="s">
        <v>482</v>
      </c>
      <c r="CV15" s="2369"/>
      <c r="CW15" s="3027">
        <v>4713746.3184000002</v>
      </c>
      <c r="DM15" s="2397"/>
    </row>
    <row r="16" spans="1:161" ht="16.5" thickTop="1">
      <c r="A16" s="2239">
        <f t="shared" si="10"/>
        <v>4</v>
      </c>
      <c r="B16" s="2418">
        <v>40209</v>
      </c>
      <c r="C16" s="2419">
        <v>128745037</v>
      </c>
      <c r="D16" s="2419">
        <v>151950258</v>
      </c>
      <c r="E16" s="2420">
        <f t="shared" ref="E16:E27" si="19">+D16-C16</f>
        <v>23205221</v>
      </c>
      <c r="G16" s="2239">
        <f t="shared" si="0"/>
        <v>4</v>
      </c>
      <c r="H16" s="2421" t="s">
        <v>241</v>
      </c>
      <c r="I16" s="2256"/>
      <c r="J16" s="2359">
        <f>'6.02G'!D16</f>
        <v>0</v>
      </c>
      <c r="K16" s="2256"/>
      <c r="L16" s="2376">
        <f t="shared" si="11"/>
        <v>4</v>
      </c>
      <c r="M16" s="2255" t="s">
        <v>256</v>
      </c>
      <c r="N16" s="2422"/>
      <c r="O16" s="2259">
        <f>'6.03G'!E15</f>
        <v>-61289792.627116062</v>
      </c>
      <c r="P16" s="2239">
        <f t="shared" si="12"/>
        <v>4</v>
      </c>
      <c r="Q16" s="2249" t="s">
        <v>65</v>
      </c>
      <c r="R16" s="2423">
        <v>0.35</v>
      </c>
      <c r="S16" s="2424">
        <v>-1642589.5517849936</v>
      </c>
      <c r="T16" s="2239">
        <f t="shared" si="13"/>
        <v>4</v>
      </c>
      <c r="W16" s="2339" t="str">
        <f>IF(V16='Exhibit No._(CTM-2), Pg. 2-6'!AN52,"","NEEDS UPDATING")</f>
        <v/>
      </c>
      <c r="X16" s="2342">
        <f t="shared" ref="X16:X30" si="20">X15+1</f>
        <v>4</v>
      </c>
      <c r="Y16" s="2379" t="s">
        <v>497</v>
      </c>
      <c r="Z16" s="2403">
        <v>17150.216675679996</v>
      </c>
      <c r="AA16" s="2403">
        <v>0</v>
      </c>
      <c r="AB16" s="2403">
        <f t="shared" si="14"/>
        <v>-17150.216675679996</v>
      </c>
      <c r="AC16" s="2239">
        <v>4</v>
      </c>
      <c r="AD16" s="2381"/>
      <c r="AH16" s="2239">
        <f t="shared" si="1"/>
        <v>4</v>
      </c>
      <c r="AI16" s="2270" t="s">
        <v>399</v>
      </c>
      <c r="AJ16" s="2352">
        <f>SUM(AJ13:AJ15)</f>
        <v>636595.29443200002</v>
      </c>
      <c r="AK16" s="2352">
        <f>SUM(AK13:AK15)</f>
        <v>720148.11271133414</v>
      </c>
      <c r="AL16" s="2352">
        <f>SUM(AL13:AL15)</f>
        <v>83552.818279334067</v>
      </c>
      <c r="AM16" s="2353">
        <f t="shared" si="2"/>
        <v>4</v>
      </c>
      <c r="AN16" s="2386">
        <v>2009</v>
      </c>
      <c r="AO16" s="2259">
        <f>'6.09G'!C16</f>
        <v>5677035.8600000003</v>
      </c>
      <c r="AP16" s="2259">
        <f>'6.09G'!D16</f>
        <v>1279928250.71</v>
      </c>
      <c r="AQ16" s="2259">
        <f>'6.09G'!E16</f>
        <v>19180942.879999999</v>
      </c>
      <c r="AR16" s="2384">
        <f>AP16-AQ16</f>
        <v>1260747307.8299999</v>
      </c>
      <c r="AS16" s="2425">
        <f>ROUND(AO16/AR16,6)</f>
        <v>4.5030000000000001E-3</v>
      </c>
      <c r="AT16" s="2239">
        <f t="shared" si="3"/>
        <v>4</v>
      </c>
      <c r="AU16" s="2386" t="s">
        <v>111</v>
      </c>
      <c r="AV16" s="2355">
        <v>40466.850098519426</v>
      </c>
      <c r="AW16" s="2355">
        <f>35422.0806694038*0.5</f>
        <v>17711.040334701898</v>
      </c>
      <c r="AX16" s="2355">
        <f t="shared" si="15"/>
        <v>-22755.809763817528</v>
      </c>
      <c r="AY16" s="2239">
        <f>AY15+1</f>
        <v>4</v>
      </c>
      <c r="BA16" s="2426"/>
      <c r="BB16" s="2426"/>
      <c r="BC16" s="2426"/>
      <c r="BD16" s="2239">
        <f t="shared" si="4"/>
        <v>4</v>
      </c>
      <c r="BH16" s="2239">
        <f t="shared" si="5"/>
        <v>4</v>
      </c>
      <c r="BI16" s="2255"/>
      <c r="BJ16" s="2291"/>
      <c r="BK16" s="2291"/>
      <c r="BL16" s="2291"/>
      <c r="BM16" s="2239"/>
      <c r="BN16" s="2427"/>
      <c r="BO16" s="2232"/>
      <c r="BP16" s="2427"/>
      <c r="BQ16" s="2353">
        <f t="shared" si="6"/>
        <v>4</v>
      </c>
      <c r="BR16" s="2249"/>
      <c r="BS16" s="2360"/>
      <c r="BT16" s="2361"/>
      <c r="BU16" s="2362">
        <f t="shared" si="16"/>
        <v>4</v>
      </c>
      <c r="BV16" s="2256"/>
      <c r="BW16" s="2256"/>
      <c r="BX16" s="2412"/>
      <c r="BY16" s="2239">
        <f t="shared" si="7"/>
        <v>4</v>
      </c>
      <c r="BZ16" s="2249"/>
      <c r="CC16" s="2278"/>
      <c r="CD16" s="2239">
        <v>4</v>
      </c>
      <c r="CE16" s="2249" t="s">
        <v>62</v>
      </c>
      <c r="CF16" s="2428">
        <f>SUM(CF13:CF15)</f>
        <v>1820549.8143886761</v>
      </c>
      <c r="CG16" s="2428">
        <f>SUM(CG13:CG15)</f>
        <v>2717147.034</v>
      </c>
      <c r="CH16" s="2428">
        <f>SUM(CH13:CH15)</f>
        <v>896597.2196113239</v>
      </c>
      <c r="CI16" s="2239">
        <f t="shared" si="8"/>
        <v>4</v>
      </c>
      <c r="CJ16" s="2249" t="s">
        <v>111</v>
      </c>
      <c r="CK16" s="2249"/>
      <c r="CL16" s="2394">
        <v>620564</v>
      </c>
      <c r="CM16" s="2394">
        <v>636635</v>
      </c>
      <c r="CN16" s="2393">
        <f t="shared" si="17"/>
        <v>16071</v>
      </c>
      <c r="CO16" s="2239">
        <f t="shared" si="9"/>
        <v>4</v>
      </c>
      <c r="CP16" s="2429" t="s">
        <v>113</v>
      </c>
      <c r="CQ16" s="2333"/>
      <c r="CR16" s="2395"/>
      <c r="CS16" s="2395">
        <f>SUM(CR14:CR15)</f>
        <v>2699849.0670995773</v>
      </c>
      <c r="CT16" s="2239">
        <f t="shared" si="18"/>
        <v>4</v>
      </c>
      <c r="CU16" s="2231" t="s">
        <v>396</v>
      </c>
      <c r="CV16" s="2430"/>
      <c r="CW16" s="3028">
        <f>SUM(CW14:CW15)</f>
        <v>10852394.817600001</v>
      </c>
      <c r="DM16" s="2370"/>
    </row>
    <row r="17" spans="1:161">
      <c r="A17" s="2239">
        <f t="shared" si="10"/>
        <v>5</v>
      </c>
      <c r="B17" s="2418">
        <v>40237</v>
      </c>
      <c r="C17" s="2419">
        <v>107438064</v>
      </c>
      <c r="D17" s="2419">
        <v>123124539</v>
      </c>
      <c r="E17" s="2432">
        <f t="shared" si="19"/>
        <v>15686475</v>
      </c>
      <c r="F17" s="2430"/>
      <c r="G17" s="2239">
        <f t="shared" si="0"/>
        <v>5</v>
      </c>
      <c r="H17" s="2381" t="s">
        <v>242</v>
      </c>
      <c r="I17" s="2256"/>
      <c r="J17" s="2359">
        <f>'6.02G'!D17</f>
        <v>-1206882.625</v>
      </c>
      <c r="K17" s="2256"/>
      <c r="L17" s="2376">
        <f t="shared" si="11"/>
        <v>5</v>
      </c>
      <c r="M17" s="2255" t="s">
        <v>403</v>
      </c>
      <c r="N17" s="2377"/>
      <c r="O17" s="2259">
        <f>'6.03G'!E16</f>
        <v>43761996.879999995</v>
      </c>
      <c r="P17" s="2239">
        <f t="shared" si="12"/>
        <v>5</v>
      </c>
      <c r="Q17" s="2249" t="s">
        <v>70</v>
      </c>
      <c r="R17" s="2345"/>
      <c r="S17" s="2433">
        <v>45915085.969024993</v>
      </c>
      <c r="T17" s="2239">
        <f t="shared" si="13"/>
        <v>5</v>
      </c>
      <c r="U17" s="2347" t="s">
        <v>115</v>
      </c>
      <c r="V17" s="2434">
        <f>'Exhibit No._(CTM-2), Pg. 32-34'!J14+'Exhibit No._(CTM-2), Pg. 32-34'!J15</f>
        <v>3.2199999999999999E-2</v>
      </c>
      <c r="W17" s="2377" t="s">
        <v>18</v>
      </c>
      <c r="X17" s="2342">
        <f t="shared" si="20"/>
        <v>5</v>
      </c>
      <c r="Y17" s="2379" t="s">
        <v>516</v>
      </c>
      <c r="Z17" s="2403">
        <v>253235.59911012001</v>
      </c>
      <c r="AA17" s="2403">
        <v>2465.4016353848929</v>
      </c>
      <c r="AB17" s="2403">
        <f t="shared" si="14"/>
        <v>-250770.19747473512</v>
      </c>
      <c r="AC17" s="2239">
        <v>5</v>
      </c>
      <c r="AD17" s="2381" t="s">
        <v>61</v>
      </c>
      <c r="AE17" s="2435"/>
      <c r="AF17" s="2436"/>
      <c r="AG17" s="2437">
        <f>AG15</f>
        <v>-592306.2147250725</v>
      </c>
      <c r="AH17" s="2239">
        <f t="shared" si="1"/>
        <v>5</v>
      </c>
      <c r="AI17" s="2256"/>
      <c r="AM17" s="2353">
        <f t="shared" si="2"/>
        <v>5</v>
      </c>
      <c r="AN17" s="2438" t="s">
        <v>503</v>
      </c>
      <c r="AO17" s="2780"/>
      <c r="AP17" s="2780"/>
      <c r="AQ17" s="2780"/>
      <c r="AR17" s="2781"/>
      <c r="AS17" s="2385">
        <f>ROUND(SUM(AS14:AS16)/3,6)</f>
        <v>3.4749999999999998E-3</v>
      </c>
      <c r="AT17" s="2239">
        <f t="shared" si="3"/>
        <v>5</v>
      </c>
      <c r="AU17" s="2386" t="s">
        <v>76</v>
      </c>
      <c r="AV17" s="2355">
        <v>6225.6692459260657</v>
      </c>
      <c r="AW17" s="2355">
        <f>5502.94045388918*0.5</f>
        <v>2751.4702269445902</v>
      </c>
      <c r="AX17" s="2355">
        <f t="shared" si="15"/>
        <v>-3474.1990189814755</v>
      </c>
      <c r="AY17" s="2239">
        <f>AY16+1</f>
        <v>5</v>
      </c>
      <c r="AZ17" s="2249" t="s">
        <v>69</v>
      </c>
      <c r="BA17" s="2401">
        <v>0.35</v>
      </c>
      <c r="BC17" s="2387">
        <f>-BC15*BA17</f>
        <v>-293998.51249999867</v>
      </c>
      <c r="BD17" s="2239">
        <f t="shared" si="4"/>
        <v>5</v>
      </c>
      <c r="BE17" s="2344" t="s">
        <v>473</v>
      </c>
      <c r="BG17" s="2356">
        <f>'6.12G'!D13</f>
        <v>2040813.7424999999</v>
      </c>
      <c r="BH17" s="2239">
        <f>BH16+1</f>
        <v>5</v>
      </c>
      <c r="BI17" s="2255" t="s">
        <v>513</v>
      </c>
      <c r="BJ17" s="2291"/>
      <c r="BK17" s="2291"/>
      <c r="BL17" s="2293">
        <f>BL15</f>
        <v>-83090.298329049372</v>
      </c>
      <c r="BM17" s="2239"/>
      <c r="BQ17" s="2353">
        <f t="shared" si="6"/>
        <v>5</v>
      </c>
      <c r="BR17" s="2440" t="s">
        <v>2898</v>
      </c>
      <c r="BS17" s="2441">
        <f>BS15/2</f>
        <v>271425</v>
      </c>
      <c r="BU17" s="2362">
        <f t="shared" si="16"/>
        <v>5</v>
      </c>
      <c r="BV17" s="2256" t="s">
        <v>484</v>
      </c>
      <c r="BW17" s="2442"/>
      <c r="BX17" s="2270">
        <f>BX15/36*12</f>
        <v>-45370.273333333142</v>
      </c>
      <c r="BY17" s="2239">
        <f t="shared" si="7"/>
        <v>5</v>
      </c>
      <c r="CC17" s="2430"/>
      <c r="CD17" s="2239">
        <v>5</v>
      </c>
      <c r="CE17" s="2249"/>
      <c r="CH17" s="2278"/>
      <c r="CI17" s="2239">
        <f t="shared" si="8"/>
        <v>5</v>
      </c>
      <c r="CJ17" s="2249" t="s">
        <v>76</v>
      </c>
      <c r="CK17" s="2249"/>
      <c r="CL17" s="2394">
        <v>95791</v>
      </c>
      <c r="CM17" s="2394">
        <v>98098</v>
      </c>
      <c r="CN17" s="2393">
        <f t="shared" si="17"/>
        <v>2307</v>
      </c>
      <c r="CO17" s="2239">
        <f t="shared" si="9"/>
        <v>5</v>
      </c>
      <c r="CP17" s="2429"/>
      <c r="CQ17" s="2366"/>
      <c r="CR17" s="2395"/>
      <c r="CS17" s="2395"/>
      <c r="CT17" s="2239">
        <f t="shared" si="18"/>
        <v>5</v>
      </c>
      <c r="CV17" s="2430"/>
      <c r="CW17" s="2431"/>
      <c r="DM17" s="2397"/>
    </row>
    <row r="18" spans="1:161" ht="16.5" thickBot="1">
      <c r="A18" s="2239">
        <f t="shared" si="10"/>
        <v>6</v>
      </c>
      <c r="B18" s="2418">
        <v>40268</v>
      </c>
      <c r="C18" s="2419">
        <v>111751311</v>
      </c>
      <c r="D18" s="2419">
        <v>115718871</v>
      </c>
      <c r="E18" s="2432">
        <f t="shared" si="19"/>
        <v>3967560</v>
      </c>
      <c r="G18" s="2239">
        <f t="shared" si="0"/>
        <v>6</v>
      </c>
      <c r="H18" s="2421" t="s">
        <v>467</v>
      </c>
      <c r="I18" s="2443"/>
      <c r="J18" s="2359">
        <f>'6.02G'!D18</f>
        <v>0</v>
      </c>
      <c r="K18" s="2256"/>
      <c r="L18" s="2376">
        <f t="shared" si="11"/>
        <v>6</v>
      </c>
      <c r="M18" s="2256"/>
      <c r="N18" s="2377"/>
      <c r="O18" s="2427"/>
      <c r="P18" s="2239">
        <f t="shared" si="12"/>
        <v>6</v>
      </c>
      <c r="Q18" s="2231" t="s">
        <v>73</v>
      </c>
      <c r="R18" s="2345"/>
      <c r="S18" s="2433">
        <v>-3097483.8672400001</v>
      </c>
      <c r="T18" s="2239">
        <f t="shared" si="13"/>
        <v>6</v>
      </c>
      <c r="U18" s="2347" t="s">
        <v>192</v>
      </c>
      <c r="V18" s="2782"/>
      <c r="W18" s="2444">
        <f>V15*V17</f>
        <v>52187513.246480234</v>
      </c>
      <c r="X18" s="2342">
        <f t="shared" si="20"/>
        <v>6</v>
      </c>
      <c r="Y18" s="2379" t="s">
        <v>498</v>
      </c>
      <c r="Z18" s="2403">
        <v>96555.550232960013</v>
      </c>
      <c r="AA18" s="2403">
        <v>0</v>
      </c>
      <c r="AB18" s="2403">
        <f t="shared" si="14"/>
        <v>-96555.550232960013</v>
      </c>
      <c r="AC18" s="2239">
        <v>6</v>
      </c>
      <c r="AD18" s="2381"/>
      <c r="AE18" s="2445"/>
      <c r="AF18" s="2436"/>
      <c r="AG18" s="2446"/>
      <c r="AH18" s="2239">
        <f t="shared" si="1"/>
        <v>6</v>
      </c>
      <c r="AI18" s="2256"/>
      <c r="AJ18" s="2447"/>
      <c r="AK18" s="2447"/>
      <c r="AL18" s="2447"/>
      <c r="AM18" s="2353">
        <f t="shared" si="2"/>
        <v>6</v>
      </c>
      <c r="AO18" s="2780"/>
      <c r="AP18" s="2780"/>
      <c r="AQ18" s="2780"/>
      <c r="AR18" s="2781"/>
      <c r="AT18" s="2239">
        <f t="shared" si="3"/>
        <v>6</v>
      </c>
      <c r="AU18" s="2386" t="s">
        <v>79</v>
      </c>
      <c r="AV18" s="2355">
        <v>1457655.5584438709</v>
      </c>
      <c r="AW18" s="2355">
        <f>1282581.52209724*0.5</f>
        <v>641290.76104861998</v>
      </c>
      <c r="AX18" s="2355">
        <f t="shared" si="15"/>
        <v>-816364.79739525088</v>
      </c>
      <c r="AY18" s="2239">
        <f>AY17+1</f>
        <v>6</v>
      </c>
      <c r="AZ18" s="2249" t="s">
        <v>72</v>
      </c>
      <c r="BA18" s="2448"/>
      <c r="BB18" s="2426"/>
      <c r="BC18" s="2449">
        <f>-BC15-BC17</f>
        <v>-545997.2374999976</v>
      </c>
      <c r="BD18" s="2239">
        <f t="shared" si="4"/>
        <v>6</v>
      </c>
      <c r="BE18" s="2249" t="s">
        <v>471</v>
      </c>
      <c r="BG18" s="2388">
        <f>'6.12G'!C13</f>
        <v>2040814</v>
      </c>
      <c r="BH18" s="2239">
        <f t="shared" si="5"/>
        <v>6</v>
      </c>
      <c r="BI18" s="2255"/>
      <c r="BJ18" s="2291"/>
      <c r="BK18" s="2291"/>
      <c r="BL18" s="2293"/>
      <c r="BQ18" s="2353">
        <f t="shared" si="6"/>
        <v>6</v>
      </c>
      <c r="BR18" s="2450" t="s">
        <v>462</v>
      </c>
      <c r="BS18" s="2441">
        <v>271425</v>
      </c>
      <c r="BU18" s="2362">
        <f t="shared" si="16"/>
        <v>6</v>
      </c>
      <c r="BV18" s="2256"/>
      <c r="BW18" s="2451"/>
      <c r="BX18" s="2268"/>
      <c r="BY18" s="2239">
        <f t="shared" si="7"/>
        <v>6</v>
      </c>
      <c r="BZ18" s="2249" t="s">
        <v>67</v>
      </c>
      <c r="CA18" s="2401">
        <v>0.35</v>
      </c>
      <c r="CB18" s="2401"/>
      <c r="CC18" s="2393">
        <f>CA18*-CC15</f>
        <v>19250.954300034067</v>
      </c>
      <c r="CD18" s="2239">
        <v>6</v>
      </c>
      <c r="CH18" s="2430"/>
      <c r="CI18" s="2239">
        <f t="shared" si="8"/>
        <v>6</v>
      </c>
      <c r="CJ18" s="2249" t="s">
        <v>79</v>
      </c>
      <c r="CK18" s="2249"/>
      <c r="CL18" s="2394">
        <v>22381164</v>
      </c>
      <c r="CM18" s="2394">
        <v>22930708</v>
      </c>
      <c r="CN18" s="2393">
        <f t="shared" si="17"/>
        <v>549544</v>
      </c>
      <c r="CO18" s="2239">
        <f t="shared" si="9"/>
        <v>6</v>
      </c>
      <c r="CP18" s="2365" t="s">
        <v>346</v>
      </c>
      <c r="CQ18" s="2366"/>
      <c r="CR18" s="2395"/>
      <c r="CS18" s="2395"/>
      <c r="CT18" s="2239">
        <f t="shared" si="18"/>
        <v>6</v>
      </c>
      <c r="CU18" s="2231" t="s">
        <v>483</v>
      </c>
      <c r="CV18" s="2452">
        <v>0.60560000000000003</v>
      </c>
      <c r="CW18" s="3027">
        <v>6572210.3015385605</v>
      </c>
      <c r="DM18" s="2397"/>
    </row>
    <row r="19" spans="1:161" ht="17.25" thickTop="1" thickBot="1">
      <c r="A19" s="2239">
        <f t="shared" si="10"/>
        <v>7</v>
      </c>
      <c r="B19" s="2418">
        <v>40298</v>
      </c>
      <c r="C19" s="2419">
        <v>92608601</v>
      </c>
      <c r="D19" s="2419">
        <v>89726214</v>
      </c>
      <c r="E19" s="2432">
        <f t="shared" si="19"/>
        <v>-2882387</v>
      </c>
      <c r="G19" s="2239">
        <f t="shared" si="0"/>
        <v>7</v>
      </c>
      <c r="H19" s="2381" t="s">
        <v>517</v>
      </c>
      <c r="I19" s="2443"/>
      <c r="J19" s="2359">
        <f>'6.02G'!D19</f>
        <v>-21345994.175970029</v>
      </c>
      <c r="K19" s="2256"/>
      <c r="L19" s="2376">
        <f t="shared" si="11"/>
        <v>7</v>
      </c>
      <c r="M19" s="2377" t="s">
        <v>250</v>
      </c>
      <c r="N19" s="2377"/>
      <c r="O19" s="2453">
        <f>SUM(O14:O18)</f>
        <v>1398850.3174869344</v>
      </c>
      <c r="P19" s="2239">
        <f t="shared" si="12"/>
        <v>7</v>
      </c>
      <c r="Q19" s="2231" t="s">
        <v>75</v>
      </c>
      <c r="R19" s="2345"/>
      <c r="S19" s="2454">
        <v>-204565</v>
      </c>
      <c r="T19" s="2239">
        <f t="shared" si="13"/>
        <v>7</v>
      </c>
      <c r="U19" s="2347"/>
      <c r="V19" s="2455"/>
      <c r="W19" s="2456" t="s">
        <v>18</v>
      </c>
      <c r="X19" s="2342">
        <f t="shared" si="20"/>
        <v>7</v>
      </c>
      <c r="Y19" s="2379" t="s">
        <v>499</v>
      </c>
      <c r="Z19" s="2403">
        <v>14948.581554753739</v>
      </c>
      <c r="AA19" s="2403">
        <v>961.86875653850007</v>
      </c>
      <c r="AB19" s="2403">
        <f t="shared" si="14"/>
        <v>-13986.712798215238</v>
      </c>
      <c r="AC19" s="2239">
        <v>7</v>
      </c>
      <c r="AD19" s="2450" t="s">
        <v>67</v>
      </c>
      <c r="AE19" s="2445"/>
      <c r="AF19" s="2423">
        <v>0.35</v>
      </c>
      <c r="AG19" s="2446">
        <f>-AG17*0.35</f>
        <v>207307.17515377537</v>
      </c>
      <c r="AH19" s="2239">
        <f t="shared" si="1"/>
        <v>7</v>
      </c>
      <c r="AI19" s="2256"/>
      <c r="AJ19" s="2457"/>
      <c r="AK19" s="2457"/>
      <c r="AL19" s="2458"/>
      <c r="AM19" s="2353">
        <f>1+AM18</f>
        <v>7</v>
      </c>
      <c r="AN19" s="2459" t="s">
        <v>504</v>
      </c>
      <c r="AP19" s="2384">
        <f>'6.09G'!D20</f>
        <v>1011530516.25</v>
      </c>
      <c r="AQ19" s="2384">
        <f>'6.09G'!E20</f>
        <v>14712939.040000001</v>
      </c>
      <c r="AR19" s="2384">
        <f>'6.09G'!F20</f>
        <v>996817577.21000004</v>
      </c>
      <c r="AT19" s="2239">
        <f t="shared" si="3"/>
        <v>7</v>
      </c>
      <c r="AU19" s="2386" t="s">
        <v>81</v>
      </c>
      <c r="AV19" s="2355">
        <v>588042.75877428928</v>
      </c>
      <c r="AW19" s="2355">
        <f>515442.089180953*0.5</f>
        <v>257721.04459047649</v>
      </c>
      <c r="AX19" s="2355">
        <f t="shared" si="15"/>
        <v>-330321.71418381279</v>
      </c>
      <c r="AY19" s="2426"/>
      <c r="AZ19" s="2426"/>
      <c r="BA19" s="2426"/>
      <c r="BB19" s="2426"/>
      <c r="BC19" s="2426"/>
      <c r="BD19" s="2239">
        <f t="shared" si="4"/>
        <v>7</v>
      </c>
      <c r="BE19" s="2249" t="s">
        <v>474</v>
      </c>
      <c r="BG19" s="2356">
        <f>(BG17-BG18)</f>
        <v>-0.25750000006519258</v>
      </c>
      <c r="BH19" s="2239">
        <f>BH18+1</f>
        <v>7</v>
      </c>
      <c r="BI19" s="2255" t="s">
        <v>67</v>
      </c>
      <c r="BJ19" s="2291"/>
      <c r="BK19" s="2401">
        <v>0.35</v>
      </c>
      <c r="BL19" s="2460">
        <f>-BL17*BK19</f>
        <v>29081.60441516728</v>
      </c>
      <c r="BQ19" s="2353">
        <f t="shared" si="6"/>
        <v>7</v>
      </c>
      <c r="BR19" s="2450"/>
      <c r="BS19" s="2461"/>
      <c r="BT19" s="2361"/>
      <c r="BU19" s="2362">
        <f t="shared" si="16"/>
        <v>7</v>
      </c>
      <c r="BV19" s="2462" t="s">
        <v>402</v>
      </c>
      <c r="BX19" s="2261">
        <f>'6.16G'!D20</f>
        <v>-187823.5</v>
      </c>
      <c r="BY19" s="2239">
        <f t="shared" si="7"/>
        <v>7</v>
      </c>
      <c r="BZ19" s="2249" t="s">
        <v>74</v>
      </c>
      <c r="CC19" s="2449">
        <f>-CC15-CC18</f>
        <v>35751.772271491849</v>
      </c>
      <c r="CD19" s="2239">
        <v>7</v>
      </c>
      <c r="CE19" s="2249" t="s">
        <v>67</v>
      </c>
      <c r="CF19" s="2401">
        <v>0.35</v>
      </c>
      <c r="CG19" s="2401"/>
      <c r="CH19" s="2346">
        <f>CF19*-CH16</f>
        <v>-313809.02686396334</v>
      </c>
      <c r="CI19" s="2239">
        <f>CI18+1</f>
        <v>7</v>
      </c>
      <c r="CJ19" s="2249" t="s">
        <v>81</v>
      </c>
      <c r="CK19" s="2249"/>
      <c r="CL19" s="2394">
        <v>9031036</v>
      </c>
      <c r="CM19" s="2394">
        <v>9247000</v>
      </c>
      <c r="CN19" s="2393">
        <f t="shared" si="17"/>
        <v>215964</v>
      </c>
      <c r="CO19" s="2239">
        <f t="shared" si="9"/>
        <v>7</v>
      </c>
      <c r="CP19" s="2255" t="s">
        <v>183</v>
      </c>
      <c r="CQ19" s="2333"/>
      <c r="CR19" s="2395">
        <v>64458.161614000004</v>
      </c>
      <c r="CS19" s="2395"/>
      <c r="CT19" s="2239">
        <f t="shared" si="18"/>
        <v>7</v>
      </c>
      <c r="CU19" s="2363" t="s">
        <v>355</v>
      </c>
      <c r="CV19" s="2401"/>
      <c r="CW19" s="2463">
        <v>6563785</v>
      </c>
      <c r="DM19" s="2397"/>
    </row>
    <row r="20" spans="1:161" ht="17.25" thickTop="1" thickBot="1">
      <c r="A20" s="2239">
        <f t="shared" si="10"/>
        <v>8</v>
      </c>
      <c r="B20" s="2418">
        <v>40329</v>
      </c>
      <c r="C20" s="2419">
        <v>74871802</v>
      </c>
      <c r="D20" s="2419">
        <v>67935817</v>
      </c>
      <c r="E20" s="2432">
        <f t="shared" si="19"/>
        <v>-6935985</v>
      </c>
      <c r="G20" s="2239">
        <f t="shared" si="0"/>
        <v>8</v>
      </c>
      <c r="H20" s="2421" t="s">
        <v>234</v>
      </c>
      <c r="I20" s="2443"/>
      <c r="J20" s="2359">
        <f>'6.02G'!D20</f>
        <v>10634442.391596869</v>
      </c>
      <c r="K20" s="2256"/>
      <c r="L20" s="2376">
        <f t="shared" si="11"/>
        <v>8</v>
      </c>
      <c r="M20" s="2377"/>
      <c r="N20" s="2377"/>
      <c r="O20" s="2377"/>
      <c r="P20" s="2239">
        <f t="shared" si="12"/>
        <v>8</v>
      </c>
      <c r="Q20" s="2231" t="s">
        <v>78</v>
      </c>
      <c r="S20" s="2346">
        <f>SUM(S16:S19)</f>
        <v>40970447.550000004</v>
      </c>
      <c r="T20" s="2239">
        <f t="shared" si="13"/>
        <v>8</v>
      </c>
      <c r="U20" s="2231" t="s">
        <v>195</v>
      </c>
      <c r="V20" s="2782"/>
      <c r="W20" s="2356">
        <f>-W18</f>
        <v>-52187513.246480234</v>
      </c>
      <c r="X20" s="2342">
        <f t="shared" si="20"/>
        <v>8</v>
      </c>
      <c r="Y20" s="2231" t="s">
        <v>506</v>
      </c>
      <c r="Z20" s="2464">
        <v>32220.739164000013</v>
      </c>
      <c r="AA20" s="2464">
        <v>11860.639027130583</v>
      </c>
      <c r="AB20" s="2465">
        <f t="shared" si="14"/>
        <v>-20360.100136869431</v>
      </c>
      <c r="AC20" s="2239">
        <v>8</v>
      </c>
      <c r="AD20" s="2381"/>
      <c r="AE20" s="2466"/>
      <c r="AF20" s="2467"/>
      <c r="AG20" s="2468"/>
      <c r="AH20" s="2239">
        <f t="shared" si="1"/>
        <v>8</v>
      </c>
      <c r="AJ20" s="2457"/>
      <c r="AK20" s="2457"/>
      <c r="AM20" s="2353">
        <f>1+AM19</f>
        <v>8</v>
      </c>
      <c r="AT20" s="2239">
        <f t="shared" si="3"/>
        <v>8</v>
      </c>
      <c r="AU20" s="2386" t="s">
        <v>83</v>
      </c>
      <c r="AV20" s="2355">
        <v>54899.083350438937</v>
      </c>
      <c r="AW20" s="2355">
        <f>47766.5146605605*0.5</f>
        <v>23883.257330280248</v>
      </c>
      <c r="AX20" s="2355">
        <f t="shared" si="15"/>
        <v>-31015.826020158689</v>
      </c>
      <c r="AY20" s="2469"/>
      <c r="AZ20" s="2280"/>
      <c r="BA20" s="2280"/>
      <c r="BB20" s="2280"/>
      <c r="BC20" s="2280"/>
      <c r="BD20" s="2239">
        <f>BD19+1</f>
        <v>8</v>
      </c>
      <c r="BF20" s="2426"/>
      <c r="BG20" s="2470"/>
      <c r="BH20" s="2239">
        <f t="shared" si="5"/>
        <v>8</v>
      </c>
      <c r="BI20" s="2255" t="s">
        <v>74</v>
      </c>
      <c r="BJ20" s="2291"/>
      <c r="BK20" s="2291"/>
      <c r="BL20" s="2471">
        <f>-BL17-BL19</f>
        <v>54008.693913882089</v>
      </c>
      <c r="BQ20" s="2353">
        <f t="shared" si="6"/>
        <v>8</v>
      </c>
      <c r="BR20" s="2249" t="s">
        <v>61</v>
      </c>
      <c r="BS20" s="2410">
        <f>BS17-BS18</f>
        <v>0</v>
      </c>
      <c r="BT20" s="2441">
        <f>BS20</f>
        <v>0</v>
      </c>
      <c r="BU20" s="2362">
        <f t="shared" si="16"/>
        <v>8</v>
      </c>
      <c r="BX20" s="2259"/>
      <c r="CD20" s="2239">
        <v>8</v>
      </c>
      <c r="CE20" s="2249" t="s">
        <v>74</v>
      </c>
      <c r="CH20" s="2449">
        <f>-CH16-CH19</f>
        <v>-582788.19274736056</v>
      </c>
      <c r="CI20" s="2239">
        <f t="shared" si="8"/>
        <v>8</v>
      </c>
      <c r="CJ20" s="2249" t="s">
        <v>83</v>
      </c>
      <c r="CK20" s="2249"/>
      <c r="CL20" s="2394">
        <v>843006</v>
      </c>
      <c r="CM20" s="2394">
        <v>866204</v>
      </c>
      <c r="CN20" s="2393">
        <f t="shared" si="17"/>
        <v>23198</v>
      </c>
      <c r="CO20" s="2239">
        <f t="shared" si="9"/>
        <v>8</v>
      </c>
      <c r="CP20" s="2366" t="s">
        <v>184</v>
      </c>
      <c r="CQ20" s="2472">
        <v>0</v>
      </c>
      <c r="CR20" s="2417">
        <f>+CR19*CQ20</f>
        <v>0</v>
      </c>
      <c r="CS20" s="2395"/>
      <c r="CT20" s="2239">
        <f t="shared" si="18"/>
        <v>8</v>
      </c>
      <c r="CU20" s="2249" t="s">
        <v>62</v>
      </c>
      <c r="CV20" s="2239"/>
      <c r="CW20" s="3029">
        <f>CW18-CW19</f>
        <v>8425.3015385605395</v>
      </c>
      <c r="DM20" s="2397"/>
    </row>
    <row r="21" spans="1:161" ht="17.25" thickTop="1" thickBot="1">
      <c r="A21" s="2239">
        <f t="shared" si="10"/>
        <v>9</v>
      </c>
      <c r="B21" s="2418">
        <v>40332</v>
      </c>
      <c r="C21" s="2419">
        <v>56233149</v>
      </c>
      <c r="D21" s="2419">
        <v>52834021</v>
      </c>
      <c r="E21" s="2432">
        <f t="shared" si="19"/>
        <v>-3399128</v>
      </c>
      <c r="G21" s="2239">
        <f t="shared" si="0"/>
        <v>9</v>
      </c>
      <c r="H21" s="2421" t="s">
        <v>465</v>
      </c>
      <c r="I21" s="2443"/>
      <c r="J21" s="2359">
        <f>'6.02G'!D21</f>
        <v>-1035101.1621047809</v>
      </c>
      <c r="K21" s="2256"/>
      <c r="L21" s="2376">
        <f t="shared" si="11"/>
        <v>9</v>
      </c>
      <c r="M21" s="2473" t="s">
        <v>228</v>
      </c>
      <c r="N21" s="2377"/>
      <c r="O21" s="2377"/>
      <c r="P21" s="2239">
        <f t="shared" ref="P21:P31" si="21">P20+1</f>
        <v>9</v>
      </c>
      <c r="T21" s="2239">
        <f t="shared" si="13"/>
        <v>9</v>
      </c>
      <c r="U21" s="2231" t="s">
        <v>18</v>
      </c>
      <c r="V21" s="2239"/>
      <c r="W21" s="2339" t="s">
        <v>18</v>
      </c>
      <c r="X21" s="2342">
        <f t="shared" si="20"/>
        <v>9</v>
      </c>
      <c r="Y21" s="2249" t="s">
        <v>487</v>
      </c>
      <c r="Z21" s="2474">
        <f>SUM(Z15:Z20)</f>
        <v>486995.2715227938</v>
      </c>
      <c r="AA21" s="2474">
        <f>SUM(AA15:AA20)</f>
        <v>15287.909419053976</v>
      </c>
      <c r="AB21" s="2474">
        <f t="shared" si="14"/>
        <v>-471707.36210373981</v>
      </c>
      <c r="AC21" s="2239">
        <v>9</v>
      </c>
      <c r="AD21" s="2381" t="s">
        <v>265</v>
      </c>
      <c r="AE21" s="2467"/>
      <c r="AF21" s="2446"/>
      <c r="AG21" s="2475">
        <f>-AG17-AG19</f>
        <v>384999.03957129712</v>
      </c>
      <c r="AH21" s="2239">
        <f t="shared" si="1"/>
        <v>9</v>
      </c>
      <c r="AI21" s="2270" t="s">
        <v>400</v>
      </c>
      <c r="AJ21" s="2476"/>
      <c r="AL21" s="2447">
        <f>AL16</f>
        <v>83552.818279334067</v>
      </c>
      <c r="AM21" s="2353">
        <f>1+AM20</f>
        <v>9</v>
      </c>
      <c r="AN21" s="2231" t="s">
        <v>155</v>
      </c>
      <c r="AR21" s="2477">
        <f>AS17</f>
        <v>3.4749999999999998E-3</v>
      </c>
      <c r="AT21" s="2239">
        <f t="shared" si="3"/>
        <v>9</v>
      </c>
      <c r="AU21" s="2386" t="s">
        <v>51</v>
      </c>
      <c r="AV21" s="2355">
        <v>9338.5038688890982</v>
      </c>
      <c r="AW21" s="2355">
        <f>8031.31850027069*0.5</f>
        <v>4015.6592501353448</v>
      </c>
      <c r="AX21" s="2355">
        <f t="shared" si="15"/>
        <v>-5322.8446187537538</v>
      </c>
      <c r="BC21" s="2259"/>
      <c r="BD21" s="2239">
        <f t="shared" si="4"/>
        <v>9</v>
      </c>
      <c r="BE21" s="2249" t="s">
        <v>62</v>
      </c>
      <c r="BF21" s="2426"/>
      <c r="BG21" s="2268">
        <f>BG19+BG15</f>
        <v>75778.614861004287</v>
      </c>
      <c r="BH21" s="2239">
        <f t="shared" si="5"/>
        <v>9</v>
      </c>
      <c r="BI21" s="2278"/>
      <c r="BJ21" s="2278"/>
      <c r="BK21" s="2278"/>
      <c r="BL21" s="2278"/>
      <c r="BQ21" s="2353">
        <f t="shared" si="6"/>
        <v>9</v>
      </c>
      <c r="BR21" s="2249"/>
      <c r="BS21" s="2478"/>
      <c r="BT21" s="2479"/>
      <c r="BU21" s="2362">
        <f t="shared" si="16"/>
        <v>9</v>
      </c>
      <c r="BV21" s="2480" t="s">
        <v>61</v>
      </c>
      <c r="BX21" s="2268">
        <f>BX17-BX19</f>
        <v>142453.22666666686</v>
      </c>
      <c r="BY21" s="2469"/>
      <c r="CD21" s="2481"/>
      <c r="CE21" s="2481"/>
      <c r="CF21" s="2481"/>
      <c r="CG21" s="2481"/>
      <c r="CH21" s="2481"/>
      <c r="CI21" s="2239">
        <f t="shared" si="8"/>
        <v>9</v>
      </c>
      <c r="CJ21" s="2249" t="s">
        <v>51</v>
      </c>
      <c r="CK21" s="2249"/>
      <c r="CL21" s="2394">
        <v>142425</v>
      </c>
      <c r="CM21" s="2394">
        <v>146650</v>
      </c>
      <c r="CN21" s="2393">
        <f t="shared" si="17"/>
        <v>4225</v>
      </c>
      <c r="CO21" s="2239">
        <f t="shared" si="9"/>
        <v>9</v>
      </c>
      <c r="CP21" s="2429" t="s">
        <v>185</v>
      </c>
      <c r="CQ21" s="2429"/>
      <c r="CR21" s="2395"/>
      <c r="CS21" s="2395">
        <f>SUM(CR19:CR20)</f>
        <v>64458.161614000004</v>
      </c>
      <c r="CT21" s="2239">
        <f t="shared" si="18"/>
        <v>9</v>
      </c>
      <c r="CV21" s="2239"/>
      <c r="CW21" s="2396"/>
      <c r="DM21" s="2397"/>
      <c r="FE21" s="2482"/>
    </row>
    <row r="22" spans="1:161" ht="16.5" thickTop="1">
      <c r="A22" s="2239">
        <f t="shared" si="10"/>
        <v>10</v>
      </c>
      <c r="B22" s="2418">
        <v>40390</v>
      </c>
      <c r="C22" s="2419">
        <v>45903282</v>
      </c>
      <c r="D22" s="2419">
        <v>44771928</v>
      </c>
      <c r="E22" s="2432">
        <f t="shared" si="19"/>
        <v>-1131354</v>
      </c>
      <c r="G22" s="2239">
        <f t="shared" si="0"/>
        <v>10</v>
      </c>
      <c r="H22" s="2421" t="s">
        <v>466</v>
      </c>
      <c r="I22" s="2443"/>
      <c r="J22" s="2359">
        <f>'6.02G'!D22</f>
        <v>-415904.39575929753</v>
      </c>
      <c r="K22" s="2256"/>
      <c r="L22" s="2376">
        <f t="shared" si="11"/>
        <v>10</v>
      </c>
      <c r="M22" s="2426" t="s">
        <v>134</v>
      </c>
      <c r="N22" s="2483">
        <f>I56</f>
        <v>3.4749999999999998E-3</v>
      </c>
      <c r="O22" s="2356">
        <f>-$O$19*N22</f>
        <v>-4861.0048532670962</v>
      </c>
      <c r="P22" s="2239">
        <f t="shared" si="21"/>
        <v>10</v>
      </c>
      <c r="Q22" s="2231" t="s">
        <v>82</v>
      </c>
      <c r="S22" s="2378"/>
      <c r="T22" s="2239">
        <f t="shared" si="13"/>
        <v>10</v>
      </c>
      <c r="U22" s="2231" t="s">
        <v>116</v>
      </c>
      <c r="V22" s="2401">
        <f>R16</f>
        <v>0.35</v>
      </c>
      <c r="W22" s="2259">
        <f>W20*V22</f>
        <v>-18265629.636268079</v>
      </c>
      <c r="X22" s="2342">
        <f t="shared" si="20"/>
        <v>10</v>
      </c>
      <c r="Y22" s="2775"/>
      <c r="Z22" s="2783"/>
      <c r="AA22" s="2783"/>
      <c r="AB22" s="2784"/>
      <c r="AC22" s="2239">
        <v>10</v>
      </c>
      <c r="AE22" s="2235"/>
      <c r="AF22" s="2235"/>
      <c r="AG22" s="2235"/>
      <c r="AH22" s="2239">
        <f t="shared" si="1"/>
        <v>10</v>
      </c>
      <c r="AI22" s="2270" t="s">
        <v>67</v>
      </c>
      <c r="AJ22" s="2447"/>
      <c r="AK22" s="2423">
        <v>0.35</v>
      </c>
      <c r="AL22" s="2447">
        <f>ROUND(-AL21*AK22,0)</f>
        <v>-29243</v>
      </c>
      <c r="AM22" s="2353">
        <f t="shared" si="2"/>
        <v>10</v>
      </c>
      <c r="AN22" s="2231" t="s">
        <v>156</v>
      </c>
      <c r="AR22" s="2384">
        <f>AR19*AR21</f>
        <v>3463941.0808047499</v>
      </c>
      <c r="AT22" s="2239">
        <f t="shared" si="3"/>
        <v>10</v>
      </c>
      <c r="AU22" s="2386" t="s">
        <v>85</v>
      </c>
      <c r="AV22" s="2484">
        <v>635301.24805018259</v>
      </c>
      <c r="AW22" s="2484">
        <f>550888.957870419*0.5</f>
        <v>275444.47893520951</v>
      </c>
      <c r="AX22" s="2484">
        <f>AW22-AV22</f>
        <v>-359856.76911497308</v>
      </c>
      <c r="AY22" s="2426"/>
      <c r="BC22" s="2485"/>
      <c r="BD22" s="2239"/>
      <c r="BE22" s="2249"/>
      <c r="BF22" s="2426"/>
      <c r="BG22" s="2486"/>
      <c r="BH22" s="2239">
        <f>BH21+1</f>
        <v>10</v>
      </c>
      <c r="BI22" s="2487"/>
      <c r="BJ22" s="2487"/>
      <c r="BK22" s="2487"/>
      <c r="BL22" s="2487"/>
      <c r="BQ22" s="2353">
        <f t="shared" si="6"/>
        <v>10</v>
      </c>
      <c r="BR22" s="2249"/>
      <c r="BS22" s="2488"/>
      <c r="BT22" s="2335"/>
      <c r="BU22" s="2362">
        <f t="shared" si="16"/>
        <v>10</v>
      </c>
      <c r="BV22" s="2489"/>
      <c r="BW22" s="2489"/>
      <c r="BX22" s="2268"/>
      <c r="BY22" s="2411"/>
      <c r="BZ22" s="2411"/>
      <c r="CA22" s="2411"/>
      <c r="CB22" s="2411"/>
      <c r="CC22" s="2490"/>
      <c r="CD22" s="2469"/>
      <c r="CH22" s="2231" t="s">
        <v>18</v>
      </c>
      <c r="CI22" s="2239">
        <f t="shared" si="8"/>
        <v>10</v>
      </c>
      <c r="CJ22" s="2249" t="s">
        <v>85</v>
      </c>
      <c r="CK22" s="2249"/>
      <c r="CL22" s="2491">
        <v>9752577</v>
      </c>
      <c r="CM22" s="2491">
        <v>10036913</v>
      </c>
      <c r="CN22" s="2388">
        <f t="shared" si="17"/>
        <v>284336</v>
      </c>
      <c r="CO22" s="2239">
        <f t="shared" si="9"/>
        <v>10</v>
      </c>
      <c r="CP22" s="2366"/>
      <c r="CQ22" s="2366"/>
      <c r="CR22" s="2395"/>
      <c r="CS22" s="2395"/>
      <c r="CT22" s="2239">
        <f t="shared" si="18"/>
        <v>10</v>
      </c>
      <c r="CU22" s="2249" t="s">
        <v>69</v>
      </c>
      <c r="CV22" s="2401">
        <v>0.35</v>
      </c>
      <c r="CW22" s="3030">
        <f>-CW20*CV22</f>
        <v>-2948.8555384961887</v>
      </c>
      <c r="DM22" s="2397"/>
      <c r="FE22" s="2390"/>
    </row>
    <row r="23" spans="1:161" ht="16.5" thickBot="1">
      <c r="A23" s="2239">
        <f t="shared" si="10"/>
        <v>11</v>
      </c>
      <c r="B23" s="2418">
        <v>40421</v>
      </c>
      <c r="C23" s="2419">
        <v>44931621</v>
      </c>
      <c r="D23" s="2419">
        <v>43877935</v>
      </c>
      <c r="E23" s="2432">
        <f t="shared" si="19"/>
        <v>-1053686</v>
      </c>
      <c r="G23" s="2239">
        <f t="shared" si="0"/>
        <v>11</v>
      </c>
      <c r="H23" s="2421" t="s">
        <v>468</v>
      </c>
      <c r="I23" s="2443"/>
      <c r="J23" s="2359">
        <f>'6.02G'!D23</f>
        <v>3430012.8529400015</v>
      </c>
      <c r="K23" s="2256"/>
      <c r="L23" s="2376">
        <f t="shared" si="11"/>
        <v>11</v>
      </c>
      <c r="M23" s="2377" t="s">
        <v>251</v>
      </c>
      <c r="N23" s="2483">
        <f>I57</f>
        <v>2E-3</v>
      </c>
      <c r="O23" s="2356">
        <f>-$O$19*N23</f>
        <v>-2797.700634973869</v>
      </c>
      <c r="P23" s="2239">
        <f t="shared" si="21"/>
        <v>11</v>
      </c>
      <c r="Q23" s="2249" t="s">
        <v>84</v>
      </c>
      <c r="R23" s="2339"/>
      <c r="S23" s="2493">
        <v>15204117</v>
      </c>
      <c r="T23" s="2239">
        <f t="shared" si="13"/>
        <v>11</v>
      </c>
      <c r="U23" s="2231" t="s">
        <v>74</v>
      </c>
      <c r="V23" s="2776"/>
      <c r="W23" s="2494">
        <f>-W22</f>
        <v>18265629.636268079</v>
      </c>
      <c r="X23" s="2342">
        <f t="shared" si="20"/>
        <v>11</v>
      </c>
      <c r="Y23" s="2430" t="s">
        <v>67</v>
      </c>
      <c r="Z23" s="2430"/>
      <c r="AA23" s="2495">
        <f>V22</f>
        <v>0.35</v>
      </c>
      <c r="AB23" s="2791">
        <f>-AA23*AB21</f>
        <v>165097.57673630893</v>
      </c>
      <c r="AC23" s="2239">
        <v>11</v>
      </c>
      <c r="AD23" s="2237"/>
      <c r="AE23" s="2237"/>
      <c r="AF23" s="2237"/>
      <c r="AG23" s="2237"/>
      <c r="AH23" s="2239">
        <f t="shared" si="1"/>
        <v>11</v>
      </c>
      <c r="AI23" s="2256"/>
      <c r="AJ23" s="2457"/>
      <c r="AK23" s="2457"/>
      <c r="AL23" s="2457"/>
      <c r="AM23" s="2353">
        <f t="shared" si="2"/>
        <v>11</v>
      </c>
      <c r="AT23" s="2239">
        <f t="shared" si="3"/>
        <v>11</v>
      </c>
      <c r="AU23" s="2231" t="s">
        <v>190</v>
      </c>
      <c r="AV23" s="2259">
        <f>SUM(AV14:AV22)</f>
        <v>2829849.6572391205</v>
      </c>
      <c r="AW23" s="2259">
        <f>SUM(AW14:AW22)</f>
        <v>1239400.8971382233</v>
      </c>
      <c r="AX23" s="2355">
        <f>SUM(AX14:AX22)</f>
        <v>-1590448.7601008969</v>
      </c>
      <c r="AY23" s="2280"/>
      <c r="BD23" s="2239">
        <f>BD21+1</f>
        <v>10</v>
      </c>
      <c r="BF23" s="2426"/>
      <c r="BG23" s="2486"/>
      <c r="BH23" s="2239">
        <f>BH22+1</f>
        <v>11</v>
      </c>
      <c r="BI23" s="2278" t="s">
        <v>3002</v>
      </c>
      <c r="BJ23" s="2278"/>
      <c r="BK23" s="2278"/>
      <c r="BL23" s="2278"/>
      <c r="BQ23" s="2353">
        <f t="shared" si="6"/>
        <v>11</v>
      </c>
      <c r="BR23" s="2249" t="s">
        <v>176</v>
      </c>
      <c r="BS23" s="2488"/>
      <c r="BT23" s="2441">
        <f>+BT20</f>
        <v>0</v>
      </c>
      <c r="BU23" s="2362">
        <f>BU22+1</f>
        <v>11</v>
      </c>
      <c r="BV23" s="2496" t="s">
        <v>67</v>
      </c>
      <c r="BW23" s="2497">
        <f>BS25</f>
        <v>0.35</v>
      </c>
      <c r="BX23" s="2261">
        <f>-BX21*BW23</f>
        <v>-49858.629333333396</v>
      </c>
      <c r="BY23" s="2280"/>
      <c r="BZ23" s="2280"/>
      <c r="CA23" s="2280"/>
      <c r="CB23" s="2280"/>
      <c r="CC23" s="2280"/>
      <c r="CD23" s="2411"/>
      <c r="CE23" s="2411"/>
      <c r="CF23" s="2411"/>
      <c r="CG23" s="2411"/>
      <c r="CH23" s="2490" t="s">
        <v>18</v>
      </c>
      <c r="CI23" s="2239">
        <f t="shared" si="8"/>
        <v>11</v>
      </c>
      <c r="CJ23" s="2249" t="s">
        <v>86</v>
      </c>
      <c r="CK23" s="2249"/>
      <c r="CL23" s="2394">
        <f>SUM(CL13:CL22)</f>
        <v>43449915</v>
      </c>
      <c r="CM23" s="2394">
        <f>SUM(CM13:CM22)</f>
        <v>44561398.001381963</v>
      </c>
      <c r="CN23" s="2393">
        <f>SUM(CN13:CN22)</f>
        <v>1111483.0013819647</v>
      </c>
      <c r="CO23" s="2239">
        <f t="shared" si="9"/>
        <v>11</v>
      </c>
      <c r="CP23" s="2365" t="s">
        <v>182</v>
      </c>
      <c r="CQ23" s="2498"/>
      <c r="CR23" s="2395"/>
      <c r="CS23" s="2395"/>
      <c r="CT23" s="2239">
        <f t="shared" si="18"/>
        <v>11</v>
      </c>
      <c r="CW23" s="2396"/>
      <c r="DM23" s="2499"/>
      <c r="FE23" s="2390"/>
    </row>
    <row r="24" spans="1:161" ht="17.25" thickTop="1" thickBot="1">
      <c r="A24" s="2239">
        <f t="shared" si="10"/>
        <v>12</v>
      </c>
      <c r="B24" s="2418">
        <v>40451</v>
      </c>
      <c r="C24" s="2419">
        <v>49140650</v>
      </c>
      <c r="D24" s="2419">
        <v>49056667</v>
      </c>
      <c r="E24" s="2432">
        <f t="shared" si="19"/>
        <v>-83983</v>
      </c>
      <c r="G24" s="2239">
        <f t="shared" si="0"/>
        <v>12</v>
      </c>
      <c r="H24" s="2421" t="s">
        <v>235</v>
      </c>
      <c r="I24" s="2443"/>
      <c r="J24" s="3036">
        <f>'6.02G'!D24+-616470.705163873</f>
        <v>-599612.53187387297</v>
      </c>
      <c r="K24" s="2256"/>
      <c r="L24" s="2376">
        <f t="shared" si="11"/>
        <v>12</v>
      </c>
      <c r="M24" s="2377" t="s">
        <v>252</v>
      </c>
      <c r="N24" s="2483">
        <f>I60</f>
        <v>3.8386000000000003E-2</v>
      </c>
      <c r="O24" s="2356">
        <f>-$O$19*N24</f>
        <v>-53696.26828705347</v>
      </c>
      <c r="P24" s="2239">
        <f t="shared" si="21"/>
        <v>12</v>
      </c>
      <c r="Q24" s="2249" t="s">
        <v>70</v>
      </c>
      <c r="R24" s="2339"/>
      <c r="S24" s="2433">
        <v>59583058.2968999</v>
      </c>
      <c r="T24" s="2500"/>
      <c r="U24" s="2271"/>
      <c r="V24" s="2271"/>
      <c r="W24" s="2271"/>
      <c r="X24" s="2342">
        <f t="shared" si="20"/>
        <v>12</v>
      </c>
      <c r="Y24" s="2775"/>
      <c r="Z24" s="2775"/>
      <c r="AA24" s="2775"/>
      <c r="AB24" s="2785"/>
      <c r="AC24" s="2239">
        <v>12</v>
      </c>
      <c r="AD24" s="2351" t="s">
        <v>379</v>
      </c>
      <c r="AE24" s="2355"/>
      <c r="AF24" s="2355"/>
      <c r="AH24" s="2239">
        <f t="shared" si="1"/>
        <v>12</v>
      </c>
      <c r="AI24" s="2256"/>
      <c r="AJ24" s="2447"/>
      <c r="AK24" s="2447"/>
      <c r="AL24" s="2447"/>
      <c r="AM24" s="2353">
        <f t="shared" si="2"/>
        <v>12</v>
      </c>
      <c r="AN24" s="2249" t="s">
        <v>157</v>
      </c>
      <c r="AR24" s="2501">
        <f>'6.09G'!F25</f>
        <v>5886142.1500000004</v>
      </c>
      <c r="AT24" s="2239">
        <f t="shared" si="3"/>
        <v>12</v>
      </c>
      <c r="AU24" s="2278"/>
      <c r="AY24" s="2280"/>
      <c r="BD24" s="2239">
        <f t="shared" si="4"/>
        <v>11</v>
      </c>
      <c r="BE24" s="2249" t="s">
        <v>69</v>
      </c>
      <c r="BF24" s="2401">
        <v>0.35</v>
      </c>
      <c r="BG24" s="2388">
        <f>ROUND(-BG21*BF24,0)</f>
        <v>-26523</v>
      </c>
      <c r="BH24" s="2268"/>
      <c r="BI24" s="2268"/>
      <c r="BJ24" s="2268"/>
      <c r="BK24" s="2268"/>
      <c r="BL24" s="2268"/>
      <c r="BQ24" s="2353">
        <f t="shared" si="6"/>
        <v>12</v>
      </c>
      <c r="BR24" s="2502"/>
      <c r="BS24" s="2488"/>
      <c r="BT24" s="2503"/>
      <c r="BU24" s="2362">
        <f>BU23+1</f>
        <v>12</v>
      </c>
      <c r="BV24" s="2496"/>
      <c r="BX24" s="2504"/>
      <c r="BY24" s="2481"/>
      <c r="BZ24" s="2481"/>
      <c r="CA24" s="2481"/>
      <c r="CB24" s="2481"/>
      <c r="CC24" s="2481"/>
      <c r="CD24" s="2280"/>
      <c r="CE24" s="2280"/>
      <c r="CF24" s="2411"/>
      <c r="CG24" s="2411"/>
      <c r="CH24" s="2490" t="s">
        <v>18</v>
      </c>
      <c r="CI24" s="2239">
        <f>CI23+1</f>
        <v>12</v>
      </c>
      <c r="CL24" s="2487"/>
      <c r="CM24" s="2487"/>
      <c r="CN24" s="2487"/>
      <c r="CO24" s="2239">
        <f t="shared" si="9"/>
        <v>12</v>
      </c>
      <c r="CP24" s="2255" t="s">
        <v>183</v>
      </c>
      <c r="CQ24" s="2333"/>
      <c r="CR24" s="2395">
        <v>684365.47690000001</v>
      </c>
      <c r="CS24" s="2395"/>
      <c r="CT24" s="2239">
        <f t="shared" si="18"/>
        <v>12</v>
      </c>
      <c r="CU24" s="2249" t="s">
        <v>72</v>
      </c>
      <c r="CW24" s="3031">
        <f>-CW20-CW22</f>
        <v>-5476.4460000643503</v>
      </c>
      <c r="DH24" s="2239"/>
      <c r="DL24" s="2272"/>
      <c r="DM24" s="2397"/>
      <c r="FE24" s="2232"/>
    </row>
    <row r="25" spans="1:161" ht="17.25" thickTop="1" thickBot="1">
      <c r="A25" s="2239">
        <f t="shared" si="10"/>
        <v>13</v>
      </c>
      <c r="B25" s="2418">
        <v>40482</v>
      </c>
      <c r="C25" s="2419">
        <v>77063217</v>
      </c>
      <c r="D25" s="2419">
        <v>79839487</v>
      </c>
      <c r="E25" s="2432">
        <f t="shared" si="19"/>
        <v>2776270</v>
      </c>
      <c r="G25" s="2239">
        <f t="shared" si="0"/>
        <v>13</v>
      </c>
      <c r="H25" s="2506" t="s">
        <v>236</v>
      </c>
      <c r="I25" s="2256"/>
      <c r="J25" s="3037">
        <f>SUM(J14:J24)</f>
        <v>10718138.270520872</v>
      </c>
      <c r="K25" s="2256"/>
      <c r="L25" s="2376">
        <f t="shared" si="11"/>
        <v>13</v>
      </c>
      <c r="M25" s="2377" t="s">
        <v>176</v>
      </c>
      <c r="N25" s="2507">
        <f>SUM(N22:N24)</f>
        <v>4.3861000000000004E-2</v>
      </c>
      <c r="O25" s="2453">
        <f>SUM(O22:O24)</f>
        <v>-61354.973775294435</v>
      </c>
      <c r="P25" s="2239">
        <f t="shared" si="21"/>
        <v>13</v>
      </c>
      <c r="Q25" s="2231" t="s">
        <v>73</v>
      </c>
      <c r="R25" s="2339"/>
      <c r="S25" s="2433">
        <v>-62446264.005899899</v>
      </c>
      <c r="T25" s="2469"/>
      <c r="W25" s="2278"/>
      <c r="X25" s="2342">
        <f t="shared" si="20"/>
        <v>13</v>
      </c>
      <c r="Y25" s="2508" t="s">
        <v>74</v>
      </c>
      <c r="Z25" s="2232"/>
      <c r="AA25" s="2380"/>
      <c r="AB25" s="2509">
        <f>-AB21-AB23</f>
        <v>306609.78536743089</v>
      </c>
      <c r="AC25" s="2239">
        <v>13</v>
      </c>
      <c r="AD25" s="2381" t="s">
        <v>377</v>
      </c>
      <c r="AE25" s="2510"/>
      <c r="AF25" s="2511"/>
      <c r="AG25" s="2512"/>
      <c r="AH25" s="2239">
        <f t="shared" si="1"/>
        <v>13</v>
      </c>
      <c r="AI25" s="2256"/>
      <c r="AJ25" s="2457"/>
      <c r="AL25" s="2513"/>
      <c r="AM25" s="2353">
        <f>1+AM24</f>
        <v>13</v>
      </c>
      <c r="AN25" s="2514" t="s">
        <v>61</v>
      </c>
      <c r="AS25" s="2259">
        <f>ROUND(AR22-AR24,0)</f>
        <v>-2422201</v>
      </c>
      <c r="AT25" s="2239">
        <f t="shared" si="3"/>
        <v>13</v>
      </c>
      <c r="AU25" s="2354" t="s">
        <v>68</v>
      </c>
      <c r="AV25" s="2484">
        <v>228677.01675184231</v>
      </c>
      <c r="AW25" s="2484">
        <f>(AW23/(AV23/AV25))</f>
        <v>100154.61386511984</v>
      </c>
      <c r="AX25" s="2484">
        <f>AW25-AV25</f>
        <v>-128522.40288672247</v>
      </c>
      <c r="BC25" s="2336"/>
      <c r="BD25" s="2239">
        <f t="shared" si="4"/>
        <v>12</v>
      </c>
      <c r="BE25" s="2249" t="s">
        <v>72</v>
      </c>
      <c r="BF25" s="2448"/>
      <c r="BG25" s="2505">
        <f>-BG21-BG24</f>
        <v>-49255.614861004287</v>
      </c>
      <c r="BM25" s="2239"/>
      <c r="BN25" s="2232"/>
      <c r="BO25" s="2359"/>
      <c r="BP25" s="2232"/>
      <c r="BQ25" s="2353">
        <f t="shared" si="6"/>
        <v>13</v>
      </c>
      <c r="BR25" s="2502" t="s">
        <v>69</v>
      </c>
      <c r="BS25" s="2515">
        <v>0.35</v>
      </c>
      <c r="BT25" s="2441">
        <f>-BT23*BS25</f>
        <v>0</v>
      </c>
      <c r="BU25" s="2362">
        <f>BU24+1</f>
        <v>13</v>
      </c>
      <c r="BV25" s="2496" t="s">
        <v>74</v>
      </c>
      <c r="BX25" s="2516">
        <f>-BX21-BX23</f>
        <v>-92594.597333333455</v>
      </c>
      <c r="BY25" s="2430"/>
      <c r="BZ25" s="2430"/>
      <c r="CA25" s="2430"/>
      <c r="CB25" s="2430"/>
      <c r="CC25" s="2430"/>
      <c r="CD25" s="2481"/>
      <c r="CE25" s="2481"/>
      <c r="CF25" s="2411"/>
      <c r="CG25" s="2411"/>
      <c r="CH25" s="2490" t="s">
        <v>18</v>
      </c>
      <c r="CI25" s="2239">
        <f t="shared" si="8"/>
        <v>13</v>
      </c>
      <c r="CJ25" s="2249" t="s">
        <v>150</v>
      </c>
      <c r="CK25" s="2249"/>
      <c r="CL25" s="2491">
        <v>3533372.488444834</v>
      </c>
      <c r="CM25" s="2491">
        <v>3605616.488444834</v>
      </c>
      <c r="CN25" s="2388">
        <f>CM25-CL25</f>
        <v>72244</v>
      </c>
      <c r="CO25" s="2239">
        <f t="shared" si="9"/>
        <v>13</v>
      </c>
      <c r="CP25" s="2366" t="s">
        <v>184</v>
      </c>
      <c r="CQ25" s="2472">
        <v>2.1938000000000013E-2</v>
      </c>
      <c r="CR25" s="2417">
        <f>+CR24*CQ25</f>
        <v>15013.609832232209</v>
      </c>
      <c r="CS25" s="2395"/>
      <c r="CT25" s="2239">
        <f t="shared" si="18"/>
        <v>13</v>
      </c>
      <c r="DH25" s="2239"/>
      <c r="DM25" s="2397"/>
    </row>
    <row r="26" spans="1:161" ht="17.25" thickTop="1" thickBot="1">
      <c r="A26" s="2239">
        <f>+A25+1</f>
        <v>14</v>
      </c>
      <c r="B26" s="2418">
        <v>40512</v>
      </c>
      <c r="C26" s="2419">
        <v>121261601</v>
      </c>
      <c r="D26" s="2419">
        <v>111333789</v>
      </c>
      <c r="E26" s="2432">
        <f t="shared" si="19"/>
        <v>-9927812</v>
      </c>
      <c r="G26" s="2239">
        <f t="shared" si="0"/>
        <v>14</v>
      </c>
      <c r="H26" s="2256"/>
      <c r="I26" s="2256"/>
      <c r="J26" s="2517"/>
      <c r="K26" s="2256"/>
      <c r="L26" s="2376">
        <f>L25+1</f>
        <v>14</v>
      </c>
      <c r="M26" s="2377"/>
      <c r="N26" s="2377"/>
      <c r="O26" s="2377"/>
      <c r="P26" s="2239">
        <f>P25+1</f>
        <v>14</v>
      </c>
      <c r="Q26" s="2231" t="s">
        <v>75</v>
      </c>
      <c r="R26" s="2377"/>
      <c r="S26" s="2392">
        <v>-204565</v>
      </c>
      <c r="T26" s="2239" t="s">
        <v>18</v>
      </c>
      <c r="U26" s="2776"/>
      <c r="W26" s="2518"/>
      <c r="X26" s="2342">
        <f t="shared" si="20"/>
        <v>14</v>
      </c>
      <c r="AC26" s="2239">
        <v>14</v>
      </c>
      <c r="AD26" s="2381" t="s">
        <v>263</v>
      </c>
      <c r="AE26" s="2404">
        <v>0</v>
      </c>
      <c r="AF26" s="2404">
        <v>-173949.10623863013</v>
      </c>
      <c r="AG26" s="2404">
        <f>AF26-AE26</f>
        <v>-173949.10623863013</v>
      </c>
      <c r="AH26" s="2239">
        <f>AH25+1</f>
        <v>14</v>
      </c>
      <c r="AI26" s="2256"/>
      <c r="AJ26" s="2457"/>
      <c r="AK26" s="2457"/>
      <c r="AL26" s="2457"/>
      <c r="AM26" s="2353">
        <f>1+AM25</f>
        <v>14</v>
      </c>
      <c r="AN26" s="2519"/>
      <c r="AT26" s="2239">
        <f t="shared" si="3"/>
        <v>14</v>
      </c>
      <c r="AU26" s="2231" t="s">
        <v>62</v>
      </c>
      <c r="AV26" s="2259">
        <f>SUM(AV23:AV25)</f>
        <v>3058526.6739909626</v>
      </c>
      <c r="AW26" s="2259">
        <f>SUM(AW23:AW25)</f>
        <v>1339555.5110033432</v>
      </c>
      <c r="AX26" s="2355">
        <f>SUM(AX23:AX25)</f>
        <v>-1718971.1629876194</v>
      </c>
      <c r="BM26" s="2239"/>
      <c r="BN26" s="2232"/>
      <c r="BO26" s="2520"/>
      <c r="BP26" s="2232"/>
      <c r="BQ26" s="2353">
        <f t="shared" si="6"/>
        <v>14</v>
      </c>
      <c r="BR26" s="2502" t="s">
        <v>72</v>
      </c>
      <c r="BS26" s="2488"/>
      <c r="BT26" s="2521">
        <f>-BT23-BT25</f>
        <v>0</v>
      </c>
      <c r="BU26" s="2362"/>
      <c r="BX26" s="2481"/>
      <c r="BY26" s="2430"/>
      <c r="BZ26" s="2430"/>
      <c r="CA26" s="2430"/>
      <c r="CB26" s="2430"/>
      <c r="CC26" s="2420"/>
      <c r="CD26" s="2430"/>
      <c r="CE26" s="2430"/>
      <c r="CF26" s="2411"/>
      <c r="CG26" s="2411"/>
      <c r="CH26" s="2490" t="s">
        <v>18</v>
      </c>
      <c r="CI26" s="2239">
        <f t="shared" ref="CI26:CI33" si="22">CI25+1</f>
        <v>14</v>
      </c>
      <c r="CJ26" s="2249" t="s">
        <v>108</v>
      </c>
      <c r="CK26" s="2249"/>
      <c r="CL26" s="2393">
        <f>+CL25+CL23</f>
        <v>46983287.488444835</v>
      </c>
      <c r="CM26" s="2393">
        <f>+CM25+CM23</f>
        <v>48167014.489826798</v>
      </c>
      <c r="CN26" s="2393">
        <f>CM26-CL26</f>
        <v>1183727.0013819635</v>
      </c>
      <c r="CO26" s="2239">
        <f t="shared" si="9"/>
        <v>14</v>
      </c>
      <c r="CP26" s="2429" t="s">
        <v>185</v>
      </c>
      <c r="CQ26" s="2429"/>
      <c r="CR26" s="2395"/>
      <c r="CS26" s="2395">
        <f>SUM(CR24:CR25)</f>
        <v>699379.08673223224</v>
      </c>
      <c r="CT26" s="2239">
        <f t="shared" si="18"/>
        <v>14</v>
      </c>
      <c r="DH26" s="2239"/>
      <c r="DI26" s="2271"/>
      <c r="DJ26" s="2250"/>
      <c r="DK26" s="2250"/>
      <c r="DL26" s="2250"/>
      <c r="DM26" s="2397"/>
    </row>
    <row r="27" spans="1:161" ht="17.25" thickTop="1" thickBot="1">
      <c r="A27" s="2239">
        <f t="shared" si="10"/>
        <v>15</v>
      </c>
      <c r="B27" s="2418">
        <v>40543</v>
      </c>
      <c r="C27" s="2522">
        <v>146682208</v>
      </c>
      <c r="D27" s="2522">
        <v>159387099</v>
      </c>
      <c r="E27" s="2523">
        <f t="shared" si="19"/>
        <v>12704891</v>
      </c>
      <c r="G27" s="2239">
        <f t="shared" si="0"/>
        <v>15</v>
      </c>
      <c r="H27" s="2256" t="s">
        <v>237</v>
      </c>
      <c r="I27" s="2256"/>
      <c r="J27" s="2256"/>
      <c r="K27" s="2878">
        <f>J25</f>
        <v>10718138.270520872</v>
      </c>
      <c r="L27" s="2376">
        <f t="shared" si="11"/>
        <v>15</v>
      </c>
      <c r="M27" s="2473" t="s">
        <v>253</v>
      </c>
      <c r="N27" s="2377"/>
      <c r="O27" s="2377"/>
      <c r="P27" s="2239">
        <f t="shared" si="21"/>
        <v>15</v>
      </c>
      <c r="R27" s="2377"/>
      <c r="S27" s="2361"/>
      <c r="T27" s="2239"/>
      <c r="U27" s="2776"/>
      <c r="W27" s="2377"/>
      <c r="X27" s="2342">
        <f t="shared" si="20"/>
        <v>15</v>
      </c>
      <c r="AC27" s="2239">
        <v>15</v>
      </c>
      <c r="AD27" s="2381" t="s">
        <v>494</v>
      </c>
      <c r="AE27" s="2382">
        <v>0</v>
      </c>
      <c r="AF27" s="2382">
        <f>-AF26*0.35</f>
        <v>60882.187183520546</v>
      </c>
      <c r="AG27" s="2404">
        <f>AF27-AE27</f>
        <v>60882.187183520546</v>
      </c>
      <c r="AH27" s="2239">
        <f t="shared" si="1"/>
        <v>15</v>
      </c>
      <c r="AI27" s="2270" t="s">
        <v>74</v>
      </c>
      <c r="AJ27" s="2476"/>
      <c r="AK27" s="2476"/>
      <c r="AL27" s="2524">
        <f>-AL21-AL22</f>
        <v>-54309.818279334067</v>
      </c>
      <c r="AM27" s="2353">
        <f t="shared" si="2"/>
        <v>15</v>
      </c>
      <c r="AN27" s="2514" t="s">
        <v>132</v>
      </c>
      <c r="AR27" s="2401">
        <v>0.35</v>
      </c>
      <c r="AS27" s="2501">
        <f>ROUND(-AS25*AR27,0)</f>
        <v>847770</v>
      </c>
      <c r="AT27" s="2239">
        <f t="shared" si="3"/>
        <v>15</v>
      </c>
      <c r="AV27" s="2278"/>
      <c r="AW27" s="2278"/>
      <c r="AX27" s="2525"/>
      <c r="BE27" s="2228"/>
      <c r="BF27" s="2426"/>
      <c r="BG27" s="2280"/>
      <c r="BM27" s="2500"/>
      <c r="BN27" s="2526"/>
      <c r="BO27" s="2527"/>
      <c r="BP27" s="2528"/>
      <c r="BQ27" s="2353"/>
      <c r="BY27" s="2481"/>
      <c r="BZ27" s="2481"/>
      <c r="CA27" s="2481"/>
      <c r="CB27" s="2481"/>
      <c r="CC27" s="2481"/>
      <c r="CD27" s="2430"/>
      <c r="CE27" s="2430"/>
      <c r="CF27" s="2411"/>
      <c r="CG27" s="2411"/>
      <c r="CH27" s="2490" t="s">
        <v>18</v>
      </c>
      <c r="CI27" s="2239">
        <f t="shared" si="22"/>
        <v>15</v>
      </c>
      <c r="CJ27" s="2249"/>
      <c r="CK27" s="2249"/>
      <c r="CL27" s="2339"/>
      <c r="CM27" s="2339"/>
      <c r="CN27" s="2339"/>
      <c r="CO27" s="2239">
        <f t="shared" si="9"/>
        <v>15</v>
      </c>
      <c r="CP27" s="2366"/>
      <c r="CQ27" s="2366"/>
      <c r="CR27" s="2395"/>
      <c r="CS27" s="2395"/>
      <c r="CT27" s="2239">
        <f t="shared" si="18"/>
        <v>15</v>
      </c>
      <c r="CU27" s="2231" t="s">
        <v>3003</v>
      </c>
      <c r="DH27" s="2500"/>
      <c r="DM27" s="2529"/>
      <c r="FE27" s="2271"/>
    </row>
    <row r="28" spans="1:161" s="2271" customFormat="1" ht="17.25" thickTop="1" thickBot="1">
      <c r="A28" s="2239">
        <f t="shared" si="10"/>
        <v>16</v>
      </c>
      <c r="B28" s="2256"/>
      <c r="C28" s="2530">
        <f>ROUND(SUM(C16:C27),0)</f>
        <v>1056630543</v>
      </c>
      <c r="D28" s="2530">
        <f>ROUND(SUM(D16:D27),0)</f>
        <v>1089556625</v>
      </c>
      <c r="E28" s="2530">
        <f>ROUND(SUM(E16:E27),0)</f>
        <v>32926082</v>
      </c>
      <c r="F28" s="2231"/>
      <c r="G28" s="2239">
        <f t="shared" si="0"/>
        <v>16</v>
      </c>
      <c r="H28" s="2256"/>
      <c r="I28" s="2256"/>
      <c r="J28" s="2341"/>
      <c r="K28" s="2256"/>
      <c r="L28" s="2376">
        <f t="shared" si="11"/>
        <v>16</v>
      </c>
      <c r="M28" s="2255" t="s">
        <v>257</v>
      </c>
      <c r="N28" s="2377"/>
      <c r="O28" s="2356">
        <f>'6.03G'!E30</f>
        <v>-3337444</v>
      </c>
      <c r="P28" s="2239">
        <f t="shared" si="21"/>
        <v>16</v>
      </c>
      <c r="Q28" s="2271" t="s">
        <v>88</v>
      </c>
      <c r="R28" s="2531"/>
      <c r="S28" s="2532">
        <f>SUM(S23:S26)</f>
        <v>12136346.291000001</v>
      </c>
      <c r="T28" s="2239"/>
      <c r="U28" s="2231"/>
      <c r="V28" s="2231"/>
      <c r="W28" s="2533"/>
      <c r="X28" s="2342">
        <f t="shared" si="20"/>
        <v>16</v>
      </c>
      <c r="Y28" s="2231" t="s">
        <v>2998</v>
      </c>
      <c r="AC28" s="2239">
        <v>16</v>
      </c>
      <c r="AD28" s="2374" t="s">
        <v>378</v>
      </c>
      <c r="AE28" s="2534">
        <f>SUM(AE26:AE27)</f>
        <v>0</v>
      </c>
      <c r="AF28" s="2534">
        <f>SUM(AF26:AF27)</f>
        <v>-113066.91905510958</v>
      </c>
      <c r="AG28" s="2534">
        <f>SUM(AG26:AG27)</f>
        <v>-113066.91905510958</v>
      </c>
      <c r="AH28" s="2239"/>
      <c r="AI28" s="2256"/>
      <c r="AJ28" s="2457"/>
      <c r="AK28" s="2457"/>
      <c r="AL28" s="2457"/>
      <c r="AM28" s="2353">
        <f t="shared" si="2"/>
        <v>16</v>
      </c>
      <c r="AN28" s="2514" t="s">
        <v>74</v>
      </c>
      <c r="AO28" s="2231"/>
      <c r="AP28" s="2231"/>
      <c r="AQ28" s="2231"/>
      <c r="AR28" s="2231"/>
      <c r="AS28" s="2494">
        <f>-AS25-AS27</f>
        <v>1574431</v>
      </c>
      <c r="AT28" s="2239">
        <f t="shared" si="3"/>
        <v>16</v>
      </c>
      <c r="AU28" s="2231" t="s">
        <v>151</v>
      </c>
      <c r="AV28" s="2278"/>
      <c r="AW28" s="2278"/>
      <c r="AX28" s="2355">
        <f>AX26</f>
        <v>-1718971.1629876194</v>
      </c>
      <c r="BC28" s="2535"/>
      <c r="BG28" s="2535"/>
      <c r="BM28" s="2239"/>
      <c r="BN28" s="2526"/>
      <c r="BO28" s="2526"/>
      <c r="BP28" s="2359"/>
      <c r="BQ28" s="2353"/>
      <c r="BR28" s="2278"/>
      <c r="BS28" s="2278"/>
      <c r="BT28" s="2278"/>
      <c r="BU28" s="2231"/>
      <c r="BV28" s="2231"/>
      <c r="BW28" s="2231"/>
      <c r="BX28" s="2231"/>
      <c r="CD28" s="2481"/>
      <c r="CE28" s="2481"/>
      <c r="CF28" s="2481"/>
      <c r="CG28" s="2481"/>
      <c r="CH28" s="2231"/>
      <c r="CI28" s="2239">
        <f t="shared" si="22"/>
        <v>16</v>
      </c>
      <c r="CJ28" s="2536" t="s">
        <v>151</v>
      </c>
      <c r="CK28" s="2536"/>
      <c r="CL28" s="2537"/>
      <c r="CM28" s="2537"/>
      <c r="CN28" s="2538">
        <f>CN26</f>
        <v>1183727.0013819635</v>
      </c>
      <c r="CO28" s="2239">
        <f t="shared" si="9"/>
        <v>16</v>
      </c>
      <c r="CP28" s="2365" t="s">
        <v>186</v>
      </c>
      <c r="CQ28" s="2498"/>
      <c r="CR28" s="2395"/>
      <c r="CS28" s="2395"/>
      <c r="CT28" s="2239">
        <f t="shared" si="18"/>
        <v>16</v>
      </c>
      <c r="CU28" s="2271" t="s">
        <v>3004</v>
      </c>
      <c r="DH28" s="2239"/>
      <c r="DM28" s="2370"/>
      <c r="FE28" s="2231"/>
    </row>
    <row r="29" spans="1:161" ht="16.5" thickTop="1">
      <c r="A29" s="2239">
        <f t="shared" si="10"/>
        <v>17</v>
      </c>
      <c r="B29" s="2256"/>
      <c r="C29" s="2451"/>
      <c r="D29" s="2786"/>
      <c r="E29" s="2256"/>
      <c r="G29" s="2239">
        <f t="shared" si="0"/>
        <v>17</v>
      </c>
      <c r="H29" s="2255" t="s">
        <v>2</v>
      </c>
      <c r="I29" s="2256"/>
      <c r="J29" s="2375"/>
      <c r="K29" s="2256"/>
      <c r="L29" s="2376">
        <f t="shared" si="11"/>
        <v>17</v>
      </c>
      <c r="M29" s="2255" t="s">
        <v>258</v>
      </c>
      <c r="N29" s="2377"/>
      <c r="O29" s="2356">
        <f>'6.03G'!E31</f>
        <v>-14771681.630000001</v>
      </c>
      <c r="P29" s="2239">
        <f t="shared" si="21"/>
        <v>17</v>
      </c>
      <c r="R29" s="2539"/>
      <c r="S29" s="2540"/>
      <c r="T29" s="2541"/>
      <c r="U29" s="2411"/>
      <c r="V29" s="2375"/>
      <c r="W29" s="2451"/>
      <c r="X29" s="2342">
        <f t="shared" si="20"/>
        <v>17</v>
      </c>
      <c r="Y29" s="2231" t="s">
        <v>2999</v>
      </c>
      <c r="Z29" s="2542"/>
      <c r="AA29" s="2526"/>
      <c r="AB29" s="2278"/>
      <c r="AH29" s="2239"/>
      <c r="AI29" s="2256"/>
      <c r="AJ29" s="2476"/>
      <c r="AK29" s="2476"/>
      <c r="AL29" s="2543"/>
      <c r="AM29" s="2469"/>
      <c r="AT29" s="2239">
        <f t="shared" si="3"/>
        <v>17</v>
      </c>
      <c r="AY29" s="2426"/>
      <c r="BD29" s="2426"/>
      <c r="BM29" s="2239"/>
      <c r="BN29" s="2232"/>
      <c r="BO29" s="2232"/>
      <c r="BP29" s="2232"/>
      <c r="BQ29" s="2353"/>
      <c r="CC29" s="2430"/>
      <c r="CD29" s="2271"/>
      <c r="CE29" s="2271"/>
      <c r="CF29" s="2271"/>
      <c r="CG29" s="2271"/>
      <c r="CH29" s="2271"/>
      <c r="CI29" s="2239">
        <f t="shared" si="22"/>
        <v>17</v>
      </c>
      <c r="CJ29" s="2249" t="s">
        <v>67</v>
      </c>
      <c r="CK29" s="2544">
        <v>0.35</v>
      </c>
      <c r="CL29" s="2339"/>
      <c r="CM29" s="2339"/>
      <c r="CN29" s="2388">
        <f>-CN28*CK29</f>
        <v>-414304.45048368722</v>
      </c>
      <c r="CO29" s="2239">
        <f t="shared" si="9"/>
        <v>17</v>
      </c>
      <c r="CP29" s="2255" t="s">
        <v>187</v>
      </c>
      <c r="CQ29" s="2333"/>
      <c r="CR29" s="2395">
        <v>454648.27683800005</v>
      </c>
      <c r="CS29" s="2395"/>
      <c r="CW29" s="2420"/>
      <c r="DH29" s="2239"/>
      <c r="DL29" s="2545"/>
      <c r="DM29" s="2499"/>
    </row>
    <row r="30" spans="1:161" ht="16.5" thickBot="1">
      <c r="A30" s="2239">
        <f t="shared" si="10"/>
        <v>18</v>
      </c>
      <c r="B30" s="2256" t="s">
        <v>215</v>
      </c>
      <c r="C30" s="2546" t="s">
        <v>365</v>
      </c>
      <c r="D30" s="2525"/>
      <c r="E30" s="2547">
        <v>23283584.670949817</v>
      </c>
      <c r="F30" s="2256"/>
      <c r="G30" s="2239">
        <f t="shared" si="0"/>
        <v>18</v>
      </c>
      <c r="H30" s="2421" t="s">
        <v>238</v>
      </c>
      <c r="I30" s="2256"/>
      <c r="J30" s="2375"/>
      <c r="K30" s="2256"/>
      <c r="L30" s="2376">
        <f t="shared" si="11"/>
        <v>18</v>
      </c>
      <c r="M30" s="2255" t="s">
        <v>232</v>
      </c>
      <c r="N30" s="2377"/>
      <c r="O30" s="2356">
        <f>'6.03G'!E32</f>
        <v>58642444</v>
      </c>
      <c r="P30" s="2239">
        <f t="shared" si="21"/>
        <v>18</v>
      </c>
      <c r="Q30" s="2249" t="s">
        <v>80</v>
      </c>
      <c r="R30" s="2249"/>
      <c r="S30" s="2493">
        <f>S16-S23</f>
        <v>-16846706.551784992</v>
      </c>
      <c r="T30" s="2239"/>
      <c r="V30" s="2375"/>
      <c r="W30" s="2518"/>
      <c r="X30" s="2342">
        <f t="shared" si="20"/>
        <v>18</v>
      </c>
      <c r="Y30" s="2231" t="s">
        <v>3000</v>
      </c>
      <c r="AH30" s="2239"/>
      <c r="AI30" s="2256"/>
      <c r="AJ30" s="2442"/>
      <c r="AK30" s="2442"/>
      <c r="AL30" s="2457"/>
      <c r="AR30" s="2548"/>
      <c r="AT30" s="2239">
        <f t="shared" si="3"/>
        <v>18</v>
      </c>
      <c r="AU30" s="2249" t="s">
        <v>69</v>
      </c>
      <c r="AV30" s="2278"/>
      <c r="AW30" s="2544">
        <v>0.35</v>
      </c>
      <c r="AX30" s="2484">
        <f>ROUND(-AX28*AW30,0)</f>
        <v>601640</v>
      </c>
      <c r="AY30" s="2280"/>
      <c r="BD30" s="2280"/>
      <c r="BQ30" s="2353"/>
      <c r="CA30" s="2346"/>
      <c r="CB30" s="2549"/>
      <c r="CC30" s="2430"/>
      <c r="CI30" s="2239">
        <f t="shared" si="22"/>
        <v>18</v>
      </c>
      <c r="CJ30" s="2249" t="s">
        <v>74</v>
      </c>
      <c r="CK30" s="2249"/>
      <c r="CN30" s="2505">
        <f>-CN28-CN29</f>
        <v>-769422.55089827627</v>
      </c>
      <c r="CO30" s="2239">
        <f t="shared" si="9"/>
        <v>18</v>
      </c>
      <c r="CP30" s="2366" t="s">
        <v>188</v>
      </c>
      <c r="CQ30" s="2472">
        <v>2.2624999999999895E-2</v>
      </c>
      <c r="CR30" s="2417">
        <f>+CR29*CQ30</f>
        <v>10286.417263459703</v>
      </c>
      <c r="CS30" s="2395"/>
      <c r="DM30" s="2549"/>
    </row>
    <row r="31" spans="1:161" ht="17.25" thickTop="1" thickBot="1">
      <c r="A31" s="2239">
        <f t="shared" si="10"/>
        <v>19</v>
      </c>
      <c r="B31" s="2256"/>
      <c r="C31" s="2550" t="s">
        <v>329</v>
      </c>
      <c r="D31" s="2278"/>
      <c r="E31" s="2551">
        <v>8285263.2910775924</v>
      </c>
      <c r="F31" s="2256"/>
      <c r="G31" s="2239">
        <f t="shared" si="0"/>
        <v>19</v>
      </c>
      <c r="H31" s="2552" t="s">
        <v>408</v>
      </c>
      <c r="I31" s="2256"/>
      <c r="J31" s="2268">
        <f>'6.02G'!D31</f>
        <v>51274.660000000149</v>
      </c>
      <c r="K31" s="2256"/>
      <c r="L31" s="2376">
        <f t="shared" si="11"/>
        <v>19</v>
      </c>
      <c r="M31" s="2255" t="s">
        <v>403</v>
      </c>
      <c r="N31" s="2377"/>
      <c r="O31" s="2356">
        <f>'6.03G'!E33</f>
        <v>-42108850.130000003</v>
      </c>
      <c r="P31" s="2239">
        <f t="shared" si="21"/>
        <v>19</v>
      </c>
      <c r="Q31" s="2249" t="s">
        <v>89</v>
      </c>
      <c r="S31" s="2424">
        <f>(S17+S18)-(S24+S25)</f>
        <v>45680807.810784996</v>
      </c>
      <c r="T31" s="2239"/>
      <c r="V31" s="2375"/>
      <c r="W31" s="2518"/>
      <c r="Z31" s="2411"/>
      <c r="AA31" s="2411"/>
      <c r="AH31" s="2239"/>
      <c r="AI31" s="2255"/>
      <c r="AJ31" s="2439"/>
      <c r="AK31" s="2439"/>
      <c r="AL31" s="2553"/>
      <c r="AT31" s="2239">
        <f t="shared" si="3"/>
        <v>19</v>
      </c>
      <c r="AU31" s="2249" t="s">
        <v>72</v>
      </c>
      <c r="AV31" s="2249"/>
      <c r="AX31" s="2505">
        <f>-AX28-AX30</f>
        <v>1117331.1629876194</v>
      </c>
      <c r="BQ31" s="2353"/>
      <c r="CA31" s="2554"/>
      <c r="CB31" s="2549"/>
      <c r="CC31" s="2430"/>
      <c r="CI31" s="2239">
        <f t="shared" si="22"/>
        <v>19</v>
      </c>
      <c r="CO31" s="2239">
        <f>CO30+1</f>
        <v>19</v>
      </c>
      <c r="CP31" s="2429" t="s">
        <v>189</v>
      </c>
      <c r="CQ31" s="2429"/>
      <c r="CR31" s="2395"/>
      <c r="CS31" s="2417">
        <f>SUM(CR29:CR30)</f>
        <v>464934.69410145975</v>
      </c>
      <c r="DH31" s="2469"/>
      <c r="DL31" s="2420"/>
    </row>
    <row r="32" spans="1:161" ht="16.5" thickTop="1">
      <c r="A32" s="2239">
        <f t="shared" si="10"/>
        <v>20</v>
      </c>
      <c r="B32" s="2256"/>
      <c r="C32" s="2546" t="s">
        <v>225</v>
      </c>
      <c r="D32" s="2278"/>
      <c r="E32" s="2551">
        <v>759944.18946600426</v>
      </c>
      <c r="F32" s="2256"/>
      <c r="G32" s="2239">
        <f t="shared" si="0"/>
        <v>20</v>
      </c>
      <c r="H32" s="2552" t="s">
        <v>500</v>
      </c>
      <c r="I32" s="2256"/>
      <c r="J32" s="2268">
        <f>'6.02G'!D32</f>
        <v>381349.90999999829</v>
      </c>
      <c r="K32" s="2256"/>
      <c r="L32" s="2376">
        <f t="shared" si="11"/>
        <v>20</v>
      </c>
      <c r="M32" s="2256"/>
      <c r="N32" s="2377"/>
      <c r="O32" s="2377"/>
      <c r="P32" s="2239">
        <f t="shared" ref="P32:P42" si="23">P31+1</f>
        <v>20</v>
      </c>
      <c r="Q32" s="2231" t="s">
        <v>91</v>
      </c>
      <c r="S32" s="2259">
        <f>S19-S26</f>
        <v>0</v>
      </c>
      <c r="T32" s="2239"/>
      <c r="V32" s="2555"/>
      <c r="W32" s="2518"/>
      <c r="X32" s="2342"/>
      <c r="AH32" s="2556"/>
      <c r="AI32" s="2255"/>
      <c r="AJ32" s="2439"/>
      <c r="AK32" s="2439"/>
      <c r="AL32" s="2442"/>
      <c r="AT32" s="2239">
        <f t="shared" si="3"/>
        <v>20</v>
      </c>
      <c r="BQ32" s="2353"/>
      <c r="CC32" s="2430"/>
      <c r="CI32" s="2239">
        <f t="shared" si="22"/>
        <v>20</v>
      </c>
      <c r="CO32" s="2239">
        <f t="shared" si="9"/>
        <v>20</v>
      </c>
      <c r="CP32" s="2366"/>
      <c r="CQ32" s="2366"/>
      <c r="CR32" s="2395"/>
      <c r="CS32" s="2395"/>
      <c r="DJ32" s="2232"/>
    </row>
    <row r="33" spans="1:161" ht="16.5" thickBot="1">
      <c r="A33" s="2239">
        <f t="shared" si="10"/>
        <v>21</v>
      </c>
      <c r="B33" s="2256"/>
      <c r="C33" s="2546" t="s">
        <v>463</v>
      </c>
      <c r="D33" s="2278"/>
      <c r="E33" s="2551">
        <v>2198.3353042562376</v>
      </c>
      <c r="F33" s="2256"/>
      <c r="G33" s="2239">
        <f t="shared" si="0"/>
        <v>21</v>
      </c>
      <c r="H33" s="2381" t="s">
        <v>234</v>
      </c>
      <c r="I33" s="2256"/>
      <c r="J33" s="2268">
        <f>'6.02G'!D33</f>
        <v>66948.070000001229</v>
      </c>
      <c r="K33" s="2256"/>
      <c r="L33" s="2376">
        <f t="shared" si="11"/>
        <v>21</v>
      </c>
      <c r="M33" s="2377" t="s">
        <v>176</v>
      </c>
      <c r="N33" s="2377"/>
      <c r="O33" s="2453">
        <f>SUM(O28:O32)</f>
        <v>-1575531.7600000054</v>
      </c>
      <c r="P33" s="2239">
        <f t="shared" si="23"/>
        <v>21</v>
      </c>
      <c r="Q33" s="2249" t="s">
        <v>92</v>
      </c>
      <c r="R33" s="2249"/>
      <c r="S33" s="2449">
        <f>-SUM(S30:S32)</f>
        <v>-28834101.259000003</v>
      </c>
      <c r="T33" s="2239"/>
      <c r="V33" s="2557"/>
      <c r="W33" s="2377"/>
      <c r="X33" s="2342"/>
      <c r="Y33" s="2558"/>
      <c r="Z33" s="2264"/>
      <c r="AA33" s="2232"/>
      <c r="AH33" s="2556"/>
      <c r="AI33" s="2255"/>
      <c r="AJ33" s="2439"/>
      <c r="AK33" s="2439"/>
      <c r="AL33" s="2442"/>
      <c r="AT33" s="2239">
        <f t="shared" si="3"/>
        <v>21</v>
      </c>
      <c r="AW33" s="2486"/>
      <c r="BQ33" s="2353"/>
      <c r="BU33" s="2228"/>
      <c r="BV33" s="2228"/>
      <c r="BW33" s="2228"/>
      <c r="BX33" s="2228"/>
      <c r="CC33" s="2430"/>
      <c r="CI33" s="2239">
        <f t="shared" si="22"/>
        <v>21</v>
      </c>
      <c r="CJ33" s="2231" t="s">
        <v>3005</v>
      </c>
      <c r="CO33" s="2239">
        <f t="shared" si="9"/>
        <v>21</v>
      </c>
      <c r="CP33" s="2559" t="s">
        <v>37</v>
      </c>
      <c r="CQ33" s="2560"/>
      <c r="CR33" s="2395"/>
      <c r="CS33" s="2395"/>
      <c r="DM33" s="2411"/>
      <c r="FE33" s="2411"/>
    </row>
    <row r="34" spans="1:161" s="2411" customFormat="1" ht="16.5" thickTop="1">
      <c r="A34" s="2239">
        <f t="shared" si="10"/>
        <v>22</v>
      </c>
      <c r="B34" s="2256"/>
      <c r="C34" s="2546" t="s">
        <v>224</v>
      </c>
      <c r="D34" s="2278"/>
      <c r="E34" s="2551">
        <v>253251.46997000158</v>
      </c>
      <c r="F34" s="2256"/>
      <c r="G34" s="2239">
        <f t="shared" si="0"/>
        <v>22</v>
      </c>
      <c r="H34" s="2421" t="s">
        <v>2</v>
      </c>
      <c r="I34" s="2375"/>
      <c r="J34" s="2268">
        <f>'6.02G'!D34</f>
        <v>0</v>
      </c>
      <c r="K34" s="2341"/>
      <c r="L34" s="2376">
        <f t="shared" si="11"/>
        <v>22</v>
      </c>
      <c r="M34" s="2377"/>
      <c r="N34" s="2377"/>
      <c r="O34" s="2456"/>
      <c r="P34" s="2239">
        <f t="shared" si="23"/>
        <v>22</v>
      </c>
      <c r="Q34" s="2249"/>
      <c r="R34" s="2336"/>
      <c r="S34" s="2361"/>
      <c r="T34" s="2239"/>
      <c r="U34" s="2231"/>
      <c r="V34" s="2557"/>
      <c r="W34" s="2377"/>
      <c r="X34" s="2342"/>
      <c r="Y34" s="2231"/>
      <c r="Z34" s="2231"/>
      <c r="AA34" s="2231"/>
      <c r="AB34" s="2231"/>
      <c r="AH34" s="2239"/>
      <c r="AI34" s="2255"/>
      <c r="AJ34" s="2439"/>
      <c r="AL34" s="2442"/>
      <c r="AT34" s="2239">
        <f t="shared" si="3"/>
        <v>22</v>
      </c>
      <c r="AU34" s="2231" t="s">
        <v>3001</v>
      </c>
      <c r="AV34" s="2231"/>
      <c r="AW34" s="2232"/>
      <c r="AX34" s="2231"/>
      <c r="BH34" s="2231"/>
      <c r="BI34" s="2231"/>
      <c r="BJ34" s="2231"/>
      <c r="BK34" s="2231"/>
      <c r="BL34" s="2231"/>
      <c r="BM34" s="2231"/>
      <c r="BN34" s="2231"/>
      <c r="BO34" s="2231"/>
      <c r="BP34" s="2231"/>
      <c r="BQ34" s="2353"/>
      <c r="BR34" s="2278"/>
      <c r="BS34" s="2278"/>
      <c r="BT34" s="2278"/>
      <c r="BU34" s="2235"/>
      <c r="BV34" s="2235"/>
      <c r="BW34" s="2235"/>
      <c r="BX34" s="2235"/>
      <c r="CC34" s="2561"/>
      <c r="CD34" s="2231"/>
      <c r="CE34" s="2231"/>
      <c r="CF34" s="2231"/>
      <c r="CG34" s="2231"/>
      <c r="CH34" s="2231"/>
      <c r="CI34" s="2231"/>
      <c r="CJ34" s="2231"/>
      <c r="CK34" s="2231"/>
      <c r="CL34" s="2231"/>
      <c r="CM34" s="2231"/>
      <c r="CN34" s="2231"/>
      <c r="CO34" s="2239">
        <f t="shared" si="9"/>
        <v>22</v>
      </c>
      <c r="CP34" s="2562" t="s">
        <v>347</v>
      </c>
      <c r="CQ34" s="2333"/>
      <c r="CR34" s="2395"/>
      <c r="CS34" s="2395">
        <f>+CS16+CS26+CS31+CS21</f>
        <v>3928621.0095472694</v>
      </c>
      <c r="CW34" s="2420"/>
      <c r="DM34" s="2231"/>
      <c r="FE34" s="2231"/>
    </row>
    <row r="35" spans="1:161">
      <c r="A35" s="2239">
        <f t="shared" si="10"/>
        <v>23</v>
      </c>
      <c r="B35" s="2256"/>
      <c r="C35" s="2546" t="s">
        <v>226</v>
      </c>
      <c r="D35" s="2278"/>
      <c r="E35" s="2551">
        <v>302794.3715500012</v>
      </c>
      <c r="F35" s="2256"/>
      <c r="G35" s="2239">
        <f t="shared" si="0"/>
        <v>23</v>
      </c>
      <c r="H35" s="2381" t="s">
        <v>243</v>
      </c>
      <c r="I35" s="2375"/>
      <c r="J35" s="2268">
        <f>'6.02G'!D35</f>
        <v>0</v>
      </c>
      <c r="K35" s="2341"/>
      <c r="L35" s="2376">
        <f t="shared" si="11"/>
        <v>23</v>
      </c>
      <c r="M35" s="2377" t="s">
        <v>259</v>
      </c>
      <c r="N35" s="2377"/>
      <c r="O35" s="2356">
        <f>-O19-O25-O33</f>
        <v>238036.41628836538</v>
      </c>
      <c r="P35" s="2239">
        <f t="shared" si="23"/>
        <v>23</v>
      </c>
      <c r="Q35" s="2644" t="s">
        <v>393</v>
      </c>
      <c r="S35" s="2493"/>
      <c r="T35" s="2239"/>
      <c r="V35" s="2557"/>
      <c r="W35" s="2377"/>
      <c r="X35" s="2342"/>
      <c r="AC35" s="2469"/>
      <c r="AH35" s="2239"/>
      <c r="AI35" s="2255"/>
      <c r="AJ35" s="2439"/>
      <c r="AK35" s="2439"/>
      <c r="AL35" s="2553"/>
      <c r="AT35" s="2239"/>
      <c r="AX35" s="2259"/>
      <c r="BC35" s="2420"/>
      <c r="BG35" s="2420"/>
      <c r="BM35" s="2228"/>
      <c r="BN35" s="2228"/>
      <c r="BO35" s="2228"/>
      <c r="BP35" s="2228"/>
      <c r="BQ35" s="2353"/>
      <c r="BR35" s="2486"/>
      <c r="BS35" s="2486"/>
      <c r="BT35" s="2486"/>
      <c r="BU35" s="2235"/>
      <c r="BV35" s="2235"/>
      <c r="BW35" s="2235"/>
      <c r="BX35" s="2235"/>
      <c r="CC35" s="2430"/>
      <c r="CD35" s="2411"/>
      <c r="CE35" s="2411"/>
      <c r="CF35" s="2411"/>
      <c r="CG35" s="2411"/>
      <c r="CJ35" s="2157"/>
      <c r="CO35" s="2239">
        <f t="shared" si="9"/>
        <v>23</v>
      </c>
      <c r="CP35" s="2562" t="s">
        <v>114</v>
      </c>
      <c r="CQ35" s="2416">
        <v>0.60560000000000003</v>
      </c>
      <c r="CR35" s="2395"/>
      <c r="CS35" s="2395">
        <f>+CS34*CQ35</f>
        <v>2379172.8833818263</v>
      </c>
    </row>
    <row r="36" spans="1:161">
      <c r="A36" s="2239">
        <f t="shared" si="10"/>
        <v>24</v>
      </c>
      <c r="B36" s="2256"/>
      <c r="C36" s="2550" t="s">
        <v>227</v>
      </c>
      <c r="D36" s="2278"/>
      <c r="E36" s="2551">
        <v>353348.31000000238</v>
      </c>
      <c r="F36" s="2256"/>
      <c r="G36" s="2239">
        <f t="shared" si="0"/>
        <v>24</v>
      </c>
      <c r="H36" s="2506" t="s">
        <v>244</v>
      </c>
      <c r="I36" s="2375"/>
      <c r="J36" s="2268">
        <f>'6.02G'!D36</f>
        <v>1206882.625</v>
      </c>
      <c r="K36" s="2341"/>
      <c r="L36" s="2376">
        <f t="shared" si="11"/>
        <v>24</v>
      </c>
      <c r="M36" s="2231" t="s">
        <v>132</v>
      </c>
      <c r="N36" s="2564">
        <f>I65</f>
        <v>0.35</v>
      </c>
      <c r="O36" s="2356">
        <f>O35*N36</f>
        <v>83312.745700927873</v>
      </c>
      <c r="P36" s="2239">
        <f t="shared" si="23"/>
        <v>24</v>
      </c>
      <c r="Q36" s="2790" t="s">
        <v>2900</v>
      </c>
      <c r="S36" s="2493">
        <v>-24996849</v>
      </c>
      <c r="T36" s="2239"/>
      <c r="V36" s="2557"/>
      <c r="W36" s="2377"/>
      <c r="X36" s="2342"/>
      <c r="AH36" s="2239"/>
      <c r="AI36" s="2255"/>
      <c r="AJ36" s="2439"/>
      <c r="AK36" s="2439"/>
      <c r="AL36" s="2442"/>
      <c r="AT36" s="2228"/>
      <c r="BH36" s="2228"/>
      <c r="BI36" s="2228"/>
      <c r="BJ36" s="2228"/>
      <c r="BK36" s="2228"/>
      <c r="BL36" s="2228"/>
      <c r="BM36" s="2235"/>
      <c r="BN36" s="2235"/>
      <c r="BO36" s="2235"/>
      <c r="BP36" s="2235"/>
      <c r="BQ36" s="2353"/>
      <c r="BR36" s="2486"/>
      <c r="BS36" s="2486"/>
      <c r="BT36" s="2486"/>
      <c r="BU36" s="2237"/>
      <c r="BV36" s="2237"/>
      <c r="BW36" s="2237"/>
      <c r="BX36" s="2237"/>
      <c r="CC36" s="2430"/>
      <c r="CJ36" s="2157"/>
      <c r="CO36" s="2239">
        <f t="shared" si="9"/>
        <v>24</v>
      </c>
      <c r="CP36" s="2255" t="s">
        <v>511</v>
      </c>
      <c r="CQ36" s="2401"/>
      <c r="CR36" s="2395"/>
      <c r="CS36" s="2417">
        <f>(CR14+CR19+CR24+CR29)*CQ35</f>
        <v>2316691.4809684465</v>
      </c>
      <c r="CT36" s="2330"/>
      <c r="CU36" s="2232"/>
      <c r="CW36" s="2228"/>
    </row>
    <row r="37" spans="1:161" ht="16.5" thickBot="1">
      <c r="A37" s="2239">
        <f t="shared" si="10"/>
        <v>25</v>
      </c>
      <c r="B37" s="2256"/>
      <c r="C37" s="2550" t="s">
        <v>395</v>
      </c>
      <c r="D37" s="2278"/>
      <c r="E37" s="2551">
        <v>12177.270360000432</v>
      </c>
      <c r="F37" s="2256"/>
      <c r="G37" s="2239">
        <f t="shared" si="0"/>
        <v>25</v>
      </c>
      <c r="H37" s="2381" t="s">
        <v>388</v>
      </c>
      <c r="I37" s="2375"/>
      <c r="J37" s="2268">
        <f>'6.02G'!D37</f>
        <v>-1130625</v>
      </c>
      <c r="K37" s="2341"/>
      <c r="L37" s="2376">
        <f t="shared" si="11"/>
        <v>25</v>
      </c>
      <c r="M37" s="2231" t="s">
        <v>74</v>
      </c>
      <c r="O37" s="2565">
        <f>O35-O36</f>
        <v>154723.67058743752</v>
      </c>
      <c r="P37" s="2239">
        <f t="shared" si="23"/>
        <v>25</v>
      </c>
      <c r="Q37" s="2790" t="s">
        <v>2901</v>
      </c>
      <c r="S37" s="2424">
        <v>432551</v>
      </c>
      <c r="T37" s="2239"/>
      <c r="V37" s="2557"/>
      <c r="W37" s="2377"/>
      <c r="X37" s="2342"/>
      <c r="AH37" s="2239"/>
      <c r="AI37" s="2255"/>
      <c r="AJ37" s="2439"/>
      <c r="AK37" s="2439"/>
      <c r="AL37" s="2442"/>
      <c r="AM37" s="2231" t="s">
        <v>97</v>
      </c>
      <c r="AT37" s="2235"/>
      <c r="AU37" s="2228"/>
      <c r="AV37" s="2228"/>
      <c r="AW37" s="2228"/>
      <c r="AX37" s="2228"/>
      <c r="BH37" s="2235"/>
      <c r="BI37" s="2235"/>
      <c r="BJ37" s="2235"/>
      <c r="BK37" s="2235"/>
      <c r="BL37" s="2235"/>
      <c r="BM37" s="2235"/>
      <c r="BN37" s="2235"/>
      <c r="BO37" s="2235"/>
      <c r="BP37" s="2235"/>
      <c r="BQ37" s="2353"/>
      <c r="BR37" s="2486"/>
      <c r="BS37" s="2486"/>
      <c r="BT37" s="2486"/>
      <c r="BU37" s="2235"/>
      <c r="BV37" s="2235"/>
      <c r="BW37" s="2235"/>
      <c r="BX37" s="2235"/>
      <c r="CC37" s="2430"/>
      <c r="CO37" s="2239">
        <f t="shared" si="9"/>
        <v>25</v>
      </c>
      <c r="CP37" s="2566" t="s">
        <v>61</v>
      </c>
      <c r="CQ37" s="2567"/>
      <c r="CR37" s="2395"/>
      <c r="CS37" s="2395">
        <f>CS35-CS36</f>
        <v>62481.402413379867</v>
      </c>
    </row>
    <row r="38" spans="1:161" ht="17.25" thickTop="1" thickBot="1">
      <c r="A38" s="2239">
        <f t="shared" si="10"/>
        <v>26</v>
      </c>
      <c r="B38" s="2256"/>
      <c r="C38" s="2550" t="s">
        <v>464</v>
      </c>
      <c r="D38" s="2278"/>
      <c r="E38" s="2568">
        <v>8880.4138899999671</v>
      </c>
      <c r="F38" s="2256"/>
      <c r="G38" s="2239">
        <f t="shared" si="0"/>
        <v>26</v>
      </c>
      <c r="H38" s="2569"/>
      <c r="J38" s="2278"/>
      <c r="P38" s="2239">
        <f t="shared" si="23"/>
        <v>26</v>
      </c>
      <c r="Q38" s="2661" t="s">
        <v>394</v>
      </c>
      <c r="S38" s="2449">
        <f>SUM(S36:S37)</f>
        <v>-24564298</v>
      </c>
      <c r="T38" s="2239"/>
      <c r="V38" s="2557"/>
      <c r="W38" s="2377"/>
      <c r="X38" s="2342"/>
      <c r="AC38" s="2228"/>
      <c r="AH38" s="2239"/>
      <c r="AI38" s="2570"/>
      <c r="AJ38" s="2439"/>
      <c r="AK38" s="2439"/>
      <c r="AL38" s="2442"/>
      <c r="AT38" s="2235"/>
      <c r="AU38" s="2235"/>
      <c r="AV38" s="2235"/>
      <c r="AW38" s="2235"/>
      <c r="AX38" s="2235"/>
      <c r="BH38" s="2235"/>
      <c r="BI38" s="2235"/>
      <c r="BJ38" s="2235"/>
      <c r="BK38" s="2235"/>
      <c r="BL38" s="2235"/>
      <c r="BM38" s="2237"/>
      <c r="BN38" s="2237"/>
      <c r="BO38" s="2237"/>
      <c r="BP38" s="2237"/>
      <c r="BQ38" s="2353"/>
      <c r="BR38" s="2486"/>
      <c r="BS38" s="2486"/>
      <c r="BT38" s="2486"/>
      <c r="BU38" s="2309"/>
      <c r="BV38" s="2309"/>
      <c r="BW38" s="2309"/>
      <c r="BX38" s="2309"/>
      <c r="CC38" s="2430"/>
      <c r="CO38" s="2239">
        <f t="shared" si="9"/>
        <v>26</v>
      </c>
      <c r="CP38" s="2366"/>
      <c r="CQ38" s="2333"/>
      <c r="CR38" s="2395"/>
      <c r="CS38" s="2395"/>
    </row>
    <row r="39" spans="1:161" ht="16.5" thickTop="1">
      <c r="A39" s="2239">
        <f t="shared" si="10"/>
        <v>27</v>
      </c>
      <c r="B39" s="2256" t="s">
        <v>216</v>
      </c>
      <c r="C39" s="2256"/>
      <c r="D39" s="2256"/>
      <c r="E39" s="2259"/>
      <c r="F39" s="2571">
        <f>SUM(E30:E38)</f>
        <v>33261442.322567675</v>
      </c>
      <c r="G39" s="2239">
        <f t="shared" si="0"/>
        <v>27</v>
      </c>
      <c r="H39" s="2256" t="s">
        <v>239</v>
      </c>
      <c r="I39" s="2375"/>
      <c r="J39" s="2572"/>
      <c r="K39" s="2259">
        <f>SUM(J31:J39)</f>
        <v>575830.26499999966</v>
      </c>
      <c r="O39" s="2278"/>
      <c r="P39" s="2239">
        <f t="shared" si="23"/>
        <v>27</v>
      </c>
      <c r="Q39" s="2644"/>
      <c r="S39" s="2493"/>
      <c r="T39" s="2239"/>
      <c r="V39" s="2557"/>
      <c r="W39" s="2377"/>
      <c r="X39" s="2342"/>
      <c r="AC39" s="2235"/>
      <c r="AH39" s="2239"/>
      <c r="AI39" s="2255"/>
      <c r="AJ39" s="2564"/>
      <c r="AK39" s="2256"/>
      <c r="AL39" s="2553"/>
      <c r="AT39" s="2237"/>
      <c r="AU39" s="2235"/>
      <c r="AV39" s="2235"/>
      <c r="AW39" s="2235"/>
      <c r="AX39" s="2235"/>
      <c r="BH39" s="2237"/>
      <c r="BI39" s="2237"/>
      <c r="BJ39" s="2237"/>
      <c r="BK39" s="2237"/>
      <c r="BL39" s="2237"/>
      <c r="BM39" s="2235"/>
      <c r="BN39" s="2235"/>
      <c r="BO39" s="2235"/>
      <c r="BP39" s="2235"/>
      <c r="BQ39" s="2353"/>
      <c r="BR39" s="2486"/>
      <c r="BS39" s="2486"/>
      <c r="BT39" s="2486"/>
      <c r="BU39" s="2228"/>
      <c r="BV39" s="2228"/>
      <c r="BW39" s="2228"/>
      <c r="BX39" s="2228"/>
      <c r="CC39" s="2430"/>
      <c r="CO39" s="2239">
        <f t="shared" si="9"/>
        <v>27</v>
      </c>
      <c r="CP39" s="2255" t="s">
        <v>67</v>
      </c>
      <c r="CQ39" s="2401">
        <v>0.35</v>
      </c>
      <c r="CR39" s="2395"/>
      <c r="CS39" s="2395">
        <f>ROUND(-CS37*CQ39,0)</f>
        <v>-21868</v>
      </c>
      <c r="CU39" s="2573"/>
      <c r="CV39" s="2573"/>
    </row>
    <row r="40" spans="1:161" ht="16.5" thickBot="1">
      <c r="A40" s="2239">
        <f t="shared" si="10"/>
        <v>28</v>
      </c>
      <c r="B40" s="2787"/>
      <c r="C40" s="2451"/>
      <c r="D40" s="2786"/>
      <c r="E40" s="2256"/>
      <c r="F40" s="2256"/>
      <c r="G40" s="2239">
        <f t="shared" si="0"/>
        <v>28</v>
      </c>
      <c r="H40" s="2341"/>
      <c r="I40" s="2341"/>
      <c r="J40" s="2486"/>
      <c r="K40" s="2412"/>
      <c r="P40" s="2239">
        <f t="shared" si="23"/>
        <v>28</v>
      </c>
      <c r="Q40" s="2563" t="s">
        <v>469</v>
      </c>
      <c r="S40" s="2493"/>
      <c r="T40" s="2239"/>
      <c r="V40" s="2557"/>
      <c r="W40" s="2377"/>
      <c r="X40" s="2342"/>
      <c r="AC40" s="2235"/>
      <c r="AD40" s="2235"/>
      <c r="AE40" s="2235"/>
      <c r="AF40" s="2235"/>
      <c r="AG40" s="2235"/>
      <c r="AH40" s="2239"/>
      <c r="AI40" s="2255"/>
      <c r="AJ40" s="2574"/>
      <c r="AK40" s="2574"/>
      <c r="AL40" s="2442"/>
      <c r="AT40" s="2235"/>
      <c r="AU40" s="2237"/>
      <c r="AV40" s="2237"/>
      <c r="AW40" s="2237"/>
      <c r="AX40" s="2237"/>
      <c r="BH40" s="2235"/>
      <c r="BI40" s="2235"/>
      <c r="BJ40" s="2235"/>
      <c r="BK40" s="2235"/>
      <c r="BL40" s="2235"/>
      <c r="BM40" s="2309"/>
      <c r="BN40" s="2309"/>
      <c r="BO40" s="2309"/>
      <c r="BP40" s="2309"/>
      <c r="BQ40" s="2353"/>
      <c r="BU40" s="2575"/>
      <c r="BV40" s="2575"/>
      <c r="BW40" s="2575"/>
      <c r="BX40" s="2575"/>
      <c r="CO40" s="2239">
        <f t="shared" si="9"/>
        <v>28</v>
      </c>
      <c r="CP40" s="2255" t="s">
        <v>74</v>
      </c>
      <c r="CQ40" s="2333"/>
      <c r="CR40" s="2333"/>
      <c r="CS40" s="2576">
        <f>-CS37-CS39</f>
        <v>-40613.402413379867</v>
      </c>
      <c r="CT40" s="2577"/>
      <c r="CU40" s="2575"/>
      <c r="CV40" s="2575"/>
    </row>
    <row r="41" spans="1:161" ht="16.5" thickTop="1">
      <c r="A41" s="2239">
        <f t="shared" si="10"/>
        <v>29</v>
      </c>
      <c r="B41" s="2578" t="s">
        <v>261</v>
      </c>
      <c r="C41" s="2787"/>
      <c r="D41" s="2579"/>
      <c r="E41" s="2492"/>
      <c r="F41" s="2256"/>
      <c r="G41" s="2239">
        <f t="shared" si="0"/>
        <v>29</v>
      </c>
      <c r="H41" s="2256" t="s">
        <v>240</v>
      </c>
      <c r="I41" s="2341"/>
      <c r="J41" s="2492"/>
      <c r="K41" s="2878">
        <f>SUM(K14:K40)</f>
        <v>11293968.53552087</v>
      </c>
      <c r="P41" s="2239">
        <f t="shared" si="23"/>
        <v>29</v>
      </c>
      <c r="Q41" s="2231" t="s">
        <v>514</v>
      </c>
      <c r="S41" s="2424"/>
      <c r="T41" s="2239"/>
      <c r="V41" s="2557"/>
      <c r="W41" s="2377"/>
      <c r="X41" s="2342"/>
      <c r="AC41" s="2237"/>
      <c r="AD41" s="2309"/>
      <c r="AE41" s="2309"/>
      <c r="AF41" s="2309"/>
      <c r="AG41" s="2309"/>
      <c r="AH41" s="2239"/>
      <c r="AI41" s="2255"/>
      <c r="AJ41" s="2236"/>
      <c r="AK41" s="2236"/>
      <c r="AL41" s="2553"/>
      <c r="AT41" s="2309"/>
      <c r="AU41" s="2235"/>
      <c r="AV41" s="2235"/>
      <c r="AW41" s="2235"/>
      <c r="AX41" s="2235"/>
      <c r="BH41" s="2309"/>
      <c r="BI41" s="2309"/>
      <c r="BJ41" s="2309"/>
      <c r="BK41" s="2309"/>
      <c r="BL41" s="2309"/>
      <c r="BM41" s="2228"/>
      <c r="BN41" s="2228"/>
      <c r="BO41" s="2228"/>
      <c r="BP41" s="2228"/>
      <c r="BQ41" s="2353"/>
      <c r="BU41" s="2575"/>
      <c r="BV41" s="2575"/>
      <c r="BW41" s="2575"/>
      <c r="BX41" s="2575"/>
      <c r="CO41" s="2239">
        <f t="shared" si="9"/>
        <v>29</v>
      </c>
      <c r="CT41" s="2577"/>
      <c r="CU41" s="2575"/>
      <c r="CV41" s="2575"/>
      <c r="CW41" s="2309"/>
    </row>
    <row r="42" spans="1:161">
      <c r="A42" s="2239">
        <f t="shared" si="10"/>
        <v>30</v>
      </c>
      <c r="B42" s="2578" t="s">
        <v>247</v>
      </c>
      <c r="C42" s="2787"/>
      <c r="D42" s="2579"/>
      <c r="E42" s="2580">
        <v>21569842.008104395</v>
      </c>
      <c r="F42" s="2256"/>
      <c r="G42" s="2239">
        <f t="shared" si="0"/>
        <v>30</v>
      </c>
      <c r="H42" s="2256"/>
      <c r="I42" s="2341"/>
      <c r="J42" s="2492"/>
      <c r="K42" s="2486"/>
      <c r="P42" s="2239">
        <f t="shared" si="23"/>
        <v>30</v>
      </c>
      <c r="Q42" s="2231" t="s">
        <v>515</v>
      </c>
      <c r="S42" s="2424"/>
      <c r="T42" s="2239"/>
      <c r="V42" s="2557"/>
      <c r="W42" s="2377"/>
      <c r="AC42" s="2235"/>
      <c r="AD42" s="2228"/>
      <c r="AE42" s="2228"/>
      <c r="AF42" s="2228"/>
      <c r="AG42" s="2228"/>
      <c r="AH42" s="2309"/>
      <c r="AJ42" s="2574"/>
      <c r="AK42" s="2574"/>
      <c r="AL42" s="2574"/>
      <c r="AT42" s="2228"/>
      <c r="AU42" s="2309"/>
      <c r="AV42" s="2309"/>
      <c r="AW42" s="2309"/>
      <c r="AX42" s="2309"/>
      <c r="BH42" s="2228"/>
      <c r="BI42" s="2228"/>
      <c r="BJ42" s="2228"/>
      <c r="BK42" s="2228"/>
      <c r="BL42" s="2228"/>
      <c r="BM42" s="2575"/>
      <c r="BN42" s="2575"/>
      <c r="BO42" s="2575"/>
      <c r="BP42" s="2575"/>
      <c r="BQ42" s="2353"/>
      <c r="BU42" s="2575"/>
      <c r="BV42" s="2575"/>
      <c r="BW42" s="2575"/>
      <c r="BX42" s="2575"/>
      <c r="CO42" s="2239">
        <f t="shared" si="9"/>
        <v>30</v>
      </c>
      <c r="CT42" s="2577"/>
      <c r="CU42" s="2575"/>
      <c r="CV42" s="2575"/>
      <c r="CW42" s="2228"/>
      <c r="DM42" s="34"/>
    </row>
    <row r="43" spans="1:161">
      <c r="A43" s="2239">
        <f t="shared" si="10"/>
        <v>31</v>
      </c>
      <c r="B43" s="2787"/>
      <c r="C43" s="2787"/>
      <c r="D43" s="2579"/>
      <c r="E43" s="2492"/>
      <c r="F43" s="2259">
        <f>E42</f>
        <v>21569842.008104395</v>
      </c>
      <c r="G43" s="2239">
        <f t="shared" si="0"/>
        <v>31</v>
      </c>
      <c r="H43" s="2256" t="s">
        <v>246</v>
      </c>
      <c r="I43" s="2341"/>
      <c r="J43" s="2492"/>
      <c r="K43" s="2486"/>
      <c r="T43" s="2239"/>
      <c r="V43" s="2557"/>
      <c r="W43" s="2377"/>
      <c r="Y43" s="2776"/>
      <c r="Z43" s="2776"/>
      <c r="AA43" s="2776"/>
      <c r="AC43" s="2309"/>
      <c r="AD43" s="2575"/>
      <c r="AE43" s="2575"/>
      <c r="AF43" s="2575"/>
      <c r="AG43" s="2575"/>
      <c r="AH43" s="2228"/>
      <c r="AI43" s="2309"/>
      <c r="AJ43" s="2309"/>
      <c r="AK43" s="2581"/>
      <c r="AL43" s="2309"/>
      <c r="AT43" s="2575"/>
      <c r="AU43" s="2228"/>
      <c r="AV43" s="2228"/>
      <c r="AW43" s="2228"/>
      <c r="AX43" s="2228"/>
      <c r="BH43" s="2575"/>
      <c r="BI43" s="2575"/>
      <c r="BJ43" s="2575"/>
      <c r="BK43" s="2575"/>
      <c r="BL43" s="2575"/>
      <c r="BM43" s="2575"/>
      <c r="BN43" s="2575"/>
      <c r="BO43" s="2575"/>
      <c r="BP43" s="2575"/>
      <c r="BQ43" s="2353"/>
      <c r="BR43" s="2486"/>
      <c r="BS43" s="2486"/>
      <c r="BT43" s="2486"/>
      <c r="BU43" s="2575"/>
      <c r="BV43" s="2575"/>
      <c r="BW43" s="2575"/>
      <c r="BX43" s="2575"/>
      <c r="CO43" s="2239">
        <f t="shared" si="9"/>
        <v>31</v>
      </c>
      <c r="CP43" s="2231" t="s">
        <v>3005</v>
      </c>
      <c r="CU43" s="2577"/>
      <c r="CV43" s="2575"/>
      <c r="CW43" s="2575"/>
      <c r="DM43" s="2582"/>
    </row>
    <row r="44" spans="1:161">
      <c r="A44" s="2239">
        <f t="shared" si="10"/>
        <v>32</v>
      </c>
      <c r="B44" s="2787"/>
      <c r="C44" s="2788"/>
      <c r="D44" s="2579"/>
      <c r="E44" s="2492"/>
      <c r="F44" s="2256"/>
      <c r="G44" s="2239">
        <f t="shared" si="0"/>
        <v>32</v>
      </c>
      <c r="H44" s="2256" t="s">
        <v>247</v>
      </c>
      <c r="I44" s="2256"/>
      <c r="J44" s="2571"/>
      <c r="K44" s="2256"/>
      <c r="Q44" s="2644"/>
      <c r="T44" s="2239"/>
      <c r="V44" s="2557"/>
      <c r="W44" s="2377"/>
      <c r="Y44" s="2776"/>
      <c r="Z44" s="2776"/>
      <c r="AA44" s="2776"/>
      <c r="AC44" s="2228"/>
      <c r="AD44" s="2575"/>
      <c r="AE44" s="2575"/>
      <c r="AF44" s="2575"/>
      <c r="AG44" s="2575"/>
      <c r="AH44" s="2575"/>
      <c r="AI44" s="2228"/>
      <c r="AJ44" s="2228"/>
      <c r="AK44" s="2318"/>
      <c r="AL44" s="2228"/>
      <c r="AT44" s="2575"/>
      <c r="AU44" s="2575"/>
      <c r="AV44" s="2575"/>
      <c r="AW44" s="2575"/>
      <c r="AX44" s="2575"/>
      <c r="BH44" s="2575"/>
      <c r="BI44" s="2575"/>
      <c r="BJ44" s="2575"/>
      <c r="BK44" s="2575"/>
      <c r="BL44" s="2575"/>
      <c r="BM44" s="2575"/>
      <c r="BN44" s="2575"/>
      <c r="BO44" s="2575"/>
      <c r="BP44" s="2575"/>
      <c r="BQ44" s="2353"/>
      <c r="BU44" s="2575"/>
      <c r="BV44" s="2575"/>
      <c r="BW44" s="2575"/>
      <c r="BX44" s="2575"/>
      <c r="CU44" s="2577"/>
      <c r="CV44" s="2575"/>
      <c r="CW44" s="2575"/>
      <c r="DM44" s="2248"/>
    </row>
    <row r="45" spans="1:161">
      <c r="A45" s="2239">
        <f t="shared" si="10"/>
        <v>33</v>
      </c>
      <c r="B45" s="2255" t="s">
        <v>217</v>
      </c>
      <c r="C45" s="2255"/>
      <c r="D45" s="2583">
        <f>'Exhibit No._(CTM-2), Pg. 32-34'!N13</f>
        <v>3.4749999999999998E-3</v>
      </c>
      <c r="E45" s="2247">
        <f>ROUND(F39*D45,0)</f>
        <v>115584</v>
      </c>
      <c r="F45" s="2278"/>
      <c r="G45" s="2239">
        <f t="shared" si="0"/>
        <v>33</v>
      </c>
      <c r="H45" s="2584" t="s">
        <v>408</v>
      </c>
      <c r="I45" s="2256"/>
      <c r="J45" s="2571">
        <f>'6.02G'!D43</f>
        <v>0</v>
      </c>
      <c r="K45" s="2256"/>
      <c r="Q45" s="2563"/>
      <c r="T45" s="2239"/>
      <c r="V45" s="2557"/>
      <c r="W45" s="2377"/>
      <c r="Y45" s="2776"/>
      <c r="Z45" s="2776"/>
      <c r="AA45" s="2776"/>
      <c r="AC45" s="2575"/>
      <c r="AD45" s="2575"/>
      <c r="AE45" s="2575"/>
      <c r="AF45" s="2575"/>
      <c r="AG45" s="2575"/>
      <c r="AH45" s="2575"/>
      <c r="AI45" s="2575"/>
      <c r="AJ45" s="2575"/>
      <c r="AK45" s="2575"/>
      <c r="AL45" s="2575"/>
      <c r="AT45" s="2575"/>
      <c r="AU45" s="2575"/>
      <c r="AV45" s="2575"/>
      <c r="AW45" s="2575"/>
      <c r="AX45" s="2575"/>
      <c r="BH45" s="2575"/>
      <c r="BI45" s="2575"/>
      <c r="BJ45" s="2575"/>
      <c r="BK45" s="2575"/>
      <c r="BL45" s="2575"/>
      <c r="BM45" s="2575"/>
      <c r="BN45" s="2575"/>
      <c r="BO45" s="2575"/>
      <c r="BP45" s="2575"/>
      <c r="BQ45" s="2353"/>
      <c r="BU45" s="2575"/>
      <c r="BV45" s="2575"/>
      <c r="BW45" s="2575"/>
      <c r="BX45" s="2575"/>
      <c r="CU45" s="2577"/>
      <c r="CV45" s="2575"/>
      <c r="CW45" s="2575"/>
      <c r="DM45" s="2253"/>
    </row>
    <row r="46" spans="1:161">
      <c r="A46" s="2239">
        <f t="shared" si="10"/>
        <v>34</v>
      </c>
      <c r="B46" s="2255" t="s">
        <v>218</v>
      </c>
      <c r="C46" s="2255"/>
      <c r="D46" s="2583">
        <f>'Exhibit No._(CTM-2), Pg. 32-34'!$N$14</f>
        <v>2E-3</v>
      </c>
      <c r="E46" s="2501">
        <f>ROUND(F39*D46,0)</f>
        <v>66523</v>
      </c>
      <c r="F46" s="2278"/>
      <c r="G46" s="2239">
        <f t="shared" si="0"/>
        <v>34</v>
      </c>
      <c r="H46" s="2584" t="s">
        <v>337</v>
      </c>
      <c r="I46" s="2256"/>
      <c r="K46" s="2256"/>
      <c r="T46" s="2239"/>
      <c r="V46" s="2557"/>
      <c r="W46" s="2377"/>
      <c r="AC46" s="2575"/>
      <c r="AD46" s="2575"/>
      <c r="AE46" s="2575"/>
      <c r="AF46" s="2575"/>
      <c r="AG46" s="2575"/>
      <c r="AH46" s="2575"/>
      <c r="AI46" s="2575"/>
      <c r="AJ46" s="2575"/>
      <c r="AK46" s="2575"/>
      <c r="AL46" s="2575"/>
      <c r="AT46" s="2575"/>
      <c r="AU46" s="2575"/>
      <c r="AV46" s="2575"/>
      <c r="AW46" s="2575"/>
      <c r="AX46" s="2575"/>
      <c r="BH46" s="2575"/>
      <c r="BI46" s="2575"/>
      <c r="BJ46" s="2575"/>
      <c r="BK46" s="2575"/>
      <c r="BL46" s="2575"/>
      <c r="BM46" s="2575"/>
      <c r="BN46" s="2575"/>
      <c r="BO46" s="2575"/>
      <c r="BP46" s="2575"/>
      <c r="BQ46" s="2486"/>
      <c r="BU46" s="2575"/>
      <c r="BV46" s="2575"/>
      <c r="BW46" s="2575"/>
      <c r="BX46" s="2575"/>
      <c r="CU46" s="2577"/>
      <c r="CV46" s="2575"/>
      <c r="CW46" s="2575"/>
      <c r="DM46" s="2253"/>
    </row>
    <row r="47" spans="1:161">
      <c r="A47" s="2239">
        <f t="shared" si="10"/>
        <v>35</v>
      </c>
      <c r="B47" s="2585" t="s">
        <v>219</v>
      </c>
      <c r="C47" s="2255"/>
      <c r="D47" s="2586"/>
      <c r="E47" s="2430"/>
      <c r="F47" s="2587">
        <f>SUM(E45:E46)</f>
        <v>182107</v>
      </c>
      <c r="G47" s="2239">
        <f t="shared" si="0"/>
        <v>35</v>
      </c>
      <c r="H47" s="2588" t="s">
        <v>242</v>
      </c>
      <c r="I47" s="2256"/>
      <c r="J47" s="2571">
        <f>'6.02G'!D44</f>
        <v>0</v>
      </c>
      <c r="K47" s="2256"/>
      <c r="T47" s="2239"/>
      <c r="V47" s="2557"/>
      <c r="W47" s="2377"/>
      <c r="AC47" s="2575"/>
      <c r="AD47" s="2575"/>
      <c r="AE47" s="2575"/>
      <c r="AF47" s="2575"/>
      <c r="AG47" s="2575"/>
      <c r="AH47" s="2575"/>
      <c r="AI47" s="2575"/>
      <c r="AJ47" s="2575"/>
      <c r="AK47" s="2575"/>
      <c r="AL47" s="2575"/>
      <c r="AT47" s="2575"/>
      <c r="AU47" s="2575"/>
      <c r="AV47" s="2575"/>
      <c r="AW47" s="2575"/>
      <c r="AX47" s="2575"/>
      <c r="BH47" s="2575"/>
      <c r="BI47" s="2575"/>
      <c r="BJ47" s="2575"/>
      <c r="BK47" s="2575"/>
      <c r="BL47" s="2575"/>
      <c r="BM47" s="2575"/>
      <c r="BN47" s="2575"/>
      <c r="BO47" s="2575"/>
      <c r="BP47" s="2575"/>
      <c r="BQ47" s="2469"/>
      <c r="BU47" s="2575"/>
      <c r="BV47" s="2575"/>
      <c r="BW47" s="2575"/>
      <c r="BX47" s="2575"/>
      <c r="CU47" s="2577"/>
      <c r="CV47" s="2575"/>
      <c r="CW47" s="2575"/>
      <c r="DM47" s="2253"/>
    </row>
    <row r="48" spans="1:161">
      <c r="A48" s="2239">
        <f t="shared" si="10"/>
        <v>36</v>
      </c>
      <c r="B48" s="2255"/>
      <c r="C48" s="2255"/>
      <c r="D48" s="2583"/>
      <c r="E48" s="2575"/>
      <c r="F48" s="2278"/>
      <c r="G48" s="2239">
        <f t="shared" si="0"/>
        <v>36</v>
      </c>
      <c r="H48" s="2421" t="s">
        <v>475</v>
      </c>
      <c r="I48" s="2256"/>
      <c r="J48" s="2571">
        <f>'6.02G'!D45</f>
        <v>0</v>
      </c>
      <c r="K48" s="2256"/>
      <c r="T48" s="2239"/>
      <c r="V48" s="2557"/>
      <c r="W48" s="2377"/>
      <c r="AC48" s="2575"/>
      <c r="AD48" s="2575"/>
      <c r="AE48" s="2575"/>
      <c r="AF48" s="2575"/>
      <c r="AG48" s="2575"/>
      <c r="AH48" s="2575"/>
      <c r="AI48" s="2575"/>
      <c r="AJ48" s="2575"/>
      <c r="AK48" s="2575"/>
      <c r="AL48" s="2575"/>
      <c r="AT48" s="2575"/>
      <c r="AU48" s="2575"/>
      <c r="AV48" s="2575"/>
      <c r="AW48" s="2575"/>
      <c r="AX48" s="2575"/>
      <c r="BH48" s="2575"/>
      <c r="BI48" s="2575"/>
      <c r="BJ48" s="2575"/>
      <c r="BK48" s="2575"/>
      <c r="BL48" s="2575"/>
      <c r="BM48" s="2575"/>
      <c r="BN48" s="2575"/>
      <c r="BO48" s="2575"/>
      <c r="BP48" s="2575"/>
      <c r="BU48" s="2575"/>
      <c r="BV48" s="2575"/>
      <c r="BW48" s="2575"/>
      <c r="BX48" s="2575"/>
      <c r="CU48" s="2577"/>
      <c r="CV48" s="2575"/>
      <c r="CW48" s="2575"/>
      <c r="DM48" s="2260"/>
    </row>
    <row r="49" spans="1:161">
      <c r="A49" s="2239">
        <f t="shared" si="10"/>
        <v>37</v>
      </c>
      <c r="B49" s="2255" t="s">
        <v>220</v>
      </c>
      <c r="C49" s="2255"/>
      <c r="D49" s="2583">
        <f>'Exhibit No._(CTM-2), Pg. 32-34'!N15</f>
        <v>3.8386000000000003E-2</v>
      </c>
      <c r="E49" s="2589">
        <f>ROUND(F39*D49,0)</f>
        <v>1276774</v>
      </c>
      <c r="F49" s="2278"/>
      <c r="G49" s="2239">
        <f t="shared" si="0"/>
        <v>37</v>
      </c>
      <c r="H49" s="2381" t="s">
        <v>518</v>
      </c>
      <c r="I49" s="2256"/>
      <c r="J49" s="2571">
        <f>'6.02G'!D46</f>
        <v>-20443597.337499976</v>
      </c>
      <c r="K49" s="2256"/>
      <c r="AC49" s="2575"/>
      <c r="AD49" s="2575"/>
      <c r="AE49" s="2575"/>
      <c r="AF49" s="2575"/>
      <c r="AG49" s="2575"/>
      <c r="AH49" s="2575"/>
      <c r="AI49" s="2575"/>
      <c r="AJ49" s="2575"/>
      <c r="AK49" s="2575"/>
      <c r="AL49" s="2575"/>
      <c r="AT49" s="2575"/>
      <c r="AU49" s="2575"/>
      <c r="AV49" s="2575"/>
      <c r="AW49" s="2575"/>
      <c r="AX49" s="2575"/>
      <c r="BH49" s="2575"/>
      <c r="BI49" s="2575"/>
      <c r="BJ49" s="2575"/>
      <c r="BK49" s="2575"/>
      <c r="BL49" s="2575"/>
      <c r="BM49" s="2575"/>
      <c r="BN49" s="2575"/>
      <c r="BO49" s="2575"/>
      <c r="BP49" s="2575"/>
      <c r="BU49" s="2575"/>
      <c r="BV49" s="2575"/>
      <c r="BW49" s="2575"/>
      <c r="BX49" s="2575"/>
      <c r="CU49" s="2577"/>
      <c r="CV49" s="2575"/>
      <c r="CW49" s="2575"/>
    </row>
    <row r="50" spans="1:161">
      <c r="A50" s="2239">
        <f t="shared" si="10"/>
        <v>38</v>
      </c>
      <c r="B50" s="2585" t="s">
        <v>221</v>
      </c>
      <c r="C50" s="2255"/>
      <c r="D50" s="2333"/>
      <c r="E50" s="2575"/>
      <c r="F50" s="2589">
        <f>SUM(E49:E49)</f>
        <v>1276774</v>
      </c>
      <c r="G50" s="2239">
        <f t="shared" si="0"/>
        <v>38</v>
      </c>
      <c r="H50" s="2584" t="s">
        <v>519</v>
      </c>
      <c r="I50" s="2256"/>
      <c r="J50" s="2571">
        <f>'6.02G'!D47</f>
        <v>6264490.2048597336</v>
      </c>
      <c r="K50" s="2256"/>
      <c r="AC50" s="2575"/>
      <c r="AD50" s="2575"/>
      <c r="AE50" s="2575"/>
      <c r="AF50" s="2575"/>
      <c r="AG50" s="2575"/>
      <c r="AH50" s="2575"/>
      <c r="AI50" s="2575"/>
      <c r="AJ50" s="2575"/>
      <c r="AK50" s="2575"/>
      <c r="AL50" s="2575"/>
      <c r="AT50" s="2575"/>
      <c r="AU50" s="2575"/>
      <c r="AV50" s="2575"/>
      <c r="AW50" s="2575"/>
      <c r="AX50" s="2575"/>
      <c r="BH50" s="2575"/>
      <c r="BI50" s="2575"/>
      <c r="BJ50" s="2575"/>
      <c r="BK50" s="2575"/>
      <c r="BL50" s="2575"/>
      <c r="BM50" s="2575"/>
      <c r="BN50" s="2575"/>
      <c r="BO50" s="2575"/>
      <c r="BP50" s="2575"/>
      <c r="BU50" s="2575"/>
      <c r="BV50" s="2575"/>
      <c r="BW50" s="2575"/>
      <c r="BX50" s="2575"/>
      <c r="CU50" s="2577"/>
      <c r="CV50" s="2575"/>
      <c r="CW50" s="2575"/>
    </row>
    <row r="51" spans="1:161">
      <c r="A51" s="2239">
        <f t="shared" si="10"/>
        <v>39</v>
      </c>
      <c r="B51" s="2255"/>
      <c r="C51" s="2255"/>
      <c r="D51" s="2333"/>
      <c r="E51" s="2256"/>
      <c r="F51" s="2278"/>
      <c r="G51" s="2239">
        <f t="shared" si="0"/>
        <v>39</v>
      </c>
      <c r="H51" s="2421" t="s">
        <v>465</v>
      </c>
      <c r="I51" s="2256"/>
      <c r="J51" s="2571">
        <f>'6.02G'!D48</f>
        <v>-991036.41113688773</v>
      </c>
      <c r="K51" s="2256"/>
      <c r="AC51" s="2575"/>
      <c r="AD51" s="2575"/>
      <c r="AE51" s="2575"/>
      <c r="AF51" s="2575"/>
      <c r="AG51" s="2575"/>
      <c r="AH51" s="2575"/>
      <c r="AI51" s="2575"/>
      <c r="AJ51" s="2575"/>
      <c r="AK51" s="2575"/>
      <c r="AL51" s="2575"/>
      <c r="AT51" s="2575"/>
      <c r="AU51" s="2575"/>
      <c r="AV51" s="2575"/>
      <c r="AW51" s="2575"/>
      <c r="AX51" s="2575"/>
      <c r="BH51" s="2575"/>
      <c r="BI51" s="2575"/>
      <c r="BJ51" s="2575"/>
      <c r="BK51" s="2575"/>
      <c r="BL51" s="2575"/>
      <c r="BM51" s="2575"/>
      <c r="BN51" s="2575"/>
      <c r="BO51" s="2575"/>
      <c r="BP51" s="2575"/>
      <c r="BU51" s="2575"/>
      <c r="BV51" s="2575"/>
      <c r="BW51" s="2575"/>
      <c r="BX51" s="2575"/>
      <c r="CU51" s="2577"/>
      <c r="CV51" s="2575"/>
      <c r="CW51" s="2575"/>
      <c r="DM51" s="2288"/>
    </row>
    <row r="52" spans="1:161">
      <c r="A52" s="2239">
        <f t="shared" si="10"/>
        <v>40</v>
      </c>
      <c r="B52" s="2255" t="s">
        <v>195</v>
      </c>
      <c r="C52" s="2255"/>
      <c r="D52" s="2333"/>
      <c r="E52" s="2430"/>
      <c r="F52" s="2492">
        <f>F39-F47-F50-F43</f>
        <v>10232719.31446328</v>
      </c>
      <c r="G52" s="2239">
        <f t="shared" si="0"/>
        <v>40</v>
      </c>
      <c r="H52" s="2421" t="s">
        <v>466</v>
      </c>
      <c r="I52" s="2256"/>
      <c r="J52" s="2571">
        <f>'6.02G'!D49</f>
        <v>-39558.555377651472</v>
      </c>
      <c r="K52" s="2256"/>
      <c r="T52" s="2239"/>
      <c r="V52" s="2557"/>
      <c r="W52" s="2377"/>
      <c r="AC52" s="2575"/>
      <c r="AD52" s="2575"/>
      <c r="AE52" s="2575"/>
      <c r="AF52" s="2575"/>
      <c r="AG52" s="2575"/>
      <c r="AH52" s="2575"/>
      <c r="AI52" s="2575"/>
      <c r="AJ52" s="2575"/>
      <c r="AK52" s="2575"/>
      <c r="AL52" s="2575"/>
      <c r="AT52" s="2575"/>
      <c r="AU52" s="2575"/>
      <c r="AV52" s="2575"/>
      <c r="AW52" s="2575"/>
      <c r="AX52" s="2575"/>
      <c r="BH52" s="2575"/>
      <c r="BI52" s="2575"/>
      <c r="BJ52" s="2575"/>
      <c r="BK52" s="2575"/>
      <c r="BL52" s="2575"/>
      <c r="BM52" s="2575"/>
      <c r="BN52" s="2575"/>
      <c r="BO52" s="2575"/>
      <c r="BP52" s="2575"/>
      <c r="BU52" s="2575"/>
      <c r="BV52" s="2575"/>
      <c r="BW52" s="2575"/>
      <c r="BX52" s="2575"/>
      <c r="CU52" s="2577"/>
      <c r="CV52" s="2575"/>
      <c r="CW52" s="2575"/>
      <c r="DM52" s="2236"/>
    </row>
    <row r="53" spans="1:161">
      <c r="A53" s="2239">
        <f t="shared" si="10"/>
        <v>41</v>
      </c>
      <c r="B53" s="2255"/>
      <c r="C53" s="2255"/>
      <c r="D53" s="2333"/>
      <c r="E53" s="2430"/>
      <c r="F53" s="2430"/>
      <c r="G53" s="2239">
        <f t="shared" si="0"/>
        <v>41</v>
      </c>
      <c r="H53" s="2584" t="s">
        <v>235</v>
      </c>
      <c r="I53" s="2256"/>
      <c r="J53" s="3032">
        <v>-11821.970153629998</v>
      </c>
      <c r="K53" s="2256"/>
      <c r="T53" s="2239"/>
      <c r="V53" s="2557"/>
      <c r="W53" s="2377"/>
      <c r="AC53" s="2575"/>
      <c r="AD53" s="2575"/>
      <c r="AE53" s="2575"/>
      <c r="AF53" s="2575"/>
      <c r="AG53" s="2575"/>
      <c r="AH53" s="2575"/>
      <c r="AI53" s="2575"/>
      <c r="AJ53" s="2575"/>
      <c r="AK53" s="2575"/>
      <c r="AL53" s="2575"/>
      <c r="AT53" s="2575"/>
      <c r="AU53" s="2575"/>
      <c r="AV53" s="2575"/>
      <c r="AW53" s="2575"/>
      <c r="AX53" s="2575"/>
      <c r="BH53" s="2575"/>
      <c r="BI53" s="2575"/>
      <c r="BJ53" s="2575"/>
      <c r="BK53" s="2575"/>
      <c r="BL53" s="2575"/>
      <c r="BM53" s="2575"/>
      <c r="BN53" s="2575"/>
      <c r="BO53" s="2575"/>
      <c r="BP53" s="2575"/>
      <c r="BQ53" s="2486"/>
      <c r="BU53" s="2232"/>
      <c r="BV53" s="2232"/>
      <c r="BW53" s="2232"/>
      <c r="BX53" s="2232"/>
      <c r="CU53" s="2577"/>
      <c r="CV53" s="2575"/>
      <c r="CW53" s="2575"/>
      <c r="DM53" s="2236"/>
    </row>
    <row r="54" spans="1:161">
      <c r="A54" s="2239">
        <f t="shared" si="10"/>
        <v>42</v>
      </c>
      <c r="B54" s="2255" t="s">
        <v>67</v>
      </c>
      <c r="C54" s="2255"/>
      <c r="D54" s="2544">
        <f>'Exhibit No._(CTM-2), Pg. 32-34'!M20</f>
        <v>0.35</v>
      </c>
      <c r="E54" s="2430"/>
      <c r="F54" s="2268">
        <f>ROUND(F52*D54,0)</f>
        <v>3581452</v>
      </c>
      <c r="G54" s="2239">
        <f t="shared" si="0"/>
        <v>42</v>
      </c>
      <c r="H54" s="2546" t="s">
        <v>338</v>
      </c>
      <c r="I54" s="2256"/>
      <c r="J54" s="3035">
        <f>SUM(J45:J53)</f>
        <v>-15221524.069308411</v>
      </c>
      <c r="K54" s="2256"/>
      <c r="T54" s="2232"/>
      <c r="U54" s="2232"/>
      <c r="V54" s="2232"/>
      <c r="W54" s="2232"/>
      <c r="AC54" s="2575"/>
      <c r="AD54" s="2575"/>
      <c r="AE54" s="2575"/>
      <c r="AF54" s="2575"/>
      <c r="AG54" s="2575"/>
      <c r="AH54" s="2575"/>
      <c r="AI54" s="2575"/>
      <c r="AJ54" s="2575"/>
      <c r="AK54" s="2575"/>
      <c r="AL54" s="2575"/>
      <c r="AT54" s="2575"/>
      <c r="AU54" s="2575"/>
      <c r="AV54" s="2575"/>
      <c r="AW54" s="2575"/>
      <c r="AX54" s="2575"/>
      <c r="BH54" s="2575"/>
      <c r="BI54" s="2575"/>
      <c r="BJ54" s="2575"/>
      <c r="BK54" s="2575"/>
      <c r="BL54" s="2575"/>
      <c r="BM54" s="2575"/>
      <c r="BN54" s="2575"/>
      <c r="BO54" s="2575"/>
      <c r="BP54" s="2575"/>
      <c r="BQ54" s="2486"/>
      <c r="BU54" s="2232"/>
      <c r="BV54" s="2232"/>
      <c r="BW54" s="2232"/>
      <c r="BX54" s="2232"/>
      <c r="CV54" s="2575"/>
      <c r="CW54" s="2575"/>
      <c r="DM54" s="2236"/>
    </row>
    <row r="55" spans="1:161" ht="16.5" thickBot="1">
      <c r="A55" s="2239">
        <f t="shared" si="10"/>
        <v>43</v>
      </c>
      <c r="B55" s="2255" t="s">
        <v>74</v>
      </c>
      <c r="C55" s="2255"/>
      <c r="D55" s="2256"/>
      <c r="E55" s="2430"/>
      <c r="F55" s="2590">
        <f>F52-F54</f>
        <v>6651267.3144632801</v>
      </c>
      <c r="G55" s="2239">
        <f t="shared" si="0"/>
        <v>43</v>
      </c>
      <c r="H55" s="2256"/>
      <c r="I55" s="2256"/>
      <c r="J55" s="2571"/>
      <c r="K55" s="2256"/>
      <c r="T55" s="2232"/>
      <c r="U55" s="2232"/>
      <c r="V55" s="2232"/>
      <c r="W55" s="2232"/>
      <c r="AC55" s="2575"/>
      <c r="AD55" s="2575"/>
      <c r="AE55" s="2575"/>
      <c r="AF55" s="2575"/>
      <c r="AG55" s="2575"/>
      <c r="AH55" s="2575"/>
      <c r="AI55" s="2575"/>
      <c r="AJ55" s="2575"/>
      <c r="AK55" s="2575"/>
      <c r="AL55" s="2575"/>
      <c r="AT55" s="2575"/>
      <c r="AU55" s="2575"/>
      <c r="AV55" s="2575"/>
      <c r="AW55" s="2575"/>
      <c r="AX55" s="2575"/>
      <c r="BH55" s="2575"/>
      <c r="BI55" s="2575"/>
      <c r="BJ55" s="2575"/>
      <c r="BK55" s="2575"/>
      <c r="BL55" s="2575"/>
      <c r="BM55" s="2232"/>
      <c r="BN55" s="2232"/>
      <c r="BO55" s="2232"/>
      <c r="BP55" s="2232"/>
      <c r="BQ55" s="2486"/>
      <c r="BU55" s="2232"/>
      <c r="BV55" s="2232"/>
      <c r="BW55" s="2232"/>
      <c r="BX55" s="2232"/>
      <c r="CV55" s="2575"/>
      <c r="CW55" s="2575"/>
      <c r="DM55" s="2236"/>
    </row>
    <row r="56" spans="1:161" ht="16.5" thickTop="1">
      <c r="A56" s="2239">
        <f t="shared" si="10"/>
        <v>44</v>
      </c>
      <c r="F56" s="2239"/>
      <c r="G56" s="2239">
        <f t="shared" si="0"/>
        <v>44</v>
      </c>
      <c r="H56" s="2255" t="s">
        <v>217</v>
      </c>
      <c r="I56" s="2591">
        <f>D45</f>
        <v>3.4749999999999998E-3</v>
      </c>
      <c r="J56" s="3032">
        <f>+K41*I56</f>
        <v>39246.540660935025</v>
      </c>
      <c r="K56" s="2278"/>
      <c r="P56" s="2232"/>
      <c r="AC56" s="2575"/>
      <c r="AD56" s="2232"/>
      <c r="AE56" s="2232"/>
      <c r="AF56" s="2232"/>
      <c r="AG56" s="2232"/>
      <c r="AH56" s="2575"/>
      <c r="AI56" s="2575"/>
      <c r="AJ56" s="2575"/>
      <c r="AK56" s="2575"/>
      <c r="AL56" s="2575"/>
      <c r="AT56" s="2232"/>
      <c r="AU56" s="2575"/>
      <c r="AV56" s="2575"/>
      <c r="AW56" s="2575"/>
      <c r="AX56" s="2575"/>
      <c r="BH56" s="2232"/>
      <c r="BI56" s="2232"/>
      <c r="BJ56" s="2232"/>
      <c r="BK56" s="2232"/>
      <c r="BL56" s="2232"/>
      <c r="BM56" s="2232"/>
      <c r="BN56" s="2232"/>
      <c r="BO56" s="2232"/>
      <c r="BP56" s="2232"/>
      <c r="BQ56" s="2486"/>
      <c r="BU56" s="2430"/>
      <c r="BV56" s="2430"/>
      <c r="BW56" s="2430"/>
      <c r="BX56" s="2430"/>
      <c r="CV56" s="2232"/>
      <c r="CW56" s="2232"/>
      <c r="DH56" s="2469"/>
      <c r="DJ56" s="2260"/>
      <c r="DK56" s="2253"/>
      <c r="DL56" s="2260"/>
      <c r="DM56" s="2236"/>
    </row>
    <row r="57" spans="1:161">
      <c r="A57" s="2239">
        <f t="shared" si="10"/>
        <v>45</v>
      </c>
      <c r="G57" s="2239">
        <f t="shared" si="0"/>
        <v>45</v>
      </c>
      <c r="H57" s="2255" t="s">
        <v>218</v>
      </c>
      <c r="I57" s="2591">
        <f>D46</f>
        <v>2E-3</v>
      </c>
      <c r="J57" s="3033">
        <f>+K41*I57</f>
        <v>22587.937071041742</v>
      </c>
      <c r="K57" s="2278"/>
      <c r="P57" s="2232"/>
      <c r="AC57" s="2575"/>
      <c r="AD57" s="2232"/>
      <c r="AE57" s="2232"/>
      <c r="AF57" s="2232"/>
      <c r="AG57" s="2232"/>
      <c r="AH57" s="2232"/>
      <c r="AI57" s="2575"/>
      <c r="AJ57" s="2575"/>
      <c r="AK57" s="2575"/>
      <c r="AL57" s="2575"/>
      <c r="AT57" s="2232"/>
      <c r="AU57" s="2232"/>
      <c r="AV57" s="2232"/>
      <c r="AW57" s="2232"/>
      <c r="AX57" s="2232"/>
      <c r="BH57" s="2232"/>
      <c r="BI57" s="2232"/>
      <c r="BJ57" s="2232"/>
      <c r="BK57" s="2232"/>
      <c r="BL57" s="2232"/>
      <c r="BM57" s="2232"/>
      <c r="BN57" s="2232"/>
      <c r="BO57" s="2232"/>
      <c r="BP57" s="2232"/>
      <c r="BQ57" s="2486"/>
      <c r="BU57" s="2430"/>
      <c r="BV57" s="2430"/>
      <c r="BW57" s="2430"/>
      <c r="BX57" s="2430"/>
      <c r="CV57" s="2232"/>
      <c r="CW57" s="2232"/>
      <c r="FE57" s="2485"/>
    </row>
    <row r="58" spans="1:161">
      <c r="A58" s="2239"/>
      <c r="G58" s="2239">
        <f t="shared" si="0"/>
        <v>46</v>
      </c>
      <c r="H58" s="2585" t="s">
        <v>219</v>
      </c>
      <c r="I58" s="2591"/>
      <c r="J58" s="2592"/>
      <c r="K58" s="2878">
        <f>SUM(J54:J58)</f>
        <v>-15159689.591576435</v>
      </c>
      <c r="P58" s="2232"/>
      <c r="AC58" s="2232"/>
      <c r="AD58" s="2232"/>
      <c r="AE58" s="2232"/>
      <c r="AF58" s="2232"/>
      <c r="AG58" s="2232"/>
      <c r="AH58" s="2232"/>
      <c r="AI58" s="2232"/>
      <c r="AJ58" s="2232"/>
      <c r="AK58" s="2232"/>
      <c r="AL58" s="2232"/>
      <c r="AT58" s="2232"/>
      <c r="AU58" s="2232"/>
      <c r="AV58" s="2232"/>
      <c r="AW58" s="2232"/>
      <c r="AX58" s="2232"/>
      <c r="BH58" s="2232"/>
      <c r="BI58" s="2232"/>
      <c r="BJ58" s="2232"/>
      <c r="BK58" s="2232"/>
      <c r="BL58" s="2232"/>
      <c r="BM58" s="2430"/>
      <c r="BN58" s="2430"/>
      <c r="BO58" s="2430"/>
      <c r="BP58" s="2430"/>
      <c r="BQ58" s="2486"/>
      <c r="BU58" s="2430"/>
      <c r="BV58" s="2430"/>
      <c r="BW58" s="2430"/>
      <c r="BX58" s="2430"/>
      <c r="CV58" s="2232"/>
      <c r="CW58" s="2232"/>
      <c r="FE58" s="2485"/>
    </row>
    <row r="59" spans="1:161">
      <c r="A59" s="2239"/>
      <c r="G59" s="2239">
        <f t="shared" si="0"/>
        <v>47</v>
      </c>
      <c r="H59" s="2255"/>
      <c r="I59" s="2591"/>
      <c r="J59" s="2575"/>
      <c r="K59" s="2278"/>
      <c r="L59" s="2376"/>
      <c r="P59" s="2232"/>
      <c r="AC59" s="2232"/>
      <c r="AD59" s="2430"/>
      <c r="AE59" s="2430"/>
      <c r="AF59" s="2430"/>
      <c r="AG59" s="2430"/>
      <c r="AH59" s="2232"/>
      <c r="AI59" s="2232"/>
      <c r="AJ59" s="2232"/>
      <c r="AK59" s="2232"/>
      <c r="AL59" s="2232"/>
      <c r="AT59" s="2430"/>
      <c r="AU59" s="2232"/>
      <c r="AV59" s="2232"/>
      <c r="AW59" s="2232"/>
      <c r="AX59" s="2232"/>
      <c r="BH59" s="2430"/>
      <c r="BI59" s="2430"/>
      <c r="BJ59" s="2430"/>
      <c r="BK59" s="2430"/>
      <c r="BL59" s="2430"/>
      <c r="BM59" s="2430"/>
      <c r="BN59" s="2430"/>
      <c r="BO59" s="2430"/>
      <c r="BP59" s="2430"/>
      <c r="BU59" s="2430"/>
      <c r="BV59" s="2430"/>
      <c r="BW59" s="2430"/>
      <c r="BX59" s="2430"/>
      <c r="CV59" s="2430"/>
      <c r="CW59" s="2430"/>
      <c r="DM59" s="2526"/>
    </row>
    <row r="60" spans="1:161">
      <c r="A60" s="2239"/>
      <c r="G60" s="2239">
        <f t="shared" si="0"/>
        <v>48</v>
      </c>
      <c r="H60" s="2255" t="s">
        <v>220</v>
      </c>
      <c r="I60" s="2591">
        <f>D49</f>
        <v>3.8386000000000003E-2</v>
      </c>
      <c r="J60" s="3030">
        <f>+K41*I60</f>
        <v>433530.27620450419</v>
      </c>
      <c r="K60" s="2278"/>
      <c r="L60" s="2376"/>
      <c r="M60" s="2377"/>
      <c r="N60" s="2377"/>
      <c r="O60" s="2377"/>
      <c r="P60" s="2232"/>
      <c r="AC60" s="2232"/>
      <c r="AD60" s="2430"/>
      <c r="AE60" s="2430"/>
      <c r="AF60" s="2430"/>
      <c r="AG60" s="2430"/>
      <c r="AH60" s="2430"/>
      <c r="AI60" s="2232"/>
      <c r="AJ60" s="2232"/>
      <c r="AK60" s="2232"/>
      <c r="AL60" s="2232"/>
      <c r="AT60" s="2430"/>
      <c r="AU60" s="2430"/>
      <c r="AV60" s="2430"/>
      <c r="AW60" s="2430"/>
      <c r="AX60" s="2430"/>
      <c r="BH60" s="2430"/>
      <c r="BI60" s="2430"/>
      <c r="BJ60" s="2430"/>
      <c r="BK60" s="2430"/>
      <c r="BL60" s="2430"/>
      <c r="BM60" s="2430"/>
      <c r="BN60" s="2430"/>
      <c r="BO60" s="2430"/>
      <c r="BP60" s="2430"/>
      <c r="BU60" s="2430"/>
      <c r="BV60" s="2430"/>
      <c r="BW60" s="2430"/>
      <c r="BX60" s="2430"/>
      <c r="CV60" s="2430"/>
      <c r="CW60" s="2430"/>
    </row>
    <row r="61" spans="1:161">
      <c r="A61" s="2593"/>
      <c r="G61" s="2239">
        <f t="shared" si="0"/>
        <v>49</v>
      </c>
      <c r="H61" s="2585"/>
      <c r="I61" s="2333"/>
      <c r="J61" s="2594"/>
      <c r="K61" s="2278"/>
      <c r="L61" s="2376"/>
      <c r="M61" s="2377"/>
      <c r="N61" s="2377"/>
      <c r="O61" s="2377"/>
      <c r="P61" s="2232"/>
      <c r="T61" s="2232"/>
      <c r="U61" s="2232"/>
      <c r="V61" s="2232"/>
      <c r="W61" s="2232"/>
      <c r="AC61" s="2430"/>
      <c r="AD61" s="2430"/>
      <c r="AE61" s="2430"/>
      <c r="AF61" s="2430"/>
      <c r="AG61" s="2430"/>
      <c r="AH61" s="2430"/>
      <c r="AI61" s="2430"/>
      <c r="AJ61" s="2430"/>
      <c r="AK61" s="2430"/>
      <c r="AL61" s="2430"/>
      <c r="AT61" s="2430"/>
      <c r="AU61" s="2430"/>
      <c r="AV61" s="2430"/>
      <c r="AW61" s="2430"/>
      <c r="AX61" s="2430"/>
      <c r="BH61" s="2430"/>
      <c r="BI61" s="2430"/>
      <c r="BJ61" s="2430"/>
      <c r="BK61" s="2430"/>
      <c r="BL61" s="2430"/>
      <c r="BM61" s="2430"/>
      <c r="BN61" s="2430"/>
      <c r="BO61" s="2430"/>
      <c r="BP61" s="2430"/>
      <c r="BU61" s="2430"/>
      <c r="BV61" s="2430"/>
      <c r="BW61" s="2430"/>
      <c r="BX61" s="2430"/>
      <c r="CV61" s="2430"/>
      <c r="CW61" s="2430"/>
      <c r="DM61" s="2595"/>
    </row>
    <row r="62" spans="1:161">
      <c r="A62" s="2593"/>
      <c r="G62" s="2239">
        <f t="shared" si="0"/>
        <v>50</v>
      </c>
      <c r="H62" s="2585" t="s">
        <v>221</v>
      </c>
      <c r="I62" s="2333"/>
      <c r="J62" s="2575"/>
      <c r="K62" s="3030">
        <f>SUM(J60:J61)</f>
        <v>433530.27620450419</v>
      </c>
      <c r="L62" s="2376"/>
      <c r="M62" s="2377"/>
      <c r="N62" s="2377"/>
      <c r="O62" s="2377"/>
      <c r="P62" s="2232"/>
      <c r="T62" s="2232"/>
      <c r="U62" s="2232"/>
      <c r="V62" s="2232"/>
      <c r="W62" s="2232"/>
      <c r="AC62" s="2430"/>
      <c r="AD62" s="2430"/>
      <c r="AE62" s="2430"/>
      <c r="AF62" s="2430"/>
      <c r="AG62" s="2430"/>
      <c r="AH62" s="2430"/>
      <c r="AI62" s="2430"/>
      <c r="AJ62" s="2430"/>
      <c r="AK62" s="2430"/>
      <c r="AL62" s="2430"/>
      <c r="AT62" s="2430"/>
      <c r="AU62" s="2430"/>
      <c r="AV62" s="2430"/>
      <c r="AW62" s="2430"/>
      <c r="AX62" s="2430"/>
      <c r="BH62" s="2430"/>
      <c r="BI62" s="2430"/>
      <c r="BJ62" s="2430"/>
      <c r="BK62" s="2430"/>
      <c r="BL62" s="2430"/>
      <c r="BM62" s="2430"/>
      <c r="BN62" s="2430"/>
      <c r="BO62" s="2430"/>
      <c r="BP62" s="2430"/>
      <c r="CV62" s="2430"/>
      <c r="CW62" s="2430"/>
      <c r="DM62" s="2260"/>
    </row>
    <row r="63" spans="1:161">
      <c r="A63" s="2593"/>
      <c r="G63" s="2239">
        <f t="shared" si="0"/>
        <v>51</v>
      </c>
      <c r="H63" s="2255"/>
      <c r="I63" s="2333"/>
      <c r="J63" s="2256"/>
      <c r="K63" s="2412"/>
      <c r="L63" s="2232"/>
      <c r="M63" s="2377"/>
      <c r="N63" s="2377"/>
      <c r="O63" s="2377"/>
      <c r="P63" s="2232"/>
      <c r="T63" s="2232"/>
      <c r="U63" s="2232"/>
      <c r="V63" s="2232"/>
      <c r="W63" s="2232"/>
      <c r="AC63" s="2430"/>
      <c r="AD63" s="2430"/>
      <c r="AE63" s="2430"/>
      <c r="AF63" s="2430"/>
      <c r="AG63" s="2430"/>
      <c r="AH63" s="2430"/>
      <c r="AI63" s="2430"/>
      <c r="AJ63" s="2430"/>
      <c r="AK63" s="2430"/>
      <c r="AL63" s="2430"/>
      <c r="AT63" s="2430"/>
      <c r="AU63" s="2430"/>
      <c r="AV63" s="2430"/>
      <c r="AW63" s="2430"/>
      <c r="AX63" s="2430"/>
      <c r="BH63" s="2430"/>
      <c r="BI63" s="2430"/>
      <c r="BJ63" s="2430"/>
      <c r="BK63" s="2430"/>
      <c r="BL63" s="2430"/>
      <c r="BM63" s="2430"/>
      <c r="BN63" s="2430"/>
      <c r="BO63" s="2430"/>
      <c r="BP63" s="2430"/>
      <c r="CV63" s="2430"/>
      <c r="CW63" s="2430"/>
    </row>
    <row r="64" spans="1:161">
      <c r="A64" s="2232"/>
      <c r="G64" s="2239">
        <f t="shared" si="0"/>
        <v>52</v>
      </c>
      <c r="H64" s="2255" t="s">
        <v>195</v>
      </c>
      <c r="I64" s="2333"/>
      <c r="J64" s="2430"/>
      <c r="K64" s="3030">
        <f>K41-K58-K62</f>
        <v>26020127.850892801</v>
      </c>
      <c r="M64" s="2377"/>
      <c r="N64" s="2377"/>
      <c r="O64" s="2377"/>
      <c r="P64" s="2232"/>
      <c r="T64" s="2232"/>
      <c r="U64" s="2232"/>
      <c r="V64" s="2232"/>
      <c r="W64" s="2232"/>
      <c r="AC64" s="2430"/>
      <c r="AD64" s="2430"/>
      <c r="AE64" s="2430"/>
      <c r="AF64" s="2430"/>
      <c r="AG64" s="2430"/>
      <c r="AH64" s="2430"/>
      <c r="AI64" s="2430"/>
      <c r="AJ64" s="2430"/>
      <c r="AK64" s="2430"/>
      <c r="AL64" s="2430"/>
      <c r="AT64" s="2430"/>
      <c r="AU64" s="2430"/>
      <c r="AV64" s="2430"/>
      <c r="AW64" s="2430"/>
      <c r="AX64" s="2430"/>
      <c r="BH64" s="2430"/>
      <c r="BI64" s="2430"/>
      <c r="BJ64" s="2430"/>
      <c r="BK64" s="2430"/>
      <c r="BL64" s="2430"/>
      <c r="CV64" s="2430"/>
      <c r="CW64" s="2430"/>
      <c r="DM64" s="2596"/>
    </row>
    <row r="65" spans="1:160">
      <c r="A65" s="2593"/>
      <c r="G65" s="2239">
        <f t="shared" si="0"/>
        <v>53</v>
      </c>
      <c r="H65" s="2255" t="s">
        <v>67</v>
      </c>
      <c r="I65" s="2401">
        <f>D54</f>
        <v>0.35</v>
      </c>
      <c r="J65" s="2430"/>
      <c r="K65" s="2878">
        <f>ROUND(K64*I65,0)</f>
        <v>9107045</v>
      </c>
      <c r="M65" s="2377"/>
      <c r="N65" s="2377"/>
      <c r="O65" s="2377"/>
      <c r="T65" s="2232"/>
      <c r="U65" s="2232"/>
      <c r="V65" s="2232"/>
      <c r="W65" s="2232"/>
      <c r="AC65" s="2430"/>
      <c r="AH65" s="2430"/>
      <c r="AI65" s="2430"/>
      <c r="AJ65" s="2430"/>
      <c r="AK65" s="2430"/>
      <c r="AL65" s="2430"/>
      <c r="AU65" s="2430"/>
      <c r="AV65" s="2430"/>
      <c r="AW65" s="2430"/>
      <c r="AX65" s="2430"/>
      <c r="DM65" s="2596"/>
    </row>
    <row r="66" spans="1:160" ht="16.5" thickBot="1">
      <c r="A66" s="2593"/>
      <c r="G66" s="2239">
        <f t="shared" si="0"/>
        <v>54</v>
      </c>
      <c r="H66" s="2255" t="s">
        <v>74</v>
      </c>
      <c r="I66" s="2256"/>
      <c r="J66" s="2430"/>
      <c r="K66" s="3034">
        <f>K64-K65</f>
        <v>16913082.850892801</v>
      </c>
      <c r="M66" s="2377"/>
      <c r="N66" s="2377"/>
      <c r="O66" s="2377"/>
      <c r="T66" s="2232"/>
      <c r="U66" s="2232"/>
      <c r="V66" s="2232"/>
      <c r="W66" s="2232"/>
      <c r="AC66" s="2430"/>
      <c r="AI66" s="2430"/>
      <c r="AJ66" s="2430"/>
      <c r="AK66" s="2430"/>
      <c r="AL66" s="2430"/>
      <c r="DM66" s="2596"/>
    </row>
    <row r="67" spans="1:160" ht="16.5" thickTop="1">
      <c r="A67" s="2232"/>
      <c r="G67" s="2239"/>
      <c r="M67" s="2377"/>
      <c r="N67" s="2377"/>
      <c r="O67" s="2377"/>
      <c r="T67" s="2232"/>
      <c r="U67" s="2232"/>
      <c r="V67" s="2232"/>
      <c r="W67" s="2232"/>
      <c r="DM67" s="2596"/>
    </row>
    <row r="68" spans="1:160">
      <c r="A68" s="2232"/>
      <c r="G68" s="2239"/>
      <c r="M68" s="2377"/>
      <c r="N68" s="2377"/>
      <c r="O68" s="2377"/>
      <c r="T68" s="2232"/>
      <c r="U68" s="2232"/>
      <c r="V68" s="2232"/>
      <c r="W68" s="2232"/>
      <c r="DM68" s="2596"/>
    </row>
    <row r="69" spans="1:160">
      <c r="A69" s="2232"/>
      <c r="G69" s="2369"/>
      <c r="H69" s="2597"/>
      <c r="I69" s="2232"/>
      <c r="J69" s="2232"/>
      <c r="K69" s="2232"/>
      <c r="L69" s="2232"/>
      <c r="M69" s="2377"/>
      <c r="N69" s="2377"/>
      <c r="O69" s="2377"/>
      <c r="T69" s="2232"/>
      <c r="U69" s="2232"/>
      <c r="V69" s="2232"/>
      <c r="W69" s="2232"/>
      <c r="DM69" s="2596"/>
      <c r="FD69" s="2232"/>
    </row>
    <row r="70" spans="1:160">
      <c r="A70" s="2232"/>
      <c r="G70" s="2369"/>
      <c r="H70" s="2598"/>
      <c r="I70" s="2232"/>
      <c r="J70" s="2232"/>
      <c r="L70" s="2232"/>
      <c r="M70" s="2377"/>
      <c r="N70" s="2377"/>
      <c r="O70" s="2377"/>
      <c r="T70" s="2232"/>
      <c r="U70" s="2232"/>
      <c r="V70" s="2232"/>
      <c r="W70" s="2232"/>
      <c r="CO70" s="2267"/>
      <c r="CP70" s="2267"/>
      <c r="CQ70" s="2267"/>
      <c r="CR70" s="2267"/>
      <c r="CS70" s="2267"/>
      <c r="DM70" s="2596"/>
      <c r="FD70" s="2232"/>
    </row>
    <row r="71" spans="1:160">
      <c r="A71" s="2232"/>
      <c r="G71" s="2599"/>
      <c r="H71" s="2598"/>
      <c r="I71" s="2600"/>
      <c r="J71" s="2232"/>
      <c r="L71" s="2232"/>
      <c r="M71" s="2377"/>
      <c r="N71" s="2377"/>
      <c r="O71" s="2377"/>
      <c r="T71" s="2232"/>
      <c r="U71" s="2232"/>
      <c r="V71" s="2232"/>
      <c r="W71" s="2232"/>
      <c r="DM71" s="2596"/>
      <c r="FD71" s="2232"/>
    </row>
    <row r="72" spans="1:160">
      <c r="A72" s="2232"/>
      <c r="G72" s="2369"/>
      <c r="H72" s="2598"/>
      <c r="I72" s="2232"/>
      <c r="J72" s="2232"/>
      <c r="L72" s="2232"/>
      <c r="M72" s="2377"/>
      <c r="N72" s="2377"/>
      <c r="O72" s="2377"/>
      <c r="T72" s="2232"/>
      <c r="U72" s="2232"/>
      <c r="V72" s="2232"/>
      <c r="W72" s="2232"/>
      <c r="DM72" s="2596"/>
      <c r="FD72" s="2232"/>
    </row>
    <row r="73" spans="1:160">
      <c r="A73" s="2232"/>
      <c r="L73" s="2232"/>
      <c r="M73" s="2377"/>
      <c r="N73" s="2377"/>
      <c r="O73" s="2377"/>
      <c r="T73" s="2232"/>
      <c r="U73" s="2232"/>
      <c r="V73" s="2232"/>
      <c r="W73" s="2232"/>
      <c r="DM73" s="2596"/>
      <c r="FD73" s="2232"/>
    </row>
    <row r="74" spans="1:160">
      <c r="A74" s="2232"/>
      <c r="L74" s="2232"/>
      <c r="M74" s="2377"/>
      <c r="N74" s="2377"/>
      <c r="O74" s="2377"/>
      <c r="T74" s="2232"/>
      <c r="U74" s="2232"/>
      <c r="V74" s="2232"/>
      <c r="W74" s="2232"/>
      <c r="DM74" s="2596"/>
      <c r="FD74" s="2232"/>
    </row>
    <row r="75" spans="1:160">
      <c r="A75" s="2232"/>
      <c r="L75" s="2232"/>
      <c r="M75" s="2377"/>
      <c r="N75" s="2377"/>
      <c r="O75" s="2377"/>
      <c r="T75" s="2601"/>
      <c r="U75" s="2232"/>
      <c r="V75" s="2232"/>
      <c r="W75" s="2232"/>
      <c r="DM75" s="2596"/>
      <c r="FC75" s="2232"/>
      <c r="FD75" s="2232"/>
    </row>
    <row r="76" spans="1:160">
      <c r="A76" s="2232"/>
      <c r="L76" s="2232"/>
      <c r="M76" s="2377"/>
      <c r="N76" s="2377"/>
      <c r="O76" s="2377"/>
      <c r="T76" s="2601"/>
      <c r="U76" s="2232"/>
      <c r="V76" s="2232"/>
      <c r="W76" s="2232"/>
      <c r="FC76" s="2602"/>
      <c r="FD76" s="2232"/>
    </row>
    <row r="77" spans="1:160">
      <c r="A77" s="2232"/>
      <c r="G77" s="2603"/>
      <c r="H77" s="2603"/>
      <c r="I77" s="2603"/>
      <c r="J77" s="2603"/>
      <c r="K77" s="2603"/>
      <c r="L77" s="2232"/>
      <c r="M77" s="2377"/>
      <c r="N77" s="2377"/>
      <c r="O77" s="2377"/>
      <c r="T77" s="2601"/>
      <c r="U77" s="2232"/>
      <c r="V77" s="2232"/>
      <c r="W77" s="2232"/>
      <c r="FC77" s="2232"/>
      <c r="FD77" s="2232"/>
    </row>
    <row r="78" spans="1:160">
      <c r="A78" s="2232"/>
      <c r="G78" s="2520"/>
      <c r="H78" s="2520"/>
      <c r="I78" s="2520"/>
      <c r="J78" s="2520"/>
      <c r="K78" s="2520"/>
      <c r="L78" s="2232"/>
      <c r="M78" s="2377"/>
      <c r="N78" s="2377"/>
      <c r="O78" s="2377"/>
      <c r="T78" s="2232"/>
      <c r="U78" s="2232"/>
      <c r="V78" s="2232"/>
      <c r="W78" s="2232"/>
      <c r="FC78" s="2232"/>
      <c r="FD78" s="2232"/>
    </row>
    <row r="79" spans="1:160">
      <c r="A79" s="2232"/>
      <c r="G79" s="2520"/>
      <c r="H79" s="2520"/>
      <c r="I79" s="2520"/>
      <c r="J79" s="2520"/>
      <c r="K79" s="2520"/>
      <c r="L79" s="2232"/>
      <c r="M79" s="2377"/>
      <c r="N79" s="2377"/>
      <c r="O79" s="2377"/>
      <c r="T79" s="2232"/>
      <c r="U79" s="2232"/>
      <c r="V79" s="2232"/>
      <c r="W79" s="2232"/>
      <c r="FC79" s="2232"/>
      <c r="FD79" s="2232"/>
    </row>
    <row r="80" spans="1:160">
      <c r="A80" s="2232"/>
      <c r="G80" s="2520"/>
      <c r="H80" s="2520"/>
      <c r="I80" s="2520"/>
      <c r="J80" s="2520"/>
      <c r="K80" s="2520"/>
      <c r="L80" s="2232"/>
      <c r="M80" s="2377"/>
      <c r="N80" s="2377"/>
      <c r="O80" s="2377"/>
      <c r="T80" s="2232"/>
      <c r="U80" s="2232"/>
      <c r="V80" s="2232"/>
      <c r="W80" s="2232"/>
      <c r="FD80" s="2232"/>
    </row>
    <row r="81" spans="1:160">
      <c r="A81" s="2232"/>
      <c r="G81" s="2520"/>
      <c r="H81" s="2520"/>
      <c r="I81" s="2520"/>
      <c r="J81" s="2520"/>
      <c r="K81" s="2520"/>
      <c r="L81" s="2232"/>
      <c r="M81" s="2232"/>
      <c r="N81" s="2232"/>
      <c r="O81" s="2232"/>
      <c r="T81" s="2232"/>
      <c r="U81" s="2232"/>
      <c r="V81" s="2232"/>
      <c r="W81" s="2232"/>
      <c r="DM81" s="2273"/>
      <c r="FD81" s="2232"/>
    </row>
    <row r="82" spans="1:160">
      <c r="A82" s="2232"/>
      <c r="G82" s="2604"/>
      <c r="H82" s="2604"/>
      <c r="I82" s="2604"/>
      <c r="J82" s="2604"/>
      <c r="K82" s="2604"/>
      <c r="L82" s="2232"/>
      <c r="M82" s="2232"/>
      <c r="N82" s="2232"/>
      <c r="O82" s="2232"/>
      <c r="T82" s="2232"/>
      <c r="U82" s="2232"/>
      <c r="V82" s="2232"/>
      <c r="W82" s="2232"/>
      <c r="DM82" s="2263"/>
      <c r="FD82" s="2602"/>
    </row>
    <row r="83" spans="1:160">
      <c r="A83" s="2232"/>
      <c r="G83" s="2604"/>
      <c r="H83" s="2604"/>
      <c r="I83" s="2604"/>
      <c r="J83" s="2604"/>
      <c r="K83" s="2604"/>
      <c r="L83" s="2232"/>
      <c r="M83" s="2232"/>
      <c r="N83" s="2232"/>
      <c r="O83" s="2232"/>
      <c r="T83" s="2232"/>
      <c r="U83" s="2232"/>
      <c r="V83" s="2232"/>
      <c r="W83" s="2232"/>
      <c r="FD83" s="2232"/>
    </row>
    <row r="84" spans="1:160">
      <c r="A84" s="2232"/>
      <c r="G84" s="2605"/>
      <c r="H84" s="2605"/>
      <c r="I84" s="2605"/>
      <c r="J84" s="2605"/>
      <c r="K84" s="2605"/>
      <c r="L84" s="2232"/>
      <c r="M84" s="2232"/>
      <c r="N84" s="2232"/>
      <c r="O84" s="2232"/>
      <c r="T84" s="2232"/>
      <c r="U84" s="2232"/>
      <c r="V84" s="2232"/>
      <c r="W84" s="2232"/>
      <c r="DH84" s="2606"/>
      <c r="DI84" s="2253"/>
      <c r="DJ84" s="2263"/>
      <c r="DK84" s="2263"/>
      <c r="DL84" s="2263"/>
      <c r="FD84" s="2232"/>
    </row>
    <row r="85" spans="1:160">
      <c r="A85" s="2232"/>
      <c r="G85" s="2232"/>
      <c r="H85" s="2232"/>
      <c r="I85" s="2232"/>
      <c r="J85" s="2232"/>
      <c r="K85" s="2232"/>
      <c r="L85" s="2232"/>
      <c r="M85" s="2232"/>
      <c r="N85" s="2232"/>
      <c r="O85" s="2232"/>
      <c r="T85" s="2232"/>
      <c r="U85" s="2232"/>
      <c r="V85" s="2232"/>
      <c r="W85" s="2232"/>
      <c r="DH85" s="2274"/>
      <c r="DI85" s="2275"/>
      <c r="FD85" s="2232"/>
    </row>
    <row r="86" spans="1:160">
      <c r="A86" s="2232"/>
      <c r="G86" s="2486"/>
      <c r="H86" s="2486"/>
      <c r="I86" s="2486"/>
      <c r="J86" s="2486"/>
      <c r="K86" s="2486"/>
      <c r="L86" s="2232"/>
      <c r="M86" s="2232"/>
      <c r="N86" s="2232"/>
      <c r="O86" s="2232"/>
      <c r="T86" s="2232"/>
      <c r="U86" s="2232"/>
      <c r="V86" s="2232"/>
      <c r="W86" s="2232"/>
      <c r="DI86" s="2275"/>
      <c r="FD86" s="2232"/>
    </row>
    <row r="87" spans="1:160">
      <c r="A87" s="2232"/>
      <c r="G87" s="2575"/>
      <c r="H87" s="2575"/>
      <c r="I87" s="2575"/>
      <c r="J87" s="2575"/>
      <c r="K87" s="2575"/>
      <c r="L87" s="2232"/>
      <c r="M87" s="2232"/>
      <c r="N87" s="2232"/>
      <c r="O87" s="2232"/>
      <c r="T87" s="2232"/>
      <c r="U87" s="2232"/>
      <c r="V87" s="2232"/>
      <c r="W87" s="2232"/>
      <c r="DI87" s="2275"/>
      <c r="DL87" s="2276"/>
      <c r="FD87" s="2232"/>
    </row>
    <row r="88" spans="1:160">
      <c r="A88" s="2232"/>
      <c r="G88" s="2607"/>
      <c r="H88" s="2607"/>
      <c r="I88" s="2607"/>
      <c r="J88" s="2607"/>
      <c r="K88" s="2607"/>
      <c r="L88" s="2232"/>
      <c r="M88" s="2232"/>
      <c r="N88" s="2232"/>
      <c r="O88" s="2232"/>
      <c r="T88" s="2232"/>
      <c r="U88" s="2232"/>
      <c r="V88" s="2232"/>
      <c r="W88" s="2232"/>
      <c r="DI88" s="2275"/>
      <c r="FD88" s="2232"/>
    </row>
    <row r="89" spans="1:160">
      <c r="A89" s="2232"/>
      <c r="G89" s="2607"/>
      <c r="H89" s="2607"/>
      <c r="I89" s="2607"/>
      <c r="J89" s="2607"/>
      <c r="K89" s="2607"/>
      <c r="L89" s="2232"/>
      <c r="M89" s="2232"/>
      <c r="N89" s="2232"/>
      <c r="O89" s="2232"/>
      <c r="T89" s="2232"/>
      <c r="U89" s="2232"/>
      <c r="V89" s="2232"/>
      <c r="W89" s="2232"/>
      <c r="DI89" s="2275"/>
      <c r="FD89" s="2232"/>
    </row>
    <row r="90" spans="1:160">
      <c r="A90" s="2232"/>
      <c r="G90" s="2608"/>
      <c r="H90" s="2608"/>
      <c r="I90" s="2608"/>
      <c r="J90" s="2608"/>
      <c r="K90" s="2608"/>
      <c r="L90" s="2232"/>
      <c r="M90" s="2232"/>
      <c r="N90" s="2232"/>
      <c r="O90" s="2232"/>
      <c r="T90" s="2232"/>
      <c r="U90" s="2232"/>
      <c r="V90" s="2232"/>
      <c r="W90" s="2232"/>
      <c r="DI90" s="2275"/>
      <c r="FD90" s="2232"/>
    </row>
    <row r="91" spans="1:160">
      <c r="A91" s="2232"/>
      <c r="G91" s="2427"/>
      <c r="H91" s="2427"/>
      <c r="I91" s="2427"/>
      <c r="J91" s="2427"/>
      <c r="K91" s="2427"/>
      <c r="L91" s="2232"/>
      <c r="M91" s="2232"/>
      <c r="N91" s="2232"/>
      <c r="O91" s="2232"/>
      <c r="T91" s="2232"/>
      <c r="U91" s="2232"/>
      <c r="V91" s="2232"/>
      <c r="W91" s="2232"/>
      <c r="FD91" s="2232"/>
    </row>
    <row r="92" spans="1:160">
      <c r="A92" s="2232"/>
      <c r="G92" s="2427"/>
      <c r="H92" s="2427"/>
      <c r="I92" s="2427"/>
      <c r="J92" s="2427"/>
      <c r="K92" s="2427"/>
      <c r="L92" s="2232"/>
      <c r="M92" s="2232"/>
      <c r="N92" s="2232"/>
      <c r="O92" s="2232"/>
      <c r="T92" s="2232"/>
      <c r="U92" s="2232"/>
      <c r="V92" s="2232"/>
      <c r="W92" s="2232"/>
    </row>
    <row r="93" spans="1:160">
      <c r="A93" s="2232"/>
      <c r="G93" s="2427"/>
      <c r="H93" s="2427"/>
      <c r="I93" s="2427"/>
      <c r="J93" s="2427"/>
      <c r="K93" s="2427"/>
      <c r="L93" s="2232"/>
      <c r="M93" s="2232"/>
      <c r="N93" s="2232"/>
      <c r="O93" s="2232"/>
      <c r="T93" s="2232"/>
      <c r="U93" s="2232"/>
      <c r="V93" s="2232"/>
      <c r="W93" s="2232"/>
    </row>
    <row r="94" spans="1:160">
      <c r="G94" s="2609"/>
      <c r="H94" s="2609"/>
      <c r="I94" s="2609"/>
      <c r="J94" s="2609"/>
      <c r="K94" s="2609"/>
      <c r="L94" s="2232"/>
      <c r="M94" s="2232"/>
      <c r="N94" s="2232"/>
      <c r="O94" s="2232"/>
      <c r="T94" s="2232"/>
      <c r="U94" s="2232"/>
      <c r="V94" s="2232"/>
      <c r="W94" s="2232"/>
    </row>
    <row r="95" spans="1:160">
      <c r="G95" s="2609"/>
      <c r="H95" s="2609"/>
      <c r="I95" s="2609"/>
      <c r="J95" s="2609"/>
      <c r="K95" s="2609"/>
      <c r="L95" s="2232"/>
      <c r="M95" s="2232"/>
      <c r="N95" s="2232"/>
      <c r="O95" s="2232"/>
      <c r="T95" s="2232"/>
      <c r="U95" s="2232"/>
      <c r="V95" s="2232"/>
      <c r="W95" s="2232"/>
    </row>
    <row r="96" spans="1:160">
      <c r="G96" s="2609"/>
      <c r="H96" s="2609"/>
      <c r="I96" s="2609"/>
      <c r="J96" s="2609"/>
      <c r="K96" s="2609"/>
      <c r="L96" s="2232"/>
      <c r="M96" s="2232"/>
      <c r="N96" s="2232"/>
      <c r="O96" s="2232"/>
      <c r="T96" s="2232"/>
      <c r="U96" s="2232"/>
      <c r="V96" s="2232"/>
      <c r="W96" s="2232"/>
    </row>
    <row r="97" spans="2:23">
      <c r="G97" s="2609"/>
      <c r="H97" s="2609"/>
      <c r="I97" s="2609"/>
      <c r="J97" s="2609"/>
      <c r="K97" s="2609"/>
      <c r="L97" s="2232"/>
      <c r="M97" s="2232"/>
      <c r="N97" s="2232"/>
      <c r="O97" s="2232"/>
      <c r="T97" s="2232"/>
      <c r="U97" s="2232"/>
      <c r="V97" s="2232"/>
      <c r="W97" s="2232"/>
    </row>
    <row r="98" spans="2:23">
      <c r="G98" s="2609"/>
      <c r="H98" s="2609"/>
      <c r="I98" s="2609"/>
      <c r="J98" s="2609"/>
      <c r="K98" s="2609"/>
      <c r="L98" s="2232"/>
      <c r="M98" s="2232"/>
      <c r="N98" s="2232"/>
      <c r="O98" s="2232"/>
      <c r="T98" s="2232"/>
      <c r="U98" s="2232"/>
      <c r="V98" s="2232"/>
      <c r="W98" s="2232"/>
    </row>
    <row r="99" spans="2:23">
      <c r="G99" s="2609"/>
      <c r="H99" s="2609"/>
      <c r="I99" s="2609"/>
      <c r="J99" s="2609"/>
      <c r="K99" s="2609"/>
      <c r="L99" s="2232"/>
      <c r="M99" s="2232"/>
      <c r="N99" s="2232"/>
      <c r="O99" s="2232"/>
      <c r="T99" s="2232"/>
      <c r="U99" s="2232"/>
      <c r="V99" s="2232"/>
      <c r="W99" s="2232"/>
    </row>
    <row r="100" spans="2:23">
      <c r="G100" s="2609"/>
      <c r="H100" s="2609"/>
      <c r="I100" s="2609"/>
      <c r="J100" s="2609"/>
      <c r="K100" s="2609"/>
      <c r="L100" s="2232"/>
      <c r="M100" s="2232"/>
      <c r="N100" s="2232"/>
      <c r="O100" s="2232"/>
      <c r="T100" s="2232"/>
      <c r="U100" s="2232"/>
      <c r="V100" s="2232"/>
      <c r="W100" s="2232"/>
    </row>
    <row r="101" spans="2:23">
      <c r="G101" s="2609"/>
      <c r="H101" s="2609"/>
      <c r="I101" s="2609"/>
      <c r="J101" s="2609"/>
      <c r="K101" s="2609"/>
      <c r="L101" s="2232"/>
      <c r="M101" s="2232"/>
      <c r="N101" s="2232"/>
      <c r="O101" s="2232"/>
      <c r="T101" s="2232"/>
      <c r="U101" s="2232"/>
      <c r="V101" s="2232"/>
      <c r="W101" s="2232"/>
    </row>
    <row r="102" spans="2:23">
      <c r="G102" s="2609"/>
      <c r="H102" s="2609"/>
      <c r="I102" s="2609"/>
      <c r="J102" s="2609"/>
      <c r="K102" s="2609"/>
      <c r="L102" s="2232"/>
      <c r="M102" s="2232"/>
      <c r="N102" s="2232"/>
      <c r="O102" s="2232"/>
      <c r="T102" s="2232"/>
      <c r="U102" s="2232"/>
      <c r="V102" s="2232"/>
      <c r="W102" s="2232"/>
    </row>
    <row r="103" spans="2:23">
      <c r="G103" s="2609"/>
      <c r="H103" s="2609"/>
      <c r="I103" s="2609"/>
      <c r="J103" s="2609"/>
      <c r="K103" s="2609"/>
      <c r="L103" s="2232"/>
      <c r="M103" s="2232"/>
      <c r="N103" s="2232"/>
      <c r="O103" s="2232"/>
      <c r="T103" s="2232"/>
      <c r="U103" s="2232"/>
      <c r="V103" s="2232"/>
      <c r="W103" s="2232"/>
    </row>
    <row r="104" spans="2:23">
      <c r="G104" s="2609"/>
      <c r="H104" s="2609"/>
      <c r="I104" s="2609"/>
      <c r="J104" s="2609"/>
      <c r="K104" s="2609"/>
      <c r="L104" s="2232"/>
      <c r="M104" s="2232"/>
      <c r="N104" s="2232"/>
      <c r="O104" s="2232"/>
      <c r="T104" s="2232"/>
      <c r="U104" s="2232"/>
      <c r="V104" s="2232"/>
      <c r="W104" s="2232"/>
    </row>
    <row r="105" spans="2:23">
      <c r="G105" s="2609"/>
      <c r="H105" s="2609"/>
      <c r="I105" s="2609"/>
      <c r="J105" s="2609"/>
      <c r="K105" s="2609"/>
      <c r="L105" s="2232"/>
      <c r="M105" s="2232"/>
      <c r="N105" s="2232"/>
      <c r="O105" s="2232"/>
      <c r="T105" s="2232"/>
      <c r="U105" s="2232"/>
      <c r="V105" s="2232"/>
      <c r="W105" s="2232"/>
    </row>
    <row r="106" spans="2:23">
      <c r="G106" s="2232"/>
      <c r="H106" s="2232"/>
      <c r="I106" s="2232"/>
      <c r="J106" s="2232"/>
      <c r="K106" s="2232"/>
      <c r="L106" s="2232"/>
      <c r="M106" s="2232"/>
      <c r="N106" s="2232"/>
      <c r="O106" s="2232"/>
      <c r="T106" s="2232"/>
      <c r="U106" s="2232"/>
      <c r="V106" s="2232"/>
      <c r="W106" s="2232"/>
    </row>
    <row r="107" spans="2:23">
      <c r="G107" s="2232"/>
      <c r="H107" s="2232"/>
      <c r="I107" s="2232"/>
      <c r="J107" s="2232"/>
      <c r="K107" s="2232"/>
      <c r="L107" s="2232"/>
      <c r="M107" s="2232"/>
      <c r="N107" s="2232"/>
      <c r="O107" s="2232"/>
      <c r="T107" s="2232"/>
      <c r="U107" s="2232"/>
      <c r="V107" s="2232"/>
      <c r="W107" s="2232"/>
    </row>
    <row r="108" spans="2:23">
      <c r="B108" s="2232"/>
      <c r="C108" s="2232"/>
      <c r="D108" s="2232"/>
      <c r="E108" s="2232"/>
      <c r="F108" s="2232"/>
      <c r="G108" s="2232"/>
      <c r="H108" s="2232"/>
      <c r="I108" s="2232"/>
      <c r="J108" s="2232"/>
      <c r="K108" s="2232"/>
      <c r="L108" s="2232"/>
      <c r="M108" s="2232"/>
      <c r="N108" s="2232"/>
      <c r="O108" s="2232"/>
      <c r="T108" s="2232"/>
      <c r="U108" s="2232"/>
      <c r="V108" s="2232"/>
      <c r="W108" s="2232"/>
    </row>
    <row r="109" spans="2:23">
      <c r="B109" s="2232"/>
      <c r="C109" s="2232"/>
      <c r="D109" s="2232"/>
      <c r="E109" s="2232"/>
      <c r="F109" s="2232"/>
      <c r="G109" s="2232"/>
      <c r="H109" s="2232"/>
      <c r="I109" s="2232"/>
      <c r="J109" s="2232"/>
      <c r="K109" s="2232"/>
      <c r="L109" s="2232"/>
      <c r="M109" s="2232"/>
      <c r="N109" s="2232"/>
      <c r="O109" s="2232"/>
      <c r="T109" s="2232"/>
      <c r="U109" s="2232"/>
      <c r="V109" s="2232"/>
      <c r="W109" s="2232"/>
    </row>
    <row r="110" spans="2:23">
      <c r="B110" s="2232"/>
      <c r="C110" s="2232"/>
      <c r="D110" s="2232"/>
      <c r="E110" s="2232"/>
      <c r="F110" s="2232"/>
      <c r="G110" s="2232"/>
      <c r="H110" s="2232"/>
      <c r="I110" s="2232"/>
      <c r="J110" s="2232"/>
      <c r="K110" s="2232"/>
      <c r="L110" s="2232"/>
      <c r="M110" s="2232"/>
      <c r="N110" s="2232"/>
      <c r="O110" s="2232"/>
      <c r="T110" s="2232"/>
      <c r="U110" s="2232"/>
      <c r="V110" s="2232"/>
      <c r="W110" s="2232"/>
    </row>
    <row r="111" spans="2:23">
      <c r="B111" s="2232"/>
      <c r="C111" s="2232"/>
      <c r="D111" s="2232"/>
      <c r="E111" s="2232"/>
      <c r="F111" s="2232"/>
      <c r="G111" s="2232"/>
      <c r="H111" s="2232"/>
      <c r="I111" s="2232"/>
      <c r="J111" s="2232"/>
      <c r="K111" s="2232"/>
      <c r="L111" s="2232"/>
      <c r="M111" s="2232"/>
      <c r="N111" s="2232"/>
      <c r="O111" s="2232"/>
      <c r="T111" s="2232"/>
      <c r="U111" s="2232"/>
      <c r="V111" s="2232"/>
      <c r="W111" s="2232"/>
    </row>
    <row r="112" spans="2:23">
      <c r="B112" s="2232"/>
      <c r="C112" s="2232"/>
      <c r="D112" s="2232"/>
      <c r="E112" s="2232"/>
      <c r="F112" s="2232"/>
      <c r="G112" s="2232"/>
      <c r="H112" s="2232"/>
      <c r="I112" s="2232"/>
      <c r="J112" s="2232"/>
      <c r="K112" s="2232"/>
      <c r="L112" s="2232"/>
      <c r="M112" s="2232"/>
      <c r="N112" s="2232"/>
      <c r="O112" s="2232"/>
      <c r="T112" s="2232"/>
      <c r="U112" s="2232"/>
      <c r="V112" s="2232"/>
      <c r="W112" s="2232"/>
    </row>
    <row r="113" spans="2:23">
      <c r="B113" s="2232"/>
      <c r="C113" s="2232"/>
      <c r="D113" s="2232"/>
      <c r="E113" s="2232"/>
      <c r="F113" s="2232"/>
      <c r="G113" s="2232"/>
      <c r="H113" s="2232"/>
      <c r="I113" s="2232"/>
      <c r="J113" s="2232"/>
      <c r="K113" s="2232"/>
      <c r="L113" s="2232"/>
      <c r="M113" s="2232"/>
      <c r="N113" s="2232"/>
      <c r="O113" s="2232"/>
      <c r="T113" s="2232"/>
      <c r="U113" s="2232"/>
      <c r="V113" s="2232"/>
      <c r="W113" s="2232"/>
    </row>
    <row r="114" spans="2:23">
      <c r="B114" s="2232"/>
      <c r="C114" s="2232"/>
      <c r="D114" s="2232"/>
      <c r="E114" s="2232"/>
      <c r="F114" s="2232"/>
      <c r="G114" s="2232"/>
      <c r="H114" s="2232"/>
      <c r="I114" s="2232"/>
      <c r="J114" s="2232"/>
      <c r="K114" s="2232"/>
      <c r="L114" s="2232"/>
      <c r="M114" s="2232"/>
      <c r="N114" s="2232"/>
      <c r="O114" s="2232"/>
      <c r="T114" s="2232"/>
      <c r="U114" s="2232"/>
      <c r="V114" s="2232"/>
      <c r="W114" s="2232"/>
    </row>
    <row r="115" spans="2:23">
      <c r="B115" s="2232"/>
      <c r="C115" s="2232"/>
      <c r="D115" s="2232"/>
      <c r="E115" s="2232"/>
      <c r="F115" s="2232"/>
      <c r="G115" s="2232"/>
      <c r="H115" s="2232"/>
      <c r="I115" s="2232"/>
      <c r="J115" s="2232"/>
      <c r="K115" s="2232"/>
      <c r="L115" s="2232"/>
      <c r="M115" s="2232"/>
      <c r="N115" s="2232"/>
      <c r="O115" s="2232"/>
      <c r="T115" s="2232"/>
      <c r="U115" s="2232"/>
      <c r="V115" s="2232"/>
      <c r="W115" s="2232"/>
    </row>
    <row r="116" spans="2:23">
      <c r="B116" s="2232"/>
      <c r="C116" s="2232"/>
      <c r="D116" s="2232"/>
      <c r="E116" s="2232"/>
      <c r="F116" s="2232"/>
      <c r="G116" s="2232"/>
      <c r="H116" s="2232"/>
      <c r="I116" s="2232"/>
      <c r="J116" s="2232"/>
      <c r="K116" s="2232"/>
      <c r="L116" s="2232"/>
      <c r="M116" s="2232"/>
      <c r="N116" s="2232"/>
      <c r="O116" s="2232"/>
      <c r="T116" s="2232"/>
      <c r="U116" s="2232"/>
      <c r="V116" s="2232"/>
      <c r="W116" s="2232"/>
    </row>
    <row r="117" spans="2:23">
      <c r="G117" s="2232"/>
      <c r="H117" s="2232"/>
      <c r="I117" s="2232"/>
      <c r="J117" s="2232"/>
      <c r="K117" s="2232"/>
      <c r="L117" s="2232"/>
      <c r="M117" s="2232"/>
      <c r="N117" s="2232"/>
      <c r="O117" s="2232"/>
      <c r="T117" s="2232"/>
      <c r="U117" s="2232"/>
      <c r="V117" s="2232"/>
      <c r="W117" s="2232"/>
    </row>
    <row r="118" spans="2:23">
      <c r="G118" s="2232"/>
      <c r="H118" s="2232"/>
      <c r="I118" s="2232"/>
      <c r="J118" s="2232"/>
      <c r="K118" s="2232"/>
      <c r="L118" s="2232"/>
      <c r="M118" s="2232"/>
      <c r="N118" s="2232"/>
      <c r="O118" s="2232"/>
      <c r="T118" s="2232"/>
      <c r="U118" s="2232"/>
      <c r="V118" s="2232"/>
      <c r="W118" s="2232"/>
    </row>
    <row r="119" spans="2:23">
      <c r="G119" s="2232"/>
      <c r="H119" s="2232"/>
      <c r="I119" s="2232"/>
      <c r="J119" s="2232"/>
      <c r="K119" s="2232"/>
      <c r="L119" s="2232"/>
      <c r="M119" s="2232"/>
      <c r="N119" s="2232"/>
      <c r="O119" s="2232"/>
      <c r="T119" s="2232"/>
      <c r="U119" s="2232"/>
      <c r="V119" s="2232"/>
      <c r="W119" s="2232"/>
    </row>
    <row r="120" spans="2:23">
      <c r="G120" s="2232"/>
      <c r="H120" s="2232"/>
      <c r="I120" s="2232"/>
      <c r="J120" s="2232"/>
      <c r="K120" s="2232"/>
      <c r="L120" s="2232"/>
      <c r="M120" s="2232"/>
      <c r="N120" s="2232"/>
      <c r="O120" s="2232"/>
      <c r="T120" s="2232"/>
      <c r="U120" s="2232"/>
      <c r="V120" s="2232"/>
      <c r="W120" s="2232"/>
    </row>
    <row r="121" spans="2:23">
      <c r="G121" s="2232"/>
      <c r="H121" s="2232"/>
      <c r="I121" s="2232"/>
      <c r="J121" s="2232"/>
      <c r="K121" s="2232"/>
      <c r="L121" s="2232"/>
      <c r="M121" s="2232"/>
      <c r="N121" s="2232"/>
      <c r="O121" s="2232"/>
      <c r="T121" s="2232"/>
      <c r="U121" s="2232"/>
      <c r="V121" s="2232"/>
      <c r="W121" s="2232"/>
    </row>
    <row r="122" spans="2:23">
      <c r="G122" s="2232"/>
      <c r="H122" s="2232"/>
      <c r="I122" s="2232"/>
      <c r="J122" s="2232"/>
      <c r="K122" s="2232"/>
      <c r="L122" s="2232"/>
      <c r="M122" s="2232"/>
      <c r="N122" s="2232"/>
      <c r="O122" s="2232"/>
      <c r="T122" s="2232"/>
      <c r="U122" s="2232"/>
      <c r="V122" s="2232"/>
      <c r="W122" s="2232"/>
    </row>
    <row r="123" spans="2:23">
      <c r="G123" s="2232"/>
      <c r="H123" s="2232"/>
      <c r="I123" s="2232"/>
      <c r="J123" s="2232"/>
      <c r="K123" s="2232"/>
      <c r="L123" s="2232"/>
      <c r="M123" s="2232"/>
      <c r="N123" s="2232"/>
      <c r="O123" s="2232"/>
      <c r="T123" s="2232"/>
      <c r="U123" s="2232"/>
      <c r="V123" s="2232"/>
      <c r="W123" s="2232"/>
    </row>
    <row r="124" spans="2:23">
      <c r="G124" s="2232"/>
      <c r="H124" s="2232"/>
      <c r="I124" s="2232"/>
      <c r="J124" s="2232"/>
      <c r="K124" s="2232"/>
      <c r="L124" s="2232"/>
      <c r="M124" s="2232"/>
      <c r="N124" s="2232"/>
      <c r="O124" s="2232"/>
      <c r="T124" s="2232"/>
      <c r="U124" s="2232"/>
      <c r="V124" s="2232"/>
      <c r="W124" s="2232"/>
    </row>
    <row r="125" spans="2:23">
      <c r="G125" s="2232"/>
      <c r="H125" s="2232"/>
      <c r="I125" s="2232"/>
      <c r="J125" s="2232"/>
      <c r="K125" s="2232"/>
      <c r="L125" s="2232"/>
      <c r="M125" s="2232"/>
      <c r="N125" s="2232"/>
      <c r="O125" s="2232"/>
      <c r="T125" s="2232"/>
      <c r="U125" s="2232"/>
      <c r="V125" s="2232"/>
      <c r="W125" s="2232"/>
    </row>
    <row r="126" spans="2:23">
      <c r="G126" s="2232"/>
      <c r="H126" s="2232"/>
      <c r="I126" s="2232"/>
      <c r="J126" s="2232"/>
      <c r="K126" s="2232"/>
      <c r="L126" s="2232"/>
      <c r="M126" s="2232"/>
      <c r="N126" s="2232"/>
      <c r="O126" s="2232"/>
      <c r="T126" s="2232"/>
      <c r="U126" s="2232"/>
      <c r="V126" s="2232"/>
      <c r="W126" s="2232"/>
    </row>
    <row r="127" spans="2:23">
      <c r="G127" s="2232"/>
      <c r="H127" s="2232"/>
      <c r="I127" s="2232"/>
      <c r="J127" s="2232"/>
      <c r="K127" s="2232"/>
      <c r="L127" s="2232"/>
      <c r="M127" s="2232"/>
      <c r="N127" s="2232"/>
      <c r="O127" s="2232"/>
      <c r="T127" s="2232"/>
      <c r="U127" s="2232"/>
      <c r="V127" s="2232"/>
      <c r="W127" s="2232"/>
    </row>
    <row r="128" spans="2:23">
      <c r="G128" s="2232"/>
      <c r="H128" s="2232"/>
      <c r="I128" s="2232"/>
      <c r="J128" s="2232"/>
      <c r="K128" s="2232"/>
      <c r="L128" s="2232"/>
      <c r="M128" s="2232"/>
      <c r="N128" s="2232"/>
      <c r="O128" s="2232"/>
      <c r="T128" s="2232"/>
      <c r="U128" s="2232"/>
      <c r="V128" s="2232"/>
      <c r="W128" s="2232"/>
    </row>
    <row r="129" spans="1:23">
      <c r="G129" s="2232"/>
      <c r="H129" s="2232"/>
      <c r="I129" s="2232"/>
      <c r="J129" s="2232"/>
      <c r="K129" s="2232"/>
      <c r="L129" s="2232"/>
      <c r="M129" s="2232"/>
      <c r="N129" s="2232"/>
      <c r="O129" s="2232"/>
      <c r="T129" s="2232"/>
      <c r="U129" s="2232"/>
      <c r="V129" s="2232"/>
      <c r="W129" s="2232"/>
    </row>
    <row r="130" spans="1:23">
      <c r="G130" s="2232"/>
      <c r="H130" s="2232"/>
      <c r="I130" s="2232"/>
      <c r="J130" s="2232"/>
      <c r="K130" s="2232"/>
      <c r="L130" s="2232"/>
      <c r="M130" s="2232"/>
      <c r="N130" s="2232"/>
      <c r="O130" s="2232"/>
      <c r="T130" s="2232"/>
      <c r="U130" s="2232"/>
      <c r="V130" s="2232"/>
      <c r="W130" s="2232"/>
    </row>
    <row r="131" spans="1:23">
      <c r="G131" s="2232"/>
      <c r="H131" s="2232"/>
      <c r="I131" s="2232"/>
      <c r="J131" s="2232"/>
      <c r="K131" s="2232"/>
      <c r="L131" s="2232"/>
      <c r="M131" s="2232"/>
      <c r="N131" s="2232"/>
      <c r="O131" s="2232"/>
      <c r="T131" s="2232"/>
      <c r="U131" s="2232"/>
      <c r="V131" s="2232"/>
      <c r="W131" s="2232"/>
    </row>
    <row r="132" spans="1:23">
      <c r="G132" s="2232"/>
      <c r="H132" s="2232"/>
      <c r="I132" s="2232"/>
      <c r="J132" s="2232"/>
      <c r="K132" s="2232"/>
      <c r="L132" s="2232"/>
      <c r="M132" s="2232"/>
      <c r="N132" s="2232"/>
      <c r="O132" s="2232"/>
      <c r="T132" s="2232"/>
      <c r="U132" s="2232"/>
      <c r="V132" s="2232"/>
      <c r="W132" s="2232"/>
    </row>
    <row r="133" spans="1:23">
      <c r="G133" s="2232"/>
      <c r="H133" s="2232"/>
      <c r="I133" s="2232"/>
      <c r="J133" s="2232"/>
      <c r="K133" s="2232"/>
      <c r="L133" s="2232"/>
      <c r="M133" s="2232"/>
      <c r="N133" s="2232"/>
      <c r="O133" s="2232"/>
      <c r="T133" s="2232"/>
      <c r="U133" s="2232"/>
      <c r="V133" s="2232"/>
      <c r="W133" s="2232"/>
    </row>
    <row r="134" spans="1:23">
      <c r="G134" s="2232"/>
      <c r="H134" s="2232"/>
      <c r="I134" s="2232"/>
      <c r="J134" s="2232"/>
      <c r="K134" s="2232"/>
      <c r="L134" s="2232"/>
      <c r="M134" s="2232"/>
      <c r="N134" s="2232"/>
      <c r="O134" s="2232"/>
      <c r="T134" s="2232"/>
      <c r="U134" s="2232"/>
      <c r="V134" s="2232"/>
      <c r="W134" s="2232"/>
    </row>
    <row r="135" spans="1:23">
      <c r="G135" s="2232"/>
      <c r="H135" s="2232"/>
      <c r="I135" s="2232"/>
      <c r="J135" s="2232"/>
      <c r="K135" s="2232"/>
      <c r="L135" s="2232"/>
      <c r="M135" s="2232"/>
      <c r="N135" s="2232"/>
      <c r="O135" s="2232"/>
      <c r="T135" s="2232"/>
      <c r="U135" s="2232"/>
      <c r="V135" s="2232"/>
      <c r="W135" s="2232"/>
    </row>
    <row r="136" spans="1:23">
      <c r="L136" s="2232"/>
      <c r="M136" s="2232"/>
      <c r="N136" s="2232"/>
      <c r="O136" s="2232"/>
      <c r="T136" s="2232"/>
      <c r="U136" s="2232"/>
      <c r="V136" s="2232"/>
      <c r="W136" s="2232"/>
    </row>
    <row r="137" spans="1:23">
      <c r="A137" s="2610"/>
      <c r="L137" s="2232"/>
      <c r="M137" s="2232"/>
      <c r="N137" s="2232"/>
      <c r="O137" s="2232"/>
      <c r="T137" s="2232"/>
      <c r="U137" s="2232"/>
      <c r="V137" s="2232"/>
      <c r="W137" s="2232"/>
    </row>
    <row r="138" spans="1:23">
      <c r="A138" s="2610"/>
      <c r="L138" s="2232"/>
      <c r="M138" s="2232"/>
      <c r="N138" s="2232"/>
      <c r="O138" s="2232"/>
      <c r="T138" s="2232"/>
      <c r="U138" s="2232"/>
      <c r="V138" s="2232"/>
      <c r="W138" s="2232"/>
    </row>
    <row r="139" spans="1:23">
      <c r="A139" s="2610"/>
      <c r="L139" s="2232"/>
      <c r="M139" s="2232"/>
      <c r="N139" s="2232"/>
      <c r="O139" s="2232"/>
      <c r="T139" s="2232"/>
      <c r="U139" s="2232"/>
      <c r="V139" s="2232"/>
      <c r="W139" s="2232"/>
    </row>
    <row r="140" spans="1:23">
      <c r="A140" s="2610"/>
      <c r="L140" s="2232"/>
      <c r="M140" s="2232"/>
      <c r="N140" s="2232"/>
      <c r="O140" s="2232"/>
      <c r="T140" s="2232"/>
      <c r="U140" s="2232"/>
      <c r="V140" s="2232"/>
      <c r="W140" s="2232"/>
    </row>
    <row r="141" spans="1:23">
      <c r="A141" s="2611"/>
      <c r="L141" s="2232"/>
      <c r="M141" s="2232"/>
      <c r="N141" s="2232"/>
      <c r="O141" s="2232"/>
      <c r="T141" s="2232"/>
      <c r="U141" s="2232"/>
      <c r="V141" s="2232"/>
      <c r="W141" s="2232"/>
    </row>
    <row r="142" spans="1:23">
      <c r="A142" s="2611"/>
      <c r="L142" s="2232"/>
      <c r="M142" s="2232"/>
      <c r="N142" s="2232"/>
      <c r="O142" s="2232"/>
      <c r="T142" s="2232"/>
      <c r="U142" s="2232"/>
      <c r="V142" s="2232"/>
      <c r="W142" s="2232"/>
    </row>
    <row r="143" spans="1:23">
      <c r="A143" s="2612"/>
      <c r="L143" s="2232"/>
      <c r="M143" s="2232"/>
      <c r="N143" s="2232"/>
      <c r="O143" s="2232"/>
      <c r="T143" s="2232"/>
      <c r="U143" s="2232"/>
      <c r="V143" s="2232"/>
      <c r="W143" s="2232"/>
    </row>
    <row r="144" spans="1:23">
      <c r="A144" s="2613"/>
      <c r="L144" s="2232"/>
      <c r="M144" s="2232"/>
      <c r="N144" s="2232"/>
      <c r="O144" s="2232"/>
      <c r="T144" s="2232"/>
      <c r="U144" s="2232"/>
      <c r="V144" s="2232"/>
      <c r="W144" s="2232"/>
    </row>
    <row r="145" spans="1:23">
      <c r="A145" s="2613"/>
      <c r="L145" s="2232"/>
      <c r="M145" s="2232"/>
      <c r="N145" s="2232"/>
      <c r="O145" s="2232"/>
      <c r="T145" s="2232"/>
      <c r="U145" s="2232"/>
      <c r="V145" s="2232"/>
      <c r="W145" s="2232"/>
    </row>
    <row r="146" spans="1:23">
      <c r="A146" s="2613"/>
      <c r="L146" s="2232"/>
      <c r="M146" s="2232"/>
      <c r="N146" s="2232"/>
      <c r="O146" s="2232"/>
      <c r="T146" s="2232"/>
      <c r="U146" s="2232"/>
      <c r="V146" s="2232"/>
      <c r="W146" s="2232"/>
    </row>
    <row r="147" spans="1:23">
      <c r="A147" s="2613"/>
      <c r="L147" s="2232"/>
      <c r="M147" s="2232"/>
      <c r="N147" s="2232"/>
      <c r="O147" s="2232"/>
      <c r="T147" s="2232"/>
      <c r="U147" s="2232"/>
      <c r="V147" s="2232"/>
      <c r="W147" s="2232"/>
    </row>
    <row r="148" spans="1:23">
      <c r="A148" s="2613"/>
      <c r="L148" s="2232"/>
      <c r="M148" s="2232"/>
      <c r="N148" s="2232"/>
      <c r="O148" s="2232"/>
      <c r="T148" s="2232"/>
      <c r="U148" s="2232"/>
      <c r="V148" s="2232"/>
      <c r="W148" s="2232"/>
    </row>
    <row r="149" spans="1:23">
      <c r="A149" s="2613"/>
      <c r="L149" s="2232"/>
      <c r="M149" s="2232"/>
      <c r="N149" s="2232"/>
      <c r="O149" s="2232"/>
      <c r="T149" s="2232"/>
      <c r="U149" s="2232"/>
      <c r="V149" s="2232"/>
      <c r="W149" s="2232"/>
    </row>
    <row r="150" spans="1:23">
      <c r="A150" s="2613"/>
      <c r="L150" s="2232"/>
      <c r="M150" s="2232"/>
      <c r="N150" s="2232"/>
      <c r="O150" s="2232"/>
      <c r="T150" s="2232"/>
      <c r="U150" s="2232"/>
      <c r="V150" s="2232"/>
      <c r="W150" s="2232"/>
    </row>
    <row r="151" spans="1:23">
      <c r="A151" s="2613"/>
      <c r="L151" s="2232"/>
      <c r="M151" s="2232"/>
      <c r="N151" s="2232"/>
      <c r="O151" s="2232"/>
      <c r="T151" s="2232"/>
      <c r="U151" s="2232"/>
      <c r="V151" s="2232"/>
      <c r="W151" s="2232"/>
    </row>
    <row r="152" spans="1:23">
      <c r="A152" s="2613"/>
      <c r="L152" s="2232"/>
      <c r="M152" s="2232"/>
      <c r="N152" s="2232"/>
      <c r="O152" s="2232"/>
      <c r="T152" s="2232"/>
      <c r="U152" s="2232"/>
      <c r="V152" s="2232"/>
      <c r="W152" s="2232"/>
    </row>
    <row r="153" spans="1:23">
      <c r="A153" s="2613"/>
      <c r="L153" s="2232"/>
      <c r="M153" s="2232"/>
      <c r="N153" s="2232"/>
      <c r="O153" s="2232"/>
      <c r="T153" s="2232"/>
      <c r="U153" s="2232"/>
      <c r="V153" s="2232"/>
      <c r="W153" s="2232"/>
    </row>
    <row r="154" spans="1:23">
      <c r="A154" s="2613"/>
      <c r="L154" s="2232"/>
      <c r="M154" s="2232"/>
      <c r="N154" s="2232"/>
      <c r="O154" s="2232"/>
      <c r="T154" s="2232"/>
      <c r="U154" s="2232"/>
      <c r="V154" s="2232"/>
      <c r="W154" s="2232"/>
    </row>
    <row r="155" spans="1:23">
      <c r="A155" s="2613"/>
      <c r="L155" s="2232"/>
      <c r="M155" s="2232"/>
      <c r="N155" s="2232"/>
      <c r="O155" s="2232"/>
      <c r="T155" s="2232"/>
      <c r="U155" s="2232"/>
      <c r="V155" s="2232"/>
      <c r="W155" s="2232"/>
    </row>
    <row r="156" spans="1:23">
      <c r="A156" s="2613"/>
      <c r="L156" s="2232"/>
      <c r="M156" s="2232"/>
      <c r="N156" s="2232"/>
      <c r="O156" s="2232"/>
      <c r="T156" s="2232"/>
      <c r="U156" s="2232"/>
      <c r="V156" s="2232"/>
      <c r="W156" s="2232"/>
    </row>
    <row r="157" spans="1:23">
      <c r="A157" s="2612"/>
      <c r="L157" s="2232"/>
      <c r="M157" s="2232"/>
      <c r="N157" s="2232"/>
      <c r="O157" s="2232"/>
      <c r="T157" s="2232"/>
      <c r="U157" s="2232"/>
      <c r="V157" s="2232"/>
      <c r="W157" s="2232"/>
    </row>
    <row r="158" spans="1:23">
      <c r="A158" s="2613"/>
      <c r="L158" s="2232"/>
      <c r="M158" s="2232"/>
      <c r="N158" s="2232"/>
      <c r="O158" s="2232"/>
      <c r="T158" s="2232"/>
      <c r="U158" s="2232"/>
      <c r="V158" s="2232"/>
      <c r="W158" s="2232"/>
    </row>
    <row r="159" spans="1:23">
      <c r="A159" s="2613"/>
      <c r="L159" s="2232"/>
      <c r="M159" s="2232"/>
      <c r="N159" s="2232"/>
      <c r="O159" s="2232"/>
      <c r="T159" s="2232"/>
      <c r="U159" s="2232"/>
      <c r="V159" s="2232"/>
      <c r="W159" s="2232"/>
    </row>
    <row r="160" spans="1:23">
      <c r="A160" s="2612"/>
      <c r="E160" s="2614"/>
      <c r="F160" s="2610"/>
      <c r="L160" s="2232"/>
      <c r="M160" s="2232"/>
      <c r="N160" s="2232"/>
      <c r="O160" s="2232"/>
      <c r="T160" s="2232"/>
      <c r="U160" s="2232"/>
      <c r="V160" s="2232"/>
      <c r="W160" s="2232"/>
    </row>
    <row r="161" spans="1:23">
      <c r="A161" s="2612"/>
      <c r="E161" s="2614"/>
      <c r="F161" s="2610"/>
      <c r="L161" s="2232"/>
      <c r="M161" s="2232"/>
      <c r="N161" s="2232"/>
      <c r="O161" s="2232"/>
      <c r="T161" s="2232"/>
      <c r="U161" s="2232"/>
      <c r="V161" s="2232"/>
      <c r="W161" s="2232"/>
    </row>
    <row r="162" spans="1:23">
      <c r="A162" s="2613"/>
      <c r="E162" s="2614"/>
      <c r="F162" s="2610"/>
      <c r="L162" s="2232"/>
      <c r="M162" s="2232"/>
      <c r="N162" s="2232"/>
      <c r="O162" s="2232"/>
      <c r="T162" s="2232"/>
      <c r="U162" s="2232"/>
      <c r="V162" s="2232"/>
      <c r="W162" s="2232"/>
    </row>
    <row r="163" spans="1:23">
      <c r="A163" s="2613"/>
      <c r="E163" s="2614"/>
      <c r="F163" s="2610"/>
      <c r="L163" s="2232"/>
      <c r="M163" s="2232"/>
      <c r="N163" s="2232"/>
      <c r="O163" s="2232"/>
      <c r="T163" s="2232"/>
      <c r="U163" s="2232"/>
      <c r="V163" s="2232"/>
      <c r="W163" s="2232"/>
    </row>
    <row r="164" spans="1:23">
      <c r="A164" s="2613"/>
      <c r="B164" s="2610"/>
      <c r="C164" s="2610"/>
      <c r="D164" s="2610"/>
      <c r="E164" s="2610"/>
      <c r="F164" s="2615"/>
      <c r="L164" s="2232"/>
      <c r="M164" s="2232"/>
      <c r="N164" s="2232"/>
      <c r="O164" s="2232"/>
      <c r="T164" s="2232"/>
      <c r="U164" s="2232"/>
      <c r="V164" s="2232"/>
      <c r="W164" s="2232"/>
    </row>
    <row r="165" spans="1:23">
      <c r="A165" s="2613"/>
      <c r="B165" s="2616"/>
      <c r="C165" s="2616"/>
      <c r="D165" s="2616"/>
      <c r="E165" s="2616"/>
      <c r="F165" s="2615"/>
      <c r="L165" s="2232"/>
      <c r="M165" s="2232"/>
      <c r="N165" s="2232"/>
      <c r="O165" s="2232"/>
      <c r="T165" s="2232"/>
      <c r="U165" s="2232"/>
      <c r="V165" s="2232"/>
      <c r="W165" s="2232"/>
    </row>
    <row r="166" spans="1:23">
      <c r="A166" s="2613"/>
      <c r="B166" s="2617"/>
      <c r="C166" s="2617"/>
      <c r="D166" s="2617"/>
      <c r="E166" s="2617"/>
      <c r="F166" s="2618"/>
      <c r="L166" s="2232"/>
      <c r="M166" s="2232"/>
      <c r="N166" s="2232"/>
      <c r="O166" s="2232"/>
      <c r="T166" s="2232"/>
      <c r="U166" s="2232"/>
      <c r="V166" s="2232"/>
      <c r="W166" s="2232"/>
    </row>
    <row r="167" spans="1:23">
      <c r="A167" s="2613"/>
      <c r="B167" s="2618"/>
      <c r="C167" s="2618"/>
      <c r="D167" s="2618"/>
      <c r="E167" s="2618"/>
      <c r="F167" s="2619"/>
      <c r="L167" s="2232"/>
      <c r="M167" s="2232"/>
      <c r="N167" s="2232"/>
      <c r="O167" s="2232"/>
      <c r="T167" s="2232"/>
      <c r="U167" s="2232"/>
      <c r="V167" s="2232"/>
      <c r="W167" s="2232"/>
    </row>
    <row r="168" spans="1:23">
      <c r="A168" s="2613"/>
      <c r="B168" s="2618"/>
      <c r="C168" s="2618"/>
      <c r="D168" s="2618"/>
      <c r="E168" s="2618"/>
      <c r="F168" s="2618"/>
      <c r="L168" s="2232"/>
      <c r="M168" s="2232"/>
      <c r="N168" s="2232"/>
      <c r="O168" s="2232"/>
      <c r="T168" s="2232"/>
      <c r="U168" s="2232"/>
      <c r="V168" s="2232"/>
      <c r="W168" s="2232"/>
    </row>
    <row r="169" spans="1:23">
      <c r="A169" s="2613"/>
      <c r="B169" s="2618"/>
      <c r="C169" s="2618"/>
      <c r="D169" s="2618"/>
      <c r="E169" s="2618"/>
      <c r="F169" s="2620"/>
      <c r="L169" s="2232"/>
      <c r="M169" s="2232"/>
      <c r="N169" s="2232"/>
      <c r="O169" s="2232"/>
      <c r="T169" s="2232"/>
      <c r="U169" s="2232"/>
      <c r="V169" s="2232"/>
      <c r="W169" s="2232"/>
    </row>
    <row r="170" spans="1:23">
      <c r="A170" s="2613"/>
      <c r="B170" s="2618"/>
      <c r="C170" s="2618"/>
      <c r="D170" s="2618"/>
      <c r="E170" s="2618"/>
      <c r="F170" s="2618"/>
      <c r="L170" s="2232"/>
      <c r="M170" s="2232"/>
      <c r="N170" s="2232"/>
      <c r="O170" s="2232"/>
      <c r="T170" s="2232"/>
      <c r="U170" s="2232"/>
      <c r="V170" s="2232"/>
      <c r="W170" s="2232"/>
    </row>
    <row r="171" spans="1:23">
      <c r="A171" s="2613"/>
      <c r="B171" s="2618"/>
      <c r="C171" s="2618"/>
      <c r="D171" s="2618"/>
      <c r="E171" s="2618"/>
      <c r="F171" s="2621"/>
      <c r="L171" s="2232"/>
      <c r="M171" s="2232"/>
      <c r="N171" s="2232"/>
      <c r="O171" s="2232"/>
      <c r="T171" s="2232"/>
      <c r="U171" s="2232"/>
      <c r="V171" s="2232"/>
      <c r="W171" s="2232"/>
    </row>
    <row r="172" spans="1:23">
      <c r="A172" s="2613"/>
      <c r="B172" s="2618"/>
      <c r="C172" s="2618"/>
      <c r="D172" s="2618"/>
      <c r="E172" s="2618"/>
      <c r="F172" s="2618"/>
      <c r="L172" s="2232"/>
      <c r="M172" s="2232"/>
      <c r="N172" s="2232"/>
      <c r="O172" s="2232"/>
      <c r="T172" s="2232"/>
      <c r="U172" s="2232"/>
      <c r="V172" s="2232"/>
      <c r="W172" s="2232"/>
    </row>
    <row r="173" spans="1:23">
      <c r="A173" s="2613"/>
      <c r="B173" s="2618"/>
      <c r="C173" s="2618"/>
      <c r="D173" s="2618"/>
      <c r="E173" s="2618"/>
      <c r="F173" s="2622"/>
      <c r="L173" s="2232"/>
      <c r="M173" s="2232"/>
      <c r="N173" s="2232"/>
      <c r="O173" s="2232"/>
      <c r="T173" s="2232"/>
      <c r="U173" s="2232"/>
      <c r="V173" s="2232"/>
      <c r="W173" s="2232"/>
    </row>
    <row r="174" spans="1:23">
      <c r="A174" s="2613"/>
      <c r="B174" s="2618"/>
      <c r="C174" s="2618"/>
      <c r="D174" s="2618"/>
      <c r="E174" s="2618"/>
      <c r="F174" s="2618"/>
      <c r="L174" s="2232"/>
      <c r="M174" s="2232"/>
      <c r="N174" s="2232"/>
      <c r="O174" s="2232"/>
      <c r="T174" s="2232"/>
      <c r="U174" s="2232"/>
      <c r="V174" s="2232"/>
      <c r="W174" s="2232"/>
    </row>
    <row r="175" spans="1:23">
      <c r="A175" s="2613"/>
      <c r="B175" s="2618"/>
      <c r="C175" s="2618"/>
      <c r="D175" s="2618"/>
      <c r="E175" s="2618"/>
      <c r="F175" s="2618"/>
      <c r="L175" s="2232"/>
      <c r="M175" s="2232"/>
      <c r="N175" s="2232"/>
      <c r="O175" s="2232"/>
      <c r="T175" s="2232"/>
      <c r="U175" s="2232"/>
      <c r="V175" s="2232"/>
      <c r="W175" s="2232"/>
    </row>
    <row r="176" spans="1:23">
      <c r="A176" s="2613"/>
      <c r="B176" s="2618"/>
      <c r="C176" s="2618"/>
      <c r="D176" s="2618"/>
      <c r="E176" s="2618"/>
      <c r="F176" s="2620"/>
      <c r="L176" s="2232"/>
      <c r="M176" s="2232"/>
      <c r="N176" s="2232"/>
      <c r="O176" s="2232"/>
      <c r="T176" s="2232"/>
      <c r="U176" s="2232"/>
      <c r="V176" s="2232"/>
      <c r="W176" s="2232"/>
    </row>
    <row r="177" spans="1:23">
      <c r="A177" s="2613"/>
      <c r="B177" s="2623"/>
      <c r="C177" s="2623"/>
      <c r="D177" s="2623"/>
      <c r="E177" s="2624"/>
      <c r="F177" s="2624"/>
      <c r="L177" s="2232"/>
      <c r="M177" s="2232"/>
      <c r="N177" s="2232"/>
      <c r="O177" s="2232"/>
      <c r="T177" s="2232"/>
      <c r="U177" s="2232"/>
      <c r="V177" s="2232"/>
      <c r="W177" s="2232"/>
    </row>
    <row r="178" spans="1:23">
      <c r="A178" s="2613"/>
      <c r="B178" s="2623"/>
      <c r="C178" s="2623"/>
      <c r="D178" s="2623"/>
      <c r="E178" s="2624"/>
      <c r="F178" s="2625"/>
      <c r="L178" s="2232"/>
      <c r="M178" s="2232"/>
      <c r="N178" s="2232"/>
      <c r="O178" s="2232"/>
      <c r="T178" s="2232"/>
      <c r="U178" s="2232"/>
      <c r="V178" s="2232"/>
      <c r="W178" s="2232"/>
    </row>
    <row r="179" spans="1:23">
      <c r="A179" s="2612"/>
      <c r="B179" s="2623"/>
      <c r="C179" s="2623"/>
      <c r="D179" s="2623"/>
      <c r="E179" s="2624"/>
      <c r="F179" s="2624"/>
      <c r="G179" s="2610"/>
      <c r="H179" s="2610"/>
      <c r="I179" s="2610"/>
      <c r="J179" s="2610"/>
      <c r="K179" s="2610"/>
      <c r="L179" s="2232"/>
      <c r="M179" s="2232"/>
      <c r="N179" s="2232"/>
      <c r="O179" s="2232"/>
      <c r="T179" s="2232"/>
      <c r="U179" s="2232"/>
      <c r="V179" s="2232"/>
      <c r="W179" s="2232"/>
    </row>
    <row r="180" spans="1:23">
      <c r="A180" s="2612"/>
      <c r="B180" s="2623"/>
      <c r="C180" s="2623"/>
      <c r="D180" s="2623"/>
      <c r="E180" s="2624"/>
      <c r="F180" s="2624"/>
      <c r="G180" s="2610"/>
      <c r="H180" s="2610"/>
      <c r="I180" s="2610"/>
      <c r="J180" s="2610"/>
      <c r="K180" s="2610"/>
      <c r="L180" s="2232"/>
      <c r="M180" s="2232"/>
      <c r="N180" s="2232"/>
      <c r="O180" s="2232"/>
      <c r="T180" s="2232"/>
      <c r="U180" s="2232"/>
      <c r="V180" s="2232"/>
      <c r="W180" s="2232"/>
    </row>
    <row r="181" spans="1:23">
      <c r="A181" s="2232"/>
      <c r="B181" s="2624"/>
      <c r="C181" s="2624"/>
      <c r="D181" s="2624"/>
      <c r="E181" s="2624"/>
      <c r="F181" s="2626"/>
      <c r="G181" s="2610"/>
      <c r="H181" s="2610"/>
      <c r="I181" s="2610"/>
      <c r="J181" s="2610"/>
      <c r="K181" s="2610"/>
      <c r="L181" s="2232"/>
      <c r="M181" s="2232"/>
      <c r="N181" s="2232"/>
      <c r="O181" s="2232"/>
      <c r="T181" s="2232"/>
      <c r="U181" s="2232"/>
      <c r="V181" s="2232"/>
      <c r="W181" s="2232"/>
    </row>
    <row r="182" spans="1:23">
      <c r="A182" s="2232"/>
      <c r="B182" s="2618"/>
      <c r="C182" s="2618"/>
      <c r="D182" s="2618"/>
      <c r="E182" s="2618"/>
      <c r="F182" s="2627"/>
      <c r="G182" s="2610"/>
      <c r="H182" s="2610"/>
      <c r="I182" s="2610"/>
      <c r="J182" s="2610"/>
      <c r="K182" s="2610"/>
      <c r="L182" s="2232"/>
      <c r="M182" s="2232"/>
      <c r="N182" s="2232"/>
      <c r="O182" s="2232"/>
      <c r="T182" s="2232"/>
      <c r="U182" s="2232"/>
      <c r="V182" s="2232"/>
      <c r="W182" s="2232"/>
    </row>
    <row r="183" spans="1:23">
      <c r="A183" s="2232"/>
      <c r="B183" s="2617"/>
      <c r="C183" s="2617"/>
      <c r="D183" s="2617"/>
      <c r="E183" s="2617"/>
      <c r="F183" s="2618"/>
      <c r="G183" s="2615"/>
      <c r="H183" s="2615"/>
      <c r="I183" s="2615"/>
      <c r="J183" s="2615"/>
      <c r="K183" s="2615"/>
      <c r="L183" s="2232"/>
      <c r="M183" s="2232"/>
      <c r="N183" s="2232"/>
      <c r="O183" s="2232"/>
      <c r="T183" s="2232"/>
      <c r="U183" s="2232"/>
      <c r="V183" s="2232"/>
      <c r="W183" s="2232"/>
    </row>
    <row r="184" spans="1:23">
      <c r="A184" s="2232"/>
      <c r="B184" s="2617"/>
      <c r="C184" s="2617"/>
      <c r="D184" s="2617"/>
      <c r="E184" s="2617"/>
      <c r="F184" s="2618"/>
      <c r="G184" s="2615"/>
      <c r="H184" s="2615"/>
      <c r="I184" s="2615"/>
      <c r="J184" s="2615"/>
      <c r="K184" s="2615"/>
      <c r="L184" s="2232"/>
      <c r="M184" s="2232"/>
      <c r="N184" s="2232"/>
      <c r="O184" s="2232"/>
      <c r="T184" s="2232"/>
      <c r="U184" s="2232"/>
      <c r="V184" s="2232"/>
      <c r="W184" s="2232"/>
    </row>
    <row r="185" spans="1:23">
      <c r="A185" s="2232"/>
      <c r="B185" s="2618"/>
      <c r="C185" s="2618"/>
      <c r="D185" s="2618"/>
      <c r="E185" s="2618"/>
      <c r="F185" s="2619"/>
      <c r="G185" s="2618"/>
      <c r="H185" s="2618"/>
      <c r="I185" s="2618"/>
      <c r="J185" s="2618"/>
      <c r="K185" s="2618"/>
      <c r="L185" s="2232"/>
      <c r="M185" s="2232"/>
      <c r="N185" s="2232"/>
      <c r="O185" s="2232"/>
      <c r="T185" s="2232"/>
      <c r="U185" s="2232"/>
      <c r="V185" s="2232"/>
      <c r="W185" s="2232"/>
    </row>
    <row r="186" spans="1:23">
      <c r="A186" s="2232"/>
      <c r="B186" s="2618"/>
      <c r="C186" s="2618"/>
      <c r="D186" s="2618"/>
      <c r="E186" s="2618"/>
      <c r="F186" s="2618"/>
      <c r="G186" s="2619"/>
      <c r="H186" s="2619"/>
      <c r="I186" s="2619"/>
      <c r="J186" s="2619"/>
      <c r="K186" s="2619"/>
      <c r="L186" s="2232"/>
      <c r="M186" s="2232"/>
      <c r="N186" s="2232"/>
      <c r="O186" s="2232"/>
      <c r="T186" s="2232"/>
      <c r="U186" s="2232"/>
      <c r="V186" s="2232"/>
      <c r="W186" s="2232"/>
    </row>
    <row r="187" spans="1:23">
      <c r="A187" s="2628"/>
      <c r="B187" s="2618"/>
      <c r="C187" s="2618"/>
      <c r="D187" s="2618"/>
      <c r="E187" s="2618"/>
      <c r="F187" s="2620"/>
      <c r="G187" s="2618"/>
      <c r="H187" s="2618"/>
      <c r="I187" s="2618"/>
      <c r="J187" s="2618"/>
      <c r="K187" s="2618"/>
      <c r="L187" s="2232"/>
      <c r="M187" s="2232"/>
      <c r="N187" s="2232"/>
      <c r="O187" s="2232"/>
      <c r="T187" s="2232"/>
      <c r="U187" s="2232"/>
      <c r="V187" s="2232"/>
      <c r="W187" s="2232"/>
    </row>
    <row r="188" spans="1:23">
      <c r="A188" s="2628"/>
      <c r="B188" s="2618"/>
      <c r="C188" s="2618"/>
      <c r="D188" s="2618"/>
      <c r="E188" s="2618"/>
      <c r="F188" s="2618"/>
      <c r="G188" s="2620"/>
      <c r="H188" s="2620"/>
      <c r="I188" s="2620"/>
      <c r="J188" s="2620"/>
      <c r="K188" s="2620"/>
      <c r="L188" s="2232"/>
      <c r="M188" s="2232"/>
      <c r="N188" s="2232"/>
      <c r="O188" s="2232"/>
      <c r="T188" s="2232"/>
      <c r="U188" s="2232"/>
      <c r="V188" s="2232"/>
      <c r="W188" s="2232"/>
    </row>
    <row r="189" spans="1:23">
      <c r="A189" s="2628"/>
      <c r="B189" s="2618"/>
      <c r="C189" s="2618"/>
      <c r="D189" s="2618"/>
      <c r="E189" s="2618"/>
      <c r="F189" s="2621"/>
      <c r="G189" s="2618"/>
      <c r="H189" s="2618"/>
      <c r="I189" s="2618"/>
      <c r="J189" s="2618"/>
      <c r="K189" s="2618"/>
      <c r="L189" s="2232"/>
      <c r="M189" s="2232"/>
      <c r="N189" s="2232"/>
      <c r="O189" s="2232"/>
      <c r="T189" s="2232"/>
      <c r="U189" s="2232"/>
      <c r="V189" s="2232"/>
      <c r="W189" s="2232"/>
    </row>
    <row r="190" spans="1:23">
      <c r="A190" s="2628"/>
      <c r="B190" s="2618"/>
      <c r="C190" s="2618"/>
      <c r="D190" s="2618"/>
      <c r="E190" s="2618"/>
      <c r="F190" s="2618"/>
      <c r="G190" s="2621"/>
      <c r="H190" s="2621"/>
      <c r="I190" s="2621"/>
      <c r="J190" s="2621"/>
      <c r="K190" s="2621"/>
      <c r="L190" s="2232"/>
      <c r="M190" s="2232"/>
      <c r="N190" s="2232"/>
      <c r="O190" s="2232"/>
      <c r="T190" s="2232"/>
      <c r="U190" s="2232"/>
      <c r="V190" s="2232"/>
      <c r="W190" s="2232"/>
    </row>
    <row r="191" spans="1:23">
      <c r="A191" s="2629"/>
      <c r="B191" s="2618"/>
      <c r="C191" s="2618"/>
      <c r="D191" s="2618"/>
      <c r="E191" s="2618"/>
      <c r="F191" s="2622"/>
      <c r="G191" s="2618"/>
      <c r="H191" s="2618"/>
      <c r="I191" s="2618"/>
      <c r="J191" s="2618"/>
      <c r="K191" s="2618"/>
      <c r="L191" s="2232"/>
      <c r="M191" s="2232"/>
      <c r="N191" s="2232"/>
      <c r="O191" s="2232"/>
      <c r="T191" s="2232"/>
      <c r="U191" s="2232"/>
      <c r="V191" s="2232"/>
      <c r="W191" s="2232"/>
    </row>
    <row r="192" spans="1:23">
      <c r="A192" s="2629"/>
      <c r="B192" s="2618"/>
      <c r="C192" s="2618"/>
      <c r="D192" s="2618"/>
      <c r="E192" s="2618"/>
      <c r="F192" s="2618"/>
      <c r="G192" s="2622"/>
      <c r="H192" s="2622"/>
      <c r="I192" s="2622"/>
      <c r="J192" s="2622"/>
      <c r="K192" s="2622"/>
      <c r="L192" s="2232"/>
      <c r="M192" s="2232"/>
      <c r="N192" s="2232"/>
      <c r="O192" s="2232"/>
      <c r="T192" s="2232"/>
      <c r="U192" s="2232"/>
      <c r="V192" s="2232"/>
      <c r="W192" s="2232"/>
    </row>
    <row r="193" spans="1:23">
      <c r="A193" s="2612"/>
      <c r="B193" s="2618"/>
      <c r="C193" s="2618"/>
      <c r="D193" s="2618"/>
      <c r="E193" s="2618"/>
      <c r="F193" s="2618"/>
      <c r="G193" s="2618"/>
      <c r="H193" s="2618"/>
      <c r="I193" s="2618"/>
      <c r="J193" s="2618"/>
      <c r="K193" s="2618"/>
      <c r="L193" s="2232"/>
      <c r="M193" s="2232"/>
      <c r="N193" s="2232"/>
      <c r="O193" s="2232"/>
      <c r="T193" s="2232"/>
      <c r="U193" s="2232"/>
      <c r="V193" s="2232"/>
      <c r="W193" s="2232"/>
    </row>
    <row r="194" spans="1:23">
      <c r="A194" s="2630"/>
      <c r="B194" s="2618"/>
      <c r="C194" s="2618"/>
      <c r="D194" s="2618"/>
      <c r="E194" s="2618"/>
      <c r="F194" s="2620"/>
      <c r="G194" s="2618"/>
      <c r="H194" s="2618"/>
      <c r="I194" s="2618"/>
      <c r="J194" s="2618"/>
      <c r="K194" s="2618"/>
      <c r="L194" s="2232"/>
      <c r="M194" s="2232"/>
      <c r="N194" s="2232"/>
      <c r="O194" s="2232"/>
      <c r="T194" s="2232"/>
      <c r="U194" s="2232"/>
      <c r="V194" s="2232"/>
      <c r="W194" s="2232"/>
    </row>
    <row r="195" spans="1:23">
      <c r="A195" s="2630"/>
      <c r="B195" s="2618"/>
      <c r="C195" s="2618"/>
      <c r="D195" s="2618"/>
      <c r="E195" s="2618"/>
      <c r="F195" s="2618"/>
      <c r="G195" s="2620"/>
      <c r="H195" s="2620"/>
      <c r="I195" s="2620"/>
      <c r="J195" s="2620"/>
      <c r="K195" s="2620"/>
      <c r="L195" s="2232"/>
      <c r="M195" s="2232"/>
      <c r="N195" s="2232"/>
      <c r="O195" s="2232"/>
      <c r="T195" s="2232"/>
      <c r="U195" s="2232"/>
      <c r="V195" s="2232"/>
      <c r="W195" s="2232"/>
    </row>
    <row r="196" spans="1:23">
      <c r="A196" s="2630"/>
      <c r="B196" s="2618"/>
      <c r="C196" s="2618"/>
      <c r="D196" s="2618"/>
      <c r="E196" s="2618"/>
      <c r="F196" s="2619"/>
      <c r="G196" s="2624"/>
      <c r="H196" s="2624"/>
      <c r="I196" s="2624"/>
      <c r="J196" s="2624"/>
      <c r="K196" s="2624"/>
      <c r="L196" s="2232"/>
      <c r="M196" s="2232"/>
      <c r="N196" s="2232"/>
      <c r="O196" s="2232"/>
      <c r="T196" s="2232"/>
      <c r="U196" s="2232"/>
      <c r="V196" s="2232"/>
      <c r="W196" s="2232"/>
    </row>
    <row r="197" spans="1:23">
      <c r="A197" s="2232"/>
      <c r="B197" s="2618"/>
      <c r="C197" s="2618"/>
      <c r="D197" s="2618"/>
      <c r="E197" s="2618"/>
      <c r="F197" s="2618"/>
      <c r="G197" s="2625"/>
      <c r="H197" s="2625"/>
      <c r="I197" s="2625"/>
      <c r="J197" s="2625"/>
      <c r="K197" s="2625"/>
      <c r="L197" s="2232"/>
      <c r="M197" s="2232"/>
      <c r="N197" s="2232"/>
      <c r="O197" s="2232"/>
      <c r="T197" s="2232"/>
      <c r="U197" s="2232"/>
      <c r="V197" s="2232"/>
      <c r="W197" s="2232"/>
    </row>
    <row r="198" spans="1:23">
      <c r="A198" s="2630"/>
      <c r="B198" s="2618"/>
      <c r="C198" s="2618"/>
      <c r="D198" s="2618"/>
      <c r="E198" s="2618"/>
      <c r="F198" s="2618"/>
      <c r="G198" s="2624"/>
      <c r="H198" s="2624"/>
      <c r="I198" s="2624"/>
      <c r="J198" s="2624"/>
      <c r="K198" s="2624"/>
      <c r="L198" s="2232"/>
      <c r="M198" s="2232"/>
      <c r="N198" s="2232"/>
      <c r="O198" s="2232"/>
      <c r="T198" s="2232"/>
      <c r="U198" s="2232"/>
      <c r="V198" s="2232"/>
      <c r="W198" s="2232"/>
    </row>
    <row r="199" spans="1:23">
      <c r="A199" s="2630"/>
      <c r="B199" s="2618"/>
      <c r="C199" s="2618"/>
      <c r="D199" s="2618"/>
      <c r="E199" s="2631"/>
      <c r="F199" s="2627"/>
      <c r="G199" s="2624"/>
      <c r="H199" s="2624"/>
      <c r="I199" s="2624"/>
      <c r="J199" s="2624"/>
      <c r="K199" s="2624"/>
      <c r="L199" s="2232"/>
      <c r="M199" s="2232"/>
      <c r="N199" s="2232"/>
      <c r="O199" s="2232"/>
      <c r="T199" s="2232"/>
      <c r="U199" s="2232"/>
      <c r="V199" s="2232"/>
      <c r="W199" s="2232"/>
    </row>
    <row r="200" spans="1:23">
      <c r="A200" s="2630"/>
      <c r="B200" s="2618"/>
      <c r="C200" s="2618"/>
      <c r="D200" s="2618"/>
      <c r="E200" s="2618"/>
      <c r="F200" s="2618"/>
      <c r="G200" s="2626"/>
      <c r="H200" s="2626"/>
      <c r="I200" s="2626"/>
      <c r="J200" s="2626"/>
      <c r="K200" s="2626"/>
      <c r="L200" s="2232"/>
      <c r="M200" s="2232"/>
      <c r="N200" s="2232"/>
      <c r="O200" s="2232"/>
      <c r="T200" s="2232"/>
      <c r="U200" s="2232"/>
      <c r="V200" s="2232"/>
      <c r="W200" s="2232"/>
    </row>
    <row r="201" spans="1:23">
      <c r="A201" s="2630"/>
      <c r="B201" s="2618"/>
      <c r="C201" s="2618"/>
      <c r="D201" s="2618"/>
      <c r="E201" s="2618"/>
      <c r="F201" s="2627"/>
      <c r="G201" s="2627"/>
      <c r="H201" s="2627"/>
      <c r="I201" s="2627"/>
      <c r="J201" s="2627"/>
      <c r="K201" s="2627"/>
      <c r="L201" s="2232"/>
      <c r="M201" s="2232"/>
      <c r="N201" s="2232"/>
      <c r="O201" s="2232"/>
      <c r="T201" s="2232"/>
      <c r="U201" s="2232"/>
      <c r="V201" s="2232"/>
      <c r="W201" s="2232"/>
    </row>
    <row r="202" spans="1:23">
      <c r="A202" s="2630"/>
      <c r="B202" s="2618"/>
      <c r="C202" s="2618"/>
      <c r="D202" s="2618"/>
      <c r="E202" s="2618"/>
      <c r="F202" s="2618"/>
      <c r="G202" s="2618"/>
      <c r="H202" s="2618"/>
      <c r="I202" s="2618"/>
      <c r="J202" s="2618"/>
      <c r="K202" s="2618"/>
      <c r="L202" s="2232"/>
      <c r="M202" s="2232"/>
      <c r="N202" s="2232"/>
      <c r="O202" s="2232"/>
      <c r="T202" s="2232"/>
      <c r="U202" s="2232"/>
      <c r="V202" s="2232"/>
      <c r="W202" s="2232"/>
    </row>
    <row r="203" spans="1:23">
      <c r="A203" s="2630"/>
      <c r="B203" s="2618"/>
      <c r="C203" s="2618"/>
      <c r="D203" s="2618"/>
      <c r="E203" s="2618"/>
      <c r="F203" s="2618"/>
      <c r="G203" s="2618"/>
      <c r="H203" s="2618"/>
      <c r="I203" s="2618"/>
      <c r="J203" s="2618"/>
      <c r="K203" s="2618"/>
      <c r="L203" s="2232"/>
      <c r="M203" s="2232"/>
      <c r="N203" s="2232"/>
      <c r="O203" s="2232"/>
      <c r="T203" s="2232"/>
      <c r="U203" s="2232"/>
      <c r="V203" s="2232"/>
      <c r="W203" s="2232"/>
    </row>
    <row r="204" spans="1:23">
      <c r="A204" s="2630"/>
      <c r="B204" s="2232"/>
      <c r="C204" s="2232"/>
      <c r="D204" s="2232"/>
      <c r="E204" s="2232"/>
      <c r="F204" s="2232"/>
      <c r="G204" s="2619"/>
      <c r="H204" s="2619"/>
      <c r="I204" s="2619"/>
      <c r="J204" s="2619"/>
      <c r="K204" s="2619"/>
      <c r="L204" s="2232"/>
      <c r="M204" s="2232"/>
      <c r="N204" s="2232"/>
      <c r="O204" s="2232"/>
      <c r="T204" s="2232"/>
      <c r="U204" s="2232"/>
      <c r="V204" s="2232"/>
      <c r="W204" s="2232"/>
    </row>
    <row r="205" spans="1:23">
      <c r="A205" s="2630"/>
      <c r="B205" s="2232"/>
      <c r="C205" s="2232"/>
      <c r="D205" s="2232"/>
      <c r="E205" s="2232"/>
      <c r="F205" s="2232"/>
      <c r="G205" s="2618"/>
      <c r="H205" s="2618"/>
      <c r="I205" s="2618"/>
      <c r="J205" s="2618"/>
      <c r="K205" s="2618"/>
      <c r="L205" s="2232"/>
      <c r="M205" s="2232"/>
      <c r="N205" s="2232"/>
      <c r="O205" s="2232"/>
      <c r="T205" s="2232"/>
      <c r="U205" s="2232"/>
      <c r="V205" s="2232"/>
      <c r="W205" s="2232"/>
    </row>
    <row r="206" spans="1:23">
      <c r="A206" s="2630"/>
      <c r="B206" s="2232"/>
      <c r="C206" s="2232"/>
      <c r="D206" s="2232"/>
      <c r="E206" s="2232"/>
      <c r="F206" s="2232"/>
      <c r="G206" s="2620"/>
      <c r="H206" s="2620"/>
      <c r="I206" s="2620"/>
      <c r="J206" s="2620"/>
      <c r="K206" s="2620"/>
      <c r="L206" s="2232"/>
      <c r="M206" s="2232"/>
      <c r="N206" s="2232"/>
      <c r="O206" s="2232"/>
      <c r="T206" s="2232"/>
      <c r="U206" s="2232"/>
      <c r="V206" s="2232"/>
      <c r="W206" s="2232"/>
    </row>
    <row r="207" spans="1:23">
      <c r="A207" s="2630"/>
      <c r="B207" s="2232"/>
      <c r="C207" s="2232"/>
      <c r="D207" s="2232"/>
      <c r="E207" s="2232"/>
      <c r="F207" s="2232"/>
      <c r="G207" s="2618"/>
      <c r="H207" s="2618"/>
      <c r="I207" s="2618"/>
      <c r="J207" s="2618"/>
      <c r="K207" s="2618"/>
      <c r="L207" s="2232"/>
      <c r="M207" s="2232"/>
      <c r="N207" s="2232"/>
      <c r="O207" s="2232"/>
      <c r="T207" s="2232"/>
      <c r="U207" s="2232"/>
      <c r="V207" s="2232"/>
      <c r="W207" s="2232"/>
    </row>
    <row r="208" spans="1:23">
      <c r="A208" s="2630"/>
      <c r="B208" s="2232"/>
      <c r="C208" s="2232"/>
      <c r="D208" s="2232"/>
      <c r="E208" s="2232"/>
      <c r="F208" s="2232"/>
      <c r="G208" s="2621"/>
      <c r="H208" s="2621"/>
      <c r="I208" s="2621"/>
      <c r="J208" s="2621"/>
      <c r="K208" s="2621"/>
      <c r="L208" s="2232"/>
      <c r="M208" s="2232"/>
      <c r="N208" s="2232"/>
      <c r="O208" s="2232"/>
      <c r="T208" s="2232"/>
      <c r="U208" s="2232"/>
      <c r="V208" s="2232"/>
      <c r="W208" s="2232"/>
    </row>
    <row r="209" spans="1:23">
      <c r="A209" s="2629"/>
      <c r="B209" s="2232"/>
      <c r="C209" s="2232"/>
      <c r="D209" s="2232"/>
      <c r="E209" s="2232"/>
      <c r="F209" s="2232"/>
      <c r="G209" s="2618"/>
      <c r="H209" s="2618"/>
      <c r="I209" s="2618"/>
      <c r="J209" s="2618"/>
      <c r="K209" s="2618"/>
      <c r="L209" s="2232"/>
      <c r="M209" s="2232"/>
      <c r="N209" s="2232"/>
      <c r="O209" s="2232"/>
      <c r="T209" s="2232"/>
      <c r="U209" s="2232"/>
      <c r="V209" s="2232"/>
      <c r="W209" s="2232"/>
    </row>
    <row r="210" spans="1:23">
      <c r="A210" s="2232"/>
      <c r="B210" s="2632"/>
      <c r="C210" s="2632"/>
      <c r="D210" s="2632"/>
      <c r="E210" s="2628"/>
      <c r="F210" s="2633"/>
      <c r="G210" s="2622"/>
      <c r="H210" s="2622"/>
      <c r="I210" s="2622"/>
      <c r="J210" s="2622"/>
      <c r="K210" s="2622"/>
      <c r="L210" s="2232"/>
      <c r="M210" s="2232"/>
      <c r="N210" s="2232"/>
      <c r="O210" s="2232"/>
      <c r="T210" s="2232"/>
      <c r="U210" s="2232"/>
      <c r="V210" s="2232"/>
      <c r="W210" s="2232"/>
    </row>
    <row r="211" spans="1:23">
      <c r="A211" s="2232"/>
      <c r="B211" s="2632"/>
      <c r="C211" s="2632"/>
      <c r="D211" s="2632"/>
      <c r="E211" s="2628"/>
      <c r="F211" s="2633"/>
      <c r="G211" s="2618"/>
      <c r="H211" s="2618"/>
      <c r="I211" s="2618"/>
      <c r="J211" s="2618"/>
      <c r="K211" s="2618"/>
      <c r="L211" s="2232"/>
      <c r="M211" s="2232"/>
      <c r="N211" s="2232"/>
      <c r="O211" s="2232"/>
      <c r="T211" s="2232"/>
      <c r="U211" s="2232"/>
      <c r="V211" s="2232"/>
      <c r="W211" s="2232"/>
    </row>
    <row r="212" spans="1:23">
      <c r="A212" s="2232"/>
      <c r="B212" s="2634"/>
      <c r="C212" s="2634"/>
      <c r="D212" s="2634"/>
      <c r="E212" s="2628"/>
      <c r="F212" s="2633"/>
      <c r="G212" s="2618"/>
      <c r="H212" s="2618"/>
      <c r="I212" s="2618"/>
      <c r="J212" s="2618"/>
      <c r="K212" s="2618"/>
      <c r="L212" s="2232"/>
      <c r="M212" s="2232"/>
      <c r="N212" s="2232"/>
      <c r="O212" s="2232"/>
      <c r="T212" s="2232"/>
      <c r="U212" s="2232"/>
      <c r="V212" s="2232"/>
      <c r="W212" s="2232"/>
    </row>
    <row r="213" spans="1:23">
      <c r="A213" s="2232"/>
      <c r="B213" s="2634"/>
      <c r="C213" s="2634"/>
      <c r="D213" s="2634"/>
      <c r="E213" s="2628"/>
      <c r="F213" s="2633"/>
      <c r="G213" s="2620"/>
      <c r="H213" s="2620"/>
      <c r="I213" s="2620"/>
      <c r="J213" s="2620"/>
      <c r="K213" s="2620"/>
      <c r="L213" s="2232"/>
      <c r="M213" s="2232"/>
      <c r="N213" s="2232"/>
      <c r="O213" s="2232"/>
      <c r="T213" s="2232"/>
      <c r="U213" s="2232"/>
      <c r="V213" s="2232"/>
      <c r="W213" s="2232"/>
    </row>
    <row r="214" spans="1:23">
      <c r="A214" s="2232"/>
      <c r="B214" s="2635"/>
      <c r="C214" s="2635"/>
      <c r="D214" s="2635"/>
      <c r="E214" s="2635"/>
      <c r="F214" s="2232"/>
      <c r="G214" s="2618"/>
      <c r="H214" s="2618"/>
      <c r="I214" s="2618"/>
      <c r="J214" s="2618"/>
      <c r="K214" s="2618"/>
      <c r="L214" s="2232"/>
      <c r="M214" s="2232"/>
      <c r="N214" s="2232"/>
      <c r="O214" s="2232"/>
      <c r="T214" s="2232"/>
      <c r="U214" s="2232"/>
      <c r="V214" s="2232"/>
      <c r="W214" s="2232"/>
    </row>
    <row r="215" spans="1:23">
      <c r="A215" s="2232"/>
      <c r="B215" s="2617"/>
      <c r="C215" s="2617"/>
      <c r="D215" s="2617"/>
      <c r="E215" s="2635"/>
      <c r="F215" s="2232"/>
      <c r="G215" s="2619"/>
      <c r="H215" s="2619"/>
      <c r="I215" s="2619"/>
      <c r="J215" s="2619"/>
      <c r="K215" s="2619"/>
      <c r="L215" s="2232"/>
      <c r="M215" s="2232"/>
      <c r="N215" s="2232"/>
      <c r="O215" s="2232"/>
      <c r="T215" s="2232"/>
      <c r="U215" s="2232"/>
      <c r="V215" s="2232"/>
      <c r="W215" s="2232"/>
    </row>
    <row r="216" spans="1:23">
      <c r="A216" s="2232"/>
      <c r="B216" s="2617"/>
      <c r="C216" s="2617"/>
      <c r="D216" s="2617"/>
      <c r="E216" s="2617"/>
      <c r="F216" s="2232"/>
      <c r="G216" s="2618"/>
      <c r="H216" s="2618"/>
      <c r="I216" s="2618"/>
      <c r="J216" s="2618"/>
      <c r="K216" s="2618"/>
      <c r="L216" s="2232"/>
      <c r="M216" s="2232"/>
      <c r="N216" s="2232"/>
      <c r="O216" s="2232"/>
      <c r="T216" s="2232"/>
      <c r="U216" s="2232"/>
      <c r="V216" s="2232"/>
      <c r="W216" s="2232"/>
    </row>
    <row r="217" spans="1:23">
      <c r="A217" s="2232"/>
      <c r="B217" s="2635"/>
      <c r="C217" s="2635"/>
      <c r="D217" s="2635"/>
      <c r="E217" s="2636"/>
      <c r="F217" s="2232"/>
      <c r="G217" s="2618"/>
      <c r="H217" s="2618"/>
      <c r="I217" s="2618"/>
      <c r="J217" s="2618"/>
      <c r="K217" s="2618"/>
      <c r="L217" s="2232"/>
      <c r="M217" s="2232"/>
      <c r="N217" s="2232"/>
      <c r="O217" s="2232"/>
      <c r="T217" s="2232"/>
      <c r="U217" s="2232"/>
      <c r="V217" s="2232"/>
      <c r="W217" s="2232"/>
    </row>
    <row r="218" spans="1:23">
      <c r="A218" s="2232"/>
      <c r="B218" s="2635"/>
      <c r="C218" s="2635"/>
      <c r="D218" s="2635"/>
      <c r="E218" s="2635"/>
      <c r="F218" s="2232"/>
      <c r="G218" s="2627"/>
      <c r="H218" s="2627"/>
      <c r="I218" s="2627"/>
      <c r="J218" s="2627"/>
      <c r="K218" s="2627"/>
      <c r="L218" s="2232"/>
      <c r="M218" s="2232"/>
      <c r="N218" s="2232"/>
      <c r="O218" s="2232"/>
      <c r="T218" s="2232"/>
      <c r="U218" s="2232"/>
      <c r="V218" s="2232"/>
      <c r="W218" s="2232"/>
    </row>
    <row r="219" spans="1:23">
      <c r="A219" s="2232"/>
      <c r="B219" s="2635"/>
      <c r="C219" s="2635"/>
      <c r="D219" s="2635"/>
      <c r="E219" s="2637"/>
      <c r="F219" s="2232"/>
      <c r="G219" s="2618"/>
      <c r="H219" s="2618"/>
      <c r="I219" s="2618"/>
      <c r="J219" s="2618"/>
      <c r="K219" s="2618"/>
      <c r="L219" s="2232"/>
      <c r="M219" s="2232"/>
      <c r="N219" s="2232"/>
      <c r="O219" s="2232"/>
      <c r="T219" s="2232"/>
      <c r="U219" s="2232"/>
      <c r="V219" s="2232"/>
      <c r="W219" s="2232"/>
    </row>
    <row r="220" spans="1:23">
      <c r="A220" s="2232"/>
      <c r="B220" s="2635"/>
      <c r="C220" s="2635"/>
      <c r="D220" s="2635"/>
      <c r="E220" s="2635"/>
      <c r="F220" s="2232"/>
      <c r="G220" s="2627"/>
      <c r="H220" s="2627"/>
      <c r="I220" s="2627"/>
      <c r="J220" s="2627"/>
      <c r="K220" s="2627"/>
      <c r="L220" s="2232"/>
      <c r="M220" s="2232"/>
      <c r="N220" s="2232"/>
      <c r="O220" s="2232"/>
      <c r="T220" s="2232"/>
      <c r="U220" s="2232"/>
      <c r="V220" s="2232"/>
      <c r="W220" s="2232"/>
    </row>
    <row r="221" spans="1:23">
      <c r="A221" s="2232"/>
      <c r="B221" s="2635"/>
      <c r="C221" s="2635"/>
      <c r="D221" s="2635"/>
      <c r="E221" s="2637"/>
      <c r="F221" s="2232"/>
      <c r="G221" s="2618"/>
      <c r="H221" s="2618"/>
      <c r="I221" s="2618"/>
      <c r="J221" s="2618"/>
      <c r="K221" s="2618"/>
      <c r="L221" s="2232"/>
      <c r="M221" s="2232"/>
      <c r="N221" s="2232"/>
      <c r="O221" s="2232"/>
      <c r="T221" s="2232"/>
      <c r="U221" s="2232"/>
      <c r="V221" s="2232"/>
      <c r="W221" s="2232"/>
    </row>
    <row r="222" spans="1:23">
      <c r="A222" s="2232"/>
      <c r="B222" s="2635"/>
      <c r="C222" s="2635"/>
      <c r="D222" s="2635"/>
      <c r="E222" s="2637"/>
      <c r="F222" s="2232"/>
      <c r="G222" s="2618"/>
      <c r="H222" s="2618"/>
      <c r="I222" s="2618"/>
      <c r="J222" s="2618"/>
      <c r="K222" s="2618"/>
      <c r="L222" s="2232"/>
      <c r="M222" s="2232"/>
      <c r="N222" s="2232"/>
      <c r="O222" s="2232"/>
      <c r="T222" s="2232"/>
      <c r="U222" s="2232"/>
      <c r="V222" s="2232"/>
      <c r="W222" s="2232"/>
    </row>
    <row r="223" spans="1:23">
      <c r="A223" s="2232"/>
      <c r="B223" s="2635"/>
      <c r="C223" s="2635"/>
      <c r="D223" s="2635"/>
      <c r="E223" s="2637"/>
      <c r="F223" s="2232"/>
      <c r="G223" s="2232"/>
      <c r="H223" s="2232"/>
      <c r="I223" s="2232"/>
      <c r="J223" s="2232"/>
      <c r="K223" s="2232"/>
      <c r="L223" s="2232"/>
      <c r="M223" s="2232"/>
      <c r="N223" s="2232"/>
      <c r="O223" s="2232"/>
      <c r="T223" s="2232"/>
      <c r="U223" s="2232"/>
      <c r="V223" s="2232"/>
      <c r="W223" s="2232"/>
    </row>
    <row r="224" spans="1:23">
      <c r="A224" s="2232"/>
      <c r="B224" s="2635"/>
      <c r="C224" s="2635"/>
      <c r="D224" s="2635"/>
      <c r="E224" s="2635"/>
      <c r="F224" s="2232"/>
      <c r="G224" s="2232"/>
      <c r="H224" s="2232"/>
      <c r="I224" s="2232"/>
      <c r="J224" s="2232"/>
      <c r="K224" s="2232"/>
      <c r="L224" s="2232"/>
      <c r="M224" s="2232"/>
      <c r="N224" s="2232"/>
      <c r="O224" s="2232"/>
      <c r="T224" s="2232"/>
      <c r="U224" s="2232"/>
      <c r="V224" s="2232"/>
      <c r="W224" s="2232"/>
    </row>
    <row r="225" spans="1:23">
      <c r="A225" s="2232"/>
      <c r="B225" s="2635"/>
      <c r="C225" s="2635"/>
      <c r="D225" s="2635"/>
      <c r="E225" s="2636"/>
      <c r="F225" s="2232"/>
      <c r="G225" s="2232"/>
      <c r="H225" s="2232"/>
      <c r="I225" s="2232"/>
      <c r="J225" s="2232"/>
      <c r="K225" s="2232"/>
      <c r="L225" s="2232"/>
      <c r="M225" s="2232"/>
      <c r="N225" s="2232"/>
      <c r="O225" s="2232"/>
      <c r="T225" s="2232"/>
      <c r="U225" s="2232"/>
      <c r="V225" s="2232"/>
      <c r="W225" s="2232"/>
    </row>
    <row r="226" spans="1:23">
      <c r="A226" s="2232"/>
      <c r="B226" s="2635"/>
      <c r="C226" s="2635"/>
      <c r="D226" s="2635"/>
      <c r="E226" s="2635"/>
      <c r="F226" s="2232"/>
      <c r="G226" s="2232"/>
      <c r="H226" s="2232"/>
      <c r="I226" s="2232"/>
      <c r="J226" s="2232"/>
      <c r="K226" s="2232"/>
      <c r="L226" s="2232"/>
      <c r="M226" s="2232"/>
      <c r="N226" s="2232"/>
      <c r="O226" s="2232"/>
      <c r="T226" s="2232"/>
      <c r="U226" s="2232"/>
      <c r="V226" s="2232"/>
      <c r="W226" s="2232"/>
    </row>
    <row r="227" spans="1:23">
      <c r="A227" s="2232"/>
      <c r="B227" s="2635"/>
      <c r="C227" s="2635"/>
      <c r="D227" s="2635"/>
      <c r="E227" s="2638"/>
      <c r="F227" s="2232"/>
      <c r="G227" s="2232"/>
      <c r="H227" s="2232"/>
      <c r="I227" s="2232"/>
      <c r="J227" s="2232"/>
      <c r="K227" s="2232"/>
      <c r="L227" s="2232"/>
      <c r="M227" s="2232"/>
      <c r="N227" s="2232"/>
      <c r="O227" s="2232"/>
      <c r="T227" s="2232"/>
      <c r="U227" s="2232"/>
      <c r="V227" s="2232"/>
      <c r="W227" s="2232"/>
    </row>
    <row r="228" spans="1:23">
      <c r="A228" s="2232"/>
      <c r="B228" s="2635"/>
      <c r="C228" s="2635"/>
      <c r="D228" s="2635"/>
      <c r="E228" s="2635"/>
      <c r="F228" s="2232"/>
      <c r="G228" s="2232"/>
      <c r="H228" s="2232"/>
      <c r="I228" s="2232"/>
      <c r="J228" s="2232"/>
      <c r="K228" s="2232"/>
      <c r="L228" s="2232"/>
      <c r="M228" s="2232"/>
      <c r="N228" s="2232"/>
      <c r="O228" s="2232"/>
      <c r="T228" s="2232"/>
      <c r="U228" s="2232"/>
      <c r="V228" s="2232"/>
      <c r="W228" s="2232"/>
    </row>
    <row r="229" spans="1:23">
      <c r="A229" s="2232"/>
      <c r="B229" s="2635"/>
      <c r="C229" s="2635"/>
      <c r="D229" s="2635"/>
      <c r="E229" s="2636"/>
      <c r="F229" s="2232"/>
      <c r="G229" s="2633"/>
      <c r="H229" s="2633"/>
      <c r="I229" s="2633"/>
      <c r="J229" s="2633"/>
      <c r="K229" s="2633"/>
      <c r="L229" s="2232"/>
      <c r="M229" s="2232"/>
      <c r="N229" s="2232"/>
      <c r="O229" s="2232"/>
      <c r="T229" s="2232"/>
      <c r="U229" s="2232"/>
      <c r="V229" s="2232"/>
      <c r="W229" s="2232"/>
    </row>
    <row r="230" spans="1:23">
      <c r="A230" s="2232"/>
      <c r="B230" s="2635"/>
      <c r="C230" s="2635"/>
      <c r="D230" s="2635"/>
      <c r="E230" s="2635"/>
      <c r="F230" s="2232"/>
      <c r="G230" s="2633"/>
      <c r="H230" s="2633"/>
      <c r="I230" s="2633"/>
      <c r="J230" s="2633"/>
      <c r="K230" s="2633"/>
      <c r="L230" s="2232"/>
      <c r="M230" s="2232"/>
      <c r="N230" s="2232"/>
      <c r="O230" s="2232"/>
      <c r="T230" s="2232"/>
      <c r="U230" s="2232"/>
      <c r="V230" s="2232"/>
      <c r="W230" s="2232"/>
    </row>
    <row r="231" spans="1:23">
      <c r="A231" s="2232"/>
      <c r="B231" s="2635"/>
      <c r="C231" s="2635"/>
      <c r="D231" s="2635"/>
      <c r="E231" s="2639"/>
      <c r="F231" s="2232"/>
      <c r="G231" s="2633"/>
      <c r="H231" s="2633"/>
      <c r="I231" s="2633"/>
      <c r="J231" s="2633"/>
      <c r="K231" s="2633"/>
      <c r="L231" s="2232"/>
      <c r="M231" s="2232"/>
      <c r="N231" s="2232"/>
      <c r="O231" s="2232"/>
      <c r="T231" s="2232"/>
      <c r="U231" s="2232"/>
      <c r="V231" s="2232"/>
      <c r="W231" s="2232"/>
    </row>
    <row r="232" spans="1:23">
      <c r="A232" s="2232"/>
      <c r="B232" s="2635"/>
      <c r="C232" s="2635"/>
      <c r="D232" s="2635"/>
      <c r="E232" s="2635"/>
      <c r="F232" s="2232"/>
      <c r="G232" s="2633"/>
      <c r="H232" s="2633"/>
      <c r="I232" s="2633"/>
      <c r="J232" s="2633"/>
      <c r="K232" s="2633"/>
      <c r="L232" s="2232"/>
      <c r="M232" s="2232"/>
      <c r="N232" s="2232"/>
      <c r="O232" s="2232"/>
      <c r="T232" s="2232"/>
      <c r="U232" s="2232"/>
      <c r="V232" s="2232"/>
      <c r="W232" s="2232"/>
    </row>
    <row r="233" spans="1:23">
      <c r="A233" s="2232"/>
      <c r="B233" s="2232"/>
      <c r="C233" s="2232"/>
      <c r="D233" s="2232"/>
      <c r="E233" s="2232"/>
      <c r="F233" s="2232"/>
      <c r="G233" s="2232"/>
      <c r="H233" s="2232"/>
      <c r="I233" s="2232"/>
      <c r="J233" s="2232"/>
      <c r="K233" s="2232"/>
      <c r="L233" s="2232"/>
      <c r="M233" s="2232"/>
      <c r="N233" s="2232"/>
      <c r="O233" s="2232"/>
      <c r="T233" s="2232"/>
      <c r="U233" s="2232"/>
      <c r="V233" s="2232"/>
      <c r="W233" s="2232"/>
    </row>
    <row r="234" spans="1:23">
      <c r="A234" s="2232"/>
      <c r="B234" s="2232"/>
      <c r="C234" s="2232"/>
      <c r="D234" s="2232"/>
      <c r="E234" s="2232"/>
      <c r="F234" s="2232"/>
      <c r="G234" s="2232"/>
      <c r="H234" s="2232"/>
      <c r="I234" s="2232"/>
      <c r="J234" s="2232"/>
      <c r="K234" s="2232"/>
      <c r="L234" s="2232"/>
      <c r="M234" s="2232"/>
      <c r="N234" s="2232"/>
      <c r="O234" s="2232"/>
      <c r="T234" s="2232"/>
      <c r="U234" s="2232"/>
      <c r="V234" s="2232"/>
      <c r="W234" s="2232"/>
    </row>
    <row r="235" spans="1:23">
      <c r="A235" s="2232"/>
      <c r="B235" s="2232"/>
      <c r="C235" s="2232"/>
      <c r="D235" s="2232"/>
      <c r="E235" s="2232"/>
      <c r="F235" s="2232"/>
      <c r="G235" s="2232"/>
      <c r="H235" s="2232"/>
      <c r="I235" s="2232"/>
      <c r="J235" s="2232"/>
      <c r="K235" s="2232"/>
      <c r="L235" s="2232"/>
      <c r="M235" s="2232"/>
      <c r="N235" s="2232"/>
      <c r="O235" s="2232"/>
      <c r="T235" s="2232"/>
      <c r="U235" s="2232"/>
      <c r="V235" s="2232"/>
      <c r="W235" s="2232"/>
    </row>
    <row r="236" spans="1:23">
      <c r="A236" s="2232"/>
      <c r="B236" s="2232"/>
      <c r="C236" s="2232"/>
      <c r="D236" s="2232"/>
      <c r="E236" s="2232"/>
      <c r="F236" s="2232"/>
      <c r="G236" s="2232"/>
      <c r="H236" s="2232"/>
      <c r="I236" s="2232"/>
      <c r="J236" s="2232"/>
      <c r="K236" s="2232"/>
      <c r="L236" s="2232"/>
      <c r="M236" s="2232"/>
      <c r="N236" s="2232"/>
      <c r="O236" s="2232"/>
      <c r="T236" s="2232"/>
      <c r="U236" s="2232"/>
      <c r="V236" s="2232"/>
      <c r="W236" s="2232"/>
    </row>
    <row r="237" spans="1:23">
      <c r="A237" s="2232"/>
      <c r="B237" s="2232"/>
      <c r="C237" s="2232"/>
      <c r="D237" s="2232"/>
      <c r="E237" s="2232"/>
      <c r="F237" s="2232"/>
      <c r="G237" s="2232"/>
      <c r="H237" s="2232"/>
      <c r="I237" s="2232"/>
      <c r="J237" s="2232"/>
      <c r="K237" s="2232"/>
      <c r="L237" s="2232"/>
      <c r="M237" s="2232"/>
      <c r="N237" s="2232"/>
      <c r="O237" s="2232"/>
      <c r="T237" s="2232"/>
      <c r="U237" s="2232"/>
      <c r="V237" s="2232"/>
      <c r="W237" s="2232"/>
    </row>
    <row r="238" spans="1:23">
      <c r="A238" s="2232"/>
      <c r="B238" s="2232"/>
      <c r="C238" s="2232"/>
      <c r="D238" s="2232"/>
      <c r="E238" s="2232"/>
      <c r="F238" s="2232"/>
      <c r="G238" s="2232"/>
      <c r="H238" s="2232"/>
      <c r="I238" s="2232"/>
      <c r="J238" s="2232"/>
      <c r="K238" s="2232"/>
      <c r="L238" s="2232"/>
      <c r="M238" s="2232"/>
      <c r="N238" s="2232"/>
      <c r="O238" s="2232"/>
      <c r="T238" s="2232"/>
      <c r="U238" s="2232"/>
      <c r="V238" s="2232"/>
      <c r="W238" s="2232"/>
    </row>
    <row r="239" spans="1:23">
      <c r="A239" s="2232"/>
      <c r="B239" s="2232"/>
      <c r="C239" s="2232"/>
      <c r="D239" s="2232"/>
      <c r="E239" s="2232"/>
      <c r="F239" s="2232"/>
      <c r="G239" s="2232"/>
      <c r="H239" s="2232"/>
      <c r="I239" s="2232"/>
      <c r="J239" s="2232"/>
      <c r="K239" s="2232"/>
      <c r="L239" s="2232"/>
      <c r="M239" s="2232"/>
      <c r="N239" s="2232"/>
      <c r="O239" s="2232"/>
      <c r="T239" s="2232"/>
      <c r="U239" s="2232"/>
      <c r="V239" s="2232"/>
      <c r="W239" s="2232"/>
    </row>
    <row r="240" spans="1:23">
      <c r="A240" s="2232"/>
      <c r="B240" s="2232"/>
      <c r="C240" s="2232"/>
      <c r="D240" s="2232"/>
      <c r="E240" s="2232"/>
      <c r="F240" s="2232"/>
      <c r="G240" s="2232"/>
      <c r="H240" s="2232"/>
      <c r="I240" s="2232"/>
      <c r="J240" s="2232"/>
      <c r="K240" s="2232"/>
      <c r="L240" s="2232"/>
      <c r="M240" s="2232"/>
      <c r="N240" s="2232"/>
      <c r="O240" s="2232"/>
      <c r="T240" s="2232"/>
      <c r="U240" s="2232"/>
      <c r="V240" s="2232"/>
      <c r="W240" s="2232"/>
    </row>
    <row r="241" spans="1:23">
      <c r="A241" s="2232"/>
      <c r="B241" s="2232"/>
      <c r="C241" s="2232"/>
      <c r="D241" s="2232"/>
      <c r="E241" s="2232"/>
      <c r="F241" s="2232"/>
      <c r="G241" s="2232"/>
      <c r="H241" s="2232"/>
      <c r="I241" s="2232"/>
      <c r="J241" s="2232"/>
      <c r="K241" s="2232"/>
      <c r="L241" s="2232"/>
      <c r="M241" s="2232"/>
      <c r="N241" s="2232"/>
      <c r="O241" s="2232"/>
      <c r="T241" s="2232"/>
      <c r="U241" s="2232"/>
      <c r="V241" s="2232"/>
      <c r="W241" s="2232"/>
    </row>
    <row r="242" spans="1:23">
      <c r="A242" s="2232"/>
      <c r="B242" s="2232"/>
      <c r="C242" s="2232"/>
      <c r="D242" s="2232"/>
      <c r="E242" s="2232"/>
      <c r="F242" s="2232"/>
      <c r="G242" s="2232"/>
      <c r="H242" s="2232"/>
      <c r="I242" s="2232"/>
      <c r="J242" s="2232"/>
      <c r="K242" s="2232"/>
      <c r="L242" s="2232"/>
      <c r="M242" s="2232"/>
      <c r="N242" s="2232"/>
      <c r="O242" s="2232"/>
      <c r="T242" s="2232"/>
      <c r="U242" s="2232"/>
      <c r="V242" s="2232"/>
      <c r="W242" s="2232"/>
    </row>
    <row r="243" spans="1:23">
      <c r="A243" s="2232"/>
      <c r="B243" s="2232"/>
      <c r="C243" s="2232"/>
      <c r="D243" s="2232"/>
      <c r="E243" s="2232"/>
      <c r="F243" s="2232"/>
      <c r="G243" s="2232"/>
      <c r="H243" s="2232"/>
      <c r="I243" s="2232"/>
      <c r="J243" s="2232"/>
      <c r="K243" s="2232"/>
      <c r="L243" s="2232"/>
      <c r="M243" s="2232"/>
      <c r="N243" s="2232"/>
      <c r="O243" s="2232"/>
      <c r="T243" s="2232"/>
      <c r="U243" s="2232"/>
      <c r="V243" s="2232"/>
      <c r="W243" s="2232"/>
    </row>
    <row r="244" spans="1:23">
      <c r="B244" s="2232"/>
      <c r="C244" s="2232"/>
      <c r="D244" s="2232"/>
      <c r="E244" s="2232"/>
      <c r="F244" s="2232"/>
      <c r="G244" s="2232"/>
      <c r="H244" s="2232"/>
      <c r="I244" s="2232"/>
      <c r="J244" s="2232"/>
      <c r="K244" s="2232"/>
      <c r="L244" s="2232"/>
      <c r="M244" s="2232"/>
      <c r="N244" s="2232"/>
      <c r="O244" s="2232"/>
      <c r="T244" s="2232"/>
      <c r="U244" s="2232"/>
      <c r="V244" s="2232"/>
      <c r="W244" s="2232"/>
    </row>
    <row r="245" spans="1:23">
      <c r="B245" s="2232"/>
      <c r="C245" s="2232"/>
      <c r="D245" s="2232"/>
      <c r="E245" s="2232"/>
      <c r="F245" s="2232"/>
      <c r="G245" s="2232"/>
      <c r="H245" s="2232"/>
      <c r="I245" s="2232"/>
      <c r="J245" s="2232"/>
      <c r="K245" s="2232"/>
      <c r="L245" s="2232"/>
      <c r="M245" s="2232"/>
      <c r="N245" s="2232"/>
      <c r="O245" s="2232"/>
      <c r="T245" s="2232"/>
      <c r="U245" s="2232"/>
      <c r="V245" s="2232"/>
      <c r="W245" s="2232"/>
    </row>
    <row r="246" spans="1:23">
      <c r="B246" s="2232"/>
      <c r="C246" s="2232"/>
      <c r="D246" s="2232"/>
      <c r="E246" s="2232"/>
      <c r="F246" s="2232"/>
      <c r="G246" s="2232"/>
      <c r="H246" s="2232"/>
      <c r="I246" s="2232"/>
      <c r="J246" s="2232"/>
      <c r="K246" s="2232"/>
      <c r="L246" s="2232"/>
      <c r="M246" s="2232"/>
      <c r="N246" s="2232"/>
      <c r="O246" s="2232"/>
      <c r="T246" s="2232"/>
      <c r="U246" s="2232"/>
      <c r="V246" s="2232"/>
      <c r="W246" s="2232"/>
    </row>
    <row r="247" spans="1:23">
      <c r="B247" s="2232"/>
      <c r="C247" s="2232"/>
      <c r="D247" s="2232"/>
      <c r="E247" s="2232"/>
      <c r="F247" s="2232"/>
      <c r="G247" s="2232"/>
      <c r="H247" s="2232"/>
      <c r="I247" s="2232"/>
      <c r="J247" s="2232"/>
      <c r="K247" s="2232"/>
      <c r="L247" s="2232"/>
      <c r="M247" s="2232"/>
      <c r="N247" s="2232"/>
      <c r="O247" s="2232"/>
      <c r="T247" s="2232"/>
      <c r="U247" s="2232"/>
      <c r="V247" s="2232"/>
      <c r="W247" s="2232"/>
    </row>
    <row r="248" spans="1:23">
      <c r="B248" s="2232"/>
      <c r="C248" s="2232"/>
      <c r="D248" s="2232"/>
      <c r="E248" s="2232"/>
      <c r="F248" s="2232"/>
      <c r="G248" s="2232"/>
      <c r="H248" s="2232"/>
      <c r="I248" s="2232"/>
      <c r="J248" s="2232"/>
      <c r="K248" s="2232"/>
      <c r="L248" s="2232"/>
      <c r="M248" s="2232"/>
      <c r="N248" s="2232"/>
      <c r="O248" s="2232"/>
      <c r="T248" s="2232"/>
      <c r="U248" s="2232"/>
      <c r="V248" s="2232"/>
      <c r="W248" s="2232"/>
    </row>
    <row r="249" spans="1:23">
      <c r="B249" s="2232"/>
      <c r="C249" s="2232"/>
      <c r="D249" s="2232"/>
      <c r="E249" s="2232"/>
      <c r="F249" s="2232"/>
      <c r="G249" s="2232"/>
      <c r="H249" s="2232"/>
      <c r="I249" s="2232"/>
      <c r="J249" s="2232"/>
      <c r="K249" s="2232"/>
      <c r="L249" s="2232"/>
      <c r="M249" s="2232"/>
      <c r="N249" s="2232"/>
      <c r="O249" s="2232"/>
      <c r="T249" s="2232"/>
      <c r="U249" s="2232"/>
      <c r="V249" s="2232"/>
      <c r="W249" s="2232"/>
    </row>
    <row r="250" spans="1:23">
      <c r="B250" s="2232"/>
      <c r="C250" s="2232"/>
      <c r="D250" s="2232"/>
      <c r="E250" s="2232"/>
      <c r="F250" s="2232"/>
      <c r="G250" s="2232"/>
      <c r="H250" s="2232"/>
      <c r="I250" s="2232"/>
      <c r="J250" s="2232"/>
      <c r="K250" s="2232"/>
      <c r="L250" s="2232"/>
      <c r="M250" s="2232"/>
      <c r="N250" s="2232"/>
      <c r="O250" s="2232"/>
      <c r="T250" s="2232"/>
      <c r="U250" s="2232"/>
      <c r="V250" s="2232"/>
      <c r="W250" s="2232"/>
    </row>
    <row r="251" spans="1:23">
      <c r="B251" s="2232"/>
      <c r="C251" s="2232"/>
      <c r="D251" s="2232"/>
      <c r="E251" s="2232"/>
      <c r="F251" s="2232"/>
      <c r="G251" s="2232"/>
      <c r="H251" s="2232"/>
      <c r="I251" s="2232"/>
      <c r="J251" s="2232"/>
      <c r="K251" s="2232"/>
      <c r="L251" s="2232"/>
      <c r="M251" s="2232"/>
      <c r="N251" s="2232"/>
      <c r="O251" s="2232"/>
      <c r="T251" s="2232"/>
      <c r="U251" s="2232"/>
      <c r="V251" s="2232"/>
      <c r="W251" s="2232"/>
    </row>
    <row r="252" spans="1:23">
      <c r="B252" s="2232"/>
      <c r="C252" s="2232"/>
      <c r="D252" s="2232"/>
      <c r="E252" s="2232"/>
      <c r="F252" s="2232"/>
      <c r="G252" s="2232"/>
      <c r="H252" s="2232"/>
      <c r="I252" s="2232"/>
      <c r="J252" s="2232"/>
      <c r="K252" s="2232"/>
      <c r="L252" s="2232"/>
      <c r="M252" s="2232"/>
      <c r="N252" s="2232"/>
      <c r="O252" s="2232"/>
      <c r="T252" s="2232"/>
      <c r="U252" s="2232"/>
      <c r="V252" s="2232"/>
      <c r="W252" s="2232"/>
    </row>
    <row r="253" spans="1:23">
      <c r="B253" s="2232"/>
      <c r="C253" s="2232"/>
      <c r="D253" s="2232"/>
      <c r="E253" s="2232"/>
      <c r="F253" s="2232"/>
      <c r="G253" s="2232"/>
      <c r="H253" s="2232"/>
      <c r="I253" s="2232"/>
      <c r="J253" s="2232"/>
      <c r="K253" s="2232"/>
      <c r="L253" s="2232"/>
      <c r="M253" s="2232"/>
      <c r="N253" s="2232"/>
      <c r="O253" s="2232"/>
      <c r="T253" s="2232"/>
      <c r="U253" s="2232"/>
      <c r="V253" s="2232"/>
      <c r="W253" s="2232"/>
    </row>
    <row r="254" spans="1:23">
      <c r="B254" s="2232"/>
      <c r="C254" s="2232"/>
      <c r="D254" s="2232"/>
      <c r="E254" s="2232"/>
      <c r="F254" s="2232"/>
      <c r="G254" s="2232"/>
      <c r="H254" s="2232"/>
      <c r="I254" s="2232"/>
      <c r="J254" s="2232"/>
      <c r="K254" s="2232"/>
      <c r="L254" s="2232"/>
      <c r="M254" s="2232"/>
      <c r="N254" s="2232"/>
      <c r="O254" s="2232"/>
      <c r="T254" s="2232"/>
      <c r="U254" s="2232"/>
      <c r="V254" s="2232"/>
      <c r="W254" s="2232"/>
    </row>
    <row r="255" spans="1:23">
      <c r="B255" s="2232"/>
      <c r="C255" s="2232"/>
      <c r="D255" s="2232"/>
      <c r="E255" s="2232"/>
      <c r="F255" s="2232"/>
      <c r="G255" s="2232"/>
      <c r="H255" s="2232"/>
      <c r="I255" s="2232"/>
      <c r="J255" s="2232"/>
      <c r="K255" s="2232"/>
      <c r="L255" s="2232"/>
      <c r="M255" s="2232"/>
      <c r="N255" s="2232"/>
      <c r="O255" s="2232"/>
      <c r="T255" s="2232"/>
      <c r="U255" s="2232"/>
      <c r="V255" s="2232"/>
      <c r="W255" s="2232"/>
    </row>
    <row r="256" spans="1:23">
      <c r="B256" s="2232"/>
      <c r="C256" s="2232"/>
      <c r="D256" s="2232"/>
      <c r="E256" s="2232"/>
      <c r="F256" s="2232"/>
      <c r="G256" s="2232"/>
      <c r="H256" s="2232"/>
      <c r="I256" s="2232"/>
      <c r="J256" s="2232"/>
      <c r="K256" s="2232"/>
      <c r="L256" s="2232"/>
      <c r="M256" s="2232"/>
      <c r="N256" s="2232"/>
      <c r="O256" s="2232"/>
      <c r="T256" s="2232"/>
      <c r="U256" s="2232"/>
      <c r="V256" s="2232"/>
      <c r="W256" s="2232"/>
    </row>
    <row r="257" spans="2:23">
      <c r="B257" s="2232"/>
      <c r="C257" s="2232"/>
      <c r="D257" s="2232"/>
      <c r="E257" s="2232"/>
      <c r="F257" s="2232"/>
      <c r="G257" s="2232"/>
      <c r="H257" s="2232"/>
      <c r="I257" s="2232"/>
      <c r="J257" s="2232"/>
      <c r="K257" s="2232"/>
      <c r="L257" s="2232"/>
      <c r="M257" s="2232"/>
      <c r="N257" s="2232"/>
      <c r="O257" s="2232"/>
      <c r="T257" s="2232"/>
      <c r="U257" s="2232"/>
      <c r="V257" s="2232"/>
      <c r="W257" s="2232"/>
    </row>
    <row r="258" spans="2:23">
      <c r="B258" s="2232"/>
      <c r="C258" s="2232"/>
      <c r="D258" s="2232"/>
      <c r="E258" s="2232"/>
      <c r="F258" s="2232"/>
      <c r="G258" s="2232"/>
      <c r="H258" s="2232"/>
      <c r="I258" s="2232"/>
      <c r="J258" s="2232"/>
      <c r="K258" s="2232"/>
      <c r="L258" s="2232"/>
      <c r="M258" s="2232"/>
      <c r="N258" s="2232"/>
      <c r="O258" s="2232"/>
      <c r="T258" s="2232"/>
      <c r="U258" s="2232"/>
      <c r="V258" s="2232"/>
      <c r="W258" s="2232"/>
    </row>
    <row r="259" spans="2:23">
      <c r="B259" s="2232"/>
      <c r="C259" s="2232"/>
      <c r="D259" s="2232"/>
      <c r="E259" s="2232"/>
      <c r="F259" s="2232"/>
      <c r="G259" s="2232"/>
      <c r="H259" s="2232"/>
      <c r="I259" s="2232"/>
      <c r="J259" s="2232"/>
      <c r="K259" s="2232"/>
      <c r="L259" s="2232"/>
      <c r="M259" s="2232"/>
      <c r="N259" s="2232"/>
      <c r="O259" s="2232"/>
      <c r="T259" s="2232"/>
      <c r="U259" s="2232"/>
      <c r="V259" s="2232"/>
      <c r="W259" s="2232"/>
    </row>
    <row r="260" spans="2:23">
      <c r="B260" s="2232"/>
      <c r="C260" s="2232"/>
      <c r="D260" s="2232"/>
      <c r="E260" s="2232"/>
      <c r="F260" s="2232"/>
      <c r="G260" s="2232"/>
      <c r="H260" s="2232"/>
      <c r="I260" s="2232"/>
      <c r="J260" s="2232"/>
      <c r="K260" s="2232"/>
      <c r="L260" s="2232"/>
      <c r="M260" s="2232"/>
      <c r="N260" s="2232"/>
      <c r="O260" s="2232"/>
      <c r="T260" s="2232"/>
      <c r="U260" s="2232"/>
      <c r="V260" s="2232"/>
      <c r="W260" s="2232"/>
    </row>
    <row r="261" spans="2:23">
      <c r="B261" s="2232"/>
      <c r="C261" s="2232"/>
      <c r="D261" s="2232"/>
      <c r="E261" s="2232"/>
      <c r="F261" s="2232"/>
      <c r="G261" s="2232"/>
      <c r="H261" s="2232"/>
      <c r="I261" s="2232"/>
      <c r="J261" s="2232"/>
      <c r="K261" s="2232"/>
      <c r="L261" s="2232"/>
      <c r="M261" s="2232"/>
      <c r="N261" s="2232"/>
      <c r="O261" s="2232"/>
      <c r="T261" s="2232"/>
      <c r="U261" s="2232"/>
      <c r="V261" s="2232"/>
      <c r="W261" s="2232"/>
    </row>
    <row r="262" spans="2:23">
      <c r="B262" s="2232"/>
      <c r="C262" s="2232"/>
      <c r="D262" s="2232"/>
      <c r="E262" s="2232"/>
      <c r="F262" s="2232"/>
      <c r="G262" s="2232"/>
      <c r="H262" s="2232"/>
      <c r="I262" s="2232"/>
      <c r="J262" s="2232"/>
      <c r="K262" s="2232"/>
      <c r="L262" s="2232"/>
      <c r="M262" s="2232"/>
      <c r="N262" s="2232"/>
      <c r="O262" s="2232"/>
      <c r="T262" s="2232"/>
      <c r="U262" s="2232"/>
      <c r="V262" s="2232"/>
      <c r="W262" s="2232"/>
    </row>
    <row r="263" spans="2:23">
      <c r="B263" s="2232"/>
      <c r="C263" s="2232"/>
      <c r="D263" s="2232"/>
      <c r="E263" s="2232"/>
      <c r="F263" s="2232"/>
      <c r="G263" s="2232"/>
      <c r="H263" s="2232"/>
      <c r="I263" s="2232"/>
      <c r="J263" s="2232"/>
      <c r="K263" s="2232"/>
      <c r="L263" s="2232"/>
      <c r="M263" s="2232"/>
      <c r="N263" s="2232"/>
      <c r="O263" s="2232"/>
      <c r="T263" s="2232"/>
      <c r="U263" s="2232"/>
      <c r="V263" s="2232"/>
      <c r="W263" s="2232"/>
    </row>
    <row r="264" spans="2:23">
      <c r="B264" s="2232"/>
      <c r="C264" s="2232"/>
      <c r="D264" s="2232"/>
      <c r="E264" s="2232"/>
      <c r="F264" s="2232"/>
      <c r="G264" s="2232"/>
      <c r="H264" s="2232"/>
      <c r="I264" s="2232"/>
      <c r="J264" s="2232"/>
      <c r="K264" s="2232"/>
      <c r="L264" s="2232"/>
      <c r="M264" s="2232"/>
      <c r="N264" s="2232"/>
      <c r="O264" s="2232"/>
      <c r="T264" s="2232"/>
      <c r="U264" s="2232"/>
      <c r="V264" s="2232"/>
      <c r="W264" s="2232"/>
    </row>
    <row r="265" spans="2:23">
      <c r="B265" s="2232"/>
      <c r="C265" s="2232"/>
      <c r="D265" s="2232"/>
      <c r="E265" s="2232"/>
      <c r="F265" s="2232"/>
      <c r="G265" s="2232"/>
      <c r="H265" s="2232"/>
      <c r="I265" s="2232"/>
      <c r="J265" s="2232"/>
      <c r="K265" s="2232"/>
      <c r="L265" s="2232"/>
      <c r="M265" s="2232"/>
      <c r="N265" s="2232"/>
      <c r="O265" s="2232"/>
      <c r="T265" s="2232"/>
      <c r="U265" s="2232"/>
      <c r="V265" s="2232"/>
      <c r="W265" s="2232"/>
    </row>
    <row r="266" spans="2:23">
      <c r="B266" s="2232"/>
      <c r="C266" s="2232"/>
      <c r="D266" s="2232"/>
      <c r="E266" s="2232"/>
      <c r="F266" s="2232"/>
      <c r="G266" s="2232"/>
      <c r="H266" s="2232"/>
      <c r="I266" s="2232"/>
      <c r="J266" s="2232"/>
      <c r="K266" s="2232"/>
      <c r="L266" s="2232"/>
      <c r="M266" s="2232"/>
      <c r="N266" s="2232"/>
      <c r="O266" s="2232"/>
      <c r="T266" s="2232"/>
      <c r="U266" s="2232"/>
      <c r="V266" s="2232"/>
      <c r="W266" s="2232"/>
    </row>
    <row r="267" spans="2:23">
      <c r="G267" s="2232"/>
      <c r="H267" s="2232"/>
      <c r="I267" s="2232"/>
      <c r="J267" s="2232"/>
      <c r="K267" s="2232"/>
      <c r="L267" s="2232"/>
      <c r="M267" s="2232"/>
      <c r="N267" s="2232"/>
      <c r="O267" s="2232"/>
      <c r="T267" s="2232"/>
      <c r="U267" s="2232"/>
      <c r="V267" s="2232"/>
      <c r="W267" s="2232"/>
    </row>
    <row r="268" spans="2:23">
      <c r="G268" s="2232"/>
      <c r="H268" s="2232"/>
      <c r="I268" s="2232"/>
      <c r="J268" s="2232"/>
      <c r="K268" s="2232"/>
      <c r="L268" s="2232"/>
      <c r="M268" s="2232"/>
      <c r="N268" s="2232"/>
      <c r="O268" s="2232"/>
      <c r="T268" s="2232"/>
      <c r="U268" s="2232"/>
      <c r="V268" s="2232"/>
      <c r="W268" s="2232"/>
    </row>
    <row r="269" spans="2:23">
      <c r="G269" s="2232"/>
      <c r="H269" s="2232"/>
      <c r="I269" s="2232"/>
      <c r="J269" s="2232"/>
      <c r="K269" s="2232"/>
      <c r="L269" s="2232"/>
      <c r="M269" s="2232"/>
      <c r="N269" s="2232"/>
      <c r="O269" s="2232"/>
      <c r="T269" s="2232"/>
      <c r="U269" s="2232"/>
      <c r="V269" s="2232"/>
      <c r="W269" s="2232"/>
    </row>
    <row r="270" spans="2:23">
      <c r="G270" s="2232"/>
      <c r="H270" s="2232"/>
      <c r="I270" s="2232"/>
      <c r="J270" s="2232"/>
      <c r="K270" s="2232"/>
      <c r="L270" s="2232"/>
      <c r="M270" s="2232"/>
      <c r="N270" s="2232"/>
      <c r="O270" s="2232"/>
      <c r="T270" s="2232"/>
      <c r="U270" s="2232"/>
      <c r="V270" s="2232"/>
      <c r="W270" s="2232"/>
    </row>
    <row r="271" spans="2:23">
      <c r="G271" s="2232"/>
      <c r="H271" s="2232"/>
      <c r="I271" s="2232"/>
      <c r="J271" s="2232"/>
      <c r="K271" s="2232"/>
      <c r="L271" s="2232"/>
      <c r="M271" s="2232"/>
      <c r="N271" s="2232"/>
      <c r="O271" s="2232"/>
      <c r="T271" s="2232"/>
      <c r="U271" s="2232"/>
      <c r="V271" s="2232"/>
      <c r="W271" s="2232"/>
    </row>
    <row r="272" spans="2:23">
      <c r="G272" s="2232"/>
      <c r="H272" s="2232"/>
      <c r="I272" s="2232"/>
      <c r="J272" s="2232"/>
      <c r="K272" s="2232"/>
      <c r="L272" s="2232"/>
      <c r="M272" s="2232"/>
      <c r="N272" s="2232"/>
      <c r="O272" s="2232"/>
      <c r="T272" s="2232"/>
      <c r="U272" s="2232"/>
      <c r="V272" s="2232"/>
      <c r="W272" s="2232"/>
    </row>
    <row r="273" spans="7:23">
      <c r="G273" s="2232"/>
      <c r="H273" s="2232"/>
      <c r="I273" s="2232"/>
      <c r="J273" s="2232"/>
      <c r="K273" s="2232"/>
      <c r="L273" s="2232"/>
      <c r="M273" s="2232"/>
      <c r="N273" s="2232"/>
      <c r="O273" s="2232"/>
      <c r="T273" s="2232"/>
      <c r="U273" s="2232"/>
      <c r="V273" s="2232"/>
      <c r="W273" s="2232"/>
    </row>
    <row r="274" spans="7:23">
      <c r="G274" s="2232"/>
      <c r="H274" s="2232"/>
      <c r="I274" s="2232"/>
      <c r="J274" s="2232"/>
      <c r="K274" s="2232"/>
      <c r="L274" s="2232"/>
      <c r="M274" s="2232"/>
      <c r="N274" s="2232"/>
      <c r="O274" s="2232"/>
      <c r="T274" s="2232"/>
      <c r="U274" s="2232"/>
      <c r="V274" s="2232"/>
      <c r="W274" s="2232"/>
    </row>
    <row r="275" spans="7:23">
      <c r="G275" s="2232"/>
      <c r="H275" s="2232"/>
      <c r="I275" s="2232"/>
      <c r="J275" s="2232"/>
      <c r="K275" s="2232"/>
      <c r="L275" s="2232"/>
      <c r="M275" s="2232"/>
      <c r="N275" s="2232"/>
      <c r="O275" s="2232"/>
      <c r="T275" s="2232"/>
      <c r="U275" s="2232"/>
      <c r="V275" s="2232"/>
      <c r="W275" s="2232"/>
    </row>
    <row r="276" spans="7:23">
      <c r="G276" s="2232"/>
      <c r="H276" s="2232"/>
      <c r="I276" s="2232"/>
      <c r="J276" s="2232"/>
      <c r="K276" s="2232"/>
      <c r="L276" s="2232"/>
      <c r="M276" s="2232"/>
      <c r="N276" s="2232"/>
      <c r="O276" s="2232"/>
      <c r="T276" s="2232"/>
      <c r="U276" s="2232"/>
      <c r="V276" s="2232"/>
      <c r="W276" s="2232"/>
    </row>
    <row r="277" spans="7:23">
      <c r="G277" s="2232"/>
      <c r="H277" s="2232"/>
      <c r="I277" s="2232"/>
      <c r="J277" s="2232"/>
      <c r="K277" s="2232"/>
      <c r="L277" s="2232"/>
      <c r="M277" s="2232"/>
      <c r="N277" s="2232"/>
      <c r="O277" s="2232"/>
      <c r="T277" s="2232"/>
      <c r="U277" s="2232"/>
      <c r="V277" s="2232"/>
      <c r="W277" s="2232"/>
    </row>
    <row r="278" spans="7:23">
      <c r="G278" s="2232"/>
      <c r="H278" s="2232"/>
      <c r="I278" s="2232"/>
      <c r="J278" s="2232"/>
      <c r="K278" s="2232"/>
      <c r="L278" s="2232"/>
      <c r="M278" s="2232"/>
      <c r="N278" s="2232"/>
      <c r="O278" s="2232"/>
      <c r="T278" s="2232"/>
      <c r="U278" s="2232"/>
      <c r="V278" s="2232"/>
      <c r="W278" s="2232"/>
    </row>
    <row r="279" spans="7:23">
      <c r="G279" s="2232"/>
      <c r="H279" s="2232"/>
      <c r="I279" s="2232"/>
      <c r="J279" s="2232"/>
      <c r="K279" s="2232"/>
      <c r="L279" s="2232"/>
      <c r="M279" s="2232"/>
      <c r="N279" s="2232"/>
      <c r="O279" s="2232"/>
      <c r="T279" s="2232"/>
      <c r="U279" s="2232"/>
      <c r="V279" s="2232"/>
      <c r="W279" s="2232"/>
    </row>
    <row r="280" spans="7:23">
      <c r="G280" s="2232"/>
      <c r="H280" s="2232"/>
      <c r="I280" s="2232"/>
      <c r="J280" s="2232"/>
      <c r="K280" s="2232"/>
      <c r="L280" s="2232"/>
      <c r="M280" s="2232"/>
      <c r="N280" s="2232"/>
      <c r="O280" s="2232"/>
      <c r="T280" s="2232"/>
      <c r="U280" s="2232"/>
      <c r="V280" s="2232"/>
      <c r="W280" s="2232"/>
    </row>
    <row r="281" spans="7:23">
      <c r="G281" s="2232"/>
      <c r="H281" s="2232"/>
      <c r="I281" s="2232"/>
      <c r="J281" s="2232"/>
      <c r="K281" s="2232"/>
      <c r="L281" s="2232"/>
      <c r="M281" s="2232"/>
      <c r="N281" s="2232"/>
      <c r="O281" s="2232"/>
      <c r="T281" s="2232"/>
      <c r="U281" s="2232"/>
      <c r="V281" s="2232"/>
      <c r="W281" s="2232"/>
    </row>
    <row r="282" spans="7:23">
      <c r="G282" s="2232"/>
      <c r="H282" s="2232"/>
      <c r="I282" s="2232"/>
      <c r="J282" s="2232"/>
      <c r="K282" s="2232"/>
      <c r="L282" s="2232"/>
      <c r="M282" s="2232"/>
      <c r="N282" s="2232"/>
      <c r="O282" s="2232"/>
      <c r="T282" s="2232"/>
      <c r="U282" s="2232"/>
      <c r="V282" s="2232"/>
      <c r="W282" s="2232"/>
    </row>
    <row r="283" spans="7:23">
      <c r="G283" s="2232"/>
      <c r="H283" s="2232"/>
      <c r="I283" s="2232"/>
      <c r="J283" s="2232"/>
      <c r="K283" s="2232"/>
      <c r="L283" s="2232"/>
      <c r="M283" s="2232"/>
      <c r="N283" s="2232"/>
      <c r="O283" s="2232"/>
      <c r="T283" s="2232"/>
      <c r="U283" s="2232"/>
      <c r="V283" s="2232"/>
      <c r="W283" s="2232"/>
    </row>
    <row r="284" spans="7:23">
      <c r="G284" s="2232"/>
      <c r="H284" s="2232"/>
      <c r="I284" s="2232"/>
      <c r="J284" s="2232"/>
      <c r="K284" s="2232"/>
      <c r="L284" s="2232"/>
      <c r="M284" s="2232"/>
      <c r="N284" s="2232"/>
      <c r="O284" s="2232"/>
      <c r="T284" s="2232"/>
      <c r="U284" s="2232"/>
      <c r="V284" s="2232"/>
      <c r="W284" s="2232"/>
    </row>
    <row r="285" spans="7:23">
      <c r="G285" s="2232"/>
      <c r="H285" s="2232"/>
      <c r="I285" s="2232"/>
      <c r="J285" s="2232"/>
      <c r="K285" s="2232"/>
      <c r="L285" s="2232"/>
      <c r="M285" s="2232"/>
      <c r="N285" s="2232"/>
      <c r="O285" s="2232"/>
      <c r="T285" s="2232"/>
      <c r="U285" s="2232"/>
      <c r="V285" s="2232"/>
      <c r="W285" s="2232"/>
    </row>
    <row r="286" spans="7:23">
      <c r="L286" s="2232"/>
      <c r="M286" s="2232"/>
      <c r="N286" s="2232"/>
      <c r="O286" s="2232"/>
      <c r="T286" s="2232"/>
      <c r="U286" s="2232"/>
      <c r="V286" s="2232"/>
      <c r="W286" s="2232"/>
    </row>
    <row r="287" spans="7:23">
      <c r="L287" s="2232"/>
      <c r="M287" s="2232"/>
      <c r="N287" s="2232"/>
      <c r="O287" s="2232"/>
      <c r="T287" s="2232"/>
      <c r="U287" s="2232"/>
      <c r="V287" s="2232"/>
      <c r="W287" s="2232"/>
    </row>
    <row r="288" spans="7:23">
      <c r="L288" s="2232"/>
      <c r="M288" s="2232"/>
      <c r="N288" s="2232"/>
      <c r="O288" s="2232"/>
      <c r="T288" s="2232"/>
      <c r="U288" s="2232"/>
      <c r="V288" s="2232"/>
      <c r="W288" s="2232"/>
    </row>
    <row r="289" spans="12:23">
      <c r="L289" s="2232"/>
      <c r="M289" s="2232"/>
      <c r="N289" s="2232"/>
      <c r="O289" s="2232"/>
      <c r="T289" s="2232"/>
      <c r="U289" s="2232"/>
      <c r="V289" s="2232"/>
      <c r="W289" s="2232"/>
    </row>
    <row r="290" spans="12:23">
      <c r="L290" s="2232"/>
      <c r="M290" s="2232"/>
      <c r="N290" s="2232"/>
      <c r="O290" s="2232"/>
      <c r="T290" s="2232"/>
      <c r="U290" s="2232"/>
      <c r="V290" s="2232"/>
      <c r="W290" s="2232"/>
    </row>
    <row r="291" spans="12:23">
      <c r="L291" s="2232"/>
      <c r="M291" s="2232"/>
      <c r="N291" s="2232"/>
      <c r="O291" s="2232"/>
      <c r="T291" s="2232"/>
      <c r="U291" s="2232"/>
      <c r="V291" s="2232"/>
      <c r="W291" s="2232"/>
    </row>
    <row r="292" spans="12:23">
      <c r="L292" s="2232"/>
      <c r="M292" s="2232"/>
      <c r="N292" s="2232"/>
      <c r="O292" s="2232"/>
      <c r="T292" s="2232"/>
      <c r="U292" s="2232"/>
      <c r="V292" s="2232"/>
      <c r="W292" s="2232"/>
    </row>
    <row r="293" spans="12:23">
      <c r="L293" s="2232"/>
      <c r="M293" s="2232"/>
      <c r="N293" s="2232"/>
      <c r="O293" s="2232"/>
      <c r="T293" s="2232"/>
      <c r="U293" s="2232"/>
      <c r="V293" s="2232"/>
      <c r="W293" s="2232"/>
    </row>
    <row r="294" spans="12:23">
      <c r="L294" s="2232"/>
      <c r="M294" s="2232"/>
      <c r="N294" s="2232"/>
      <c r="O294" s="2232"/>
      <c r="T294" s="2232"/>
      <c r="U294" s="2232"/>
      <c r="V294" s="2232"/>
      <c r="W294" s="2232"/>
    </row>
    <row r="295" spans="12:23">
      <c r="L295" s="2232"/>
      <c r="M295" s="2232"/>
      <c r="N295" s="2232"/>
      <c r="O295" s="2232"/>
      <c r="T295" s="2232"/>
      <c r="U295" s="2232"/>
      <c r="V295" s="2232"/>
      <c r="W295" s="2232"/>
    </row>
    <row r="296" spans="12:23">
      <c r="L296" s="2232"/>
      <c r="M296" s="2232"/>
      <c r="N296" s="2232"/>
      <c r="O296" s="2232"/>
      <c r="T296" s="2232"/>
      <c r="U296" s="2232"/>
      <c r="V296" s="2232"/>
      <c r="W296" s="2232"/>
    </row>
    <row r="297" spans="12:23">
      <c r="L297" s="2232"/>
      <c r="M297" s="2232"/>
      <c r="N297" s="2232"/>
      <c r="O297" s="2232"/>
      <c r="T297" s="2232"/>
      <c r="U297" s="2232"/>
      <c r="V297" s="2232"/>
      <c r="W297" s="2232"/>
    </row>
    <row r="298" spans="12:23">
      <c r="L298" s="2232"/>
      <c r="M298" s="2232"/>
      <c r="N298" s="2232"/>
      <c r="O298" s="2232"/>
      <c r="T298" s="2232"/>
      <c r="U298" s="2232"/>
      <c r="V298" s="2232"/>
      <c r="W298" s="2232"/>
    </row>
    <row r="299" spans="12:23">
      <c r="L299" s="2232"/>
      <c r="M299" s="2232"/>
      <c r="N299" s="2232"/>
      <c r="O299" s="2232"/>
      <c r="T299" s="2232"/>
      <c r="U299" s="2232"/>
      <c r="V299" s="2232"/>
      <c r="W299" s="2232"/>
    </row>
    <row r="300" spans="12:23">
      <c r="L300" s="2232"/>
      <c r="M300" s="2232"/>
      <c r="N300" s="2232"/>
      <c r="O300" s="2232"/>
      <c r="T300" s="2232"/>
      <c r="U300" s="2232"/>
      <c r="V300" s="2232"/>
      <c r="W300" s="2232"/>
    </row>
    <row r="301" spans="12:23">
      <c r="L301" s="2232"/>
      <c r="M301" s="2232"/>
      <c r="N301" s="2232"/>
      <c r="O301" s="2232"/>
      <c r="T301" s="2232"/>
      <c r="U301" s="2232"/>
      <c r="V301" s="2232"/>
      <c r="W301" s="2232"/>
    </row>
    <row r="302" spans="12:23">
      <c r="L302" s="2232"/>
      <c r="M302" s="2232"/>
      <c r="N302" s="2232"/>
      <c r="O302" s="2232"/>
      <c r="T302" s="2232"/>
      <c r="U302" s="2232"/>
      <c r="V302" s="2232"/>
      <c r="W302" s="2232"/>
    </row>
    <row r="303" spans="12:23">
      <c r="L303" s="2232"/>
      <c r="M303" s="2232"/>
      <c r="N303" s="2232"/>
      <c r="O303" s="2232"/>
      <c r="T303" s="2232"/>
      <c r="U303" s="2232"/>
      <c r="V303" s="2232"/>
      <c r="W303" s="2232"/>
    </row>
    <row r="304" spans="12:23">
      <c r="L304" s="2232"/>
      <c r="M304" s="2232"/>
      <c r="N304" s="2232"/>
      <c r="O304" s="2232"/>
      <c r="T304" s="2232"/>
      <c r="U304" s="2232"/>
      <c r="V304" s="2232"/>
      <c r="W304" s="2232"/>
    </row>
    <row r="305" spans="12:23">
      <c r="L305" s="2232"/>
      <c r="M305" s="2232"/>
      <c r="N305" s="2232"/>
      <c r="O305" s="2232"/>
      <c r="T305" s="2232"/>
      <c r="U305" s="2232"/>
      <c r="V305" s="2232"/>
      <c r="W305" s="2232"/>
    </row>
    <row r="306" spans="12:23">
      <c r="L306" s="2232"/>
      <c r="M306" s="2232"/>
      <c r="N306" s="2232"/>
      <c r="O306" s="2232"/>
      <c r="T306" s="2232"/>
      <c r="U306" s="2232"/>
      <c r="V306" s="2232"/>
      <c r="W306" s="2232"/>
    </row>
    <row r="307" spans="12:23">
      <c r="L307" s="2232"/>
      <c r="M307" s="2232"/>
      <c r="N307" s="2232"/>
      <c r="O307" s="2232"/>
      <c r="T307" s="2232"/>
      <c r="U307" s="2232"/>
      <c r="V307" s="2232"/>
      <c r="W307" s="2232"/>
    </row>
    <row r="308" spans="12:23">
      <c r="L308" s="2232"/>
      <c r="M308" s="2232"/>
      <c r="N308" s="2232"/>
      <c r="O308" s="2232"/>
      <c r="T308" s="2232"/>
      <c r="U308" s="2232"/>
      <c r="V308" s="2232"/>
      <c r="W308" s="2232"/>
    </row>
    <row r="309" spans="12:23">
      <c r="L309" s="2232"/>
      <c r="M309" s="2232"/>
      <c r="N309" s="2232"/>
      <c r="O309" s="2232"/>
      <c r="T309" s="2232"/>
      <c r="U309" s="2232"/>
      <c r="V309" s="2232"/>
      <c r="W309" s="2232"/>
    </row>
    <row r="310" spans="12:23">
      <c r="L310" s="2232"/>
      <c r="M310" s="2232"/>
      <c r="N310" s="2232"/>
      <c r="O310" s="2232"/>
      <c r="T310" s="2232"/>
      <c r="U310" s="2232"/>
      <c r="V310" s="2232"/>
      <c r="W310" s="2232"/>
    </row>
    <row r="311" spans="12:23">
      <c r="L311" s="2232"/>
      <c r="M311" s="2232"/>
      <c r="N311" s="2232"/>
      <c r="O311" s="2232"/>
      <c r="T311" s="2232"/>
      <c r="U311" s="2232"/>
      <c r="V311" s="2232"/>
      <c r="W311" s="2232"/>
    </row>
    <row r="312" spans="12:23">
      <c r="L312" s="2232"/>
      <c r="M312" s="2232"/>
      <c r="N312" s="2232"/>
      <c r="O312" s="2232"/>
      <c r="T312" s="2232"/>
      <c r="U312" s="2232"/>
      <c r="V312" s="2232"/>
      <c r="W312" s="2232"/>
    </row>
    <row r="313" spans="12:23">
      <c r="L313" s="2232"/>
      <c r="M313" s="2232"/>
      <c r="N313" s="2232"/>
      <c r="O313" s="2232"/>
      <c r="T313" s="2232"/>
      <c r="U313" s="2232"/>
      <c r="V313" s="2232"/>
      <c r="W313" s="2232"/>
    </row>
    <row r="314" spans="12:23">
      <c r="L314" s="2232"/>
      <c r="M314" s="2232"/>
      <c r="N314" s="2232"/>
      <c r="O314" s="2232"/>
      <c r="T314" s="2232"/>
      <c r="U314" s="2232"/>
      <c r="V314" s="2232"/>
      <c r="W314" s="2232"/>
    </row>
    <row r="315" spans="12:23">
      <c r="L315" s="2232"/>
      <c r="M315" s="2232"/>
      <c r="N315" s="2232"/>
      <c r="O315" s="2232"/>
      <c r="T315" s="2232"/>
      <c r="U315" s="2232"/>
      <c r="V315" s="2232"/>
      <c r="W315" s="2232"/>
    </row>
    <row r="316" spans="12:23">
      <c r="L316" s="2232"/>
      <c r="M316" s="2232"/>
      <c r="N316" s="2232"/>
      <c r="O316" s="2232"/>
      <c r="T316" s="2232"/>
      <c r="U316" s="2232"/>
      <c r="V316" s="2232"/>
      <c r="W316" s="2232"/>
    </row>
    <row r="317" spans="12:23">
      <c r="L317" s="2232"/>
      <c r="M317" s="2232"/>
      <c r="N317" s="2232"/>
      <c r="O317" s="2232"/>
      <c r="T317" s="2232"/>
      <c r="U317" s="2232"/>
      <c r="V317" s="2232"/>
      <c r="W317" s="2232"/>
    </row>
    <row r="318" spans="12:23">
      <c r="L318" s="2232"/>
      <c r="M318" s="2232"/>
      <c r="N318" s="2232"/>
      <c r="O318" s="2232"/>
      <c r="T318" s="2232"/>
      <c r="U318" s="2232"/>
      <c r="V318" s="2232"/>
      <c r="W318" s="2232"/>
    </row>
    <row r="319" spans="12:23">
      <c r="L319" s="2232"/>
      <c r="M319" s="2232"/>
      <c r="N319" s="2232"/>
      <c r="O319" s="2232"/>
    </row>
    <row r="320" spans="12:23">
      <c r="L320" s="2232"/>
      <c r="M320" s="2232"/>
      <c r="N320" s="2232"/>
      <c r="O320" s="2232"/>
    </row>
    <row r="321" spans="12:15">
      <c r="L321" s="2232"/>
      <c r="M321" s="2232"/>
      <c r="N321" s="2232"/>
      <c r="O321" s="2232"/>
    </row>
    <row r="322" spans="12:15">
      <c r="L322" s="2232"/>
      <c r="M322" s="2232"/>
      <c r="N322" s="2232"/>
      <c r="O322" s="2232"/>
    </row>
    <row r="323" spans="12:15">
      <c r="L323" s="2232"/>
      <c r="M323" s="2232"/>
      <c r="N323" s="2232"/>
      <c r="O323" s="2232"/>
    </row>
    <row r="324" spans="12:15">
      <c r="L324" s="2232"/>
      <c r="M324" s="2232"/>
      <c r="N324" s="2232"/>
      <c r="O324" s="2232"/>
    </row>
    <row r="325" spans="12:15">
      <c r="L325" s="2232"/>
      <c r="M325" s="2232"/>
      <c r="N325" s="2232"/>
      <c r="O325" s="2232"/>
    </row>
    <row r="326" spans="12:15">
      <c r="L326" s="2232"/>
      <c r="M326" s="2232"/>
      <c r="N326" s="2232"/>
      <c r="O326" s="2232"/>
    </row>
  </sheetData>
  <customSheetViews>
    <customSheetView guid="{DF51FD8A-8BA9-46B7-B455-DFD0D532E42D}" showPageBreaks="1" fitToPage="1" printArea="1" showRuler="0" topLeftCell="E1">
      <selection activeCell="G1" sqref="G1:K42"/>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1"/>
      <headerFooter alignWithMargins="0"/>
    </customSheetView>
    <customSheetView guid="{1E45DDAB-A557-4269-B1F7-CCA75743796E}" showPageBreaks="1" fitToPage="1" printArea="1" showRuler="0" topLeftCell="J1">
      <selection activeCell="L1" sqref="L1:O32"/>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2"/>
      <headerFooter alignWithMargins="0"/>
    </customSheetView>
    <customSheetView guid="{114781A2-0298-429A-B53B-CCDE7FC07C8A}" showPageBreaks="1" fitToPage="1" printArea="1" showRuler="0" topLeftCell="O1">
      <selection activeCell="P1" sqref="P1:S26"/>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3"/>
      <headerFooter alignWithMargins="0"/>
    </customSheetView>
    <customSheetView guid="{70410578-0BAB-407F-B45A-A1FD00E78914}" showPageBreaks="1" fitToPage="1" printArea="1" showRuler="0" topLeftCell="R1">
      <selection activeCell="T1" sqref="T1:W48"/>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4"/>
      <headerFooter alignWithMargins="0"/>
    </customSheetView>
    <customSheetView guid="{833E8250-6973-4555-A9B1-5ACEC89F3481}" showPageBreaks="1" fitToPage="1" printArea="1" showRuler="0" topLeftCell="X1">
      <selection activeCell="X1" sqref="X1:AA25"/>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5"/>
      <headerFooter alignWithMargins="0"/>
    </customSheetView>
    <customSheetView guid="{2C3700F5-7337-49E6-9C17-9B49CE910373}" showPageBreaks="1" fitToPage="1" printArea="1" showRuler="0" topLeftCell="AA1">
      <selection activeCell="AB1" sqref="AB1:AF52"/>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6"/>
      <headerFooter alignWithMargins="0"/>
    </customSheetView>
    <customSheetView guid="{57344CAB-EDB4-4D23-8F83-6632FA133D6F}" showPageBreaks="1" fitToPage="1" printArea="1" showRuler="0" topLeftCell="AF1">
      <selection activeCell="AG1" sqref="AG1:AK23"/>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7"/>
      <headerFooter alignWithMargins="0"/>
    </customSheetView>
    <customSheetView guid="{368BDFFC-8B6F-4E1E-88F3-F226428845CF}" showPageBreaks="1" fitToPage="1" printArea="1" showRuler="0" topLeftCell="BJ1">
      <selection activeCell="BK1" sqref="BK1:BQ33"/>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8"/>
      <headerFooter alignWithMargins="0"/>
    </customSheetView>
    <customSheetView guid="{A74B7FED-837E-46BE-A86A-510E0683DF4F}" scale="75" showRuler="0" topLeftCell="BR2">
      <selection activeCell="BT29" sqref="BT29"/>
      <colBreaks count="3" manualBreakCount="3">
        <brk id="92" max="57" man="1"/>
        <brk id="102" max="57" man="1"/>
        <brk id="109" max="57" man="1"/>
      </colBreaks>
      <pageMargins left="0.25" right="0.25" top="0.5" bottom="0.5" header="0.25" footer="0.25"/>
      <printOptions horizontalCentered="1"/>
      <pageSetup scale="70" fitToWidth="4" orientation="landscape" horizontalDpi="1200" verticalDpi="1200" r:id="rId9"/>
      <headerFooter alignWithMargins="0"/>
    </customSheetView>
    <customSheetView guid="{BEBB2007-766E-4870-AB0B-58E56CB3F651}" scale="75" printArea="1" showRuler="0" topLeftCell="CA2">
      <selection activeCell="CD2" sqref="CD2:CI33"/>
      <colBreaks count="3" manualBreakCount="3">
        <brk id="92" max="57" man="1"/>
        <brk id="102" max="57" man="1"/>
        <brk id="109" max="57" man="1"/>
      </colBreaks>
      <pageMargins left="0.25" right="0.25" top="0.5" bottom="0.5" header="0.25" footer="0.25"/>
      <printOptions horizontalCentered="1"/>
      <pageSetup scale="70" fitToWidth="4" orientation="landscape" horizontalDpi="1200" verticalDpi="1200" r:id="rId10"/>
      <headerFooter alignWithMargins="0"/>
    </customSheetView>
    <customSheetView guid="{F0C9B202-A28C-4D84-9483-9F8FC93D796D}" showPageBreaks="1" fitToPage="1" printArea="1" showRuler="0" topLeftCell="CH54">
      <selection activeCell="CJ56" sqref="CJ56:CN79"/>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11"/>
      <headerFooter alignWithMargins="0"/>
    </customSheetView>
    <customSheetView guid="{5528C217-5C85-409E-BEF2-118EFA30D59F}" showPageBreaks="1" fitToPage="1" printArea="1" showRuler="0" topLeftCell="CH33">
      <selection activeCell="CJ34" sqref="CJ34:CN54"/>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12"/>
      <headerFooter alignWithMargins="0"/>
    </customSheetView>
    <customSheetView guid="{3CBED636-2D45-404E-AAC8-3EE8AD1E87DC}" showPageBreaks="1" fitToPage="1" printArea="1" showRuler="0" topLeftCell="CH1">
      <selection activeCell="CJ1" sqref="CJ1:CN30"/>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13"/>
      <headerFooter alignWithMargins="0"/>
    </customSheetView>
    <customSheetView guid="{31DFCE0A-9DA6-4A87-B609-465F85B537E0}" showPageBreaks="1" fitToPage="1" printArea="1" showRuler="0" topLeftCell="A34">
      <selection activeCell="F50" sqref="A1:F50"/>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14"/>
      <headerFooter alignWithMargins="0"/>
    </customSheetView>
    <customSheetView guid="{363BCC7B-365C-4862-8308-FD01127C4AC4}" showPageBreaks="1" fitToPage="1" printArea="1" showRuler="0" topLeftCell="AN1">
      <selection activeCell="AP1" sqref="AP1:AS24"/>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15"/>
      <headerFooter alignWithMargins="0"/>
    </customSheetView>
    <customSheetView guid="{4D415296-881A-4775-98CD-22EFE3033486}" showPageBreaks="1" fitToPage="1" printArea="1" showRuler="0" topLeftCell="AR1">
      <selection activeCell="AT1" sqref="AT1:AW42"/>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16"/>
      <headerFooter alignWithMargins="0"/>
    </customSheetView>
    <customSheetView guid="{1B900283-A429-4403-A9D8-C71CBE042C5B}" showPageBreaks="1" fitToPage="1" printArea="1" showRuler="0" topLeftCell="AZ1">
      <selection activeCell="BA1" sqref="BA1:BE24"/>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17"/>
      <headerFooter alignWithMargins="0"/>
    </customSheetView>
    <customSheetView guid="{1C1C43A1-DC1D-4B83-8878-3010F6B52F39}" showPageBreaks="1" fitToPage="1" printArea="1" showRuler="0" topLeftCell="BF1">
      <selection activeCell="BF1" sqref="BF1:BJ22"/>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18"/>
      <headerFooter alignWithMargins="0"/>
    </customSheetView>
    <customSheetView guid="{9BA720D1-BA25-4C52-A40B-874BAF7D1762}" showPageBreaks="1" fitToPage="1" printArea="1" showRuler="0" topLeftCell="BJ1">
      <selection activeCell="BK1" sqref="BK1:BQ36"/>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19"/>
      <headerFooter alignWithMargins="0"/>
    </customSheetView>
    <customSheetView guid="{416960AD-1B0E-43B1-BBE2-4C2BAE619099}" showPageBreaks="1" fitToPage="1" printArea="1" showRuler="0" topLeftCell="BP1">
      <selection activeCell="BR1" sqref="BR1:BU32"/>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20"/>
      <headerFooter alignWithMargins="0"/>
    </customSheetView>
    <customSheetView guid="{E75FE358-FE2D-4487-BA5A-B5AB72EE82DF}" showPageBreaks="1" fitToPage="1" printArea="1" showRuler="0" topLeftCell="BY1">
      <selection activeCell="BZ1" sqref="BZ1:CC24"/>
      <colBreaks count="21" manualBreakCount="21">
        <brk id="6" max="1048575" man="1"/>
        <brk id="11" max="1048575" man="1"/>
        <brk id="15" max="1048575" man="1"/>
        <brk id="19" max="1048575" man="1"/>
        <brk id="23" max="1048575" man="1"/>
        <brk id="27" max="1048575" man="1"/>
        <brk id="32" max="1048575" man="1"/>
        <brk id="37" max="1048575" man="1"/>
        <brk id="41" max="1048575" man="1"/>
        <brk id="45" max="1048575" man="1"/>
        <brk id="49" max="1048575" man="1"/>
        <brk id="52" max="1048575" man="1"/>
        <brk id="57" max="1048575" man="1"/>
        <brk id="62" max="1048575" man="1"/>
        <brk id="69" max="1048575" man="1"/>
        <brk id="73" max="1048575" man="1"/>
        <brk id="77" max="1048575" man="1"/>
        <brk id="83" max="1048575" man="1"/>
        <brk id="92" max="1048575" man="1"/>
        <brk id="102" max="1048575" man="1"/>
        <brk id="109" max="1048575" man="1"/>
      </colBreaks>
      <pageMargins left="0.25" right="0.25" top="0.5" bottom="0.5" header="0.25" footer="0.25"/>
      <printOptions horizontalCentered="1"/>
      <pageSetup orientation="portrait" horizontalDpi="1200" verticalDpi="1200" r:id="rId21"/>
      <headerFooter alignWithMargins="0"/>
    </customSheetView>
    <customSheetView guid="{6734E4FA-60B7-471C-AEFF-A65F9BB053D8}" scale="60" showPageBreaks="1" printArea="1" hiddenColumns="1" view="pageBreakPreview" showRuler="0" topLeftCell="DL1">
      <selection activeCell="DR1" sqref="DR1"/>
      <colBreaks count="4" manualBreakCount="4">
        <brk id="92" max="55" man="1"/>
        <brk id="102" max="57" man="1"/>
        <brk id="112" max="57" man="1"/>
        <brk id="121" max="57" man="1"/>
      </colBreaks>
      <pageMargins left="0.25" right="0.25" top="0.5" bottom="0.5" header="0.25" footer="0.25"/>
      <printOptions horizontalCentered="1"/>
      <pageSetup scale="70" fitToWidth="4" orientation="landscape" horizontalDpi="1200" verticalDpi="1200" r:id="rId22"/>
      <headerFooter alignWithMargins="0"/>
    </customSheetView>
  </customSheetViews>
  <phoneticPr fontId="0" type="noConversion"/>
  <conditionalFormatting sqref="DM1 A1:CW1">
    <cfRule type="cellIs" dxfId="3" priority="5" stopIfTrue="1" operator="notEqual">
      <formula>0</formula>
    </cfRule>
  </conditionalFormatting>
  <printOptions horizontalCentered="1"/>
  <pageMargins left="0.45" right="0.45" top="0.5" bottom="0.5" header="0" footer="0.05"/>
  <pageSetup scale="70" fitToWidth="0" orientation="portrait" r:id="rId23"/>
  <colBreaks count="23" manualBreakCount="23">
    <brk id="6" max="1048575" man="1"/>
    <brk id="11" max="1048575" man="1"/>
    <brk id="15" max="1048575" man="1"/>
    <brk id="19" max="1048575" man="1"/>
    <brk id="23" max="1048575" man="1"/>
    <brk id="28" max="1048575" man="1"/>
    <brk id="33" max="1048575" man="1"/>
    <brk id="38" max="1048575" man="1"/>
    <brk id="45" max="1048575" man="1"/>
    <brk id="50" max="1048575" man="1"/>
    <brk id="55" max="1048575" man="1"/>
    <brk id="59" max="1048575" man="1"/>
    <brk id="64" max="1048575" man="1"/>
    <brk id="68" max="1048575" man="1"/>
    <brk id="72" max="1048575" man="1"/>
    <brk id="76" max="1048575" man="1"/>
    <brk id="81" max="1048575" man="1"/>
    <brk id="86" max="1048575" man="1"/>
    <brk id="92" max="1048575" man="1"/>
    <brk id="97" max="1048575" man="1"/>
    <brk id="125" min="1" max="82" man="1"/>
    <brk id="134" min="1" max="82" man="1"/>
    <brk id="151" max="232" man="1"/>
  </colBreaks>
  <legacyDrawing r:id="rId2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C4EC8B21DBB10C40AB4409B4BAF96A70" ma:contentTypeVersion="143" ma:contentTypeDescription="" ma:contentTypeScope="" ma:versionID="3c7207432fc916bd95c5b70dd967b104">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c67bbc6b01ef53d9eb67ed595f238ae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Response</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2011-06-13T07:00:00+00:00</OpenedDate>
    <Date1 xmlns="dc463f71-b30c-4ab2-9473-d307f9d35888">2012-05-01T07:00:00+00:00</Date1>
    <IsDocumentOrder xmlns="dc463f71-b30c-4ab2-9473-d307f9d35888" xsi:nil="true"/>
    <IsHighlyConfidential xmlns="dc463f71-b30c-4ab2-9473-d307f9d35888">false</IsHighlyConfidential>
    <CaseCompanyNames xmlns="dc463f71-b30c-4ab2-9473-d307f9d35888">Puget Sound Energy</CaseCompanyNames>
    <DocketNumber xmlns="dc463f71-b30c-4ab2-9473-d307f9d35888">111048</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0F2501C2-F52D-4988-B505-07F147C9EB94}"/>
</file>

<file path=customXml/itemProps2.xml><?xml version="1.0" encoding="utf-8"?>
<ds:datastoreItem xmlns:ds="http://schemas.openxmlformats.org/officeDocument/2006/customXml" ds:itemID="{AC26DBBD-14F6-4636-B6D0-75C03E45ECBF}"/>
</file>

<file path=customXml/itemProps3.xml><?xml version="1.0" encoding="utf-8"?>
<ds:datastoreItem xmlns:ds="http://schemas.openxmlformats.org/officeDocument/2006/customXml" ds:itemID="{02838AC9-1AF1-4DC8-8336-667B39980E2A}"/>
</file>

<file path=customXml/itemProps4.xml><?xml version="1.0" encoding="utf-8"?>
<ds:datastoreItem xmlns:ds="http://schemas.openxmlformats.org/officeDocument/2006/customXml" ds:itemID="{8DA28999-5930-4592-AD3A-C2ADDD830EA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78</vt:i4>
      </vt:variant>
      <vt:variant>
        <vt:lpstr>Named Ranges</vt:lpstr>
      </vt:variant>
      <vt:variant>
        <vt:i4>12</vt:i4>
      </vt:variant>
    </vt:vector>
  </HeadingPairs>
  <TitlesOfParts>
    <vt:vector size="90" baseType="lpstr">
      <vt:lpstr>Assignments</vt:lpstr>
      <vt:lpstr>Exhibit No._(CTM-2), Pg. 1</vt:lpstr>
      <vt:lpstr>Exhibit No._(CTM-2), Pg. 1 (D)</vt:lpstr>
      <vt:lpstr>Gas Assignments</vt:lpstr>
      <vt:lpstr>Compare GRCs</vt:lpstr>
      <vt:lpstr>MJS</vt:lpstr>
      <vt:lpstr>Exhibit No._(CTM-2), Pg. 2-6</vt:lpstr>
      <vt:lpstr>Exhibit No._(CTM-2), Pg. 7-9</vt:lpstr>
      <vt:lpstr>Exhibit No._(CTM-2), Pg. 10-30</vt:lpstr>
      <vt:lpstr>Exhibit No._(CTM-2), Pg. 31a-b</vt:lpstr>
      <vt:lpstr>Exhibit No._(CTM-2), Pg. 32-34</vt:lpstr>
      <vt:lpstr>Exhibit No._(CTM-2), Unit Cost</vt:lpstr>
      <vt:lpstr>UG-101644 - Revenue</vt:lpstr>
      <vt:lpstr>UG-101644 - Revenue Exhibit</vt:lpstr>
      <vt:lpstr>JKP-10</vt:lpstr>
      <vt:lpstr>3.05</vt:lpstr>
      <vt:lpstr>3.05 - Joint Meter Customers</vt:lpstr>
      <vt:lpstr>3.05 - E &amp; G RB</vt:lpstr>
      <vt:lpstr>3.05 - 2010 IS</vt:lpstr>
      <vt:lpstr>3.05 - FERC Pg 354 &amp; 355</vt:lpstr>
      <vt:lpstr>3.05 - SAP DL Download</vt:lpstr>
      <vt:lpstr>3.05 - DLReconBBS</vt:lpstr>
      <vt:lpstr>3.05 - SAP DL</vt:lpstr>
      <vt:lpstr>3.05 - GL DL Rep-2010</vt:lpstr>
      <vt:lpstr>3.05 - Electric</vt:lpstr>
      <vt:lpstr>3.05 - Electric Rtrmt</vt:lpstr>
      <vt:lpstr>3.05 - Gas</vt:lpstr>
      <vt:lpstr>3.05 - Gas Rtrmt</vt:lpstr>
      <vt:lpstr>3.05E - Customer Count Pg 6a</vt:lpstr>
      <vt:lpstr>3.05G - Customer Count Pg6b</vt:lpstr>
      <vt:lpstr>5.02G</vt:lpstr>
      <vt:lpstr>5.02G - DEPN Transfers</vt:lpstr>
      <vt:lpstr>5.02G - Accum DEPN</vt:lpstr>
      <vt:lpstr>5.03G</vt:lpstr>
      <vt:lpstr>5.03G - Breakdown</vt:lpstr>
      <vt:lpstr>5.03G - Data (HC)</vt:lpstr>
      <vt:lpstr>5.03G - Cost Savings Analysis</vt:lpstr>
      <vt:lpstr>5.03G - 2010</vt:lpstr>
      <vt:lpstr>6.02G</vt:lpstr>
      <vt:lpstr>6.02G - Revenue</vt:lpstr>
      <vt:lpstr>6.03G</vt:lpstr>
      <vt:lpstr>6.03G - LowInc Rev 12ME 12-2010</vt:lpstr>
      <vt:lpstr>6.03G - LoInBilled 12ME 12-2010</vt:lpstr>
      <vt:lpstr>6.03G - LowIncExp 12ME 12-2010</vt:lpstr>
      <vt:lpstr>6.03G - ConsvRev 12ME 12-210</vt:lpstr>
      <vt:lpstr>6.03G - 12ME 12-31-2010 SOG </vt:lpstr>
      <vt:lpstr>6.03G - IS Gas 12ME 12-2010</vt:lpstr>
      <vt:lpstr>6.03G - Cons Expense Dec 2010</vt:lpstr>
      <vt:lpstr>6.03G - PGA Amort Dec 2010</vt:lpstr>
      <vt:lpstr>6.03G - MuniTax Rev 12-2010</vt:lpstr>
      <vt:lpstr>6.03G - MuniTax Exp 12-2010</vt:lpstr>
      <vt:lpstr>6.03G - PGA REV 6-2010</vt:lpstr>
      <vt:lpstr>6.09G</vt:lpstr>
      <vt:lpstr>6.09G - 3-YR AVG</vt:lpstr>
      <vt:lpstr>6.09G - Writeoffs</vt:lpstr>
      <vt:lpstr>6.09G - 12ME 8-2010</vt:lpstr>
      <vt:lpstr>6.09G - 12ME 8-2009</vt:lpstr>
      <vt:lpstr>6.09G - 12ME 8-2008</vt:lpstr>
      <vt:lpstr>6.09G - 12ME 8-2007</vt:lpstr>
      <vt:lpstr>6.09G - 12ME 8-2006</vt:lpstr>
      <vt:lpstr>6.09G - BS Acct-Gas</vt:lpstr>
      <vt:lpstr>6.09G - Muni Tax Other Ops</vt:lpstr>
      <vt:lpstr>6.09G - 12ME 12-2010</vt:lpstr>
      <vt:lpstr>6.12G</vt:lpstr>
      <vt:lpstr>6.12G - UTC Annual Filing Fee</vt:lpstr>
      <vt:lpstr>6.12G - UTC Paid Annual Fee '10</vt:lpstr>
      <vt:lpstr>6.12G - Excise Taxes '10</vt:lpstr>
      <vt:lpstr>6.14G</vt:lpstr>
      <vt:lpstr>6.14G - Decrease in Interest</vt:lpstr>
      <vt:lpstr>6.14G - 2010 Rates</vt:lpstr>
      <vt:lpstr>6.14G - 2011 Rates</vt:lpstr>
      <vt:lpstr>6.14G - SAP</vt:lpstr>
      <vt:lpstr>6.14G - Balance Calculation</vt:lpstr>
      <vt:lpstr>6.16G</vt:lpstr>
      <vt:lpstr>6.16G - Rate Year</vt:lpstr>
      <vt:lpstr>6.16G - Charged to IS</vt:lpstr>
      <vt:lpstr>6.16G - Acct 18700052</vt:lpstr>
      <vt:lpstr>6.16G - Acct 25600092</vt:lpstr>
      <vt:lpstr>'6.03G - 12ME 12-31-2010 SOG '!Print_Area</vt:lpstr>
      <vt:lpstr>Assignments!Print_Area</vt:lpstr>
      <vt:lpstr>'Exhibit No._(CTM-2), Pg. 1'!Print_Area</vt:lpstr>
      <vt:lpstr>'Exhibit No._(CTM-2), Pg. 1 (D)'!Print_Area</vt:lpstr>
      <vt:lpstr>'Exhibit No._(CTM-2), Pg. 10-30'!Print_Area</vt:lpstr>
      <vt:lpstr>'Exhibit No._(CTM-2), Pg. 2-6'!Print_Area</vt:lpstr>
      <vt:lpstr>'Exhibit No._(CTM-2), Pg. 31a-b'!Print_Area</vt:lpstr>
      <vt:lpstr>'Exhibit No._(CTM-2), Unit Cost'!Print_Area</vt:lpstr>
      <vt:lpstr>'UG-101644 - Revenue Exhibit'!Print_Area</vt:lpstr>
      <vt:lpstr>'5.03G - Data (HC)'!Print_Titles</vt:lpstr>
      <vt:lpstr>'Exhibit No._(CTM-2), Pg. 2-6'!Print_Titles</vt:lpstr>
      <vt:lpstr>'Exhibit No._(CTM-2), Pg. 31a-b'!Print_Titles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COMMISSION BASIS REPORT</dc:title>
  <dc:subject>TWELVE MOS. ENDED 6/30/95</dc:subject>
  <dc:creator>Mickelson, Christopher (UTC)</dc:creator>
  <cp:lastModifiedBy>Mickelson, Christopher (UTC)</cp:lastModifiedBy>
  <cp:lastPrinted>2012-04-25T23:33:37Z</cp:lastPrinted>
  <dcterms:created xsi:type="dcterms:W3CDTF">1997-10-13T22:59:17Z</dcterms:created>
  <dcterms:modified xsi:type="dcterms:W3CDTF">2012-04-26T15:17:45Z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0x0101006E56B4D1795A2E4DB2F0B01679ED314A00C4EC8B21DBB10C40AB4409B4BAF96A70</vt:lpwstr>
  </property>
  <property fmtid="{D5CDD505-2E9C-101B-9397-08002B2CF9AE}" pid="3" name="_docset_NoMedatataSyncRequired">
    <vt:lpwstr>False</vt:lpwstr>
  </property>
</Properties>
</file>